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EstaPastaDeTrabalho"/>
  <xr:revisionPtr revIDLastSave="0" documentId="13_ncr:1_{51D8C2FE-373A-4EE3-9CA4-7C3FDD89CF1E}" xr6:coauthVersionLast="47" xr6:coauthVersionMax="47" xr10:uidLastSave="{00000000-0000-0000-0000-000000000000}"/>
  <bookViews>
    <workbookView xWindow="-120" yWindow="-120" windowWidth="29040" windowHeight="15840" tabRatio="899" firstSheet="45" activeTab="52" xr2:uid="{9924EAD3-2130-4BEF-A0F5-7EE582A2DCAA}"/>
  </bookViews>
  <sheets>
    <sheet name="TRECHO(S) A IMPRIMIR" sheetId="274" r:id="rId1"/>
    <sheet name="RESUMO COMPARATIVO" sheetId="288" r:id="rId2"/>
    <sheet name="PSP-RESUMO" sheetId="273" r:id="rId3"/>
    <sheet name="01-CO" sheetId="24" r:id="rId4"/>
    <sheet name="02-AL" sheetId="224" r:id="rId5"/>
    <sheet name="03-SP" sheetId="225" r:id="rId6"/>
    <sheet name="04-DR" sheetId="226" r:id="rId7"/>
    <sheet name="05-TR" sheetId="240" r:id="rId8"/>
    <sheet name="06-PAV" sheetId="128" r:id="rId9"/>
    <sheet name="07-OAEeOAC" sheetId="241" r:id="rId10"/>
    <sheet name="08-SIN" sheetId="173" r:id="rId11"/>
    <sheet name="09-URB" sheetId="150" r:id="rId12"/>
    <sheet name="CFF-18M" sheetId="284" r:id="rId13"/>
    <sheet name="ABC-S" sheetId="76" r:id="rId14"/>
    <sheet name="CA-PROJETO" sheetId="44" r:id="rId15"/>
    <sheet name="MCP" sheetId="45" r:id="rId16"/>
    <sheet name="BDI obras SD" sheetId="209" r:id="rId17"/>
    <sheet name="BDI obras CD" sheetId="222" r:id="rId18"/>
    <sheet name="BDI-Difer SD" sheetId="210" r:id="rId19"/>
    <sheet name="BDI-Difer CD" sheetId="223" r:id="rId20"/>
    <sheet name="ES" sheetId="233" r:id="rId21"/>
    <sheet name="MLQ-CONS AFeEE" sheetId="227" r:id="rId22"/>
    <sheet name="01-MLQ-CO-HII-TR3" sheetId="270" r:id="rId23"/>
    <sheet name="04-MLQ-CR-LAGOAS" sheetId="257" r:id="rId24"/>
    <sheet name="04-MLQ-DR-TR1" sheetId="250" r:id="rId25"/>
    <sheet name="04-MLQ-DR-TR1-LD" sheetId="282" r:id="rId26"/>
    <sheet name="04-MLQ-DR-TR3" sheetId="258" r:id="rId27"/>
    <sheet name="04-MLQ-DR-TR3-LD" sheetId="283" r:id="rId28"/>
    <sheet name="04-MLQ-DR-TR1-DEM_DISP" sheetId="252" state="hidden" r:id="rId29"/>
    <sheet name="04-MLQ-DR-TR1 e TR3-BLQ" sheetId="285" r:id="rId30"/>
    <sheet name="04-MLQ-DR-TIPOL E DIMENS" sheetId="251" r:id="rId31"/>
    <sheet name="06-MLQ-TR1-TRePAV" sheetId="279" r:id="rId32"/>
    <sheet name="06-MLQ-TR3-TRePAV" sheetId="278" r:id="rId33"/>
    <sheet name="06-MLQ-TR1eTR3-SEPAR INTERTR" sheetId="290" r:id="rId34"/>
    <sheet name="07-OAE-MLQ" sheetId="262" r:id="rId35"/>
    <sheet name="08-MLQ-TR1-SIN_HOR" sheetId="244" r:id="rId36"/>
    <sheet name="08-MLQ-TR1-SIN_VER" sheetId="245" r:id="rId37"/>
    <sheet name="08-MLQ-TR1-SIN_HOR (ESCOLA)" sheetId="259" r:id="rId38"/>
    <sheet name="08-MLQ-TR1-SIN_VER (ESCOLA)" sheetId="260" r:id="rId39"/>
    <sheet name="08-MLQ-TR3-SIN_HOR" sheetId="246" r:id="rId40"/>
    <sheet name="08-MLQ-TR3-SIN_VER" sheetId="247" r:id="rId41"/>
    <sheet name="MLQ-LAB-TR1" sheetId="228" r:id="rId42"/>
    <sheet name="MLQ-LAB-TR3" sheetId="275" r:id="rId43"/>
    <sheet name="MLQ-DMT-TR1" sheetId="3" r:id="rId44"/>
    <sheet name="MLQ-DMT-TR3" sheetId="254" r:id="rId45"/>
    <sheet name="MLQ-PESP" sheetId="2" r:id="rId46"/>
    <sheet name="MLQ-ENS GEOT-TR1" sheetId="287" r:id="rId47"/>
    <sheet name="MLQ-ENS GEOT-TR3" sheetId="289" r:id="rId48"/>
    <sheet name="TR1-ESTUDO TRÁFEGO LEVE" sheetId="267" r:id="rId49"/>
    <sheet name="TR1-ESTUDO TRÁFEGO MÉDIO" sheetId="264" r:id="rId50"/>
    <sheet name="TR1-ESTUDO TRÁFEGO MEIO PESADO" sheetId="266" r:id="rId51"/>
    <sheet name="TR3-ESTUDO TRÁFEGO LEVE" sheetId="263" r:id="rId52"/>
    <sheet name="TR3-ESTUDO TRÁFEGO MÉDIO" sheetId="268" r:id="rId53"/>
  </sheets>
  <definedNames>
    <definedName name="_xlnm._FilterDatabase" localSheetId="3" hidden="1">'01-CO'!$A$7:$AI$112</definedName>
    <definedName name="_xlnm._FilterDatabase" localSheetId="4" hidden="1">'02-AL'!$D$7:$P$49</definedName>
    <definedName name="_xlnm._FilterDatabase" localSheetId="5" hidden="1">'03-SP'!$D$7:$P$57</definedName>
    <definedName name="_xlnm._FilterDatabase" localSheetId="6" hidden="1">'04-DR'!$D$7:$P$617</definedName>
    <definedName name="_xlnm._FilterDatabase" localSheetId="24" hidden="1">'04-MLQ-DR-TR1'!$A$9:$CU$324</definedName>
    <definedName name="_xlnm._FilterDatabase" localSheetId="26" hidden="1">'04-MLQ-DR-TR3'!$A$9:$CU$253</definedName>
    <definedName name="_xlnm._FilterDatabase" localSheetId="7" hidden="1">'05-TR'!$D$7:$P$36</definedName>
    <definedName name="_xlnm._FilterDatabase" localSheetId="31" hidden="1">'06-MLQ-TR1-TRePAV'!$A$5:$AB$140</definedName>
    <definedName name="_xlnm._FilterDatabase" localSheetId="32" hidden="1">'06-MLQ-TR3-TRePAV'!$A$4:$W$64</definedName>
    <definedName name="_xlnm._FilterDatabase" localSheetId="8" hidden="1">'06-PAV'!$D$7:$AC$154</definedName>
    <definedName name="_xlnm._FilterDatabase" localSheetId="9" hidden="1">'07-OAEeOAC'!$A$7:$AI$123</definedName>
    <definedName name="_xlnm._FilterDatabase" localSheetId="34" hidden="1">'07-OAE-MLQ'!$A$5:$D$117</definedName>
    <definedName name="_xlnm._FilterDatabase" localSheetId="10" hidden="1">'08-SIN'!$D$7:$Q$32</definedName>
    <definedName name="_xlnm._FilterDatabase" localSheetId="11" hidden="1">'09-URB'!$D$7:$W$40</definedName>
    <definedName name="_xlnm._FilterDatabase" localSheetId="13" hidden="1">'ABC-S'!$A$4:$X$270</definedName>
    <definedName name="_xlnm._FilterDatabase" localSheetId="14" hidden="1">'CA-PROJETO'!$A$4:$AM$1025</definedName>
    <definedName name="_xlnm._FilterDatabase" localSheetId="15" hidden="1">MCP!$A$4:$E$346</definedName>
    <definedName name="_Key1" localSheetId="3" hidden="1">#REF!</definedName>
    <definedName name="_Key1" localSheetId="4" hidden="1">#REF!</definedName>
    <definedName name="_Key1" localSheetId="5" hidden="1">#REF!</definedName>
    <definedName name="_Key1" localSheetId="6" hidden="1">#REF!</definedName>
    <definedName name="_Key1" localSheetId="24" hidden="1">#REF!</definedName>
    <definedName name="_Key1" localSheetId="2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4" hidden="1">#REF!</definedName>
    <definedName name="_Key1" localSheetId="12" hidden="1">#REF!</definedName>
    <definedName name="_Key1" localSheetId="15" hidden="1">#REF!</definedName>
    <definedName name="_Key1" localSheetId="21" hidden="1">#REF!</definedName>
    <definedName name="_Key1" hidden="1">#REF!</definedName>
    <definedName name="_Key2" localSheetId="3" hidden="1">#REF!</definedName>
    <definedName name="_Key2" localSheetId="4" hidden="1">#REF!</definedName>
    <definedName name="_Key2" localSheetId="5" hidden="1">#REF!</definedName>
    <definedName name="_Key2" localSheetId="6" hidden="1">#REF!</definedName>
    <definedName name="_Key2" localSheetId="24" hidden="1">#REF!</definedName>
    <definedName name="_Key2" localSheetId="26" hidden="1">#REF!</definedName>
    <definedName name="_Key2" localSheetId="7" hidden="1">#REF!</definedName>
    <definedName name="_Key2" localSheetId="8" hidden="1">#REF!</definedName>
    <definedName name="_Key2" localSheetId="9" hidden="1">#REF!</definedName>
    <definedName name="_Key2" localSheetId="10" hidden="1">#REF!</definedName>
    <definedName name="_Key2" localSheetId="11" hidden="1">#REF!</definedName>
    <definedName name="_Key2" localSheetId="14" hidden="1">#REF!</definedName>
    <definedName name="_Key2" localSheetId="12" hidden="1">#REF!</definedName>
    <definedName name="_Key2" localSheetId="15" hidden="1">#REF!</definedName>
    <definedName name="_Key2" localSheetId="21" hidden="1">#REF!</definedName>
    <definedName name="_Key2" hidden="1">#REF!</definedName>
    <definedName name="_Order1" hidden="1">255</definedName>
    <definedName name="_Order2" hidden="1">255</definedName>
    <definedName name="_Sort" localSheetId="3" hidden="1">#REF!</definedName>
    <definedName name="_Sort" localSheetId="4" hidden="1">#REF!</definedName>
    <definedName name="_Sort" localSheetId="5" hidden="1">#REF!</definedName>
    <definedName name="_Sort" localSheetId="6" hidden="1">#REF!</definedName>
    <definedName name="_Sort" localSheetId="24" hidden="1">#REF!</definedName>
    <definedName name="_Sort" localSheetId="2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4" hidden="1">#REF!</definedName>
    <definedName name="_Sort" localSheetId="12" hidden="1">#REF!</definedName>
    <definedName name="_Sort" localSheetId="15" hidden="1">#REF!</definedName>
    <definedName name="_Sort" localSheetId="21" hidden="1">#REF!</definedName>
    <definedName name="_Sort" hidden="1">#REF!</definedName>
    <definedName name="_xlnm.Print_Area" localSheetId="3">'01-CO'!$D$1:$M$122</definedName>
    <definedName name="_xlnm.Print_Area" localSheetId="22">'01-MLQ-CO-HII-TR3'!$A$1:$F$19</definedName>
    <definedName name="_xlnm.Print_Area" localSheetId="4">'02-AL'!$D$1:$M$52</definedName>
    <definedName name="_xlnm.Print_Area" localSheetId="5">'03-SP'!$D$1:$M$60</definedName>
    <definedName name="_xlnm.Print_Area" localSheetId="6">'04-DR'!$D$1:$M$620</definedName>
    <definedName name="_xlnm.Print_Area" localSheetId="23">'04-MLQ-CR-LAGOAS'!$A$1:$R$275</definedName>
    <definedName name="_xlnm.Print_Area" localSheetId="30">'04-MLQ-DR-TIPOL E DIMENS'!$A$1:$T$54</definedName>
    <definedName name="_xlnm.Print_Area" localSheetId="24">'04-MLQ-DR-TR1'!$A$1:$CE$388</definedName>
    <definedName name="_xlnm.Print_Area" localSheetId="29">'04-MLQ-DR-TR1 e TR3-BLQ'!$A$1:$E$18</definedName>
    <definedName name="_xlnm.Print_Area" localSheetId="25">'04-MLQ-DR-TR1-LD'!$A$1:$L$43</definedName>
    <definedName name="_xlnm.Print_Area" localSheetId="26">'04-MLQ-DR-TR3'!$A$1:$CE$317</definedName>
    <definedName name="_xlnm.Print_Area" localSheetId="27">'04-MLQ-DR-TR3-LD'!$A$1:$L$43</definedName>
    <definedName name="_xlnm.Print_Area" localSheetId="7">'05-TR'!$D$1:$M$39</definedName>
    <definedName name="_xlnm.Print_Area" localSheetId="31">'06-MLQ-TR1-TRePAV'!$A$1:$Q$140</definedName>
    <definedName name="_xlnm.Print_Area" localSheetId="32">'06-MLQ-TR3-TRePAV'!$A$1:$O$64</definedName>
    <definedName name="_xlnm.Print_Area" localSheetId="8">'06-PAV'!$D$1:$M$156</definedName>
    <definedName name="_xlnm.Print_Area" localSheetId="9">'07-OAEeOAC'!$D$1:$M$133</definedName>
    <definedName name="_xlnm.Print_Area" localSheetId="34">'07-OAE-MLQ'!$A$1:$D$117</definedName>
    <definedName name="_xlnm.Print_Area" localSheetId="35">'08-MLQ-TR1-SIN_HOR'!$A$1:$E$17</definedName>
    <definedName name="_xlnm.Print_Area" localSheetId="37">'08-MLQ-TR1-SIN_HOR (ESCOLA)'!$A$1:$E$12</definedName>
    <definedName name="_xlnm.Print_Area" localSheetId="39">'08-MLQ-TR3-SIN_HOR'!$A$1:$E$15</definedName>
    <definedName name="_xlnm.Print_Area" localSheetId="10">'08-SIN'!$D$1:$M$34</definedName>
    <definedName name="_xlnm.Print_Area" localSheetId="11">'09-URB'!$D$1:$M$42</definedName>
    <definedName name="_xlnm.Print_Area" localSheetId="13">'ABC-S'!$A$1:$H$275</definedName>
    <definedName name="_xlnm.Print_Area" localSheetId="17">'BDI obras CD'!$A$1:$I$40</definedName>
    <definedName name="_xlnm.Print_Area" localSheetId="16">'BDI obras SD'!$A$1:$I$40</definedName>
    <definedName name="_xlnm.Print_Area" localSheetId="19">'BDI-Difer CD'!$A$1:$I$40</definedName>
    <definedName name="_xlnm.Print_Area" localSheetId="18">'BDI-Difer SD'!$A$1:$I$40</definedName>
    <definedName name="_xlnm.Print_Area" localSheetId="14">'CA-PROJETO'!$B$1:$J$1031</definedName>
    <definedName name="_xlnm.Print_Area" localSheetId="12">'CFF-18M'!$A$1:$V$52</definedName>
    <definedName name="_xlnm.Print_Area" localSheetId="20">ES!$A$1:$K$56</definedName>
    <definedName name="_xlnm.Print_Area" localSheetId="15">MCP!$A$1:$N$349</definedName>
    <definedName name="_xlnm.Print_Area" localSheetId="21">'MLQ-CONS AFeEE'!$A$1:$H$36</definedName>
    <definedName name="_xlnm.Print_Area" localSheetId="43">'MLQ-DMT-TR1'!$A$1:$Q$27</definedName>
    <definedName name="_xlnm.Print_Area" localSheetId="44">'MLQ-DMT-TR3'!$A$1:$Q$27</definedName>
    <definedName name="_xlnm.Print_Area" localSheetId="46">'MLQ-ENS GEOT-TR1'!$A$1:$V$102</definedName>
    <definedName name="_xlnm.Print_Area" localSheetId="47">'MLQ-ENS GEOT-TR3'!$A$1:$V$54</definedName>
    <definedName name="_xlnm.Print_Area" localSheetId="41">'MLQ-LAB-TR1'!$A$1:$F$35</definedName>
    <definedName name="_xlnm.Print_Area" localSheetId="42">'MLQ-LAB-TR3'!$A$1:$F$35</definedName>
    <definedName name="_xlnm.Print_Area" localSheetId="45">'MLQ-PESP'!$A$1:$C$31</definedName>
    <definedName name="_xlnm.Print_Area" localSheetId="2">'PSP-RESUMO'!$A$1:$D$20</definedName>
    <definedName name="_xlnm.Print_Area" localSheetId="48">'TR1-ESTUDO TRÁFEGO LEVE'!$A$2:$I$68</definedName>
    <definedName name="_xlnm.Print_Area" localSheetId="49">'TR1-ESTUDO TRÁFEGO MÉDIO'!$A$2:$I$83</definedName>
    <definedName name="_xlnm.Print_Area" localSheetId="50">'TR1-ESTUDO TRÁFEGO MEIO PESADO'!$A$2:$I$95</definedName>
    <definedName name="_xlnm.Print_Area" localSheetId="51">'TR3-ESTUDO TRÁFEGO LEVE'!$A$2:$I$54</definedName>
    <definedName name="_xlnm.Print_Area" localSheetId="52">'TR3-ESTUDO TRÁFEGO MÉDIO'!$A$2:$I$83</definedName>
    <definedName name="BDI_SD_O_AC">'BDI obras SD'!$H$9</definedName>
    <definedName name="BDI_SD_O_COF">'BDI obras SD'!$H$15</definedName>
    <definedName name="BDI_SD_O_CPRB">'BDI obras SD'!$H$18</definedName>
    <definedName name="BDI_SD_O_DF">'BDI obras SD'!$H$12</definedName>
    <definedName name="BDI_SD_O_ISS">'BDI obras SD'!$H$17</definedName>
    <definedName name="BDI_SD_O_L">'BDI obras SD'!$H$21</definedName>
    <definedName name="BDI_SD_O_PIS">'BDI obras SD'!$H$16</definedName>
    <definedName name="BDI_SD_O_R">'BDI obras SD'!$H$11</definedName>
    <definedName name="BDI_SD_O_SG">'BDI obras SD'!$H$10</definedName>
    <definedName name="_xlnm.Print_Titles" localSheetId="3">'01-CO'!$1:$8</definedName>
    <definedName name="_xlnm.Print_Titles" localSheetId="22">'01-MLQ-CO-HII-TR3'!$1:$5</definedName>
    <definedName name="_xlnm.Print_Titles" localSheetId="4">'02-AL'!$1:$8</definedName>
    <definedName name="_xlnm.Print_Titles" localSheetId="5">'03-SP'!$1:$8</definedName>
    <definedName name="_xlnm.Print_Titles" localSheetId="6">'04-DR'!$1:$8</definedName>
    <definedName name="_xlnm.Print_Titles" localSheetId="23">'04-MLQ-CR-LAGOAS'!$1:$8</definedName>
    <definedName name="_xlnm.Print_Titles" localSheetId="30">'04-MLQ-DR-TIPOL E DIMENS'!$1:$2</definedName>
    <definedName name="_xlnm.Print_Titles" localSheetId="24">'04-MLQ-DR-TR1'!$A:$K,'04-MLQ-DR-TR1'!$1:$9</definedName>
    <definedName name="_xlnm.Print_Titles" localSheetId="25">'04-MLQ-DR-TR1-LD'!$1:$9</definedName>
    <definedName name="_xlnm.Print_Titles" localSheetId="26">'04-MLQ-DR-TR3'!$A:$K,'04-MLQ-DR-TR3'!$1:$9</definedName>
    <definedName name="_xlnm.Print_Titles" localSheetId="27">'04-MLQ-DR-TR3-LD'!$1:$9</definedName>
    <definedName name="_xlnm.Print_Titles" localSheetId="7">'05-TR'!$1:$8</definedName>
    <definedName name="_xlnm.Print_Titles" localSheetId="31">'06-MLQ-TR1-TRePAV'!$1:$8</definedName>
    <definedName name="_xlnm.Print_Titles" localSheetId="32">'06-MLQ-TR3-TRePAV'!$1:$7</definedName>
    <definedName name="_xlnm.Print_Titles" localSheetId="8">'06-PAV'!$1:$7</definedName>
    <definedName name="_xlnm.Print_Titles" localSheetId="9">'07-OAEeOAC'!$1:$8</definedName>
    <definedName name="_xlnm.Print_Titles" localSheetId="10">'08-SIN'!$1:$7</definedName>
    <definedName name="_xlnm.Print_Titles" localSheetId="11">'09-URB'!$1:$7</definedName>
    <definedName name="_xlnm.Print_Titles" localSheetId="13">'ABC-S'!$1:$5</definedName>
    <definedName name="_xlnm.Print_Titles" localSheetId="14">'CA-PROJETO'!$1:$5</definedName>
    <definedName name="_xlnm.Print_Titles" localSheetId="12">'CFF-18M'!$1:$6</definedName>
    <definedName name="_xlnm.Print_Titles" localSheetId="15">MCP!$1:$4</definedName>
    <definedName name="_xlnm.Print_Titles" localSheetId="21">'MLQ-CONS AFeEE'!$1:$7</definedName>
    <definedName name="_xlnm.Print_Titles" localSheetId="43">'MLQ-DMT-TR1'!$1:$6</definedName>
    <definedName name="_xlnm.Print_Titles" localSheetId="44">'MLQ-DMT-TR3'!$1:$6</definedName>
    <definedName name="_xlnm.Print_Titles" localSheetId="46">'MLQ-ENS GEOT-TR1'!$1:$1</definedName>
    <definedName name="_xlnm.Print_Titles" localSheetId="47">'MLQ-ENS GEOT-TR3'!$1:$1</definedName>
    <definedName name="_xlnm.Print_Titles" localSheetId="41">'MLQ-LAB-TR1'!$1:$2</definedName>
    <definedName name="_xlnm.Print_Titles" localSheetId="42">'MLQ-LAB-TR3'!$1:$2</definedName>
    <definedName name="_xlnm.Print_Titles" localSheetId="45">'MLQ-PESP'!$1:$3</definedName>
    <definedName name="_xlnm.Print_Titles" localSheetId="2">'PSP-RESUMO'!$1:$5</definedName>
    <definedName name="_xlnm.Print_Titles" localSheetId="48">'TR1-ESTUDO TRÁFEGO LEVE'!$2:$9</definedName>
    <definedName name="_xlnm.Print_Titles" localSheetId="49">'TR1-ESTUDO TRÁFEGO MÉDIO'!$2:$9</definedName>
    <definedName name="_xlnm.Print_Titles" localSheetId="50">'TR1-ESTUDO TRÁFEGO MEIO PESADO'!$2:$9</definedName>
    <definedName name="_xlnm.Print_Titles" localSheetId="51">'TR3-ESTUDO TRÁFEGO LEVE'!$2:$9</definedName>
    <definedName name="_xlnm.Print_Titles" localSheetId="52">'TR3-ESTUDO TRÁFEGO MÉDIO'!$2:$9</definedName>
    <definedName name="Z_555C9D8F_D7F7_44B9_9D62_56A79375B8AC_.wvu.FilterData" localSheetId="3" hidden="1">'01-CO'!$D$9:$I$112</definedName>
    <definedName name="Z_555C9D8F_D7F7_44B9_9D62_56A79375B8AC_.wvu.FilterData" localSheetId="4" hidden="1">'02-AL'!$D$9:$I$42</definedName>
    <definedName name="Z_555C9D8F_D7F7_44B9_9D62_56A79375B8AC_.wvu.FilterData" localSheetId="5" hidden="1">'03-SP'!$D$9:$I$50</definedName>
    <definedName name="Z_555C9D8F_D7F7_44B9_9D62_56A79375B8AC_.wvu.FilterData" localSheetId="6" hidden="1">'04-DR'!$D$9:$I$610</definedName>
    <definedName name="Z_555C9D8F_D7F7_44B9_9D62_56A79375B8AC_.wvu.FilterData" localSheetId="7" hidden="1">'05-TR'!$D$9:$I$29</definedName>
    <definedName name="Z_555C9D8F_D7F7_44B9_9D62_56A79375B8AC_.wvu.FilterData" localSheetId="8" hidden="1">'06-PAV'!$D$9:$I$144</definedName>
    <definedName name="Z_555C9D8F_D7F7_44B9_9D62_56A79375B8AC_.wvu.FilterData" localSheetId="9" hidden="1">'07-OAEeOAC'!$D$9:$I$123</definedName>
    <definedName name="Z_555C9D8F_D7F7_44B9_9D62_56A79375B8AC_.wvu.FilterData" localSheetId="10" hidden="1">'08-SIN'!$D$9:$I$22</definedName>
    <definedName name="Z_555C9D8F_D7F7_44B9_9D62_56A79375B8AC_.wvu.FilterData" localSheetId="11" hidden="1">'09-URB'!$D$9:$I$30</definedName>
    <definedName name="Z_555C9D8F_D7F7_44B9_9D62_56A79375B8AC_.wvu.PrintArea" localSheetId="3" hidden="1">'01-CO'!$D$9:$I$112</definedName>
    <definedName name="Z_555C9D8F_D7F7_44B9_9D62_56A79375B8AC_.wvu.PrintArea" localSheetId="4" hidden="1">'02-AL'!$D$9:$I$42</definedName>
    <definedName name="Z_555C9D8F_D7F7_44B9_9D62_56A79375B8AC_.wvu.PrintArea" localSheetId="5" hidden="1">'03-SP'!$D$9:$I$50</definedName>
    <definedName name="Z_555C9D8F_D7F7_44B9_9D62_56A79375B8AC_.wvu.PrintArea" localSheetId="6" hidden="1">'04-DR'!$D$9:$I$610</definedName>
    <definedName name="Z_555C9D8F_D7F7_44B9_9D62_56A79375B8AC_.wvu.PrintArea" localSheetId="7" hidden="1">'05-TR'!$D$9:$I$29</definedName>
    <definedName name="Z_555C9D8F_D7F7_44B9_9D62_56A79375B8AC_.wvu.PrintArea" localSheetId="8" hidden="1">'06-PAV'!$D$9:$I$144</definedName>
    <definedName name="Z_555C9D8F_D7F7_44B9_9D62_56A79375B8AC_.wvu.PrintArea" localSheetId="9" hidden="1">'07-OAEeOAC'!$D$9:$I$123</definedName>
    <definedName name="Z_555C9D8F_D7F7_44B9_9D62_56A79375B8AC_.wvu.PrintArea" localSheetId="10" hidden="1">'08-SIN'!$D$9:$I$22</definedName>
    <definedName name="Z_555C9D8F_D7F7_44B9_9D62_56A79375B8AC_.wvu.PrintArea" localSheetId="11" hidden="1">'09-URB'!$D$9:$I$30</definedName>
    <definedName name="Z_555C9D8F_D7F7_44B9_9D62_56A79375B8AC_.wvu.PrintTitles" localSheetId="3" hidden="1">'01-CO'!#REF!</definedName>
    <definedName name="Z_555C9D8F_D7F7_44B9_9D62_56A79375B8AC_.wvu.PrintTitles" localSheetId="4" hidden="1">'02-AL'!#REF!</definedName>
    <definedName name="Z_555C9D8F_D7F7_44B9_9D62_56A79375B8AC_.wvu.PrintTitles" localSheetId="5" hidden="1">'03-SP'!#REF!</definedName>
    <definedName name="Z_555C9D8F_D7F7_44B9_9D62_56A79375B8AC_.wvu.PrintTitles" localSheetId="6" hidden="1">'04-DR'!#REF!</definedName>
    <definedName name="Z_555C9D8F_D7F7_44B9_9D62_56A79375B8AC_.wvu.PrintTitles" localSheetId="7" hidden="1">'05-TR'!#REF!</definedName>
    <definedName name="Z_555C9D8F_D7F7_44B9_9D62_56A79375B8AC_.wvu.PrintTitles" localSheetId="8" hidden="1">'06-PAV'!#REF!</definedName>
    <definedName name="Z_555C9D8F_D7F7_44B9_9D62_56A79375B8AC_.wvu.PrintTitles" localSheetId="9" hidden="1">'07-OAEeOAC'!#REF!</definedName>
    <definedName name="Z_555C9D8F_D7F7_44B9_9D62_56A79375B8AC_.wvu.PrintTitles" localSheetId="10" hidden="1">'08-SIN'!#REF!</definedName>
    <definedName name="Z_555C9D8F_D7F7_44B9_9D62_56A79375B8AC_.wvu.PrintTitles" localSheetId="11" hidden="1">'09-URB'!#REF!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4" i="273" l="1"/>
  <c r="G812" i="44"/>
  <c r="G547" i="44"/>
  <c r="G565" i="44"/>
  <c r="G564" i="44"/>
  <c r="T563" i="44"/>
  <c r="T564" i="44" s="1"/>
  <c r="T565" i="44" l="1"/>
  <c r="S564" i="44"/>
  <c r="S563" i="44"/>
  <c r="I546" i="44"/>
  <c r="I545" i="44"/>
  <c r="I544" i="44"/>
  <c r="T541" i="44"/>
  <c r="T542" i="44" s="1"/>
  <c r="S565" i="44" l="1"/>
  <c r="T543" i="44"/>
  <c r="S542" i="44"/>
  <c r="S541" i="44"/>
  <c r="G539" i="44"/>
  <c r="G538" i="44"/>
  <c r="T544" i="44" l="1"/>
  <c r="S543" i="44"/>
  <c r="T545" i="44" l="1"/>
  <c r="S544" i="44"/>
  <c r="T546" i="44" l="1"/>
  <c r="S545" i="44"/>
  <c r="T547" i="44" l="1"/>
  <c r="S546" i="44"/>
  <c r="S547" i="44" l="1"/>
  <c r="T537" i="44"/>
  <c r="T538" i="44" s="1"/>
  <c r="T525" i="44"/>
  <c r="T526" i="44" s="1"/>
  <c r="T519" i="44"/>
  <c r="T520" i="44" s="1"/>
  <c r="T515" i="44"/>
  <c r="T516" i="44" s="1"/>
  <c r="T509" i="44"/>
  <c r="T510" i="44" s="1"/>
  <c r="T539" i="44" l="1"/>
  <c r="S538" i="44"/>
  <c r="S537" i="44"/>
  <c r="T527" i="44"/>
  <c r="S526" i="44"/>
  <c r="S525" i="44"/>
  <c r="T521" i="44"/>
  <c r="S520" i="44"/>
  <c r="S519" i="44"/>
  <c r="T517" i="44"/>
  <c r="S516" i="44"/>
  <c r="S515" i="44"/>
  <c r="T511" i="44"/>
  <c r="S510" i="44"/>
  <c r="S509" i="44"/>
  <c r="T540" i="44" l="1"/>
  <c r="S539" i="44"/>
  <c r="T528" i="44"/>
  <c r="S527" i="44"/>
  <c r="T522" i="44"/>
  <c r="S521" i="44"/>
  <c r="T518" i="44"/>
  <c r="S517" i="44"/>
  <c r="T512" i="44"/>
  <c r="S511" i="44"/>
  <c r="S540" i="44" l="1"/>
  <c r="T529" i="44"/>
  <c r="S528" i="44"/>
  <c r="T523" i="44"/>
  <c r="S522" i="44"/>
  <c r="S518" i="44"/>
  <c r="T513" i="44"/>
  <c r="S512" i="44"/>
  <c r="T530" i="44" l="1"/>
  <c r="S529" i="44"/>
  <c r="T524" i="44"/>
  <c r="S523" i="44"/>
  <c r="T514" i="44"/>
  <c r="S513" i="44"/>
  <c r="T717" i="44"/>
  <c r="G714" i="44"/>
  <c r="G713" i="44"/>
  <c r="G711" i="44"/>
  <c r="G712" i="44"/>
  <c r="T710" i="44"/>
  <c r="T711" i="44" s="1"/>
  <c r="T531" i="44" l="1"/>
  <c r="T532" i="44" s="1"/>
  <c r="S530" i="44"/>
  <c r="S524" i="44"/>
  <c r="S514" i="44"/>
  <c r="S710" i="44"/>
  <c r="T712" i="44"/>
  <c r="S711" i="44"/>
  <c r="AB124" i="128"/>
  <c r="Z124" i="128" s="1"/>
  <c r="Y124" i="128"/>
  <c r="W124" i="128" s="1"/>
  <c r="V124" i="128"/>
  <c r="T124" i="128" s="1"/>
  <c r="S124" i="128"/>
  <c r="Q124" i="128" s="1"/>
  <c r="G795" i="44"/>
  <c r="AK9" i="226"/>
  <c r="AK10" i="226"/>
  <c r="AK11" i="226"/>
  <c r="AK12" i="226"/>
  <c r="AK13" i="226"/>
  <c r="AK14" i="226"/>
  <c r="AK15" i="226"/>
  <c r="AK16" i="226"/>
  <c r="AK17" i="226"/>
  <c r="AK18" i="226"/>
  <c r="AK19" i="226"/>
  <c r="AK20" i="226"/>
  <c r="AK21" i="226"/>
  <c r="AK22" i="226"/>
  <c r="AK23" i="226"/>
  <c r="AK24" i="226"/>
  <c r="AK25" i="226"/>
  <c r="AK26" i="226"/>
  <c r="AK27" i="226"/>
  <c r="AK28" i="226"/>
  <c r="AK29" i="226"/>
  <c r="AK30" i="226"/>
  <c r="AK31" i="226"/>
  <c r="AK32" i="226"/>
  <c r="AK33" i="226"/>
  <c r="AK34" i="226"/>
  <c r="AK35" i="226"/>
  <c r="AK36" i="226"/>
  <c r="AK37" i="226"/>
  <c r="AK38" i="226"/>
  <c r="AK39" i="226"/>
  <c r="AK40" i="226"/>
  <c r="AK41" i="226"/>
  <c r="AK42" i="226"/>
  <c r="AK43" i="226"/>
  <c r="AK44" i="226"/>
  <c r="AK45" i="226"/>
  <c r="AK46" i="226"/>
  <c r="AK47" i="226"/>
  <c r="AK48" i="226"/>
  <c r="AK49" i="226"/>
  <c r="AK50" i="226"/>
  <c r="AK51" i="226"/>
  <c r="AK52" i="226"/>
  <c r="AK53" i="226"/>
  <c r="AK54" i="226"/>
  <c r="AK55" i="226"/>
  <c r="AK56" i="226"/>
  <c r="AK57" i="226"/>
  <c r="AK58" i="226"/>
  <c r="AK59" i="226"/>
  <c r="AK60" i="226"/>
  <c r="AK61" i="226"/>
  <c r="AK62" i="226"/>
  <c r="AK63" i="226"/>
  <c r="AK64" i="226"/>
  <c r="AK65" i="226"/>
  <c r="AK66" i="226"/>
  <c r="AK67" i="226"/>
  <c r="AK68" i="226"/>
  <c r="AK69" i="226"/>
  <c r="AK70" i="226"/>
  <c r="AK71" i="226"/>
  <c r="AK72" i="226"/>
  <c r="AK73" i="226"/>
  <c r="AK74" i="226"/>
  <c r="AK75" i="226"/>
  <c r="AK76" i="226"/>
  <c r="AK77" i="226"/>
  <c r="AK78" i="226"/>
  <c r="AK79" i="226"/>
  <c r="AK80" i="226"/>
  <c r="AK81" i="226"/>
  <c r="AK82" i="226"/>
  <c r="AK83" i="226"/>
  <c r="AK84" i="226"/>
  <c r="AK85" i="226"/>
  <c r="AK86" i="226"/>
  <c r="AK87" i="226"/>
  <c r="AK88" i="226"/>
  <c r="AK89" i="226"/>
  <c r="AK90" i="226"/>
  <c r="AK91" i="226"/>
  <c r="AK92" i="226"/>
  <c r="AK93" i="226"/>
  <c r="AK94" i="226"/>
  <c r="AK95" i="226"/>
  <c r="AK96" i="226"/>
  <c r="AK97" i="226"/>
  <c r="AK98" i="226"/>
  <c r="AK99" i="226"/>
  <c r="AK100" i="226"/>
  <c r="AK101" i="226"/>
  <c r="AK102" i="226"/>
  <c r="AK103" i="226"/>
  <c r="AK104" i="226"/>
  <c r="AK105" i="226"/>
  <c r="AK106" i="226"/>
  <c r="AK107" i="226"/>
  <c r="AK108" i="226"/>
  <c r="AK109" i="226"/>
  <c r="AK110" i="226"/>
  <c r="AK111" i="226"/>
  <c r="AK112" i="226"/>
  <c r="AK113" i="226"/>
  <c r="AK114" i="226"/>
  <c r="AK115" i="226"/>
  <c r="AK116" i="226"/>
  <c r="AK117" i="226"/>
  <c r="AK118" i="226"/>
  <c r="AK119" i="226"/>
  <c r="AK120" i="226"/>
  <c r="AK121" i="226"/>
  <c r="AK122" i="226"/>
  <c r="AK123" i="226"/>
  <c r="AK124" i="226"/>
  <c r="AK125" i="226"/>
  <c r="AK126" i="226"/>
  <c r="AK127" i="226"/>
  <c r="AK128" i="226"/>
  <c r="AK129" i="226"/>
  <c r="AK130" i="226"/>
  <c r="AK131" i="226"/>
  <c r="AK132" i="226"/>
  <c r="AK133" i="226"/>
  <c r="AK134" i="226"/>
  <c r="AK135" i="226"/>
  <c r="AK136" i="226"/>
  <c r="AK137" i="226"/>
  <c r="AK138" i="226"/>
  <c r="AK139" i="226"/>
  <c r="AK140" i="226"/>
  <c r="AK141" i="226"/>
  <c r="AK142" i="226"/>
  <c r="AK143" i="226"/>
  <c r="AK144" i="226"/>
  <c r="AK145" i="226"/>
  <c r="AK146" i="226"/>
  <c r="AK147" i="226"/>
  <c r="AK148" i="226"/>
  <c r="AK149" i="226"/>
  <c r="AK150" i="226"/>
  <c r="AK151" i="226"/>
  <c r="AK152" i="226"/>
  <c r="AK153" i="226"/>
  <c r="AK154" i="226"/>
  <c r="AK155" i="226"/>
  <c r="AK156" i="226"/>
  <c r="AK157" i="226"/>
  <c r="AK158" i="226"/>
  <c r="AK159" i="226"/>
  <c r="AK160" i="226"/>
  <c r="AK161" i="226"/>
  <c r="AK162" i="226"/>
  <c r="AK163" i="226"/>
  <c r="AK164" i="226"/>
  <c r="AK165" i="226"/>
  <c r="AK166" i="226"/>
  <c r="AK167" i="226"/>
  <c r="AK168" i="226"/>
  <c r="AK169" i="226"/>
  <c r="AK170" i="226"/>
  <c r="AK171" i="226"/>
  <c r="AK172" i="226"/>
  <c r="AK173" i="226"/>
  <c r="AK174" i="226"/>
  <c r="AK175" i="226"/>
  <c r="AK176" i="226"/>
  <c r="AK177" i="226"/>
  <c r="AK178" i="226"/>
  <c r="AK179" i="226"/>
  <c r="AK180" i="226"/>
  <c r="AK181" i="226"/>
  <c r="AK182" i="226"/>
  <c r="AK183" i="226"/>
  <c r="AK184" i="226"/>
  <c r="AK185" i="226"/>
  <c r="AK186" i="226"/>
  <c r="AK187" i="226"/>
  <c r="AK188" i="226"/>
  <c r="AK189" i="226"/>
  <c r="AK190" i="226"/>
  <c r="AK191" i="226"/>
  <c r="AK192" i="226"/>
  <c r="AK193" i="226"/>
  <c r="AK194" i="226"/>
  <c r="AK195" i="226"/>
  <c r="AK196" i="226"/>
  <c r="AK197" i="226"/>
  <c r="AK198" i="226"/>
  <c r="AK199" i="226"/>
  <c r="AK200" i="226"/>
  <c r="AK201" i="226"/>
  <c r="AK202" i="226"/>
  <c r="AK203" i="226"/>
  <c r="AK204" i="226"/>
  <c r="AK205" i="226"/>
  <c r="AK206" i="226"/>
  <c r="AK207" i="226"/>
  <c r="AK208" i="226"/>
  <c r="AK209" i="226"/>
  <c r="AK210" i="226"/>
  <c r="AK211" i="226"/>
  <c r="AK212" i="226"/>
  <c r="AK213" i="226"/>
  <c r="AK214" i="226"/>
  <c r="AK215" i="226"/>
  <c r="AK216" i="226"/>
  <c r="AK217" i="226"/>
  <c r="AK218" i="226"/>
  <c r="AK219" i="226"/>
  <c r="AK220" i="226"/>
  <c r="AK221" i="226"/>
  <c r="AK222" i="226"/>
  <c r="AK223" i="226"/>
  <c r="AK224" i="226"/>
  <c r="AK225" i="226"/>
  <c r="AK226" i="226"/>
  <c r="AK227" i="226"/>
  <c r="AK228" i="226"/>
  <c r="AK229" i="226"/>
  <c r="AK230" i="226"/>
  <c r="AK231" i="226"/>
  <c r="AK232" i="226"/>
  <c r="AK233" i="226"/>
  <c r="AK234" i="226"/>
  <c r="AK235" i="226"/>
  <c r="AK236" i="226"/>
  <c r="AK237" i="226"/>
  <c r="AK238" i="226"/>
  <c r="AK239" i="226"/>
  <c r="AK240" i="226"/>
  <c r="AK241" i="226"/>
  <c r="AK242" i="226"/>
  <c r="AK243" i="226"/>
  <c r="AK244" i="226"/>
  <c r="AK245" i="226"/>
  <c r="AK246" i="226"/>
  <c r="AK247" i="226"/>
  <c r="AK248" i="226"/>
  <c r="AK249" i="226"/>
  <c r="AK250" i="226"/>
  <c r="AK251" i="226"/>
  <c r="AK252" i="226"/>
  <c r="AK253" i="226"/>
  <c r="AK254" i="226"/>
  <c r="AK255" i="226"/>
  <c r="AK256" i="226"/>
  <c r="AK257" i="226"/>
  <c r="AK258" i="226"/>
  <c r="AK259" i="226"/>
  <c r="AK260" i="226"/>
  <c r="AK261" i="226"/>
  <c r="AK262" i="226"/>
  <c r="AK263" i="226"/>
  <c r="AK264" i="226"/>
  <c r="AK265" i="226"/>
  <c r="AK266" i="226"/>
  <c r="AK267" i="226"/>
  <c r="AK268" i="226"/>
  <c r="AK269" i="226"/>
  <c r="AK270" i="226"/>
  <c r="AK271" i="226"/>
  <c r="AK272" i="226"/>
  <c r="AK273" i="226"/>
  <c r="AK274" i="226"/>
  <c r="AK275" i="226"/>
  <c r="AK276" i="226"/>
  <c r="AK277" i="226"/>
  <c r="AK278" i="226"/>
  <c r="AK279" i="226"/>
  <c r="AK280" i="226"/>
  <c r="AK281" i="226"/>
  <c r="AK282" i="226"/>
  <c r="AK283" i="226"/>
  <c r="AK284" i="226"/>
  <c r="AK285" i="226"/>
  <c r="AK286" i="226"/>
  <c r="AK287" i="226"/>
  <c r="AK288" i="226"/>
  <c r="AK289" i="226"/>
  <c r="AK290" i="226"/>
  <c r="AK291" i="226"/>
  <c r="AK292" i="226"/>
  <c r="AK293" i="226"/>
  <c r="AK294" i="226"/>
  <c r="AK295" i="226"/>
  <c r="AK296" i="226"/>
  <c r="AK297" i="226"/>
  <c r="AK298" i="226"/>
  <c r="AK299" i="226"/>
  <c r="AK300" i="226"/>
  <c r="AK301" i="226"/>
  <c r="AK302" i="226"/>
  <c r="AK303" i="226"/>
  <c r="AK304" i="226"/>
  <c r="AK305" i="226"/>
  <c r="AK306" i="226"/>
  <c r="AK307" i="226"/>
  <c r="AK308" i="226"/>
  <c r="AK309" i="226"/>
  <c r="AK310" i="226"/>
  <c r="AK311" i="226"/>
  <c r="AK312" i="226"/>
  <c r="AK313" i="226"/>
  <c r="AK314" i="226"/>
  <c r="AK315" i="226"/>
  <c r="AK316" i="226"/>
  <c r="AK317" i="226"/>
  <c r="AK318" i="226"/>
  <c r="AK319" i="226"/>
  <c r="AK320" i="226"/>
  <c r="AK321" i="226"/>
  <c r="AK322" i="226"/>
  <c r="AK323" i="226"/>
  <c r="AK324" i="226"/>
  <c r="AK325" i="226"/>
  <c r="AK326" i="226"/>
  <c r="AK327" i="226"/>
  <c r="AK328" i="226"/>
  <c r="AK329" i="226"/>
  <c r="AK330" i="226"/>
  <c r="AK331" i="226"/>
  <c r="AK332" i="226"/>
  <c r="AK333" i="226"/>
  <c r="AK334" i="226"/>
  <c r="AK335" i="226"/>
  <c r="AK336" i="226"/>
  <c r="AK337" i="226"/>
  <c r="AK338" i="226"/>
  <c r="AK339" i="226"/>
  <c r="AK340" i="226"/>
  <c r="AK341" i="226"/>
  <c r="AK342" i="226"/>
  <c r="AK343" i="226"/>
  <c r="AK344" i="226"/>
  <c r="AK345" i="226"/>
  <c r="AK346" i="226"/>
  <c r="AK347" i="226"/>
  <c r="AK348" i="226"/>
  <c r="AK349" i="226"/>
  <c r="AK350" i="226"/>
  <c r="AK351" i="226"/>
  <c r="AK352" i="226"/>
  <c r="AK353" i="226"/>
  <c r="AK354" i="226"/>
  <c r="AK355" i="226"/>
  <c r="AK356" i="226"/>
  <c r="AK357" i="226"/>
  <c r="AK358" i="226"/>
  <c r="AK359" i="226"/>
  <c r="AK360" i="226"/>
  <c r="AK361" i="226"/>
  <c r="AK362" i="226"/>
  <c r="AK363" i="226"/>
  <c r="AK364" i="226"/>
  <c r="AK365" i="226"/>
  <c r="AK366" i="226"/>
  <c r="AK367" i="226"/>
  <c r="AK368" i="226"/>
  <c r="AK369" i="226"/>
  <c r="AK370" i="226"/>
  <c r="AK371" i="226"/>
  <c r="AK372" i="226"/>
  <c r="AK373" i="226"/>
  <c r="AK374" i="226"/>
  <c r="AK375" i="226"/>
  <c r="AK376" i="226"/>
  <c r="AK377" i="226"/>
  <c r="AK378" i="226"/>
  <c r="AK379" i="226"/>
  <c r="AK380" i="226"/>
  <c r="AK381" i="226"/>
  <c r="AK382" i="226"/>
  <c r="AK383" i="226"/>
  <c r="AK384" i="226"/>
  <c r="AK385" i="226"/>
  <c r="AK386" i="226"/>
  <c r="AK387" i="226"/>
  <c r="AK388" i="226"/>
  <c r="AK389" i="226"/>
  <c r="AK390" i="226"/>
  <c r="AK391" i="226"/>
  <c r="AK392" i="226"/>
  <c r="AK393" i="226"/>
  <c r="AK394" i="226"/>
  <c r="AK395" i="226"/>
  <c r="AK396" i="226"/>
  <c r="AK397" i="226"/>
  <c r="AK398" i="226"/>
  <c r="AK399" i="226"/>
  <c r="AK400" i="226"/>
  <c r="AK401" i="226"/>
  <c r="AK402" i="226"/>
  <c r="AK403" i="226"/>
  <c r="AK404" i="226"/>
  <c r="AK405" i="226"/>
  <c r="AK406" i="226"/>
  <c r="AK407" i="226"/>
  <c r="AK408" i="226"/>
  <c r="AK409" i="226"/>
  <c r="AK410" i="226"/>
  <c r="AK411" i="226"/>
  <c r="AK412" i="226"/>
  <c r="AK413" i="226"/>
  <c r="AK414" i="226"/>
  <c r="AK415" i="226"/>
  <c r="AK416" i="226"/>
  <c r="AK417" i="226"/>
  <c r="AK418" i="226"/>
  <c r="AK419" i="226"/>
  <c r="AK420" i="226"/>
  <c r="AK421" i="226"/>
  <c r="AK422" i="226"/>
  <c r="AK423" i="226"/>
  <c r="AK424" i="226"/>
  <c r="AK425" i="226"/>
  <c r="AK426" i="226"/>
  <c r="AK427" i="226"/>
  <c r="AK428" i="226"/>
  <c r="AK429" i="226"/>
  <c r="AK430" i="226"/>
  <c r="AK431" i="226"/>
  <c r="AK432" i="226"/>
  <c r="AK433" i="226"/>
  <c r="AK434" i="226"/>
  <c r="AK435" i="226"/>
  <c r="AK436" i="226"/>
  <c r="AK437" i="226"/>
  <c r="AK438" i="226"/>
  <c r="AK439" i="226"/>
  <c r="AK440" i="226"/>
  <c r="AK441" i="226"/>
  <c r="AK442" i="226"/>
  <c r="AK443" i="226"/>
  <c r="AK444" i="226"/>
  <c r="AK445" i="226"/>
  <c r="AK446" i="226"/>
  <c r="AK447" i="226"/>
  <c r="AK448" i="226"/>
  <c r="AK449" i="226"/>
  <c r="AK450" i="226"/>
  <c r="AK451" i="226"/>
  <c r="AK452" i="226"/>
  <c r="AK453" i="226"/>
  <c r="AK454" i="226"/>
  <c r="AK455" i="226"/>
  <c r="AK456" i="226"/>
  <c r="AK457" i="226"/>
  <c r="AK458" i="226"/>
  <c r="AK459" i="226"/>
  <c r="AK460" i="226"/>
  <c r="AK461" i="226"/>
  <c r="AK462" i="226"/>
  <c r="AK463" i="226"/>
  <c r="AK464" i="226"/>
  <c r="AK465" i="226"/>
  <c r="AK466" i="226"/>
  <c r="AK467" i="226"/>
  <c r="AK468" i="226"/>
  <c r="AK469" i="226"/>
  <c r="AK470" i="226"/>
  <c r="AK471" i="226"/>
  <c r="AK472" i="226"/>
  <c r="AK473" i="226"/>
  <c r="AK474" i="226"/>
  <c r="AK475" i="226"/>
  <c r="AK476" i="226"/>
  <c r="AK477" i="226"/>
  <c r="AK478" i="226"/>
  <c r="AK479" i="226"/>
  <c r="AK480" i="226"/>
  <c r="AK481" i="226"/>
  <c r="AK482" i="226"/>
  <c r="AK483" i="226"/>
  <c r="AK484" i="226"/>
  <c r="AK485" i="226"/>
  <c r="AK486" i="226"/>
  <c r="AK487" i="226"/>
  <c r="AK488" i="226"/>
  <c r="AK489" i="226"/>
  <c r="AK490" i="226"/>
  <c r="AK491" i="226"/>
  <c r="AK492" i="226"/>
  <c r="AK493" i="226"/>
  <c r="AK494" i="226"/>
  <c r="AK495" i="226"/>
  <c r="AK496" i="226"/>
  <c r="AK497" i="226"/>
  <c r="AK498" i="226"/>
  <c r="AK499" i="226"/>
  <c r="AK500" i="226"/>
  <c r="AK501" i="226"/>
  <c r="AK502" i="226"/>
  <c r="AK503" i="226"/>
  <c r="AK504" i="226"/>
  <c r="AK505" i="226"/>
  <c r="AK506" i="226"/>
  <c r="AK507" i="226"/>
  <c r="AK508" i="226"/>
  <c r="AK509" i="226"/>
  <c r="AK510" i="226"/>
  <c r="AK511" i="226"/>
  <c r="AK512" i="226"/>
  <c r="AK513" i="226"/>
  <c r="AK514" i="226"/>
  <c r="AK515" i="226"/>
  <c r="AK516" i="226"/>
  <c r="AK517" i="226"/>
  <c r="AK518" i="226"/>
  <c r="AK519" i="226"/>
  <c r="AK520" i="226"/>
  <c r="AK521" i="226"/>
  <c r="AK522" i="226"/>
  <c r="AK523" i="226"/>
  <c r="AK524" i="226"/>
  <c r="AK525" i="226"/>
  <c r="AK526" i="226"/>
  <c r="AK527" i="226"/>
  <c r="AK528" i="226"/>
  <c r="AK529" i="226"/>
  <c r="AK530" i="226"/>
  <c r="AK531" i="226"/>
  <c r="AK532" i="226"/>
  <c r="AK533" i="226"/>
  <c r="AK534" i="226"/>
  <c r="AK535" i="226"/>
  <c r="AK536" i="226"/>
  <c r="AK537" i="226"/>
  <c r="AK538" i="226"/>
  <c r="AK539" i="226"/>
  <c r="AK540" i="226"/>
  <c r="AK541" i="226"/>
  <c r="AK542" i="226"/>
  <c r="AK543" i="226"/>
  <c r="AK544" i="226"/>
  <c r="AK545" i="226"/>
  <c r="AK546" i="226"/>
  <c r="AK547" i="226"/>
  <c r="AK548" i="226"/>
  <c r="AK549" i="226"/>
  <c r="AK550" i="226"/>
  <c r="AK551" i="226"/>
  <c r="AK552" i="226"/>
  <c r="AK553" i="226"/>
  <c r="AK554" i="226"/>
  <c r="AK555" i="226"/>
  <c r="AK556" i="226"/>
  <c r="AK557" i="226"/>
  <c r="AK558" i="226"/>
  <c r="AK559" i="226"/>
  <c r="AK560" i="226"/>
  <c r="AK561" i="226"/>
  <c r="AK562" i="226"/>
  <c r="AK563" i="226"/>
  <c r="AK564" i="226"/>
  <c r="AK565" i="226"/>
  <c r="AK566" i="226"/>
  <c r="AK567" i="226"/>
  <c r="AK568" i="226"/>
  <c r="AK569" i="226"/>
  <c r="AK570" i="226"/>
  <c r="AK571" i="226"/>
  <c r="AK572" i="226"/>
  <c r="AK573" i="226"/>
  <c r="AK574" i="226"/>
  <c r="AK575" i="226"/>
  <c r="AK576" i="226"/>
  <c r="AK577" i="226"/>
  <c r="AK578" i="226"/>
  <c r="AK579" i="226"/>
  <c r="AK580" i="226"/>
  <c r="AK581" i="226"/>
  <c r="AK582" i="226"/>
  <c r="AK583" i="226"/>
  <c r="AK584" i="226"/>
  <c r="AK585" i="226"/>
  <c r="AK586" i="226"/>
  <c r="AK587" i="226"/>
  <c r="AK588" i="226"/>
  <c r="AK589" i="226"/>
  <c r="AK590" i="226"/>
  <c r="AK591" i="226"/>
  <c r="AK592" i="226"/>
  <c r="AK593" i="226"/>
  <c r="AK594" i="226"/>
  <c r="AK595" i="226"/>
  <c r="AK596" i="226"/>
  <c r="AK597" i="226"/>
  <c r="AK598" i="226"/>
  <c r="AK599" i="226"/>
  <c r="AK600" i="226"/>
  <c r="AK601" i="226"/>
  <c r="AK602" i="226"/>
  <c r="AK603" i="226"/>
  <c r="AK604" i="226"/>
  <c r="AK605" i="226"/>
  <c r="AK606" i="226"/>
  <c r="AK607" i="226"/>
  <c r="AK608" i="226"/>
  <c r="AK609" i="226"/>
  <c r="AK610" i="226"/>
  <c r="AA84" i="128"/>
  <c r="Z84" i="128"/>
  <c r="X84" i="128"/>
  <c r="U84" i="128"/>
  <c r="T84" i="128"/>
  <c r="S84" i="128"/>
  <c r="R84" i="128"/>
  <c r="AA83" i="128"/>
  <c r="Z83" i="128" s="1"/>
  <c r="X83" i="128"/>
  <c r="U83" i="128"/>
  <c r="T83" i="128" s="1"/>
  <c r="S83" i="128"/>
  <c r="Q83" i="128" s="1"/>
  <c r="R83" i="128"/>
  <c r="S36" i="128"/>
  <c r="S35" i="128"/>
  <c r="AA35" i="128"/>
  <c r="Z35" i="128" s="1"/>
  <c r="AA36" i="128"/>
  <c r="Z36" i="128" s="1"/>
  <c r="X35" i="128"/>
  <c r="X36" i="128"/>
  <c r="U35" i="128"/>
  <c r="U36" i="128"/>
  <c r="R35" i="128"/>
  <c r="R36" i="128"/>
  <c r="W84" i="128"/>
  <c r="G473" i="44"/>
  <c r="T467" i="44"/>
  <c r="T533" i="44" l="1"/>
  <c r="S533" i="44" s="1"/>
  <c r="S532" i="44"/>
  <c r="T534" i="44"/>
  <c r="S531" i="44"/>
  <c r="T713" i="44"/>
  <c r="S712" i="44"/>
  <c r="I124" i="128"/>
  <c r="Q35" i="128"/>
  <c r="Q36" i="128"/>
  <c r="Q84" i="128"/>
  <c r="I84" i="128" s="1"/>
  <c r="W35" i="128"/>
  <c r="W36" i="128"/>
  <c r="I36" i="128" s="1"/>
  <c r="T35" i="128"/>
  <c r="T36" i="128"/>
  <c r="W83" i="128"/>
  <c r="I83" i="128" s="1"/>
  <c r="T468" i="44"/>
  <c r="S468" i="44" s="1"/>
  <c r="S467" i="44"/>
  <c r="T64" i="44"/>
  <c r="S49" i="128"/>
  <c r="S50" i="128"/>
  <c r="Y501" i="226"/>
  <c r="V501" i="226"/>
  <c r="L498" i="226"/>
  <c r="I498" i="226"/>
  <c r="K484" i="226"/>
  <c r="I484" i="226"/>
  <c r="I35" i="128" l="1"/>
  <c r="T535" i="44"/>
  <c r="S534" i="44"/>
  <c r="S713" i="44"/>
  <c r="T714" i="44"/>
  <c r="T469" i="44"/>
  <c r="S469" i="44" s="1"/>
  <c r="T65" i="44"/>
  <c r="S65" i="44" s="1"/>
  <c r="S64" i="44"/>
  <c r="L484" i="226"/>
  <c r="M484" i="226" s="1"/>
  <c r="K498" i="226"/>
  <c r="M498" i="226"/>
  <c r="T536" i="44" l="1"/>
  <c r="S536" i="44" s="1"/>
  <c r="S535" i="44"/>
  <c r="S714" i="44"/>
  <c r="T715" i="44"/>
  <c r="T716" i="44" s="1"/>
  <c r="AI124" i="128"/>
  <c r="T470" i="44"/>
  <c r="S470" i="44" s="1"/>
  <c r="AI83" i="128"/>
  <c r="AI84" i="128"/>
  <c r="AI36" i="128"/>
  <c r="AI498" i="226"/>
  <c r="AI35" i="128"/>
  <c r="AI484" i="226"/>
  <c r="AI502" i="226"/>
  <c r="AI483" i="226"/>
  <c r="S715" i="44" l="1"/>
  <c r="T471" i="44"/>
  <c r="S471" i="44" s="1"/>
  <c r="S716" i="44" l="1"/>
  <c r="T472" i="44"/>
  <c r="S472" i="44" s="1"/>
  <c r="T473" i="44" l="1"/>
  <c r="S473" i="44" s="1"/>
  <c r="T474" i="44"/>
  <c r="S474" i="44" s="1"/>
  <c r="A9" i="241"/>
  <c r="T475" i="44" l="1"/>
  <c r="S475" i="44" s="1"/>
  <c r="W53" i="240"/>
  <c r="Y28" i="226"/>
  <c r="V28" i="226"/>
  <c r="L25" i="226"/>
  <c r="I25" i="226"/>
  <c r="L19" i="226"/>
  <c r="I19" i="226"/>
  <c r="K22" i="226"/>
  <c r="I22" i="226"/>
  <c r="A6" i="288"/>
  <c r="A7" i="288"/>
  <c r="A8" i="288"/>
  <c r="A9" i="288"/>
  <c r="A10" i="288"/>
  <c r="A11" i="288"/>
  <c r="A12" i="288"/>
  <c r="A13" i="288"/>
  <c r="A14" i="288"/>
  <c r="F4" i="288"/>
  <c r="C3" i="288"/>
  <c r="B3" i="288"/>
  <c r="B4" i="288"/>
  <c r="T6" i="44"/>
  <c r="T19" i="44"/>
  <c r="T25" i="44"/>
  <c r="T27" i="44"/>
  <c r="T33" i="44"/>
  <c r="T39" i="44"/>
  <c r="T45" i="44"/>
  <c r="T51" i="44"/>
  <c r="T55" i="44"/>
  <c r="T58" i="44"/>
  <c r="T60" i="44"/>
  <c r="T62" i="44"/>
  <c r="T66" i="44"/>
  <c r="T75" i="44"/>
  <c r="T81" i="44"/>
  <c r="T83" i="44"/>
  <c r="T85" i="44"/>
  <c r="T87" i="44"/>
  <c r="T89" i="44"/>
  <c r="T92" i="44"/>
  <c r="T94" i="44"/>
  <c r="T96" i="44"/>
  <c r="T101" i="44"/>
  <c r="T106" i="44"/>
  <c r="T109" i="44"/>
  <c r="T111" i="44"/>
  <c r="T113" i="44"/>
  <c r="T116" i="44"/>
  <c r="T127" i="44"/>
  <c r="T133" i="44"/>
  <c r="T139" i="44"/>
  <c r="T143" i="44"/>
  <c r="T150" i="44"/>
  <c r="T156" i="44"/>
  <c r="T161" i="44"/>
  <c r="T168" i="44"/>
  <c r="T175" i="44"/>
  <c r="T182" i="44"/>
  <c r="T189" i="44"/>
  <c r="T196" i="44"/>
  <c r="T208" i="44"/>
  <c r="T210" i="44"/>
  <c r="T221" i="44"/>
  <c r="T232" i="44"/>
  <c r="T243" i="44"/>
  <c r="T254" i="44"/>
  <c r="T256" i="44"/>
  <c r="T258" i="44"/>
  <c r="T260" i="44"/>
  <c r="T262" i="44"/>
  <c r="T264" i="44"/>
  <c r="T266" i="44"/>
  <c r="T268" i="44"/>
  <c r="T270" i="44"/>
  <c r="T272" i="44"/>
  <c r="T274" i="44"/>
  <c r="T276" i="44"/>
  <c r="T278" i="44"/>
  <c r="T280" i="44"/>
  <c r="T282" i="44"/>
  <c r="T284" i="44"/>
  <c r="T286" i="44"/>
  <c r="T288" i="44"/>
  <c r="T290" i="44"/>
  <c r="T292" i="44"/>
  <c r="T303" i="44"/>
  <c r="T314" i="44"/>
  <c r="T326" i="44"/>
  <c r="T339" i="44"/>
  <c r="T352" i="44"/>
  <c r="T358" i="44"/>
  <c r="T364" i="44"/>
  <c r="T370" i="44"/>
  <c r="T376" i="44"/>
  <c r="T382" i="44"/>
  <c r="T391" i="44"/>
  <c r="T400" i="44"/>
  <c r="T412" i="44"/>
  <c r="T421" i="44"/>
  <c r="T425" i="44"/>
  <c r="T432" i="44"/>
  <c r="T435" i="44"/>
  <c r="T442" i="44"/>
  <c r="T452" i="44"/>
  <c r="T480" i="44"/>
  <c r="T489" i="44"/>
  <c r="T499" i="44"/>
  <c r="T548" i="44"/>
  <c r="T566" i="44"/>
  <c r="T574" i="44"/>
  <c r="T603" i="44"/>
  <c r="T610" i="44"/>
  <c r="T612" i="44"/>
  <c r="T621" i="44"/>
  <c r="T626" i="44"/>
  <c r="T636" i="44"/>
  <c r="T646" i="44"/>
  <c r="T659" i="44"/>
  <c r="T672" i="44"/>
  <c r="T680" i="44"/>
  <c r="T688" i="44"/>
  <c r="T702" i="44"/>
  <c r="T721" i="44"/>
  <c r="T733" i="44"/>
  <c r="T741" i="44"/>
  <c r="T752" i="44"/>
  <c r="T761" i="44"/>
  <c r="T772" i="44"/>
  <c r="T780" i="44"/>
  <c r="T798" i="44"/>
  <c r="T801" i="44"/>
  <c r="T805" i="44"/>
  <c r="T809" i="44"/>
  <c r="T825" i="44"/>
  <c r="T830" i="44"/>
  <c r="T835" i="44"/>
  <c r="T840" i="44"/>
  <c r="T842" i="44"/>
  <c r="T850" i="44"/>
  <c r="T852" i="44"/>
  <c r="T856" i="44"/>
  <c r="T860" i="44"/>
  <c r="T862" i="44"/>
  <c r="T864" i="44"/>
  <c r="T866" i="44"/>
  <c r="T868" i="44"/>
  <c r="T871" i="44"/>
  <c r="T873" i="44"/>
  <c r="T875" i="44"/>
  <c r="T877" i="44"/>
  <c r="T879" i="44"/>
  <c r="T881" i="44"/>
  <c r="T883" i="44"/>
  <c r="T885" i="44"/>
  <c r="T887" i="44"/>
  <c r="T889" i="44"/>
  <c r="T891" i="44"/>
  <c r="T893" i="44"/>
  <c r="T903" i="44"/>
  <c r="T911" i="44"/>
  <c r="T916" i="44"/>
  <c r="T918" i="44"/>
  <c r="T920" i="44"/>
  <c r="T922" i="44"/>
  <c r="T924" i="44"/>
  <c r="T926" i="44"/>
  <c r="T928" i="44"/>
  <c r="T930" i="44"/>
  <c r="T932" i="44"/>
  <c r="T934" i="44"/>
  <c r="T938" i="44"/>
  <c r="T942" i="44"/>
  <c r="T946" i="44"/>
  <c r="T949" i="44"/>
  <c r="T952" i="44"/>
  <c r="T955" i="44"/>
  <c r="T957" i="44"/>
  <c r="T959" i="44"/>
  <c r="T961" i="44"/>
  <c r="T963" i="44"/>
  <c r="T965" i="44"/>
  <c r="T969" i="44"/>
  <c r="T973" i="44"/>
  <c r="T975" i="44"/>
  <c r="T979" i="44"/>
  <c r="T987" i="44"/>
  <c r="T997" i="44"/>
  <c r="T476" i="44" l="1"/>
  <c r="S476" i="44" s="1"/>
  <c r="T962" i="44"/>
  <c r="S962" i="44" s="1"/>
  <c r="S961" i="44"/>
  <c r="T960" i="44"/>
  <c r="S960" i="44" s="1"/>
  <c r="S959" i="44"/>
  <c r="T950" i="44"/>
  <c r="S949" i="44"/>
  <c r="T935" i="44"/>
  <c r="S934" i="44"/>
  <c r="T927" i="44"/>
  <c r="S927" i="44" s="1"/>
  <c r="S926" i="44"/>
  <c r="T919" i="44"/>
  <c r="S919" i="44" s="1"/>
  <c r="S918" i="44"/>
  <c r="T894" i="44"/>
  <c r="S893" i="44"/>
  <c r="T886" i="44"/>
  <c r="S886" i="44" s="1"/>
  <c r="S885" i="44"/>
  <c r="T878" i="44"/>
  <c r="S878" i="44" s="1"/>
  <c r="S877" i="44"/>
  <c r="T869" i="44"/>
  <c r="S868" i="44"/>
  <c r="T861" i="44"/>
  <c r="S861" i="44" s="1"/>
  <c r="S860" i="44"/>
  <c r="T843" i="44"/>
  <c r="S842" i="44"/>
  <c r="T826" i="44"/>
  <c r="S825" i="44"/>
  <c r="T799" i="44"/>
  <c r="S798" i="44"/>
  <c r="T753" i="44"/>
  <c r="S752" i="44"/>
  <c r="T718" i="44"/>
  <c r="S717" i="44"/>
  <c r="T673" i="44"/>
  <c r="S672" i="44"/>
  <c r="T627" i="44"/>
  <c r="S626" i="44"/>
  <c r="T604" i="44"/>
  <c r="S603" i="44"/>
  <c r="T500" i="44"/>
  <c r="S499" i="44"/>
  <c r="T443" i="44"/>
  <c r="S442" i="44"/>
  <c r="T422" i="44"/>
  <c r="S421" i="44"/>
  <c r="T383" i="44"/>
  <c r="S382" i="44"/>
  <c r="T359" i="44"/>
  <c r="S358" i="44"/>
  <c r="T315" i="44"/>
  <c r="S314" i="44"/>
  <c r="T289" i="44"/>
  <c r="S289" i="44" s="1"/>
  <c r="S288" i="44"/>
  <c r="T281" i="44"/>
  <c r="S281" i="44" s="1"/>
  <c r="S280" i="44"/>
  <c r="T273" i="44"/>
  <c r="S273" i="44" s="1"/>
  <c r="S272" i="44"/>
  <c r="T265" i="44"/>
  <c r="S265" i="44" s="1"/>
  <c r="S264" i="44"/>
  <c r="T257" i="44"/>
  <c r="S257" i="44" s="1"/>
  <c r="S256" i="44"/>
  <c r="T222" i="44"/>
  <c r="S221" i="44"/>
  <c r="T190" i="44"/>
  <c r="S189" i="44"/>
  <c r="T162" i="44"/>
  <c r="S161" i="44"/>
  <c r="T140" i="44"/>
  <c r="S139" i="44"/>
  <c r="T114" i="44"/>
  <c r="S113" i="44"/>
  <c r="T102" i="44"/>
  <c r="S101" i="44"/>
  <c r="T90" i="44"/>
  <c r="S89" i="44"/>
  <c r="T82" i="44"/>
  <c r="S82" i="44" s="1"/>
  <c r="S81" i="44"/>
  <c r="T61" i="44"/>
  <c r="S61" i="44" s="1"/>
  <c r="S60" i="44"/>
  <c r="T46" i="44"/>
  <c r="S45" i="44"/>
  <c r="T26" i="44"/>
  <c r="S26" i="44" s="1"/>
  <c r="S25" i="44"/>
  <c r="T998" i="44"/>
  <c r="S997" i="44"/>
  <c r="T970" i="44"/>
  <c r="S969" i="44"/>
  <c r="T980" i="44"/>
  <c r="S979" i="44"/>
  <c r="T966" i="44"/>
  <c r="S965" i="44"/>
  <c r="T958" i="44"/>
  <c r="S958" i="44" s="1"/>
  <c r="S957" i="44"/>
  <c r="T947" i="44"/>
  <c r="S946" i="44"/>
  <c r="T933" i="44"/>
  <c r="S933" i="44" s="1"/>
  <c r="S932" i="44"/>
  <c r="T925" i="44"/>
  <c r="S925" i="44" s="1"/>
  <c r="S924" i="44"/>
  <c r="T917" i="44"/>
  <c r="S917" i="44" s="1"/>
  <c r="S916" i="44"/>
  <c r="T892" i="44"/>
  <c r="S892" i="44" s="1"/>
  <c r="S891" i="44"/>
  <c r="T884" i="44"/>
  <c r="S884" i="44" s="1"/>
  <c r="S883" i="44"/>
  <c r="T876" i="44"/>
  <c r="S876" i="44" s="1"/>
  <c r="S875" i="44"/>
  <c r="T867" i="44"/>
  <c r="S867" i="44" s="1"/>
  <c r="S866" i="44"/>
  <c r="T857" i="44"/>
  <c r="S856" i="44"/>
  <c r="T841" i="44"/>
  <c r="S841" i="44" s="1"/>
  <c r="S840" i="44"/>
  <c r="T810" i="44"/>
  <c r="S809" i="44"/>
  <c r="T781" i="44"/>
  <c r="S780" i="44"/>
  <c r="T742" i="44"/>
  <c r="S741" i="44"/>
  <c r="T703" i="44"/>
  <c r="S702" i="44"/>
  <c r="T660" i="44"/>
  <c r="S659" i="44"/>
  <c r="T622" i="44"/>
  <c r="S621" i="44"/>
  <c r="T575" i="44"/>
  <c r="S574" i="44"/>
  <c r="T490" i="44"/>
  <c r="S489" i="44"/>
  <c r="T436" i="44"/>
  <c r="S435" i="44"/>
  <c r="T413" i="44"/>
  <c r="S412" i="44"/>
  <c r="T377" i="44"/>
  <c r="S376" i="44"/>
  <c r="T353" i="44"/>
  <c r="S352" i="44"/>
  <c r="T304" i="44"/>
  <c r="S303" i="44"/>
  <c r="T287" i="44"/>
  <c r="S287" i="44" s="1"/>
  <c r="S286" i="44"/>
  <c r="T279" i="44"/>
  <c r="S279" i="44" s="1"/>
  <c r="S278" i="44"/>
  <c r="T271" i="44"/>
  <c r="S271" i="44" s="1"/>
  <c r="S270" i="44"/>
  <c r="T263" i="44"/>
  <c r="S263" i="44" s="1"/>
  <c r="S262" i="44"/>
  <c r="T255" i="44"/>
  <c r="S255" i="44" s="1"/>
  <c r="S254" i="44"/>
  <c r="T211" i="44"/>
  <c r="S210" i="44"/>
  <c r="T183" i="44"/>
  <c r="S182" i="44"/>
  <c r="T157" i="44"/>
  <c r="S156" i="44"/>
  <c r="T134" i="44"/>
  <c r="S133" i="44"/>
  <c r="T112" i="44"/>
  <c r="S112" i="44" s="1"/>
  <c r="S111" i="44"/>
  <c r="T97" i="44"/>
  <c r="S96" i="44"/>
  <c r="T88" i="44"/>
  <c r="S88" i="44" s="1"/>
  <c r="S87" i="44"/>
  <c r="T76" i="44"/>
  <c r="S75" i="44"/>
  <c r="T59" i="44"/>
  <c r="S59" i="44" s="1"/>
  <c r="S58" i="44"/>
  <c r="T40" i="44"/>
  <c r="S39" i="44"/>
  <c r="T20" i="44"/>
  <c r="S19" i="44"/>
  <c r="T988" i="44"/>
  <c r="S987" i="44"/>
  <c r="T976" i="44"/>
  <c r="S975" i="44"/>
  <c r="T964" i="44"/>
  <c r="S964" i="44" s="1"/>
  <c r="S963" i="44"/>
  <c r="T956" i="44"/>
  <c r="S956" i="44" s="1"/>
  <c r="S955" i="44"/>
  <c r="T943" i="44"/>
  <c r="S942" i="44"/>
  <c r="T931" i="44"/>
  <c r="S931" i="44" s="1"/>
  <c r="S930" i="44"/>
  <c r="T923" i="44"/>
  <c r="S923" i="44" s="1"/>
  <c r="S922" i="44"/>
  <c r="T912" i="44"/>
  <c r="S911" i="44"/>
  <c r="T890" i="44"/>
  <c r="S890" i="44" s="1"/>
  <c r="S889" i="44"/>
  <c r="T882" i="44"/>
  <c r="S882" i="44" s="1"/>
  <c r="S881" i="44"/>
  <c r="T874" i="44"/>
  <c r="S874" i="44" s="1"/>
  <c r="S873" i="44"/>
  <c r="T865" i="44"/>
  <c r="S865" i="44" s="1"/>
  <c r="S864" i="44"/>
  <c r="T853" i="44"/>
  <c r="S852" i="44"/>
  <c r="T836" i="44"/>
  <c r="S835" i="44"/>
  <c r="T806" i="44"/>
  <c r="S805" i="44"/>
  <c r="T773" i="44"/>
  <c r="S772" i="44"/>
  <c r="T734" i="44"/>
  <c r="S733" i="44"/>
  <c r="T689" i="44"/>
  <c r="S688" i="44"/>
  <c r="T647" i="44"/>
  <c r="S646" i="44"/>
  <c r="T613" i="44"/>
  <c r="S612" i="44"/>
  <c r="T567" i="44"/>
  <c r="S566" i="44"/>
  <c r="T481" i="44"/>
  <c r="S480" i="44"/>
  <c r="T433" i="44"/>
  <c r="S432" i="44"/>
  <c r="T401" i="44"/>
  <c r="S400" i="44"/>
  <c r="T371" i="44"/>
  <c r="S370" i="44"/>
  <c r="T340" i="44"/>
  <c r="S339" i="44"/>
  <c r="T293" i="44"/>
  <c r="S292" i="44"/>
  <c r="T285" i="44"/>
  <c r="S285" i="44" s="1"/>
  <c r="S284" i="44"/>
  <c r="T277" i="44"/>
  <c r="S277" i="44" s="1"/>
  <c r="S276" i="44"/>
  <c r="T269" i="44"/>
  <c r="S269" i="44" s="1"/>
  <c r="S268" i="44"/>
  <c r="T261" i="44"/>
  <c r="S261" i="44" s="1"/>
  <c r="S260" i="44"/>
  <c r="T244" i="44"/>
  <c r="S243" i="44"/>
  <c r="T209" i="44"/>
  <c r="S209" i="44" s="1"/>
  <c r="S208" i="44"/>
  <c r="T176" i="44"/>
  <c r="S175" i="44"/>
  <c r="T151" i="44"/>
  <c r="S150" i="44"/>
  <c r="T128" i="44"/>
  <c r="S127" i="44"/>
  <c r="T110" i="44"/>
  <c r="S110" i="44" s="1"/>
  <c r="S109" i="44"/>
  <c r="T95" i="44"/>
  <c r="S95" i="44" s="1"/>
  <c r="S94" i="44"/>
  <c r="T86" i="44"/>
  <c r="S86" i="44" s="1"/>
  <c r="S85" i="44"/>
  <c r="T67" i="44"/>
  <c r="S66" i="44"/>
  <c r="T56" i="44"/>
  <c r="S55" i="44"/>
  <c r="T34" i="44"/>
  <c r="S33" i="44"/>
  <c r="T7" i="44"/>
  <c r="S6" i="44"/>
  <c r="T974" i="44"/>
  <c r="S974" i="44" s="1"/>
  <c r="S973" i="44"/>
  <c r="T953" i="44"/>
  <c r="S952" i="44"/>
  <c r="T939" i="44"/>
  <c r="S938" i="44"/>
  <c r="T929" i="44"/>
  <c r="S929" i="44" s="1"/>
  <c r="S928" i="44"/>
  <c r="T921" i="44"/>
  <c r="S921" i="44" s="1"/>
  <c r="S920" i="44"/>
  <c r="T904" i="44"/>
  <c r="S903" i="44"/>
  <c r="T888" i="44"/>
  <c r="S888" i="44" s="1"/>
  <c r="S887" i="44"/>
  <c r="T880" i="44"/>
  <c r="S880" i="44" s="1"/>
  <c r="S879" i="44"/>
  <c r="T872" i="44"/>
  <c r="S872" i="44" s="1"/>
  <c r="S871" i="44"/>
  <c r="T863" i="44"/>
  <c r="S863" i="44" s="1"/>
  <c r="S862" i="44"/>
  <c r="T851" i="44"/>
  <c r="S851" i="44" s="1"/>
  <c r="S850" i="44"/>
  <c r="T831" i="44"/>
  <c r="S830" i="44"/>
  <c r="T802" i="44"/>
  <c r="S801" i="44"/>
  <c r="T762" i="44"/>
  <c r="S761" i="44"/>
  <c r="T722" i="44"/>
  <c r="S721" i="44"/>
  <c r="T681" i="44"/>
  <c r="S680" i="44"/>
  <c r="T637" i="44"/>
  <c r="S636" i="44"/>
  <c r="T611" i="44"/>
  <c r="S611" i="44" s="1"/>
  <c r="S610" i="44"/>
  <c r="T549" i="44"/>
  <c r="S548" i="44"/>
  <c r="T453" i="44"/>
  <c r="S452" i="44"/>
  <c r="T426" i="44"/>
  <c r="S425" i="44"/>
  <c r="T392" i="44"/>
  <c r="S391" i="44"/>
  <c r="T365" i="44"/>
  <c r="S364" i="44"/>
  <c r="T327" i="44"/>
  <c r="S326" i="44"/>
  <c r="T291" i="44"/>
  <c r="S291" i="44" s="1"/>
  <c r="S290" i="44"/>
  <c r="T283" i="44"/>
  <c r="S283" i="44" s="1"/>
  <c r="S282" i="44"/>
  <c r="T275" i="44"/>
  <c r="S275" i="44" s="1"/>
  <c r="S274" i="44"/>
  <c r="T267" i="44"/>
  <c r="S267" i="44" s="1"/>
  <c r="S266" i="44"/>
  <c r="T259" i="44"/>
  <c r="S259" i="44" s="1"/>
  <c r="S258" i="44"/>
  <c r="T233" i="44"/>
  <c r="S232" i="44"/>
  <c r="T197" i="44"/>
  <c r="S196" i="44"/>
  <c r="T169" i="44"/>
  <c r="S168" i="44"/>
  <c r="T144" i="44"/>
  <c r="S143" i="44"/>
  <c r="T117" i="44"/>
  <c r="S116" i="44"/>
  <c r="T107" i="44"/>
  <c r="S106" i="44"/>
  <c r="T93" i="44"/>
  <c r="S93" i="44" s="1"/>
  <c r="S92" i="44"/>
  <c r="T84" i="44"/>
  <c r="S84" i="44" s="1"/>
  <c r="S83" i="44"/>
  <c r="T63" i="44"/>
  <c r="S63" i="44" s="1"/>
  <c r="S62" i="44"/>
  <c r="T52" i="44"/>
  <c r="S51" i="44"/>
  <c r="T28" i="44"/>
  <c r="S27" i="44"/>
  <c r="T477" i="44"/>
  <c r="S477" i="44" s="1"/>
  <c r="Q28" i="226"/>
  <c r="M25" i="226"/>
  <c r="Z28" i="226"/>
  <c r="K25" i="226"/>
  <c r="K19" i="226"/>
  <c r="L22" i="226"/>
  <c r="M22" i="226" s="1"/>
  <c r="M19" i="226"/>
  <c r="T53" i="44" l="1"/>
  <c r="S52" i="44"/>
  <c r="T108" i="44"/>
  <c r="S108" i="44" s="1"/>
  <c r="S107" i="44"/>
  <c r="T198" i="44"/>
  <c r="S197" i="44"/>
  <c r="T366" i="44"/>
  <c r="S365" i="44"/>
  <c r="T550" i="44"/>
  <c r="S549" i="44"/>
  <c r="T723" i="44"/>
  <c r="S722" i="44"/>
  <c r="T940" i="44"/>
  <c r="S939" i="44"/>
  <c r="T35" i="44"/>
  <c r="S34" i="44"/>
  <c r="T68" i="44"/>
  <c r="S67" i="44"/>
  <c r="T177" i="44"/>
  <c r="S176" i="44"/>
  <c r="T341" i="44"/>
  <c r="S340" i="44"/>
  <c r="T29" i="44"/>
  <c r="S28" i="44"/>
  <c r="T170" i="44"/>
  <c r="S169" i="44"/>
  <c r="T328" i="44"/>
  <c r="S327" i="44"/>
  <c r="T454" i="44"/>
  <c r="S453" i="44"/>
  <c r="T682" i="44"/>
  <c r="S681" i="44"/>
  <c r="T763" i="44"/>
  <c r="S762" i="44"/>
  <c r="T832" i="44"/>
  <c r="S831" i="44"/>
  <c r="T905" i="44"/>
  <c r="S904" i="44"/>
  <c r="T954" i="44"/>
  <c r="S954" i="44" s="1"/>
  <c r="S953" i="44"/>
  <c r="T8" i="44"/>
  <c r="S7" i="44"/>
  <c r="T57" i="44"/>
  <c r="S57" i="44" s="1"/>
  <c r="S56" i="44"/>
  <c r="T152" i="44"/>
  <c r="S151" i="44"/>
  <c r="T294" i="44"/>
  <c r="S293" i="44"/>
  <c r="T372" i="44"/>
  <c r="S371" i="44"/>
  <c r="T434" i="44"/>
  <c r="S434" i="44" s="1"/>
  <c r="S433" i="44"/>
  <c r="T568" i="44"/>
  <c r="S567" i="44"/>
  <c r="T648" i="44"/>
  <c r="S647" i="44"/>
  <c r="T735" i="44"/>
  <c r="S734" i="44"/>
  <c r="T807" i="44"/>
  <c r="S806" i="44"/>
  <c r="T854" i="44"/>
  <c r="S853" i="44"/>
  <c r="T944" i="44"/>
  <c r="S943" i="44"/>
  <c r="T989" i="44"/>
  <c r="S988" i="44"/>
  <c r="T41" i="44"/>
  <c r="S40" i="44"/>
  <c r="T77" i="44"/>
  <c r="S76" i="44"/>
  <c r="T98" i="44"/>
  <c r="S97" i="44"/>
  <c r="T135" i="44"/>
  <c r="S134" i="44"/>
  <c r="T184" i="44"/>
  <c r="S183" i="44"/>
  <c r="T354" i="44"/>
  <c r="S353" i="44"/>
  <c r="T414" i="44"/>
  <c r="S413" i="44"/>
  <c r="T491" i="44"/>
  <c r="S490" i="44"/>
  <c r="T623" i="44"/>
  <c r="S622" i="44"/>
  <c r="T704" i="44"/>
  <c r="S703" i="44"/>
  <c r="T782" i="44"/>
  <c r="S781" i="44"/>
  <c r="T981" i="44"/>
  <c r="S980" i="44"/>
  <c r="T999" i="44"/>
  <c r="S998" i="44"/>
  <c r="T47" i="44"/>
  <c r="S46" i="44"/>
  <c r="T103" i="44"/>
  <c r="S102" i="44"/>
  <c r="T141" i="44"/>
  <c r="S140" i="44"/>
  <c r="T191" i="44"/>
  <c r="S190" i="44"/>
  <c r="T360" i="44"/>
  <c r="S359" i="44"/>
  <c r="T423" i="44"/>
  <c r="S422" i="44"/>
  <c r="T501" i="44"/>
  <c r="S500" i="44"/>
  <c r="T628" i="44"/>
  <c r="S627" i="44"/>
  <c r="T719" i="44"/>
  <c r="S718" i="44"/>
  <c r="T800" i="44"/>
  <c r="S800" i="44" s="1"/>
  <c r="S799" i="44"/>
  <c r="T844" i="44"/>
  <c r="S843" i="44"/>
  <c r="T870" i="44"/>
  <c r="S870" i="44" s="1"/>
  <c r="S869" i="44"/>
  <c r="T936" i="44"/>
  <c r="S935" i="44"/>
  <c r="T118" i="44"/>
  <c r="S117" i="44"/>
  <c r="T234" i="44"/>
  <c r="S233" i="44"/>
  <c r="T393" i="44"/>
  <c r="S392" i="44"/>
  <c r="T145" i="44"/>
  <c r="S144" i="44"/>
  <c r="T427" i="44"/>
  <c r="S426" i="44"/>
  <c r="T638" i="44"/>
  <c r="S637" i="44"/>
  <c r="T803" i="44"/>
  <c r="S802" i="44"/>
  <c r="T129" i="44"/>
  <c r="S128" i="44"/>
  <c r="T245" i="44"/>
  <c r="S244" i="44"/>
  <c r="T402" i="44"/>
  <c r="S401" i="44"/>
  <c r="T482" i="44"/>
  <c r="S481" i="44"/>
  <c r="T614" i="44"/>
  <c r="S613" i="44"/>
  <c r="T690" i="44"/>
  <c r="S689" i="44"/>
  <c r="T774" i="44"/>
  <c r="S773" i="44"/>
  <c r="T837" i="44"/>
  <c r="S836" i="44"/>
  <c r="T913" i="44"/>
  <c r="S912" i="44"/>
  <c r="T977" i="44"/>
  <c r="S976" i="44"/>
  <c r="T21" i="44"/>
  <c r="S20" i="44"/>
  <c r="T158" i="44"/>
  <c r="S157" i="44"/>
  <c r="T212" i="44"/>
  <c r="S211" i="44"/>
  <c r="T305" i="44"/>
  <c r="S304" i="44"/>
  <c r="T378" i="44"/>
  <c r="S377" i="44"/>
  <c r="T437" i="44"/>
  <c r="S436" i="44"/>
  <c r="T576" i="44"/>
  <c r="S575" i="44"/>
  <c r="T661" i="44"/>
  <c r="S660" i="44"/>
  <c r="T743" i="44"/>
  <c r="S742" i="44"/>
  <c r="T811" i="44"/>
  <c r="S810" i="44"/>
  <c r="T858" i="44"/>
  <c r="S857" i="44"/>
  <c r="T948" i="44"/>
  <c r="S948" i="44" s="1"/>
  <c r="S947" i="44"/>
  <c r="T967" i="44"/>
  <c r="S966" i="44"/>
  <c r="T971" i="44"/>
  <c r="S970" i="44"/>
  <c r="T91" i="44"/>
  <c r="S91" i="44" s="1"/>
  <c r="S90" i="44"/>
  <c r="T115" i="44"/>
  <c r="S115" i="44" s="1"/>
  <c r="S114" i="44"/>
  <c r="T163" i="44"/>
  <c r="S162" i="44"/>
  <c r="T223" i="44"/>
  <c r="S222" i="44"/>
  <c r="T316" i="44"/>
  <c r="S315" i="44"/>
  <c r="T384" i="44"/>
  <c r="S383" i="44"/>
  <c r="T444" i="44"/>
  <c r="S443" i="44"/>
  <c r="T605" i="44"/>
  <c r="S604" i="44"/>
  <c r="T674" i="44"/>
  <c r="S673" i="44"/>
  <c r="T754" i="44"/>
  <c r="S753" i="44"/>
  <c r="T827" i="44"/>
  <c r="S826" i="44"/>
  <c r="T895" i="44"/>
  <c r="S894" i="44"/>
  <c r="T951" i="44"/>
  <c r="S951" i="44" s="1"/>
  <c r="S950" i="44"/>
  <c r="T478" i="44"/>
  <c r="S478" i="44" s="1"/>
  <c r="X56" i="240"/>
  <c r="U56" i="240"/>
  <c r="AI19" i="226"/>
  <c r="M224" i="76"/>
  <c r="M225" i="76"/>
  <c r="M226" i="76"/>
  <c r="M227" i="76"/>
  <c r="M228" i="76"/>
  <c r="M229" i="76"/>
  <c r="M230" i="76"/>
  <c r="M231" i="76"/>
  <c r="M232" i="76"/>
  <c r="M233" i="76"/>
  <c r="M234" i="76"/>
  <c r="M235" i="76"/>
  <c r="M236" i="76"/>
  <c r="M237" i="76"/>
  <c r="M238" i="76"/>
  <c r="M239" i="76"/>
  <c r="M240" i="76"/>
  <c r="M241" i="76"/>
  <c r="M242" i="76"/>
  <c r="M243" i="76"/>
  <c r="M244" i="76"/>
  <c r="M245" i="76"/>
  <c r="M246" i="76"/>
  <c r="M247" i="76"/>
  <c r="M248" i="76"/>
  <c r="M249" i="76"/>
  <c r="M250" i="76"/>
  <c r="M251" i="76"/>
  <c r="M252" i="76"/>
  <c r="M253" i="76"/>
  <c r="M254" i="76"/>
  <c r="M255" i="76"/>
  <c r="M256" i="76"/>
  <c r="M257" i="76"/>
  <c r="M258" i="76"/>
  <c r="M259" i="76"/>
  <c r="M260" i="76"/>
  <c r="M261" i="76"/>
  <c r="M262" i="76"/>
  <c r="M263" i="76"/>
  <c r="M264" i="76"/>
  <c r="M265" i="76"/>
  <c r="M266" i="76"/>
  <c r="M267" i="76"/>
  <c r="M268" i="76"/>
  <c r="M269" i="76"/>
  <c r="L226" i="76"/>
  <c r="L227" i="76"/>
  <c r="L228" i="76"/>
  <c r="L229" i="76"/>
  <c r="L230" i="76"/>
  <c r="L231" i="76"/>
  <c r="L232" i="76"/>
  <c r="L234" i="76"/>
  <c r="L235" i="76"/>
  <c r="L236" i="76"/>
  <c r="L237" i="76"/>
  <c r="L238" i="76"/>
  <c r="L239" i="76"/>
  <c r="L240" i="76"/>
  <c r="L241" i="76"/>
  <c r="L242" i="76"/>
  <c r="L243" i="76"/>
  <c r="L244" i="76"/>
  <c r="L245" i="76"/>
  <c r="L246" i="76"/>
  <c r="L247" i="76"/>
  <c r="L248" i="76"/>
  <c r="L249" i="76"/>
  <c r="L250" i="76"/>
  <c r="L251" i="76"/>
  <c r="L252" i="76"/>
  <c r="L253" i="76"/>
  <c r="L254" i="76"/>
  <c r="L255" i="76"/>
  <c r="L256" i="76"/>
  <c r="L257" i="76"/>
  <c r="L258" i="76"/>
  <c r="L259" i="76"/>
  <c r="L260" i="76"/>
  <c r="L261" i="76"/>
  <c r="L262" i="76"/>
  <c r="L263" i="76"/>
  <c r="L264" i="76"/>
  <c r="L265" i="76"/>
  <c r="G618" i="44"/>
  <c r="G614" i="44"/>
  <c r="G613" i="44"/>
  <c r="G600" i="44"/>
  <c r="G593" i="44"/>
  <c r="G592" i="44"/>
  <c r="G591" i="44"/>
  <c r="G588" i="44"/>
  <c r="G587" i="44"/>
  <c r="G583" i="44"/>
  <c r="G584" i="44" s="1"/>
  <c r="G579" i="44"/>
  <c r="G576" i="44"/>
  <c r="G575" i="44"/>
  <c r="T896" i="44" l="1"/>
  <c r="S895" i="44"/>
  <c r="T755" i="44"/>
  <c r="S754" i="44"/>
  <c r="T606" i="44"/>
  <c r="S605" i="44"/>
  <c r="T385" i="44"/>
  <c r="S384" i="44"/>
  <c r="T224" i="44"/>
  <c r="S223" i="44"/>
  <c r="T972" i="44"/>
  <c r="S972" i="44" s="1"/>
  <c r="S971" i="44"/>
  <c r="T812" i="44"/>
  <c r="S811" i="44"/>
  <c r="T662" i="44"/>
  <c r="S661" i="44"/>
  <c r="T438" i="44"/>
  <c r="S437" i="44"/>
  <c r="T306" i="44"/>
  <c r="S305" i="44"/>
  <c r="T159" i="44"/>
  <c r="S158" i="44"/>
  <c r="T978" i="44"/>
  <c r="S978" i="44" s="1"/>
  <c r="S977" i="44"/>
  <c r="T838" i="44"/>
  <c r="S837" i="44"/>
  <c r="T691" i="44"/>
  <c r="S690" i="44"/>
  <c r="T483" i="44"/>
  <c r="S482" i="44"/>
  <c r="T246" i="44"/>
  <c r="S245" i="44"/>
  <c r="T804" i="44"/>
  <c r="S804" i="44" s="1"/>
  <c r="S803" i="44"/>
  <c r="T428" i="44"/>
  <c r="S427" i="44"/>
  <c r="T394" i="44"/>
  <c r="S393" i="44"/>
  <c r="T119" i="44"/>
  <c r="S118" i="44"/>
  <c r="T629" i="44"/>
  <c r="S628" i="44"/>
  <c r="T424" i="44"/>
  <c r="S424" i="44" s="1"/>
  <c r="S423" i="44"/>
  <c r="T192" i="44"/>
  <c r="S191" i="44"/>
  <c r="T104" i="44"/>
  <c r="S103" i="44"/>
  <c r="T1000" i="44"/>
  <c r="S999" i="44"/>
  <c r="T783" i="44"/>
  <c r="S782" i="44"/>
  <c r="T624" i="44"/>
  <c r="S623" i="44"/>
  <c r="T415" i="44"/>
  <c r="S414" i="44"/>
  <c r="T185" i="44"/>
  <c r="S184" i="44"/>
  <c r="T99" i="44"/>
  <c r="S98" i="44"/>
  <c r="T42" i="44"/>
  <c r="S41" i="44"/>
  <c r="T945" i="44"/>
  <c r="S945" i="44" s="1"/>
  <c r="S944" i="44"/>
  <c r="T808" i="44"/>
  <c r="S808" i="44" s="1"/>
  <c r="S807" i="44"/>
  <c r="T649" i="44"/>
  <c r="S648" i="44"/>
  <c r="T295" i="44"/>
  <c r="S294" i="44"/>
  <c r="T833" i="44"/>
  <c r="S832" i="44"/>
  <c r="T683" i="44"/>
  <c r="S682" i="44"/>
  <c r="T329" i="44"/>
  <c r="S328" i="44"/>
  <c r="T30" i="44"/>
  <c r="S29" i="44"/>
  <c r="T178" i="44"/>
  <c r="S177" i="44"/>
  <c r="T36" i="44"/>
  <c r="S35" i="44"/>
  <c r="T724" i="44"/>
  <c r="S723" i="44"/>
  <c r="T367" i="44"/>
  <c r="S366" i="44"/>
  <c r="T828" i="44"/>
  <c r="S827" i="44"/>
  <c r="T675" i="44"/>
  <c r="S674" i="44"/>
  <c r="T445" i="44"/>
  <c r="S444" i="44"/>
  <c r="T317" i="44"/>
  <c r="S316" i="44"/>
  <c r="T164" i="44"/>
  <c r="S163" i="44"/>
  <c r="T968" i="44"/>
  <c r="S968" i="44" s="1"/>
  <c r="S967" i="44"/>
  <c r="T859" i="44"/>
  <c r="S859" i="44" s="1"/>
  <c r="S858" i="44"/>
  <c r="T744" i="44"/>
  <c r="S743" i="44"/>
  <c r="T577" i="44"/>
  <c r="S576" i="44"/>
  <c r="T379" i="44"/>
  <c r="S378" i="44"/>
  <c r="T213" i="44"/>
  <c r="S212" i="44"/>
  <c r="T22" i="44"/>
  <c r="S21" i="44"/>
  <c r="T914" i="44"/>
  <c r="S913" i="44"/>
  <c r="T775" i="44"/>
  <c r="S774" i="44"/>
  <c r="T615" i="44"/>
  <c r="S614" i="44"/>
  <c r="T403" i="44"/>
  <c r="S402" i="44"/>
  <c r="T130" i="44"/>
  <c r="S129" i="44"/>
  <c r="T639" i="44"/>
  <c r="S638" i="44"/>
  <c r="T146" i="44"/>
  <c r="S145" i="44"/>
  <c r="T235" i="44"/>
  <c r="S234" i="44"/>
  <c r="T937" i="44"/>
  <c r="S937" i="44" s="1"/>
  <c r="S936" i="44"/>
  <c r="T845" i="44"/>
  <c r="S844" i="44"/>
  <c r="T720" i="44"/>
  <c r="S720" i="44" s="1"/>
  <c r="S719" i="44"/>
  <c r="T502" i="44"/>
  <c r="S501" i="44"/>
  <c r="T361" i="44"/>
  <c r="S360" i="44"/>
  <c r="T142" i="44"/>
  <c r="S142" i="44" s="1"/>
  <c r="S141" i="44"/>
  <c r="T48" i="44"/>
  <c r="S47" i="44"/>
  <c r="T982" i="44"/>
  <c r="S981" i="44"/>
  <c r="T705" i="44"/>
  <c r="S704" i="44"/>
  <c r="T492" i="44"/>
  <c r="S491" i="44"/>
  <c r="T355" i="44"/>
  <c r="S354" i="44"/>
  <c r="T136" i="44"/>
  <c r="S135" i="44"/>
  <c r="T78" i="44"/>
  <c r="S77" i="44"/>
  <c r="T990" i="44"/>
  <c r="S989" i="44"/>
  <c r="T855" i="44"/>
  <c r="S855" i="44" s="1"/>
  <c r="S854" i="44"/>
  <c r="T736" i="44"/>
  <c r="S735" i="44"/>
  <c r="T569" i="44"/>
  <c r="S568" i="44"/>
  <c r="T373" i="44"/>
  <c r="S372" i="44"/>
  <c r="T153" i="44"/>
  <c r="S152" i="44"/>
  <c r="T9" i="44"/>
  <c r="S8" i="44"/>
  <c r="T906" i="44"/>
  <c r="S905" i="44"/>
  <c r="T764" i="44"/>
  <c r="S763" i="44"/>
  <c r="T455" i="44"/>
  <c r="S454" i="44"/>
  <c r="T171" i="44"/>
  <c r="S170" i="44"/>
  <c r="T342" i="44"/>
  <c r="S341" i="44"/>
  <c r="T69" i="44"/>
  <c r="S68" i="44"/>
  <c r="T941" i="44"/>
  <c r="S941" i="44" s="1"/>
  <c r="S940" i="44"/>
  <c r="T551" i="44"/>
  <c r="S550" i="44"/>
  <c r="T199" i="44"/>
  <c r="S198" i="44"/>
  <c r="T54" i="44"/>
  <c r="S54" i="44" s="1"/>
  <c r="S53" i="44"/>
  <c r="T479" i="44"/>
  <c r="S479" i="44" s="1"/>
  <c r="G602" i="44"/>
  <c r="O479" i="226"/>
  <c r="G582" i="44"/>
  <c r="G581" i="44"/>
  <c r="T552" i="44" l="1"/>
  <c r="S551" i="44"/>
  <c r="T172" i="44"/>
  <c r="S171" i="44"/>
  <c r="T765" i="44"/>
  <c r="S764" i="44"/>
  <c r="T737" i="44"/>
  <c r="S736" i="44"/>
  <c r="T137" i="44"/>
  <c r="S136" i="44"/>
  <c r="T983" i="44"/>
  <c r="S982" i="44"/>
  <c r="T503" i="44"/>
  <c r="S502" i="44"/>
  <c r="T236" i="44"/>
  <c r="S235" i="44"/>
  <c r="T404" i="44"/>
  <c r="S403" i="44"/>
  <c r="T23" i="44"/>
  <c r="S22" i="44"/>
  <c r="T745" i="44"/>
  <c r="S744" i="44"/>
  <c r="T318" i="44"/>
  <c r="S317" i="44"/>
  <c r="T368" i="44"/>
  <c r="S367" i="44"/>
  <c r="T31" i="44"/>
  <c r="S30" i="44"/>
  <c r="T296" i="44"/>
  <c r="S295" i="44"/>
  <c r="T43" i="44"/>
  <c r="S42" i="44"/>
  <c r="T625" i="44"/>
  <c r="S625" i="44" s="1"/>
  <c r="S624" i="44"/>
  <c r="T193" i="44"/>
  <c r="S192" i="44"/>
  <c r="T839" i="44"/>
  <c r="S839" i="44" s="1"/>
  <c r="S838" i="44"/>
  <c r="T439" i="44"/>
  <c r="S438" i="44"/>
  <c r="T225" i="44"/>
  <c r="S224" i="44"/>
  <c r="T607" i="44"/>
  <c r="S606" i="44"/>
  <c r="T200" i="44"/>
  <c r="S199" i="44"/>
  <c r="T343" i="44"/>
  <c r="S342" i="44"/>
  <c r="T456" i="44"/>
  <c r="S455" i="44"/>
  <c r="T907" i="44"/>
  <c r="S906" i="44"/>
  <c r="T154" i="44"/>
  <c r="S153" i="44"/>
  <c r="T570" i="44"/>
  <c r="S569" i="44"/>
  <c r="T79" i="44"/>
  <c r="S78" i="44"/>
  <c r="T356" i="44"/>
  <c r="S355" i="44"/>
  <c r="T706" i="44"/>
  <c r="S705" i="44"/>
  <c r="T49" i="44"/>
  <c r="S48" i="44"/>
  <c r="T362" i="44"/>
  <c r="S361" i="44"/>
  <c r="T147" i="44"/>
  <c r="S146" i="44"/>
  <c r="T131" i="44"/>
  <c r="S130" i="44"/>
  <c r="T616" i="44"/>
  <c r="S615" i="44"/>
  <c r="T915" i="44"/>
  <c r="S915" i="44" s="1"/>
  <c r="S914" i="44"/>
  <c r="T214" i="44"/>
  <c r="S213" i="44"/>
  <c r="T578" i="44"/>
  <c r="S577" i="44"/>
  <c r="T165" i="44"/>
  <c r="S164" i="44"/>
  <c r="T446" i="44"/>
  <c r="S445" i="44"/>
  <c r="T829" i="44"/>
  <c r="S829" i="44" s="1"/>
  <c r="S828" i="44"/>
  <c r="T725" i="44"/>
  <c r="S724" i="44"/>
  <c r="T179" i="44"/>
  <c r="S178" i="44"/>
  <c r="T330" i="44"/>
  <c r="S329" i="44"/>
  <c r="T834" i="44"/>
  <c r="S834" i="44" s="1"/>
  <c r="S833" i="44"/>
  <c r="T650" i="44"/>
  <c r="S649" i="44"/>
  <c r="T100" i="44"/>
  <c r="S100" i="44" s="1"/>
  <c r="S99" i="44"/>
  <c r="T416" i="44"/>
  <c r="S415" i="44"/>
  <c r="T784" i="44"/>
  <c r="S783" i="44"/>
  <c r="T105" i="44"/>
  <c r="S105" i="44" s="1"/>
  <c r="S104" i="44"/>
  <c r="T120" i="44"/>
  <c r="S119" i="44"/>
  <c r="T429" i="44"/>
  <c r="S428" i="44"/>
  <c r="T247" i="44"/>
  <c r="S246" i="44"/>
  <c r="T692" i="44"/>
  <c r="S691" i="44"/>
  <c r="T307" i="44"/>
  <c r="S306" i="44"/>
  <c r="T663" i="44"/>
  <c r="S662" i="44"/>
  <c r="T386" i="44"/>
  <c r="S385" i="44"/>
  <c r="T756" i="44"/>
  <c r="S755" i="44"/>
  <c r="T70" i="44"/>
  <c r="S69" i="44"/>
  <c r="T10" i="44"/>
  <c r="S9" i="44"/>
  <c r="T374" i="44"/>
  <c r="S373" i="44"/>
  <c r="T991" i="44"/>
  <c r="S990" i="44"/>
  <c r="T493" i="44"/>
  <c r="S492" i="44"/>
  <c r="T846" i="44"/>
  <c r="S845" i="44"/>
  <c r="T640" i="44"/>
  <c r="S639" i="44"/>
  <c r="T776" i="44"/>
  <c r="S775" i="44"/>
  <c r="T380" i="44"/>
  <c r="S379" i="44"/>
  <c r="T676" i="44"/>
  <c r="S675" i="44"/>
  <c r="T37" i="44"/>
  <c r="S36" i="44"/>
  <c r="T684" i="44"/>
  <c r="S683" i="44"/>
  <c r="T186" i="44"/>
  <c r="S185" i="44"/>
  <c r="T1001" i="44"/>
  <c r="S1000" i="44"/>
  <c r="T630" i="44"/>
  <c r="S629" i="44"/>
  <c r="T395" i="44"/>
  <c r="S394" i="44"/>
  <c r="T484" i="44"/>
  <c r="S483" i="44"/>
  <c r="T160" i="44"/>
  <c r="S160" i="44" s="1"/>
  <c r="S159" i="44"/>
  <c r="T813" i="44"/>
  <c r="S812" i="44"/>
  <c r="T897" i="44"/>
  <c r="S896" i="44"/>
  <c r="T814" i="44" l="1"/>
  <c r="S813" i="44"/>
  <c r="T1002" i="44"/>
  <c r="S1001" i="44"/>
  <c r="T677" i="44"/>
  <c r="S676" i="44"/>
  <c r="T992" i="44"/>
  <c r="S991" i="44"/>
  <c r="T485" i="44"/>
  <c r="S484" i="44"/>
  <c r="T631" i="44"/>
  <c r="S630" i="44"/>
  <c r="T38" i="44"/>
  <c r="S38" i="44" s="1"/>
  <c r="S37" i="44"/>
  <c r="T381" i="44"/>
  <c r="S381" i="44" s="1"/>
  <c r="S380" i="44"/>
  <c r="T641" i="44"/>
  <c r="S640" i="44"/>
  <c r="T494" i="44"/>
  <c r="S493" i="44"/>
  <c r="T375" i="44"/>
  <c r="S375" i="44" s="1"/>
  <c r="S374" i="44"/>
  <c r="T71" i="44"/>
  <c r="S70" i="44"/>
  <c r="T387" i="44"/>
  <c r="S386" i="44"/>
  <c r="T308" i="44"/>
  <c r="S307" i="44"/>
  <c r="T248" i="44"/>
  <c r="S247" i="44"/>
  <c r="T121" i="44"/>
  <c r="S120" i="44"/>
  <c r="T785" i="44"/>
  <c r="S784" i="44"/>
  <c r="T180" i="44"/>
  <c r="S179" i="44"/>
  <c r="T166" i="44"/>
  <c r="S165" i="44"/>
  <c r="T215" i="44"/>
  <c r="S214" i="44"/>
  <c r="T617" i="44"/>
  <c r="S616" i="44"/>
  <c r="T148" i="44"/>
  <c r="S147" i="44"/>
  <c r="T50" i="44"/>
  <c r="S50" i="44" s="1"/>
  <c r="S49" i="44"/>
  <c r="T357" i="44"/>
  <c r="S357" i="44" s="1"/>
  <c r="S356" i="44"/>
  <c r="T571" i="44"/>
  <c r="S570" i="44"/>
  <c r="T908" i="44"/>
  <c r="S907" i="44"/>
  <c r="T344" i="44"/>
  <c r="S343" i="44"/>
  <c r="T608" i="44"/>
  <c r="S607" i="44"/>
  <c r="T440" i="44"/>
  <c r="S439" i="44"/>
  <c r="T194" i="44"/>
  <c r="S193" i="44"/>
  <c r="T44" i="44"/>
  <c r="S44" i="44" s="1"/>
  <c r="S43" i="44"/>
  <c r="T32" i="44"/>
  <c r="S32" i="44" s="1"/>
  <c r="S31" i="44"/>
  <c r="T319" i="44"/>
  <c r="S318" i="44"/>
  <c r="T24" i="44"/>
  <c r="S24" i="44" s="1"/>
  <c r="S23" i="44"/>
  <c r="T237" i="44"/>
  <c r="S236" i="44"/>
  <c r="T984" i="44"/>
  <c r="S983" i="44"/>
  <c r="T738" i="44"/>
  <c r="S737" i="44"/>
  <c r="T173" i="44"/>
  <c r="S172" i="44"/>
  <c r="T187" i="44"/>
  <c r="S186" i="44"/>
  <c r="T898" i="44"/>
  <c r="S897" i="44"/>
  <c r="T396" i="44"/>
  <c r="S395" i="44"/>
  <c r="T685" i="44"/>
  <c r="S684" i="44"/>
  <c r="T777" i="44"/>
  <c r="S776" i="44"/>
  <c r="T847" i="44"/>
  <c r="S846" i="44"/>
  <c r="T11" i="44"/>
  <c r="S10" i="44"/>
  <c r="T757" i="44"/>
  <c r="S756" i="44"/>
  <c r="T664" i="44"/>
  <c r="S663" i="44"/>
  <c r="T693" i="44"/>
  <c r="S692" i="44"/>
  <c r="T430" i="44"/>
  <c r="S429" i="44"/>
  <c r="T417" i="44"/>
  <c r="S416" i="44"/>
  <c r="T651" i="44"/>
  <c r="S650" i="44"/>
  <c r="T331" i="44"/>
  <c r="S330" i="44"/>
  <c r="T726" i="44"/>
  <c r="S725" i="44"/>
  <c r="T447" i="44"/>
  <c r="S446" i="44"/>
  <c r="T579" i="44"/>
  <c r="S578" i="44"/>
  <c r="T132" i="44"/>
  <c r="S132" i="44" s="1"/>
  <c r="S131" i="44"/>
  <c r="T363" i="44"/>
  <c r="S363" i="44" s="1"/>
  <c r="S362" i="44"/>
  <c r="T707" i="44"/>
  <c r="S706" i="44"/>
  <c r="T80" i="44"/>
  <c r="S80" i="44" s="1"/>
  <c r="S79" i="44"/>
  <c r="T155" i="44"/>
  <c r="S155" i="44" s="1"/>
  <c r="S154" i="44"/>
  <c r="T457" i="44"/>
  <c r="S456" i="44"/>
  <c r="T201" i="44"/>
  <c r="S200" i="44"/>
  <c r="T226" i="44"/>
  <c r="S225" i="44"/>
  <c r="T297" i="44"/>
  <c r="S296" i="44"/>
  <c r="T369" i="44"/>
  <c r="S369" i="44" s="1"/>
  <c r="S368" i="44"/>
  <c r="T746" i="44"/>
  <c r="S745" i="44"/>
  <c r="T405" i="44"/>
  <c r="S404" i="44"/>
  <c r="T504" i="44"/>
  <c r="S503" i="44"/>
  <c r="T138" i="44"/>
  <c r="S138" i="44" s="1"/>
  <c r="S137" i="44"/>
  <c r="T766" i="44"/>
  <c r="S765" i="44"/>
  <c r="T553" i="44"/>
  <c r="S552" i="44"/>
  <c r="T767" i="44" l="1"/>
  <c r="S766" i="44"/>
  <c r="T505" i="44"/>
  <c r="S504" i="44"/>
  <c r="T747" i="44"/>
  <c r="S746" i="44"/>
  <c r="T298" i="44"/>
  <c r="S297" i="44"/>
  <c r="T202" i="44"/>
  <c r="S201" i="44"/>
  <c r="T708" i="44"/>
  <c r="S707" i="44"/>
  <c r="T448" i="44"/>
  <c r="S447" i="44"/>
  <c r="T332" i="44"/>
  <c r="S331" i="44"/>
  <c r="T418" i="44"/>
  <c r="S417" i="44"/>
  <c r="T694" i="44"/>
  <c r="S693" i="44"/>
  <c r="T758" i="44"/>
  <c r="S757" i="44"/>
  <c r="T848" i="44"/>
  <c r="S847" i="44"/>
  <c r="T686" i="44"/>
  <c r="S685" i="44"/>
  <c r="T899" i="44"/>
  <c r="S898" i="44"/>
  <c r="T174" i="44"/>
  <c r="S174" i="44" s="1"/>
  <c r="S173" i="44"/>
  <c r="T985" i="44"/>
  <c r="S984" i="44"/>
  <c r="T195" i="44"/>
  <c r="S195" i="44" s="1"/>
  <c r="S194" i="44"/>
  <c r="T609" i="44"/>
  <c r="S609" i="44" s="1"/>
  <c r="S608" i="44"/>
  <c r="T909" i="44"/>
  <c r="S908" i="44"/>
  <c r="T149" i="44"/>
  <c r="S149" i="44" s="1"/>
  <c r="S148" i="44"/>
  <c r="T216" i="44"/>
  <c r="S215" i="44"/>
  <c r="T181" i="44"/>
  <c r="S181" i="44" s="1"/>
  <c r="S180" i="44"/>
  <c r="T122" i="44"/>
  <c r="S121" i="44"/>
  <c r="T309" i="44"/>
  <c r="S308" i="44"/>
  <c r="T72" i="44"/>
  <c r="S71" i="44"/>
  <c r="T495" i="44"/>
  <c r="S494" i="44"/>
  <c r="T632" i="44"/>
  <c r="S631" i="44"/>
  <c r="T993" i="44"/>
  <c r="S992" i="44"/>
  <c r="T1003" i="44"/>
  <c r="S1002" i="44"/>
  <c r="T554" i="44"/>
  <c r="S553" i="44"/>
  <c r="T406" i="44"/>
  <c r="S405" i="44"/>
  <c r="T227" i="44"/>
  <c r="S226" i="44"/>
  <c r="T458" i="44"/>
  <c r="S457" i="44"/>
  <c r="T580" i="44"/>
  <c r="S579" i="44"/>
  <c r="T727" i="44"/>
  <c r="S726" i="44"/>
  <c r="T652" i="44"/>
  <c r="S651" i="44"/>
  <c r="T431" i="44"/>
  <c r="S431" i="44" s="1"/>
  <c r="S430" i="44"/>
  <c r="T665" i="44"/>
  <c r="S664" i="44"/>
  <c r="T12" i="44"/>
  <c r="S11" i="44"/>
  <c r="T778" i="44"/>
  <c r="S777" i="44"/>
  <c r="T397" i="44"/>
  <c r="S396" i="44"/>
  <c r="T188" i="44"/>
  <c r="S188" i="44" s="1"/>
  <c r="S187" i="44"/>
  <c r="T739" i="44"/>
  <c r="S738" i="44"/>
  <c r="T238" i="44"/>
  <c r="S237" i="44"/>
  <c r="T320" i="44"/>
  <c r="S319" i="44"/>
  <c r="T441" i="44"/>
  <c r="S441" i="44" s="1"/>
  <c r="S440" i="44"/>
  <c r="T345" i="44"/>
  <c r="S344" i="44"/>
  <c r="T572" i="44"/>
  <c r="S571" i="44"/>
  <c r="T618" i="44"/>
  <c r="S617" i="44"/>
  <c r="T167" i="44"/>
  <c r="S167" i="44" s="1"/>
  <c r="S166" i="44"/>
  <c r="T786" i="44"/>
  <c r="S785" i="44"/>
  <c r="T249" i="44"/>
  <c r="S248" i="44"/>
  <c r="T388" i="44"/>
  <c r="S387" i="44"/>
  <c r="T642" i="44"/>
  <c r="S641" i="44"/>
  <c r="T486" i="44"/>
  <c r="S485" i="44"/>
  <c r="T678" i="44"/>
  <c r="S677" i="44"/>
  <c r="T815" i="44"/>
  <c r="S814" i="44"/>
  <c r="T679" i="44" l="1"/>
  <c r="S679" i="44" s="1"/>
  <c r="S678" i="44"/>
  <c r="T643" i="44"/>
  <c r="S642" i="44"/>
  <c r="T250" i="44"/>
  <c r="S249" i="44"/>
  <c r="T573" i="44"/>
  <c r="S573" i="44" s="1"/>
  <c r="S572" i="44"/>
  <c r="T239" i="44"/>
  <c r="S238" i="44"/>
  <c r="T779" i="44"/>
  <c r="S779" i="44" s="1"/>
  <c r="S778" i="44"/>
  <c r="T666" i="44"/>
  <c r="S665" i="44"/>
  <c r="T653" i="44"/>
  <c r="S652" i="44"/>
  <c r="T581" i="44"/>
  <c r="S580" i="44"/>
  <c r="T228" i="44"/>
  <c r="S227" i="44"/>
  <c r="T555" i="44"/>
  <c r="S554" i="44"/>
  <c r="T994" i="44"/>
  <c r="S993" i="44"/>
  <c r="T496" i="44"/>
  <c r="S495" i="44"/>
  <c r="T310" i="44"/>
  <c r="S309" i="44"/>
  <c r="T986" i="44"/>
  <c r="S986" i="44" s="1"/>
  <c r="S985" i="44"/>
  <c r="T900" i="44"/>
  <c r="S899" i="44"/>
  <c r="T849" i="44"/>
  <c r="S849" i="44" s="1"/>
  <c r="S848" i="44"/>
  <c r="T695" i="44"/>
  <c r="S694" i="44"/>
  <c r="T333" i="44"/>
  <c r="S332" i="44"/>
  <c r="T709" i="44"/>
  <c r="S709" i="44" s="1"/>
  <c r="S708" i="44"/>
  <c r="T299" i="44"/>
  <c r="S298" i="44"/>
  <c r="T506" i="44"/>
  <c r="S505" i="44"/>
  <c r="T816" i="44"/>
  <c r="S815" i="44"/>
  <c r="T487" i="44"/>
  <c r="S486" i="44"/>
  <c r="T389" i="44"/>
  <c r="S388" i="44"/>
  <c r="T787" i="44"/>
  <c r="S786" i="44"/>
  <c r="T619" i="44"/>
  <c r="S618" i="44"/>
  <c r="T346" i="44"/>
  <c r="S345" i="44"/>
  <c r="T321" i="44"/>
  <c r="S320" i="44"/>
  <c r="T740" i="44"/>
  <c r="S740" i="44" s="1"/>
  <c r="S739" i="44"/>
  <c r="T398" i="44"/>
  <c r="S397" i="44"/>
  <c r="T13" i="44"/>
  <c r="S12" i="44"/>
  <c r="T728" i="44"/>
  <c r="S727" i="44"/>
  <c r="T459" i="44"/>
  <c r="S458" i="44"/>
  <c r="T407" i="44"/>
  <c r="S406" i="44"/>
  <c r="T1004" i="44"/>
  <c r="S1004" i="44" s="1"/>
  <c r="S1003" i="44"/>
  <c r="T633" i="44"/>
  <c r="S632" i="44"/>
  <c r="T73" i="44"/>
  <c r="S72" i="44"/>
  <c r="T123" i="44"/>
  <c r="S122" i="44"/>
  <c r="T217" i="44"/>
  <c r="S216" i="44"/>
  <c r="T910" i="44"/>
  <c r="S910" i="44" s="1"/>
  <c r="S909" i="44"/>
  <c r="T687" i="44"/>
  <c r="S687" i="44" s="1"/>
  <c r="S686" i="44"/>
  <c r="T759" i="44"/>
  <c r="S758" i="44"/>
  <c r="T419" i="44"/>
  <c r="S418" i="44"/>
  <c r="T449" i="44"/>
  <c r="S448" i="44"/>
  <c r="T203" i="44"/>
  <c r="S202" i="44"/>
  <c r="T748" i="44"/>
  <c r="S747" i="44"/>
  <c r="T768" i="44"/>
  <c r="S767" i="44"/>
  <c r="T204" i="44" l="1"/>
  <c r="S203" i="44"/>
  <c r="T218" i="44"/>
  <c r="S217" i="44"/>
  <c r="T74" i="44"/>
  <c r="S74" i="44" s="1"/>
  <c r="S73" i="44"/>
  <c r="T460" i="44"/>
  <c r="S459" i="44"/>
  <c r="T14" i="44"/>
  <c r="S13" i="44"/>
  <c r="T347" i="44"/>
  <c r="S346" i="44"/>
  <c r="T788" i="44"/>
  <c r="S787" i="44"/>
  <c r="T488" i="44"/>
  <c r="S487" i="44"/>
  <c r="T507" i="44"/>
  <c r="S506" i="44"/>
  <c r="T696" i="44"/>
  <c r="S695" i="44"/>
  <c r="T901" i="44"/>
  <c r="S900" i="44"/>
  <c r="T311" i="44"/>
  <c r="S310" i="44"/>
  <c r="T995" i="44"/>
  <c r="S994" i="44"/>
  <c r="T229" i="44"/>
  <c r="S228" i="44"/>
  <c r="T654" i="44"/>
  <c r="S653" i="44"/>
  <c r="T644" i="44"/>
  <c r="S643" i="44"/>
  <c r="T769" i="44"/>
  <c r="S768" i="44"/>
  <c r="T420" i="44"/>
  <c r="S420" i="44" s="1"/>
  <c r="S419" i="44"/>
  <c r="T749" i="44"/>
  <c r="S748" i="44"/>
  <c r="T450" i="44"/>
  <c r="S449" i="44"/>
  <c r="T760" i="44"/>
  <c r="S760" i="44" s="1"/>
  <c r="S759" i="44"/>
  <c r="T124" i="44"/>
  <c r="S123" i="44"/>
  <c r="T634" i="44"/>
  <c r="S633" i="44"/>
  <c r="T408" i="44"/>
  <c r="S407" i="44"/>
  <c r="T729" i="44"/>
  <c r="S728" i="44"/>
  <c r="T399" i="44"/>
  <c r="S399" i="44" s="1"/>
  <c r="S398" i="44"/>
  <c r="T322" i="44"/>
  <c r="S321" i="44"/>
  <c r="T620" i="44"/>
  <c r="S620" i="44" s="1"/>
  <c r="S619" i="44"/>
  <c r="T390" i="44"/>
  <c r="S390" i="44" s="1"/>
  <c r="S389" i="44"/>
  <c r="T817" i="44"/>
  <c r="S816" i="44"/>
  <c r="T300" i="44"/>
  <c r="S299" i="44"/>
  <c r="T334" i="44"/>
  <c r="S333" i="44"/>
  <c r="T497" i="44"/>
  <c r="S496" i="44"/>
  <c r="T556" i="44"/>
  <c r="S555" i="44"/>
  <c r="T582" i="44"/>
  <c r="S581" i="44"/>
  <c r="T667" i="44"/>
  <c r="S666" i="44"/>
  <c r="T240" i="44"/>
  <c r="S239" i="44"/>
  <c r="T251" i="44"/>
  <c r="S250" i="44"/>
  <c r="K469" i="226"/>
  <c r="I469" i="226"/>
  <c r="L482" i="226"/>
  <c r="I482" i="226"/>
  <c r="G571" i="44"/>
  <c r="G570" i="44"/>
  <c r="G573" i="44"/>
  <c r="G572" i="44"/>
  <c r="T252" i="44" l="1"/>
  <c r="S251" i="44"/>
  <c r="T668" i="44"/>
  <c r="S667" i="44"/>
  <c r="T557" i="44"/>
  <c r="S556" i="44"/>
  <c r="T335" i="44"/>
  <c r="S334" i="44"/>
  <c r="T818" i="44"/>
  <c r="S817" i="44"/>
  <c r="T409" i="44"/>
  <c r="S408" i="44"/>
  <c r="T125" i="44"/>
  <c r="S124" i="44"/>
  <c r="T451" i="44"/>
  <c r="S451" i="44" s="1"/>
  <c r="S450" i="44"/>
  <c r="T645" i="44"/>
  <c r="S645" i="44" s="1"/>
  <c r="S644" i="44"/>
  <c r="T230" i="44"/>
  <c r="S229" i="44"/>
  <c r="T312" i="44"/>
  <c r="S311" i="44"/>
  <c r="T697" i="44"/>
  <c r="S696" i="44"/>
  <c r="S488" i="44"/>
  <c r="T348" i="44"/>
  <c r="S347" i="44"/>
  <c r="T461" i="44"/>
  <c r="S460" i="44"/>
  <c r="T219" i="44"/>
  <c r="S218" i="44"/>
  <c r="T241" i="44"/>
  <c r="S240" i="44"/>
  <c r="T583" i="44"/>
  <c r="S582" i="44"/>
  <c r="T498" i="44"/>
  <c r="S498" i="44" s="1"/>
  <c r="S497" i="44"/>
  <c r="T301" i="44"/>
  <c r="S300" i="44"/>
  <c r="T323" i="44"/>
  <c r="S322" i="44"/>
  <c r="T730" i="44"/>
  <c r="S729" i="44"/>
  <c r="T635" i="44"/>
  <c r="S635" i="44" s="1"/>
  <c r="S634" i="44"/>
  <c r="T750" i="44"/>
  <c r="S749" i="44"/>
  <c r="T770" i="44"/>
  <c r="S769" i="44"/>
  <c r="T655" i="44"/>
  <c r="S654" i="44"/>
  <c r="T996" i="44"/>
  <c r="S996" i="44" s="1"/>
  <c r="S995" i="44"/>
  <c r="T902" i="44"/>
  <c r="S902" i="44" s="1"/>
  <c r="S901" i="44"/>
  <c r="T508" i="44"/>
  <c r="S508" i="44" s="1"/>
  <c r="S507" i="44"/>
  <c r="T789" i="44"/>
  <c r="S788" i="44"/>
  <c r="T15" i="44"/>
  <c r="S14" i="44"/>
  <c r="T205" i="44"/>
  <c r="S204" i="44"/>
  <c r="L469" i="226"/>
  <c r="M469" i="226" s="1"/>
  <c r="K482" i="226"/>
  <c r="M482" i="226"/>
  <c r="T206" i="44" l="1"/>
  <c r="S205" i="44"/>
  <c r="T790" i="44"/>
  <c r="S789" i="44"/>
  <c r="T656" i="44"/>
  <c r="S655" i="44"/>
  <c r="T751" i="44"/>
  <c r="S751" i="44" s="1"/>
  <c r="S750" i="44"/>
  <c r="T731" i="44"/>
  <c r="S730" i="44"/>
  <c r="T302" i="44"/>
  <c r="S302" i="44" s="1"/>
  <c r="S301" i="44"/>
  <c r="T584" i="44"/>
  <c r="S583" i="44"/>
  <c r="T220" i="44"/>
  <c r="S220" i="44" s="1"/>
  <c r="S219" i="44"/>
  <c r="T349" i="44"/>
  <c r="S348" i="44"/>
  <c r="T698" i="44"/>
  <c r="S697" i="44"/>
  <c r="T231" i="44"/>
  <c r="S231" i="44" s="1"/>
  <c r="S230" i="44"/>
  <c r="T410" i="44"/>
  <c r="S409" i="44"/>
  <c r="T336" i="44"/>
  <c r="S335" i="44"/>
  <c r="T669" i="44"/>
  <c r="S668" i="44"/>
  <c r="T16" i="44"/>
  <c r="S15" i="44"/>
  <c r="T771" i="44"/>
  <c r="S771" i="44" s="1"/>
  <c r="S770" i="44"/>
  <c r="T324" i="44"/>
  <c r="S323" i="44"/>
  <c r="T242" i="44"/>
  <c r="S242" i="44" s="1"/>
  <c r="S241" i="44"/>
  <c r="T462" i="44"/>
  <c r="S461" i="44"/>
  <c r="T313" i="44"/>
  <c r="S313" i="44" s="1"/>
  <c r="S312" i="44"/>
  <c r="T126" i="44"/>
  <c r="S126" i="44" s="1"/>
  <c r="S125" i="44"/>
  <c r="T819" i="44"/>
  <c r="S818" i="44"/>
  <c r="T558" i="44"/>
  <c r="S557" i="44"/>
  <c r="T253" i="44"/>
  <c r="S253" i="44" s="1"/>
  <c r="S252" i="44"/>
  <c r="AI463" i="226"/>
  <c r="AI482" i="226"/>
  <c r="AI464" i="226"/>
  <c r="AI465" i="226"/>
  <c r="I80" i="241"/>
  <c r="T820" i="44" l="1"/>
  <c r="S819" i="44"/>
  <c r="T670" i="44"/>
  <c r="S669" i="44"/>
  <c r="T411" i="44"/>
  <c r="S411" i="44" s="1"/>
  <c r="S410" i="44"/>
  <c r="T699" i="44"/>
  <c r="S698" i="44"/>
  <c r="T791" i="44"/>
  <c r="S790" i="44"/>
  <c r="T559" i="44"/>
  <c r="S558" i="44"/>
  <c r="T463" i="44"/>
  <c r="S462" i="44"/>
  <c r="T325" i="44"/>
  <c r="S325" i="44" s="1"/>
  <c r="S324" i="44"/>
  <c r="T17" i="44"/>
  <c r="S16" i="44"/>
  <c r="T337" i="44"/>
  <c r="S336" i="44"/>
  <c r="T350" i="44"/>
  <c r="S349" i="44"/>
  <c r="T585" i="44"/>
  <c r="S584" i="44"/>
  <c r="T732" i="44"/>
  <c r="S732" i="44" s="1"/>
  <c r="S731" i="44"/>
  <c r="T657" i="44"/>
  <c r="S656" i="44"/>
  <c r="T207" i="44"/>
  <c r="S207" i="44" s="1"/>
  <c r="S206" i="44"/>
  <c r="AI402" i="226"/>
  <c r="G827" i="44"/>
  <c r="G826" i="44"/>
  <c r="T658" i="44" l="1"/>
  <c r="S658" i="44" s="1"/>
  <c r="S657" i="44"/>
  <c r="T586" i="44"/>
  <c r="S585" i="44"/>
  <c r="T338" i="44"/>
  <c r="S338" i="44" s="1"/>
  <c r="S337" i="44"/>
  <c r="T560" i="44"/>
  <c r="S559" i="44"/>
  <c r="T700" i="44"/>
  <c r="S699" i="44"/>
  <c r="T671" i="44"/>
  <c r="S671" i="44" s="1"/>
  <c r="S670" i="44"/>
  <c r="T351" i="44"/>
  <c r="S351" i="44" s="1"/>
  <c r="S350" i="44"/>
  <c r="T18" i="44"/>
  <c r="S18" i="44" s="1"/>
  <c r="S17" i="44"/>
  <c r="T464" i="44"/>
  <c r="S463" i="44"/>
  <c r="T792" i="44"/>
  <c r="S791" i="44"/>
  <c r="T821" i="44"/>
  <c r="S820" i="44"/>
  <c r="AI80" i="241"/>
  <c r="T793" i="44" l="1"/>
  <c r="S792" i="44"/>
  <c r="T561" i="44"/>
  <c r="S560" i="44"/>
  <c r="T587" i="44"/>
  <c r="S586" i="44"/>
  <c r="T822" i="44"/>
  <c r="S821" i="44"/>
  <c r="T465" i="44"/>
  <c r="S464" i="44"/>
  <c r="T701" i="44"/>
  <c r="S701" i="44" s="1"/>
  <c r="S700" i="44"/>
  <c r="T562" i="44" l="1"/>
  <c r="S562" i="44" s="1"/>
  <c r="S561" i="44"/>
  <c r="T823" i="44"/>
  <c r="S822" i="44"/>
  <c r="T466" i="44"/>
  <c r="S466" i="44" s="1"/>
  <c r="S465" i="44"/>
  <c r="T588" i="44"/>
  <c r="S587" i="44"/>
  <c r="T794" i="44"/>
  <c r="S793" i="44"/>
  <c r="T589" i="44" l="1"/>
  <c r="S588" i="44"/>
  <c r="T824" i="44"/>
  <c r="S824" i="44" s="1"/>
  <c r="S823" i="44"/>
  <c r="T795" i="44"/>
  <c r="S794" i="44"/>
  <c r="T796" i="44" l="1"/>
  <c r="S795" i="44"/>
  <c r="T590" i="44"/>
  <c r="S589" i="44"/>
  <c r="T591" i="44" l="1"/>
  <c r="S590" i="44"/>
  <c r="T797" i="44"/>
  <c r="S797" i="44" s="1"/>
  <c r="S796" i="44"/>
  <c r="T592" i="44" l="1"/>
  <c r="S591" i="44"/>
  <c r="T593" i="44" l="1"/>
  <c r="S592" i="44"/>
  <c r="T1006" i="44"/>
  <c r="T1007" i="44"/>
  <c r="T1008" i="44"/>
  <c r="T1009" i="44"/>
  <c r="T1010" i="44"/>
  <c r="T1011" i="44"/>
  <c r="T1012" i="44"/>
  <c r="T1013" i="44"/>
  <c r="T1014" i="44"/>
  <c r="T1015" i="44"/>
  <c r="T1016" i="44"/>
  <c r="T1017" i="44"/>
  <c r="T1018" i="44"/>
  <c r="T1019" i="44"/>
  <c r="T1020" i="44"/>
  <c r="T1021" i="44"/>
  <c r="T1022" i="44"/>
  <c r="T1023" i="44"/>
  <c r="T1024" i="44"/>
  <c r="T1025" i="44"/>
  <c r="T594" i="44" l="1"/>
  <c r="S593" i="44"/>
  <c r="I796" i="44"/>
  <c r="I797" i="44"/>
  <c r="G800" i="44"/>
  <c r="G799" i="44"/>
  <c r="G793" i="44"/>
  <c r="G792" i="44"/>
  <c r="G791" i="44"/>
  <c r="G790" i="44"/>
  <c r="G789" i="44"/>
  <c r="G788" i="44"/>
  <c r="G787" i="44"/>
  <c r="G786" i="44"/>
  <c r="G785" i="44"/>
  <c r="G784" i="44"/>
  <c r="G783" i="44"/>
  <c r="G782" i="44"/>
  <c r="G781" i="44"/>
  <c r="T595" i="44" l="1"/>
  <c r="S594" i="44"/>
  <c r="T596" i="44" l="1"/>
  <c r="S595" i="44"/>
  <c r="T597" i="44" l="1"/>
  <c r="S596" i="44"/>
  <c r="T598" i="44" l="1"/>
  <c r="S597" i="44"/>
  <c r="T599" i="44" l="1"/>
  <c r="S598" i="44"/>
  <c r="T600" i="44" l="1"/>
  <c r="S599" i="44"/>
  <c r="Y6" i="24"/>
  <c r="T601" i="44" l="1"/>
  <c r="S600" i="44"/>
  <c r="V6" i="24"/>
  <c r="G97" i="44"/>
  <c r="G98" i="44"/>
  <c r="G100" i="44"/>
  <c r="G99" i="44"/>
  <c r="T602" i="44" l="1"/>
  <c r="S602" i="44" s="1"/>
  <c r="S601" i="44"/>
  <c r="K29" i="150"/>
  <c r="I29" i="150"/>
  <c r="M29" i="150"/>
  <c r="L29" i="150" l="1"/>
  <c r="R258" i="76" l="1"/>
  <c r="Q258" i="76"/>
  <c r="P258" i="76"/>
  <c r="N258" i="76"/>
  <c r="I962" i="44"/>
  <c r="J961" i="44" l="1"/>
  <c r="I861" i="44" l="1"/>
  <c r="R261" i="76"/>
  <c r="Q261" i="76"/>
  <c r="P261" i="76"/>
  <c r="N261" i="76"/>
  <c r="R229" i="76"/>
  <c r="Q229" i="76"/>
  <c r="P229" i="76"/>
  <c r="N229" i="76"/>
  <c r="R255" i="76"/>
  <c r="Q255" i="76"/>
  <c r="P255" i="76"/>
  <c r="N255" i="76"/>
  <c r="R262" i="76"/>
  <c r="Q262" i="76"/>
  <c r="P262" i="76"/>
  <c r="N262" i="76"/>
  <c r="R247" i="76"/>
  <c r="P247" i="76"/>
  <c r="O247" i="76"/>
  <c r="N247" i="76"/>
  <c r="Q227" i="76"/>
  <c r="P227" i="76"/>
  <c r="N227" i="76"/>
  <c r="R224" i="76"/>
  <c r="P224" i="76"/>
  <c r="O224" i="76"/>
  <c r="N224" i="76"/>
  <c r="Q235" i="76"/>
  <c r="P235" i="76"/>
  <c r="N235" i="76"/>
  <c r="R251" i="76"/>
  <c r="Q251" i="76"/>
  <c r="P251" i="76"/>
  <c r="N251" i="76"/>
  <c r="R237" i="76"/>
  <c r="Q237" i="76"/>
  <c r="P237" i="76"/>
  <c r="N237" i="76"/>
  <c r="R267" i="76"/>
  <c r="Q267" i="76"/>
  <c r="P267" i="76"/>
  <c r="R238" i="76"/>
  <c r="Q238" i="76"/>
  <c r="P238" i="76"/>
  <c r="N238" i="76"/>
  <c r="R225" i="76"/>
  <c r="P225" i="76"/>
  <c r="N225" i="76"/>
  <c r="R254" i="76"/>
  <c r="Q254" i="76"/>
  <c r="P254" i="76"/>
  <c r="N254" i="76"/>
  <c r="R256" i="76"/>
  <c r="P256" i="76"/>
  <c r="N256" i="76"/>
  <c r="Q269" i="76"/>
  <c r="P269" i="76"/>
  <c r="N269" i="76"/>
  <c r="R226" i="76"/>
  <c r="Q226" i="76"/>
  <c r="P226" i="76"/>
  <c r="N226" i="76"/>
  <c r="R232" i="76"/>
  <c r="Q232" i="76"/>
  <c r="P232" i="76"/>
  <c r="N232" i="76"/>
  <c r="R233" i="76"/>
  <c r="Q233" i="76"/>
  <c r="P233" i="76"/>
  <c r="N233" i="76"/>
  <c r="R265" i="76"/>
  <c r="P265" i="76"/>
  <c r="N265" i="76"/>
  <c r="R240" i="76"/>
  <c r="Q240" i="76"/>
  <c r="P240" i="76"/>
  <c r="N240" i="76"/>
  <c r="Q228" i="76"/>
  <c r="P228" i="76"/>
  <c r="N228" i="76"/>
  <c r="R259" i="76"/>
  <c r="Q259" i="76"/>
  <c r="P259" i="76"/>
  <c r="N259" i="76"/>
  <c r="R239" i="76"/>
  <c r="Q239" i="76"/>
  <c r="P239" i="76"/>
  <c r="N239" i="76"/>
  <c r="Q242" i="76"/>
  <c r="P242" i="76"/>
  <c r="N242" i="76"/>
  <c r="R243" i="76"/>
  <c r="Q243" i="76"/>
  <c r="P243" i="76"/>
  <c r="N243" i="76"/>
  <c r="Q260" i="76"/>
  <c r="P260" i="76"/>
  <c r="N260" i="76"/>
  <c r="R250" i="76"/>
  <c r="Q250" i="76"/>
  <c r="P250" i="76"/>
  <c r="N250" i="76"/>
  <c r="R257" i="76"/>
  <c r="Q257" i="76"/>
  <c r="P257" i="76"/>
  <c r="N257" i="76"/>
  <c r="R245" i="76"/>
  <c r="Q245" i="76"/>
  <c r="P245" i="76"/>
  <c r="N245" i="76"/>
  <c r="R241" i="76"/>
  <c r="Q230" i="76"/>
  <c r="Q268" i="76"/>
  <c r="P268" i="76"/>
  <c r="N268" i="76"/>
  <c r="R234" i="76"/>
  <c r="Q234" i="76"/>
  <c r="P234" i="76"/>
  <c r="N234" i="76"/>
  <c r="Q248" i="76"/>
  <c r="P248" i="76"/>
  <c r="R252" i="76"/>
  <c r="Q252" i="76"/>
  <c r="P252" i="76"/>
  <c r="N252" i="76"/>
  <c r="Q236" i="76"/>
  <c r="P236" i="76"/>
  <c r="N236" i="76"/>
  <c r="R266" i="76"/>
  <c r="Q266" i="76"/>
  <c r="N266" i="76"/>
  <c r="Q246" i="76"/>
  <c r="P246" i="76"/>
  <c r="N246" i="76"/>
  <c r="Q244" i="76"/>
  <c r="P244" i="76"/>
  <c r="N244" i="76"/>
  <c r="R263" i="76"/>
  <c r="P263" i="76"/>
  <c r="O263" i="76"/>
  <c r="N263" i="76"/>
  <c r="R253" i="76"/>
  <c r="P253" i="76"/>
  <c r="N253" i="76"/>
  <c r="R231" i="76"/>
  <c r="Q231" i="76"/>
  <c r="P231" i="76"/>
  <c r="N231" i="76"/>
  <c r="R249" i="76"/>
  <c r="P249" i="76"/>
  <c r="N249" i="76"/>
  <c r="O140" i="241"/>
  <c r="R260" i="76" l="1"/>
  <c r="R227" i="76"/>
  <c r="J860" i="44"/>
  <c r="B1031" i="44"/>
  <c r="A275" i="76"/>
  <c r="D37" i="150"/>
  <c r="R235" i="76" l="1"/>
  <c r="R268" i="76"/>
  <c r="R246" i="76"/>
  <c r="R269" i="76"/>
  <c r="D29" i="173"/>
  <c r="D130" i="241"/>
  <c r="D151" i="128"/>
  <c r="D36" i="240"/>
  <c r="D617" i="226"/>
  <c r="D57" i="225"/>
  <c r="D49" i="224"/>
  <c r="D119" i="24"/>
  <c r="E4" i="150"/>
  <c r="E3" i="150"/>
  <c r="E4" i="173"/>
  <c r="E3" i="173"/>
  <c r="E4" i="241"/>
  <c r="E3" i="241"/>
  <c r="E4" i="128"/>
  <c r="E3" i="128"/>
  <c r="E4" i="240"/>
  <c r="E3" i="240"/>
  <c r="E4" i="226"/>
  <c r="E3" i="226"/>
  <c r="E3" i="225"/>
  <c r="E4" i="225"/>
  <c r="E3" i="224"/>
  <c r="E4" i="224"/>
  <c r="G3" i="76"/>
  <c r="E3" i="24"/>
  <c r="E4" i="24"/>
  <c r="R230" i="76" l="1"/>
  <c r="W48" i="240" l="1"/>
  <c r="T48" i="240"/>
  <c r="W55" i="240" l="1"/>
  <c r="T53" i="240"/>
  <c r="T55" i="240"/>
  <c r="W54" i="240"/>
  <c r="T54" i="240"/>
  <c r="I72" i="24"/>
  <c r="I89" i="24"/>
  <c r="I97" i="24"/>
  <c r="I100" i="24"/>
  <c r="L266" i="76" s="1"/>
  <c r="I110" i="24"/>
  <c r="I111" i="24"/>
  <c r="I112" i="24"/>
  <c r="B2" i="273"/>
  <c r="H4" i="76"/>
  <c r="M2" i="150"/>
  <c r="M2" i="173"/>
  <c r="M2" i="241"/>
  <c r="M2" i="128"/>
  <c r="M2" i="240"/>
  <c r="M2" i="226"/>
  <c r="M2" i="225"/>
  <c r="M2" i="224"/>
  <c r="M2" i="24"/>
  <c r="M1" i="150"/>
  <c r="M1" i="173"/>
  <c r="M1" i="241"/>
  <c r="M1" i="128"/>
  <c r="M1" i="240"/>
  <c r="M1" i="226"/>
  <c r="M1" i="225"/>
  <c r="M1" i="224"/>
  <c r="M1" i="24"/>
  <c r="W56" i="240" l="1"/>
  <c r="T56" i="240"/>
  <c r="Y2" i="226"/>
  <c r="T346" i="226"/>
  <c r="T345" i="226"/>
  <c r="T344" i="226"/>
  <c r="T343" i="226"/>
  <c r="T342" i="226"/>
  <c r="T335" i="226"/>
  <c r="T334" i="226"/>
  <c r="T333" i="226"/>
  <c r="T332" i="226"/>
  <c r="T331" i="226"/>
  <c r="T330" i="226"/>
  <c r="T329" i="226"/>
  <c r="T328" i="226"/>
  <c r="T327" i="226"/>
  <c r="T326" i="226"/>
  <c r="T325" i="226"/>
  <c r="T324" i="226"/>
  <c r="T323" i="226"/>
  <c r="T322" i="226"/>
  <c r="M111" i="24" l="1"/>
  <c r="M89" i="24"/>
  <c r="M72" i="24"/>
  <c r="I15" i="224"/>
  <c r="I16" i="224"/>
  <c r="I17" i="224"/>
  <c r="I18" i="224"/>
  <c r="I19" i="224"/>
  <c r="I20" i="224"/>
  <c r="I21" i="224"/>
  <c r="I22" i="224"/>
  <c r="I23" i="224"/>
  <c r="I24" i="224"/>
  <c r="I25" i="224"/>
  <c r="I26" i="224"/>
  <c r="I27" i="224"/>
  <c r="I28" i="224"/>
  <c r="I29" i="224"/>
  <c r="I42" i="224"/>
  <c r="G972" i="44"/>
  <c r="G970" i="44"/>
  <c r="G971" i="44"/>
  <c r="T108" i="24"/>
  <c r="G966" i="44" l="1"/>
  <c r="G967" i="44"/>
  <c r="G968" i="44"/>
  <c r="AI336" i="226"/>
  <c r="V6" i="224"/>
  <c r="T109" i="24"/>
  <c r="W35" i="24"/>
  <c r="W108" i="24"/>
  <c r="I108" i="24" s="1"/>
  <c r="L224" i="76" s="1"/>
  <c r="Y6" i="224"/>
  <c r="M6" i="24"/>
  <c r="T37" i="24"/>
  <c r="W38" i="24"/>
  <c r="T35" i="24"/>
  <c r="W37" i="24"/>
  <c r="W109" i="24"/>
  <c r="T38" i="24"/>
  <c r="I37" i="24" l="1"/>
  <c r="L269" i="76" s="1"/>
  <c r="I109" i="24"/>
  <c r="L225" i="76" s="1"/>
  <c r="I35" i="24"/>
  <c r="L268" i="76" s="1"/>
  <c r="I38" i="24"/>
  <c r="L267" i="76" s="1"/>
  <c r="M6" i="128"/>
  <c r="M6" i="224"/>
  <c r="M6" i="150"/>
  <c r="M6" i="240"/>
  <c r="M6" i="241"/>
  <c r="M6" i="225"/>
  <c r="M6" i="173"/>
  <c r="M6" i="226"/>
  <c r="V81" i="24" l="1"/>
  <c r="A10" i="24"/>
  <c r="K72" i="24"/>
  <c r="A48" i="24"/>
  <c r="A9" i="150"/>
  <c r="A9" i="173"/>
  <c r="A9" i="128"/>
  <c r="A9" i="224"/>
  <c r="A9" i="225"/>
  <c r="A9" i="226"/>
  <c r="A9" i="240"/>
  <c r="E2" i="150"/>
  <c r="E2" i="173"/>
  <c r="E2" i="241"/>
  <c r="E2" i="128"/>
  <c r="E2" i="240"/>
  <c r="E2" i="226"/>
  <c r="E2" i="225"/>
  <c r="E2" i="224"/>
  <c r="E2" i="24"/>
  <c r="I24" i="150"/>
  <c r="I30" i="150"/>
  <c r="I20" i="173"/>
  <c r="I12" i="128"/>
  <c r="I13" i="128"/>
  <c r="I48" i="128"/>
  <c r="I51" i="128"/>
  <c r="I60" i="128"/>
  <c r="I61" i="128"/>
  <c r="I75" i="128"/>
  <c r="I91" i="128"/>
  <c r="I94" i="128"/>
  <c r="I103" i="128"/>
  <c r="I104" i="128"/>
  <c r="I135" i="128"/>
  <c r="I143" i="128"/>
  <c r="I144" i="128"/>
  <c r="I28" i="240"/>
  <c r="I29" i="240"/>
  <c r="I32" i="226"/>
  <c r="I44" i="226"/>
  <c r="I45" i="226"/>
  <c r="I49" i="226"/>
  <c r="I65" i="226"/>
  <c r="I98" i="226"/>
  <c r="I125" i="226"/>
  <c r="I129" i="226"/>
  <c r="I145" i="226"/>
  <c r="I169" i="226"/>
  <c r="I185" i="226"/>
  <c r="I197" i="226"/>
  <c r="I200" i="226"/>
  <c r="I204" i="226"/>
  <c r="I220" i="226"/>
  <c r="I317" i="226"/>
  <c r="I405" i="226"/>
  <c r="I419" i="226"/>
  <c r="I423" i="226"/>
  <c r="I425" i="226"/>
  <c r="I429" i="226"/>
  <c r="I443" i="226"/>
  <c r="I445" i="226"/>
  <c r="I449" i="226"/>
  <c r="I541" i="226"/>
  <c r="I543" i="226"/>
  <c r="I544" i="226"/>
  <c r="I561" i="226"/>
  <c r="O249" i="76" s="1"/>
  <c r="I565" i="226"/>
  <c r="I567" i="226"/>
  <c r="I573" i="226"/>
  <c r="I582" i="226"/>
  <c r="I583" i="226"/>
  <c r="I594" i="226"/>
  <c r="I595" i="226"/>
  <c r="I609" i="226"/>
  <c r="I610" i="226"/>
  <c r="I23" i="225"/>
  <c r="N241" i="76" s="1"/>
  <c r="I28" i="225"/>
  <c r="I30" i="225"/>
  <c r="I49" i="225"/>
  <c r="I50" i="225"/>
  <c r="Y21" i="24"/>
  <c r="A9" i="24"/>
  <c r="V21" i="24"/>
  <c r="D20" i="273"/>
  <c r="N267" i="76" l="1"/>
  <c r="L89" i="24"/>
  <c r="K89" i="24"/>
  <c r="Q263" i="76"/>
  <c r="Q224" i="76"/>
  <c r="N264" i="76"/>
  <c r="Q241" i="76"/>
  <c r="L72" i="24"/>
  <c r="G556" i="44" l="1"/>
  <c r="I63" i="44" l="1"/>
  <c r="I65" i="44"/>
  <c r="J62" i="44" l="1"/>
  <c r="J64" i="44"/>
  <c r="R228" i="76"/>
  <c r="R236" i="76"/>
  <c r="R244" i="76"/>
  <c r="R242" i="76" l="1"/>
  <c r="W43" i="226" l="1"/>
  <c r="W39" i="226"/>
  <c r="R43" i="226"/>
  <c r="X43" i="226"/>
  <c r="AA43" i="226"/>
  <c r="Z42" i="226" s="1"/>
  <c r="U43" i="226"/>
  <c r="K32" i="226"/>
  <c r="T39" i="226"/>
  <c r="Z40" i="226" l="1"/>
  <c r="Z41" i="226"/>
  <c r="I39" i="226"/>
  <c r="L32" i="226"/>
  <c r="M32" i="226" s="1"/>
  <c r="T43" i="226"/>
  <c r="AA239" i="226"/>
  <c r="Z237" i="226" s="1"/>
  <c r="X239" i="226"/>
  <c r="U239" i="226"/>
  <c r="R239" i="226"/>
  <c r="Q238" i="226" s="1"/>
  <c r="W239" i="226"/>
  <c r="T239" i="226"/>
  <c r="W576" i="226"/>
  <c r="W575" i="226"/>
  <c r="G1000" i="44"/>
  <c r="G998" i="44"/>
  <c r="G77" i="44"/>
  <c r="G78" i="44"/>
  <c r="G79" i="44"/>
  <c r="G76" i="44"/>
  <c r="G71" i="44"/>
  <c r="G70" i="44"/>
  <c r="G68" i="44"/>
  <c r="G73" i="44" s="1"/>
  <c r="G67" i="44"/>
  <c r="G74" i="44" s="1"/>
  <c r="Z236" i="226" l="1"/>
  <c r="W382" i="226"/>
  <c r="W380" i="226"/>
  <c r="W366" i="226"/>
  <c r="W383" i="226"/>
  <c r="W384" i="226"/>
  <c r="W360" i="226"/>
  <c r="W368" i="226"/>
  <c r="W365" i="226"/>
  <c r="W361" i="226"/>
  <c r="W363" i="226"/>
  <c r="W362" i="226"/>
  <c r="W370" i="226"/>
  <c r="W373" i="226"/>
  <c r="W367" i="226"/>
  <c r="W369" i="226"/>
  <c r="W371" i="226"/>
  <c r="W364" i="226"/>
  <c r="W372" i="226"/>
  <c r="W381" i="226"/>
  <c r="W285" i="226"/>
  <c r="W290" i="226"/>
  <c r="W307" i="226"/>
  <c r="W287" i="226"/>
  <c r="W304" i="226"/>
  <c r="W284" i="226"/>
  <c r="W289" i="226"/>
  <c r="W306" i="226"/>
  <c r="W294" i="226"/>
  <c r="W291" i="226"/>
  <c r="W308" i="226"/>
  <c r="W288" i="226"/>
  <c r="W305" i="226"/>
  <c r="W293" i="226"/>
  <c r="W295" i="226"/>
  <c r="W292" i="226"/>
  <c r="W297" i="226"/>
  <c r="W286" i="226"/>
  <c r="W296" i="226"/>
  <c r="W322" i="226"/>
  <c r="I322" i="226" s="1"/>
  <c r="W345" i="226"/>
  <c r="I345" i="226" s="1"/>
  <c r="W343" i="226"/>
  <c r="I343" i="226" s="1"/>
  <c r="W323" i="226"/>
  <c r="I323" i="226" s="1"/>
  <c r="W331" i="226"/>
  <c r="I331" i="226" s="1"/>
  <c r="W330" i="226"/>
  <c r="I330" i="226" s="1"/>
  <c r="W325" i="226"/>
  <c r="I325" i="226" s="1"/>
  <c r="W333" i="226"/>
  <c r="I333" i="226" s="1"/>
  <c r="W342" i="226"/>
  <c r="I342" i="226" s="1"/>
  <c r="W328" i="226"/>
  <c r="I328" i="226" s="1"/>
  <c r="W326" i="226"/>
  <c r="I326" i="226" s="1"/>
  <c r="W324" i="226"/>
  <c r="I324" i="226" s="1"/>
  <c r="W327" i="226"/>
  <c r="I327" i="226" s="1"/>
  <c r="W335" i="226"/>
  <c r="I335" i="226" s="1"/>
  <c r="W344" i="226"/>
  <c r="I344" i="226" s="1"/>
  <c r="W334" i="226"/>
  <c r="I334" i="226" s="1"/>
  <c r="W332" i="226"/>
  <c r="I332" i="226" s="1"/>
  <c r="W329" i="226"/>
  <c r="I329" i="226" s="1"/>
  <c r="W346" i="226"/>
  <c r="I346" i="226" s="1"/>
  <c r="I43" i="226"/>
  <c r="I239" i="226"/>
  <c r="G80" i="44"/>
  <c r="AI38" i="226"/>
  <c r="Q237" i="226"/>
  <c r="Q236" i="226"/>
  <c r="Z238" i="226"/>
  <c r="W238" i="226"/>
  <c r="W236" i="226"/>
  <c r="W237" i="226"/>
  <c r="T236" i="226"/>
  <c r="T238" i="226"/>
  <c r="T237" i="226"/>
  <c r="W554" i="226"/>
  <c r="W549" i="226"/>
  <c r="W559" i="226"/>
  <c r="Q271" i="226"/>
  <c r="Z271" i="226"/>
  <c r="W128" i="226"/>
  <c r="Z105" i="226"/>
  <c r="Q105" i="226"/>
  <c r="O628" i="226"/>
  <c r="K98" i="226"/>
  <c r="Z258" i="226"/>
  <c r="Q258" i="226"/>
  <c r="Z222" i="226"/>
  <c r="Q221" i="226"/>
  <c r="Z212" i="226"/>
  <c r="Q212" i="226"/>
  <c r="Z202" i="226"/>
  <c r="Q202" i="226"/>
  <c r="Z177" i="226"/>
  <c r="Q177" i="226"/>
  <c r="Z160" i="226"/>
  <c r="Q160" i="226"/>
  <c r="Z137" i="226"/>
  <c r="Q137" i="226"/>
  <c r="Z127" i="226"/>
  <c r="Q127" i="226"/>
  <c r="Z90" i="226"/>
  <c r="Q90" i="226"/>
  <c r="Z57" i="226"/>
  <c r="Q57" i="226"/>
  <c r="Z47" i="226"/>
  <c r="Q47" i="226"/>
  <c r="Z16" i="226"/>
  <c r="W217" i="226"/>
  <c r="W210" i="226"/>
  <c r="W209" i="226"/>
  <c r="W208" i="226"/>
  <c r="W207" i="226"/>
  <c r="W206" i="226"/>
  <c r="W205" i="226"/>
  <c r="W203" i="226"/>
  <c r="W182" i="226"/>
  <c r="W175" i="226"/>
  <c r="W174" i="226"/>
  <c r="W173" i="226"/>
  <c r="W172" i="226"/>
  <c r="W171" i="226"/>
  <c r="W170" i="226"/>
  <c r="W142" i="226"/>
  <c r="W141" i="226"/>
  <c r="W140" i="226"/>
  <c r="W139" i="226"/>
  <c r="W138" i="226"/>
  <c r="W135" i="226"/>
  <c r="W134" i="226"/>
  <c r="W133" i="226"/>
  <c r="W132" i="226"/>
  <c r="W131" i="226"/>
  <c r="W130" i="226"/>
  <c r="W62" i="226"/>
  <c r="W61" i="226"/>
  <c r="W60" i="226"/>
  <c r="W59" i="226"/>
  <c r="W58" i="226"/>
  <c r="W55" i="226"/>
  <c r="W54" i="226"/>
  <c r="W53" i="226"/>
  <c r="W52" i="226"/>
  <c r="W51" i="226"/>
  <c r="W50" i="226"/>
  <c r="W48" i="226"/>
  <c r="T48" i="226"/>
  <c r="T50" i="226"/>
  <c r="T51" i="226"/>
  <c r="T52" i="226"/>
  <c r="T53" i="226"/>
  <c r="I53" i="226" s="1"/>
  <c r="T54" i="226"/>
  <c r="T55" i="226"/>
  <c r="I55" i="226" s="1"/>
  <c r="T58" i="226"/>
  <c r="T59" i="226"/>
  <c r="T60" i="226"/>
  <c r="T61" i="226"/>
  <c r="I61" i="226" s="1"/>
  <c r="T62" i="226"/>
  <c r="T128" i="226"/>
  <c r="T130" i="226"/>
  <c r="T131" i="226"/>
  <c r="T132" i="226"/>
  <c r="T133" i="226"/>
  <c r="T134" i="226"/>
  <c r="T135" i="226"/>
  <c r="T138" i="226"/>
  <c r="T139" i="226"/>
  <c r="T140" i="226"/>
  <c r="T141" i="226"/>
  <c r="T142" i="226"/>
  <c r="T170" i="226"/>
  <c r="T171" i="226"/>
  <c r="T172" i="226"/>
  <c r="I172" i="226" s="1"/>
  <c r="T173" i="226"/>
  <c r="T174" i="226"/>
  <c r="T175" i="226"/>
  <c r="T182" i="226"/>
  <c r="I182" i="226" s="1"/>
  <c r="T203" i="226"/>
  <c r="T205" i="226"/>
  <c r="T206" i="226"/>
  <c r="T207" i="226"/>
  <c r="T208" i="226"/>
  <c r="T209" i="226"/>
  <c r="T210" i="226"/>
  <c r="T217" i="226"/>
  <c r="K197" i="226"/>
  <c r="K220" i="226"/>
  <c r="K204" i="226"/>
  <c r="K200" i="226"/>
  <c r="K169" i="226"/>
  <c r="O627" i="226"/>
  <c r="K145" i="226"/>
  <c r="K129" i="226"/>
  <c r="K65" i="226"/>
  <c r="K49" i="226"/>
  <c r="K45" i="226"/>
  <c r="K44" i="226"/>
  <c r="I59" i="226" l="1"/>
  <c r="I51" i="226"/>
  <c r="I128" i="226"/>
  <c r="I210" i="226"/>
  <c r="I206" i="226"/>
  <c r="I140" i="226"/>
  <c r="I134" i="226"/>
  <c r="I130" i="226"/>
  <c r="I173" i="226"/>
  <c r="W580" i="226"/>
  <c r="I203" i="226"/>
  <c r="L169" i="226"/>
  <c r="M169" i="226" s="1"/>
  <c r="L49" i="226"/>
  <c r="M49" i="226" s="1"/>
  <c r="L145" i="226"/>
  <c r="M145" i="226" s="1"/>
  <c r="L197" i="226"/>
  <c r="M197" i="226" s="1"/>
  <c r="L204" i="226"/>
  <c r="M204" i="226" s="1"/>
  <c r="L45" i="226"/>
  <c r="M45" i="226" s="1"/>
  <c r="L129" i="226"/>
  <c r="M129" i="226" s="1"/>
  <c r="L98" i="226"/>
  <c r="M98" i="226" s="1"/>
  <c r="I139" i="226"/>
  <c r="I133" i="226"/>
  <c r="I238" i="226"/>
  <c r="I236" i="226"/>
  <c r="I208" i="226"/>
  <c r="I62" i="226"/>
  <c r="I58" i="226"/>
  <c r="I52" i="226"/>
  <c r="I207" i="226"/>
  <c r="I175" i="226"/>
  <c r="I171" i="226"/>
  <c r="I142" i="226"/>
  <c r="I138" i="226"/>
  <c r="I132" i="226"/>
  <c r="I60" i="226"/>
  <c r="I54" i="226"/>
  <c r="I50" i="226"/>
  <c r="I237" i="226"/>
  <c r="I217" i="226"/>
  <c r="I209" i="226"/>
  <c r="I205" i="226"/>
  <c r="I174" i="226"/>
  <c r="I170" i="226"/>
  <c r="I141" i="226"/>
  <c r="I135" i="226"/>
  <c r="I131" i="226"/>
  <c r="I48" i="226"/>
  <c r="AI278" i="226"/>
  <c r="T64" i="226"/>
  <c r="T143" i="226"/>
  <c r="W587" i="226"/>
  <c r="T126" i="226"/>
  <c r="T144" i="226"/>
  <c r="T178" i="226"/>
  <c r="T180" i="226"/>
  <c r="T201" i="226"/>
  <c r="T214" i="226"/>
  <c r="T216" i="226"/>
  <c r="T219" i="226"/>
  <c r="T136" i="226"/>
  <c r="T63" i="226"/>
  <c r="T183" i="226"/>
  <c r="T179" i="226"/>
  <c r="T181" i="226"/>
  <c r="T184" i="226"/>
  <c r="T213" i="226"/>
  <c r="T215" i="226"/>
  <c r="T218" i="226"/>
  <c r="T56" i="226"/>
  <c r="W126" i="226"/>
  <c r="O267" i="76"/>
  <c r="T222" i="226"/>
  <c r="Z221" i="226"/>
  <c r="Z223" i="226"/>
  <c r="T221" i="226"/>
  <c r="Q223" i="226"/>
  <c r="Q222" i="226"/>
  <c r="T223" i="226"/>
  <c r="W223" i="226"/>
  <c r="W221" i="226"/>
  <c r="W222" i="226"/>
  <c r="W56" i="226"/>
  <c r="T46" i="226"/>
  <c r="W63" i="226"/>
  <c r="W143" i="226"/>
  <c r="W179" i="226"/>
  <c r="W181" i="226"/>
  <c r="W184" i="226"/>
  <c r="W215" i="226"/>
  <c r="W218" i="226"/>
  <c r="W136" i="226"/>
  <c r="W46" i="226"/>
  <c r="W64" i="226"/>
  <c r="W144" i="226"/>
  <c r="W180" i="226"/>
  <c r="W201" i="226"/>
  <c r="W216" i="226"/>
  <c r="W219" i="226"/>
  <c r="Q16" i="226"/>
  <c r="W178" i="226"/>
  <c r="W183" i="226"/>
  <c r="W214" i="226"/>
  <c r="L200" i="226"/>
  <c r="M200" i="226" s="1"/>
  <c r="L220" i="226"/>
  <c r="M220" i="226" s="1"/>
  <c r="L65" i="226"/>
  <c r="M65" i="226" s="1"/>
  <c r="L44" i="226"/>
  <c r="O641" i="226"/>
  <c r="O251" i="76" l="1"/>
  <c r="W47" i="240"/>
  <c r="T47" i="240"/>
  <c r="I63" i="226"/>
  <c r="I181" i="226"/>
  <c r="I221" i="226"/>
  <c r="I218" i="226"/>
  <c r="I222" i="226"/>
  <c r="I56" i="226"/>
  <c r="I179" i="226"/>
  <c r="I219" i="226"/>
  <c r="I201" i="226"/>
  <c r="I178" i="226"/>
  <c r="I126" i="226"/>
  <c r="I136" i="226"/>
  <c r="I143" i="226"/>
  <c r="I46" i="226"/>
  <c r="I223" i="226"/>
  <c r="I216" i="226"/>
  <c r="I144" i="226"/>
  <c r="I64" i="226"/>
  <c r="I215" i="226"/>
  <c r="I184" i="226"/>
  <c r="I183" i="226"/>
  <c r="I214" i="226"/>
  <c r="I180" i="226"/>
  <c r="T211" i="226"/>
  <c r="T176" i="226"/>
  <c r="W521" i="226"/>
  <c r="W211" i="226"/>
  <c r="W176" i="226"/>
  <c r="W213" i="226"/>
  <c r="I213" i="226" s="1"/>
  <c r="AI250" i="226"/>
  <c r="AI220" i="226"/>
  <c r="AI204" i="226"/>
  <c r="AI268" i="226"/>
  <c r="AI196" i="226"/>
  <c r="AI145" i="226"/>
  <c r="AI129" i="226"/>
  <c r="AI44" i="226"/>
  <c r="AI65" i="226"/>
  <c r="AI49" i="226"/>
  <c r="AI45" i="226"/>
  <c r="O238" i="76" l="1"/>
  <c r="O237" i="76"/>
  <c r="I211" i="226"/>
  <c r="I176" i="226"/>
  <c r="W529" i="226"/>
  <c r="AI29" i="226"/>
  <c r="AI18" i="226"/>
  <c r="K449" i="226" l="1"/>
  <c r="K445" i="226"/>
  <c r="K443" i="226"/>
  <c r="K429" i="226"/>
  <c r="K425" i="226"/>
  <c r="K423" i="226"/>
  <c r="K419" i="226"/>
  <c r="K405" i="226"/>
  <c r="K185" i="226"/>
  <c r="K125" i="226"/>
  <c r="K594" i="226"/>
  <c r="T366" i="226" l="1"/>
  <c r="I366" i="226" s="1"/>
  <c r="T383" i="226"/>
  <c r="I383" i="226" s="1"/>
  <c r="T363" i="226"/>
  <c r="I363" i="226" s="1"/>
  <c r="T371" i="226"/>
  <c r="I371" i="226" s="1"/>
  <c r="T380" i="226"/>
  <c r="I380" i="226" s="1"/>
  <c r="T360" i="226"/>
  <c r="I360" i="226" s="1"/>
  <c r="T368" i="226"/>
  <c r="I368" i="226" s="1"/>
  <c r="T365" i="226"/>
  <c r="I365" i="226" s="1"/>
  <c r="T373" i="226"/>
  <c r="I373" i="226" s="1"/>
  <c r="T382" i="226"/>
  <c r="I382" i="226" s="1"/>
  <c r="T362" i="226"/>
  <c r="I362" i="226" s="1"/>
  <c r="T370" i="226"/>
  <c r="I370" i="226" s="1"/>
  <c r="T367" i="226"/>
  <c r="I367" i="226" s="1"/>
  <c r="T384" i="226"/>
  <c r="I384" i="226" s="1"/>
  <c r="T364" i="226"/>
  <c r="I364" i="226" s="1"/>
  <c r="T372" i="226"/>
  <c r="I372" i="226" s="1"/>
  <c r="T381" i="226"/>
  <c r="I381" i="226" s="1"/>
  <c r="T361" i="226"/>
  <c r="I361" i="226" s="1"/>
  <c r="T369" i="226"/>
  <c r="I369" i="226" s="1"/>
  <c r="T285" i="226"/>
  <c r="I285" i="226" s="1"/>
  <c r="T296" i="226"/>
  <c r="I296" i="226" s="1"/>
  <c r="T290" i="226"/>
  <c r="I290" i="226" s="1"/>
  <c r="T297" i="226"/>
  <c r="I297" i="226" s="1"/>
  <c r="T292" i="226"/>
  <c r="I292" i="226" s="1"/>
  <c r="T307" i="226"/>
  <c r="I307" i="226" s="1"/>
  <c r="T295" i="226"/>
  <c r="I295" i="226" s="1"/>
  <c r="T304" i="226"/>
  <c r="I304" i="226" s="1"/>
  <c r="T286" i="226"/>
  <c r="I286" i="226" s="1"/>
  <c r="T293" i="226"/>
  <c r="I293" i="226" s="1"/>
  <c r="T306" i="226"/>
  <c r="I306" i="226" s="1"/>
  <c r="T288" i="226"/>
  <c r="I288" i="226" s="1"/>
  <c r="T291" i="226"/>
  <c r="I291" i="226" s="1"/>
  <c r="T308" i="226"/>
  <c r="I308" i="226" s="1"/>
  <c r="T289" i="226"/>
  <c r="I289" i="226" s="1"/>
  <c r="T284" i="226"/>
  <c r="I284" i="226" s="1"/>
  <c r="T287" i="226"/>
  <c r="I287" i="226" s="1"/>
  <c r="T294" i="226"/>
  <c r="I294" i="226" s="1"/>
  <c r="T305" i="226"/>
  <c r="I305" i="226" s="1"/>
  <c r="Y40" i="226"/>
  <c r="W40" i="226" s="1"/>
  <c r="V83" i="24"/>
  <c r="V82" i="24"/>
  <c r="O252" i="76"/>
  <c r="O236" i="76"/>
  <c r="L419" i="226"/>
  <c r="M419" i="226" s="1"/>
  <c r="L443" i="226"/>
  <c r="M443" i="226" s="1"/>
  <c r="L405" i="226"/>
  <c r="M405" i="226" s="1"/>
  <c r="L425" i="226"/>
  <c r="M425" i="226" s="1"/>
  <c r="L594" i="226"/>
  <c r="M594" i="226" s="1"/>
  <c r="L423" i="226"/>
  <c r="M423" i="226" s="1"/>
  <c r="L449" i="226"/>
  <c r="M449" i="226" s="1"/>
  <c r="L445" i="226"/>
  <c r="M445" i="226" s="1"/>
  <c r="L429" i="226"/>
  <c r="M429" i="226" s="1"/>
  <c r="L125" i="226"/>
  <c r="M125" i="226" s="1"/>
  <c r="L185" i="226"/>
  <c r="M185" i="226" s="1"/>
  <c r="Y481" i="226" l="1"/>
  <c r="Y442" i="226"/>
  <c r="Y462" i="226"/>
  <c r="Y422" i="226"/>
  <c r="Y27" i="240"/>
  <c r="Y41" i="226"/>
  <c r="W41" i="226" s="1"/>
  <c r="Y42" i="226"/>
  <c r="W42" i="226" s="1"/>
  <c r="Y137" i="226"/>
  <c r="W137" i="226" s="1"/>
  <c r="Y127" i="226"/>
  <c r="W127" i="226" s="1"/>
  <c r="Y47" i="226"/>
  <c r="W47" i="226" s="1"/>
  <c r="Y202" i="226"/>
  <c r="W202" i="226" s="1"/>
  <c r="Y177" i="226"/>
  <c r="W177" i="226" s="1"/>
  <c r="Y57" i="226"/>
  <c r="W57" i="226" s="1"/>
  <c r="Y212" i="226"/>
  <c r="W212" i="226" s="1"/>
  <c r="Y592" i="226"/>
  <c r="Y571" i="226"/>
  <c r="Y271" i="226"/>
  <c r="W271" i="226" s="1"/>
  <c r="Y105" i="226"/>
  <c r="Y90" i="226"/>
  <c r="Y258" i="226"/>
  <c r="Y160" i="226"/>
  <c r="Y14" i="240"/>
  <c r="Y608" i="226"/>
  <c r="Y508" i="226"/>
  <c r="Y16" i="226"/>
  <c r="W16" i="226" s="1"/>
  <c r="W516" i="226"/>
  <c r="AI445" i="226"/>
  <c r="AI403" i="226"/>
  <c r="AI424" i="226"/>
  <c r="AI405" i="226"/>
  <c r="AI443" i="226"/>
  <c r="AI444" i="226"/>
  <c r="AI429" i="226"/>
  <c r="AI425" i="226"/>
  <c r="AI423" i="226"/>
  <c r="AI404" i="226"/>
  <c r="AI11" i="226"/>
  <c r="AI504" i="226"/>
  <c r="AI503" i="226"/>
  <c r="G11" i="252" l="1"/>
  <c r="G10" i="252"/>
  <c r="G27" i="252"/>
  <c r="G26" i="252"/>
  <c r="G25" i="252"/>
  <c r="G24" i="252"/>
  <c r="G23" i="252"/>
  <c r="G22" i="252"/>
  <c r="G21" i="252"/>
  <c r="G20" i="252"/>
  <c r="G7" i="252"/>
  <c r="G8" i="252"/>
  <c r="G9" i="252"/>
  <c r="G12" i="252"/>
  <c r="G13" i="252"/>
  <c r="G14" i="252"/>
  <c r="G15" i="252"/>
  <c r="G16" i="252"/>
  <c r="G17" i="252"/>
  <c r="G18" i="252"/>
  <c r="G19" i="252"/>
  <c r="J7" i="252"/>
  <c r="H7" i="252"/>
  <c r="G312" i="44"/>
  <c r="G313" i="44" s="1"/>
  <c r="G301" i="44"/>
  <c r="G302" i="44" s="1"/>
  <c r="G321" i="44"/>
  <c r="G322" i="44" s="1"/>
  <c r="G334" i="44"/>
  <c r="G335" i="44" s="1"/>
  <c r="G347" i="44"/>
  <c r="G348" i="44" s="1"/>
  <c r="G346" i="44"/>
  <c r="G345" i="44"/>
  <c r="G344" i="44"/>
  <c r="G341" i="44"/>
  <c r="G343" i="44"/>
  <c r="G342" i="44"/>
  <c r="G340" i="44"/>
  <c r="G333" i="44"/>
  <c r="G332" i="44"/>
  <c r="G331" i="44"/>
  <c r="G330" i="44"/>
  <c r="G329" i="44"/>
  <c r="G328" i="44"/>
  <c r="G327" i="44"/>
  <c r="G320" i="44"/>
  <c r="G319" i="44"/>
  <c r="G318" i="44"/>
  <c r="G317" i="44"/>
  <c r="G316" i="44"/>
  <c r="G315" i="44"/>
  <c r="G309" i="44"/>
  <c r="G307" i="44"/>
  <c r="G306" i="44"/>
  <c r="G368" i="44"/>
  <c r="G374" i="44"/>
  <c r="G372" i="44"/>
  <c r="G371" i="44"/>
  <c r="G362" i="44"/>
  <c r="G360" i="44"/>
  <c r="G359" i="44"/>
  <c r="G304" i="44"/>
  <c r="G380" i="44"/>
  <c r="G366" i="44"/>
  <c r="G365" i="44"/>
  <c r="G298" i="44"/>
  <c r="G296" i="44"/>
  <c r="G297" i="44" s="1"/>
  <c r="G295" i="44"/>
  <c r="G354" i="44"/>
  <c r="G356" i="44"/>
  <c r="G357" i="44" s="1"/>
  <c r="G353" i="44"/>
  <c r="G377" i="44"/>
  <c r="G293" i="44"/>
  <c r="I17" i="252" l="1"/>
  <c r="K17" i="252" s="1"/>
  <c r="I11" i="252"/>
  <c r="K11" i="252" s="1"/>
  <c r="I21" i="252"/>
  <c r="K21" i="252" s="1"/>
  <c r="I25" i="252"/>
  <c r="K25" i="252" s="1"/>
  <c r="G324" i="44"/>
  <c r="G325" i="44" s="1"/>
  <c r="I20" i="252"/>
  <c r="K20" i="252" s="1"/>
  <c r="I24" i="252"/>
  <c r="K24" i="252" s="1"/>
  <c r="I18" i="252"/>
  <c r="K18" i="252" s="1"/>
  <c r="I22" i="252"/>
  <c r="K22" i="252" s="1"/>
  <c r="I26" i="252"/>
  <c r="K26" i="252" s="1"/>
  <c r="I23" i="252"/>
  <c r="K23" i="252" s="1"/>
  <c r="I27" i="252"/>
  <c r="K27" i="252" s="1"/>
  <c r="I10" i="252"/>
  <c r="K10" i="252" s="1"/>
  <c r="I19" i="252"/>
  <c r="K19" i="252" s="1"/>
  <c r="I13" i="252"/>
  <c r="K13" i="252" s="1"/>
  <c r="I7" i="252"/>
  <c r="K7" i="252" s="1"/>
  <c r="I14" i="252"/>
  <c r="K14" i="252" s="1"/>
  <c r="I8" i="252"/>
  <c r="K8" i="252" s="1"/>
  <c r="I16" i="252"/>
  <c r="K16" i="252" s="1"/>
  <c r="I12" i="252"/>
  <c r="K12" i="252" s="1"/>
  <c r="I15" i="252"/>
  <c r="K15" i="252" s="1"/>
  <c r="I9" i="252"/>
  <c r="K9" i="252" s="1"/>
  <c r="G337" i="44"/>
  <c r="G350" i="44"/>
  <c r="G375" i="44"/>
  <c r="G363" i="44"/>
  <c r="G308" i="44"/>
  <c r="G381" i="44"/>
  <c r="G369" i="44"/>
  <c r="T575" i="226"/>
  <c r="I575" i="226" s="1"/>
  <c r="T576" i="226"/>
  <c r="I576" i="226" s="1"/>
  <c r="O227" i="76" s="1"/>
  <c r="G338" i="44" l="1"/>
  <c r="G351" i="44"/>
  <c r="G596" i="44" l="1"/>
  <c r="X543" i="226"/>
  <c r="AA543" i="226"/>
  <c r="Z562" i="226" s="1"/>
  <c r="R543" i="226"/>
  <c r="Q562" i="226" s="1"/>
  <c r="U543" i="226"/>
  <c r="T562" i="226" s="1"/>
  <c r="AA549" i="226"/>
  <c r="R549" i="226"/>
  <c r="U549" i="226"/>
  <c r="X549" i="226"/>
  <c r="X554" i="226"/>
  <c r="AA554" i="226"/>
  <c r="R554" i="226"/>
  <c r="U554" i="226"/>
  <c r="X558" i="226"/>
  <c r="AA558" i="226"/>
  <c r="R558" i="226"/>
  <c r="U558" i="226"/>
  <c r="AA544" i="226"/>
  <c r="Z563" i="226" s="1"/>
  <c r="R544" i="226"/>
  <c r="Q563" i="226" s="1"/>
  <c r="U544" i="226"/>
  <c r="T563" i="226" s="1"/>
  <c r="X544" i="226"/>
  <c r="W563" i="226" s="1"/>
  <c r="X550" i="226"/>
  <c r="AA550" i="226"/>
  <c r="R550" i="226"/>
  <c r="U550" i="226"/>
  <c r="AA556" i="226"/>
  <c r="R556" i="226"/>
  <c r="U556" i="226"/>
  <c r="X556" i="226"/>
  <c r="X559" i="226"/>
  <c r="AA559" i="226"/>
  <c r="R559" i="226"/>
  <c r="U559" i="226"/>
  <c r="AA560" i="226"/>
  <c r="R560" i="226"/>
  <c r="U560" i="226"/>
  <c r="X560" i="226"/>
  <c r="W160" i="226" l="1"/>
  <c r="I562" i="226"/>
  <c r="W592" i="226"/>
  <c r="I563" i="226"/>
  <c r="O250" i="76" s="1"/>
  <c r="T587" i="226"/>
  <c r="I587" i="226" s="1"/>
  <c r="O262" i="76" s="1"/>
  <c r="W90" i="226" l="1"/>
  <c r="W258" i="226"/>
  <c r="Z571" i="226"/>
  <c r="Q571" i="226"/>
  <c r="W105" i="226"/>
  <c r="O244" i="76"/>
  <c r="T550" i="226"/>
  <c r="O225" i="76" l="1"/>
  <c r="T560" i="226"/>
  <c r="T529" i="226"/>
  <c r="I529" i="226" s="1"/>
  <c r="T559" i="226"/>
  <c r="I559" i="226" s="1"/>
  <c r="O261" i="76" s="1"/>
  <c r="T558" i="226"/>
  <c r="T554" i="226"/>
  <c r="I554" i="226" s="1"/>
  <c r="T549" i="226"/>
  <c r="T556" i="226" l="1"/>
  <c r="W558" i="226"/>
  <c r="I558" i="226" s="1"/>
  <c r="W560" i="226"/>
  <c r="I560" i="226" s="1"/>
  <c r="I549" i="226"/>
  <c r="W556" i="226"/>
  <c r="W550" i="226"/>
  <c r="O259" i="76"/>
  <c r="T521" i="226"/>
  <c r="I521" i="226" s="1"/>
  <c r="O255" i="76" s="1"/>
  <c r="T580" i="226"/>
  <c r="I580" i="226" s="1"/>
  <c r="O245" i="76" l="1"/>
  <c r="I556" i="226"/>
  <c r="O269" i="76"/>
  <c r="I550" i="226"/>
  <c r="O258" i="76" s="1"/>
  <c r="O243" i="76"/>
  <c r="O228" i="76"/>
  <c r="O240" i="76" l="1"/>
  <c r="O242" i="76"/>
  <c r="W571" i="226"/>
  <c r="O253" i="76"/>
  <c r="O256" i="76" l="1"/>
  <c r="O257" i="76"/>
  <c r="T516" i="226"/>
  <c r="I516" i="226" s="1"/>
  <c r="O226" i="76" s="1"/>
  <c r="O239" i="76"/>
  <c r="O268" i="76"/>
  <c r="O246" i="76"/>
  <c r="O265" i="76" l="1"/>
  <c r="O260" i="76"/>
  <c r="T601" i="226"/>
  <c r="T600" i="226"/>
  <c r="W508" i="226"/>
  <c r="T605" i="226"/>
  <c r="W601" i="226"/>
  <c r="W600" i="226"/>
  <c r="W605" i="226"/>
  <c r="W599" i="226"/>
  <c r="O266" i="76"/>
  <c r="I600" i="226" l="1"/>
  <c r="O241" i="76"/>
  <c r="I605" i="226"/>
  <c r="T599" i="226"/>
  <c r="I599" i="226" s="1"/>
  <c r="I601" i="226"/>
  <c r="T49" i="240"/>
  <c r="T50" i="240" s="1"/>
  <c r="W52" i="240"/>
  <c r="W49" i="240"/>
  <c r="W50" i="240" s="1"/>
  <c r="O234" i="76" l="1"/>
  <c r="O231" i="76"/>
  <c r="O229" i="76"/>
  <c r="O232" i="76"/>
  <c r="T52" i="240"/>
  <c r="O254" i="76" l="1"/>
  <c r="K30" i="150" l="1"/>
  <c r="AI9" i="225" l="1"/>
  <c r="AI10" i="150"/>
  <c r="AI41" i="225"/>
  <c r="AI29" i="225"/>
  <c r="AI14" i="224"/>
  <c r="AI17" i="224"/>
  <c r="AI24" i="224"/>
  <c r="AI21" i="225"/>
  <c r="AI10" i="224"/>
  <c r="AI10" i="225"/>
  <c r="AI22" i="225"/>
  <c r="AI34" i="225"/>
  <c r="AI42" i="225"/>
  <c r="AI35" i="225"/>
  <c r="AI20" i="225"/>
  <c r="AI28" i="225"/>
  <c r="AI19" i="224"/>
  <c r="AI28" i="224"/>
  <c r="AA23" i="225"/>
  <c r="X23" i="225"/>
  <c r="U23" i="225"/>
  <c r="T24" i="225" s="1"/>
  <c r="T27" i="225" s="1"/>
  <c r="R23" i="225"/>
  <c r="Q24" i="225" s="1"/>
  <c r="Z24" i="225"/>
  <c r="Z27" i="225" s="1"/>
  <c r="W24" i="225"/>
  <c r="W27" i="225" s="1"/>
  <c r="K94" i="128"/>
  <c r="K91" i="128"/>
  <c r="K75" i="128"/>
  <c r="I24" i="225" l="1"/>
  <c r="L94" i="128"/>
  <c r="M94" i="128" s="1"/>
  <c r="L91" i="128"/>
  <c r="M91" i="128" s="1"/>
  <c r="L75" i="128"/>
  <c r="M75" i="128" s="1"/>
  <c r="AI9" i="224"/>
  <c r="AI29" i="224"/>
  <c r="AI16" i="224"/>
  <c r="AI20" i="224"/>
  <c r="AI22" i="224"/>
  <c r="AI26" i="224"/>
  <c r="AI11" i="224"/>
  <c r="AI9" i="240"/>
  <c r="AI10" i="240"/>
  <c r="Q256" i="76" l="1"/>
  <c r="Q249" i="76"/>
  <c r="AI94" i="128"/>
  <c r="AI58" i="128"/>
  <c r="AI59" i="128"/>
  <c r="AI102" i="128"/>
  <c r="G219" i="44" l="1"/>
  <c r="G215" i="44"/>
  <c r="G213" i="44"/>
  <c r="G212" i="44"/>
  <c r="G211" i="44"/>
  <c r="K317" i="226" l="1"/>
  <c r="K573" i="226"/>
  <c r="K541" i="226"/>
  <c r="K582" i="226"/>
  <c r="K583" i="226"/>
  <c r="K595" i="226"/>
  <c r="K609" i="226"/>
  <c r="K610" i="226"/>
  <c r="AI393" i="226" l="1"/>
  <c r="AI317" i="226"/>
  <c r="AI10" i="226"/>
  <c r="AI279" i="226"/>
  <c r="AI534" i="226"/>
  <c r="AI582" i="226"/>
  <c r="AI357" i="226"/>
  <c r="AI298" i="226"/>
  <c r="AI9" i="226"/>
  <c r="L317" i="226"/>
  <c r="M317" i="226" l="1"/>
  <c r="O230" i="76" l="1"/>
  <c r="K135" i="128"/>
  <c r="K51" i="128"/>
  <c r="K48" i="128"/>
  <c r="O177" i="128"/>
  <c r="O176" i="128"/>
  <c r="K143" i="128"/>
  <c r="K144" i="128"/>
  <c r="O235" i="76" l="1"/>
  <c r="O178" i="128"/>
  <c r="L48" i="128"/>
  <c r="M48" i="128" s="1"/>
  <c r="B9" i="273"/>
  <c r="B9" i="288" s="1"/>
  <c r="B10" i="273"/>
  <c r="B10" i="288" s="1"/>
  <c r="L135" i="128"/>
  <c r="M135" i="128" s="1"/>
  <c r="L51" i="128"/>
  <c r="M51" i="128" s="1"/>
  <c r="L144" i="128"/>
  <c r="M144" i="128" s="1"/>
  <c r="L143" i="128"/>
  <c r="M143" i="128" s="1"/>
  <c r="Q253" i="76" l="1"/>
  <c r="P241" i="76"/>
  <c r="AI10" i="128"/>
  <c r="AI9" i="128"/>
  <c r="AI11" i="128"/>
  <c r="AI57" i="128"/>
  <c r="AI101" i="128"/>
  <c r="K28" i="240" l="1"/>
  <c r="Q21" i="150"/>
  <c r="I21" i="150" s="1"/>
  <c r="Q17" i="150"/>
  <c r="I17" i="150" s="1"/>
  <c r="Q11" i="150"/>
  <c r="I11" i="150" s="1"/>
  <c r="B12" i="273" l="1"/>
  <c r="B12" i="288" s="1"/>
  <c r="V2" i="226"/>
  <c r="L28" i="240"/>
  <c r="M28" i="240" s="1"/>
  <c r="Q225" i="76" l="1"/>
  <c r="P266" i="76" l="1"/>
  <c r="E5" i="240"/>
  <c r="E5" i="241"/>
  <c r="E5" i="226"/>
  <c r="K29" i="240"/>
  <c r="K50" i="225"/>
  <c r="S1008" i="44"/>
  <c r="S1009" i="44"/>
  <c r="S1010" i="44"/>
  <c r="S1011" i="44"/>
  <c r="S1012" i="44"/>
  <c r="S1013" i="44"/>
  <c r="S1014" i="44"/>
  <c r="S1015" i="44"/>
  <c r="S1016" i="44"/>
  <c r="S1017" i="44"/>
  <c r="S1018" i="44"/>
  <c r="S1019" i="44"/>
  <c r="G245" i="44"/>
  <c r="G244" i="44"/>
  <c r="G234" i="44"/>
  <c r="G233" i="44"/>
  <c r="G252" i="44"/>
  <c r="G250" i="44"/>
  <c r="G249" i="44"/>
  <c r="G248" i="44"/>
  <c r="G246" i="44"/>
  <c r="G241" i="44"/>
  <c r="G239" i="44"/>
  <c r="G238" i="44"/>
  <c r="G237" i="44"/>
  <c r="G235" i="44"/>
  <c r="O638" i="226"/>
  <c r="O637" i="226"/>
  <c r="O636" i="226"/>
  <c r="O629" i="226"/>
  <c r="G226" i="44"/>
  <c r="G230" i="44"/>
  <c r="G224" i="44"/>
  <c r="G223" i="44"/>
  <c r="G222" i="44"/>
  <c r="G195" i="44"/>
  <c r="G193" i="44"/>
  <c r="G192" i="44"/>
  <c r="G191" i="44"/>
  <c r="G184" i="44"/>
  <c r="Q265" i="76" l="1"/>
  <c r="L29" i="240"/>
  <c r="M29" i="240" s="1"/>
  <c r="L50" i="225"/>
  <c r="M50" i="225" s="1"/>
  <c r="O633" i="226"/>
  <c r="O630" i="226"/>
  <c r="O643" i="226"/>
  <c r="O645" i="226"/>
  <c r="O642" i="226"/>
  <c r="O640" i="226"/>
  <c r="O635" i="226"/>
  <c r="O632" i="226"/>
  <c r="O631" i="226"/>
  <c r="O644" i="226"/>
  <c r="M3" i="128" l="1"/>
  <c r="M3" i="173"/>
  <c r="M3" i="240"/>
  <c r="M3" i="225"/>
  <c r="M3" i="224"/>
  <c r="M3" i="150"/>
  <c r="M3" i="226"/>
  <c r="H3" i="76"/>
  <c r="M3" i="24"/>
  <c r="M3" i="241"/>
  <c r="D19" i="273"/>
  <c r="P230" i="76"/>
  <c r="T84" i="24"/>
  <c r="I84" i="24" s="1"/>
  <c r="AI28" i="24"/>
  <c r="AI10" i="24"/>
  <c r="AI63" i="24"/>
  <c r="AI54" i="24"/>
  <c r="AI48" i="24"/>
  <c r="AI110" i="24"/>
  <c r="AI11" i="24"/>
  <c r="AI111" i="24"/>
  <c r="AI12" i="24"/>
  <c r="AI44" i="24"/>
  <c r="AI9" i="24"/>
  <c r="AI36" i="24"/>
  <c r="AI68" i="24"/>
  <c r="AI29" i="24"/>
  <c r="AI49" i="24"/>
  <c r="AI34" i="24"/>
  <c r="AI39" i="24"/>
  <c r="K29" i="224" l="1"/>
  <c r="K28" i="224"/>
  <c r="K27" i="224"/>
  <c r="K26" i="224"/>
  <c r="K25" i="224"/>
  <c r="K24" i="224"/>
  <c r="K22" i="224"/>
  <c r="K21" i="224"/>
  <c r="K20" i="224"/>
  <c r="K19" i="224"/>
  <c r="K18" i="224"/>
  <c r="K17" i="224"/>
  <c r="K16" i="224"/>
  <c r="K49" i="225"/>
  <c r="K28" i="225"/>
  <c r="K112" i="24"/>
  <c r="K111" i="24"/>
  <c r="K110" i="24"/>
  <c r="K97" i="24"/>
  <c r="O43" i="225"/>
  <c r="M42" i="224" l="1"/>
  <c r="K42" i="224"/>
  <c r="M15" i="224"/>
  <c r="K15" i="224"/>
  <c r="M23" i="224"/>
  <c r="K23" i="224"/>
  <c r="M112" i="24"/>
  <c r="M27" i="224"/>
  <c r="M25" i="224"/>
  <c r="M21" i="224"/>
  <c r="M18" i="224"/>
  <c r="E5" i="225"/>
  <c r="B8" i="273"/>
  <c r="B8" i="288" s="1"/>
  <c r="B6" i="273"/>
  <c r="B6" i="288" s="1"/>
  <c r="B7" i="273"/>
  <c r="B7" i="288" s="1"/>
  <c r="Q27" i="225"/>
  <c r="I27" i="225" s="1"/>
  <c r="L610" i="226"/>
  <c r="M610" i="226" s="1"/>
  <c r="L15" i="224"/>
  <c r="L22" i="224"/>
  <c r="L23" i="224"/>
  <c r="L28" i="224"/>
  <c r="L42" i="224"/>
  <c r="L110" i="24"/>
  <c r="L111" i="24"/>
  <c r="L97" i="24"/>
  <c r="E5" i="224"/>
  <c r="E5" i="24"/>
  <c r="L21" i="224"/>
  <c r="L27" i="224"/>
  <c r="L16" i="224"/>
  <c r="L29" i="224"/>
  <c r="L19" i="224"/>
  <c r="L17" i="224"/>
  <c r="L24" i="224"/>
  <c r="L28" i="225"/>
  <c r="M28" i="225" s="1"/>
  <c r="L20" i="224"/>
  <c r="L26" i="224"/>
  <c r="L49" i="225"/>
  <c r="M49" i="225" s="1"/>
  <c r="L18" i="224"/>
  <c r="L25" i="224"/>
  <c r="L609" i="226"/>
  <c r="M609" i="226" s="1"/>
  <c r="N230" i="76" l="1"/>
  <c r="AI42" i="224"/>
  <c r="AI27" i="224"/>
  <c r="AI25" i="224"/>
  <c r="AI23" i="224"/>
  <c r="AI21" i="224"/>
  <c r="AI18" i="224"/>
  <c r="AI15" i="224"/>
  <c r="AI112" i="24" l="1"/>
  <c r="N287" i="76"/>
  <c r="M287" i="76"/>
  <c r="I960" i="44" l="1"/>
  <c r="J959" i="44" l="1"/>
  <c r="G658" i="44" l="1"/>
  <c r="G732" i="44"/>
  <c r="G709" i="44"/>
  <c r="G687" i="44"/>
  <c r="G679" i="44"/>
  <c r="G645" i="44"/>
  <c r="G635" i="44"/>
  <c r="G50" i="44"/>
  <c r="G44" i="44"/>
  <c r="G38" i="44"/>
  <c r="G32" i="44"/>
  <c r="G24" i="44"/>
  <c r="M5" i="150" l="1"/>
  <c r="M5" i="240"/>
  <c r="M5" i="241"/>
  <c r="M5" i="224"/>
  <c r="M5" i="128"/>
  <c r="M5" i="24"/>
  <c r="M5" i="173"/>
  <c r="M5" i="226"/>
  <c r="M5" i="225"/>
  <c r="M4" i="226"/>
  <c r="M4" i="173"/>
  <c r="M4" i="150"/>
  <c r="M4" i="224"/>
  <c r="M4" i="24"/>
  <c r="M4" i="128"/>
  <c r="M4" i="241"/>
  <c r="M4" i="225"/>
  <c r="M4" i="240"/>
  <c r="U84" i="24" l="1"/>
  <c r="T80" i="24" s="1"/>
  <c r="T538" i="226"/>
  <c r="G837" i="44"/>
  <c r="G831" i="44"/>
  <c r="G832" i="44" s="1"/>
  <c r="Q540" i="226" l="1"/>
  <c r="Q538" i="226"/>
  <c r="Q539" i="226"/>
  <c r="I80" i="24"/>
  <c r="T82" i="24"/>
  <c r="I82" i="24" s="1"/>
  <c r="T81" i="24"/>
  <c r="I81" i="24" s="1"/>
  <c r="T83" i="24"/>
  <c r="I83" i="24" s="1"/>
  <c r="Z538" i="226"/>
  <c r="Z540" i="226"/>
  <c r="Z539" i="226"/>
  <c r="W538" i="226"/>
  <c r="W540" i="226"/>
  <c r="W539" i="226"/>
  <c r="G833" i="44"/>
  <c r="G834" i="44"/>
  <c r="I538" i="226" l="1"/>
  <c r="G124" i="44" l="1"/>
  <c r="G123" i="44"/>
  <c r="G117" i="44"/>
  <c r="K100" i="24" l="1"/>
  <c r="L100" i="24" l="1"/>
  <c r="M100" i="24" l="1"/>
  <c r="AI100" i="24"/>
  <c r="G870" i="44"/>
  <c r="I112" i="44" l="1"/>
  <c r="J111" i="44" l="1"/>
  <c r="G778" i="44"/>
  <c r="G779" i="44" s="1"/>
  <c r="G773" i="44"/>
  <c r="G763" i="44"/>
  <c r="G762" i="44"/>
  <c r="G764" i="44"/>
  <c r="G754" i="44"/>
  <c r="G753" i="44"/>
  <c r="G742" i="44"/>
  <c r="G743" i="44"/>
  <c r="G744" i="44"/>
  <c r="G769" i="44"/>
  <c r="G766" i="44"/>
  <c r="G765" i="44"/>
  <c r="G758" i="44"/>
  <c r="G755" i="44"/>
  <c r="G745" i="44"/>
  <c r="G749" i="44"/>
  <c r="G746" i="44"/>
  <c r="G748" i="44" l="1"/>
  <c r="G768" i="44"/>
  <c r="G757" i="44"/>
  <c r="G759" i="44"/>
  <c r="G750" i="44"/>
  <c r="G770" i="44"/>
  <c r="G767" i="44"/>
  <c r="G756" i="44"/>
  <c r="G747" i="44"/>
  <c r="G760" i="44" l="1"/>
  <c r="G751" i="44"/>
  <c r="G771" i="44"/>
  <c r="I914" i="44" l="1"/>
  <c r="I929" i="44"/>
  <c r="I912" i="44"/>
  <c r="I913" i="44"/>
  <c r="J928" i="44" l="1"/>
  <c r="L287" i="76" l="1"/>
  <c r="W21" i="24" l="1"/>
  <c r="G900" i="44"/>
  <c r="T21" i="24" l="1"/>
  <c r="I21" i="24" s="1"/>
  <c r="L233" i="76" s="1"/>
  <c r="G440" i="44"/>
  <c r="G439" i="44"/>
  <c r="G436" i="44"/>
  <c r="G142" i="44"/>
  <c r="G141" i="44"/>
  <c r="G140" i="44"/>
  <c r="G136" i="44"/>
  <c r="G433" i="44"/>
  <c r="G431" i="44"/>
  <c r="G430" i="44"/>
  <c r="G429" i="44"/>
  <c r="G428" i="44"/>
  <c r="G427" i="44"/>
  <c r="G441" i="44" l="1"/>
  <c r="G416" i="44" l="1"/>
  <c r="G419" i="44"/>
  <c r="G418" i="44"/>
  <c r="G417" i="44"/>
  <c r="O140" i="128" l="1"/>
  <c r="O141" i="128"/>
  <c r="G108" i="44"/>
  <c r="G107" i="44"/>
  <c r="R104" i="128" l="1"/>
  <c r="X61" i="128"/>
  <c r="AA104" i="128"/>
  <c r="U61" i="128"/>
  <c r="AA13" i="128"/>
  <c r="X104" i="128"/>
  <c r="R61" i="128"/>
  <c r="X13" i="128"/>
  <c r="R13" i="128"/>
  <c r="U13" i="128"/>
  <c r="U104" i="128"/>
  <c r="AA61" i="128"/>
  <c r="Q22" i="150" l="1"/>
  <c r="I22" i="150" s="1"/>
  <c r="G57" i="44" l="1"/>
  <c r="G56" i="44"/>
  <c r="G52" i="44"/>
  <c r="G20" i="44"/>
  <c r="G17" i="44"/>
  <c r="G18" i="44" s="1"/>
  <c r="G10" i="44"/>
  <c r="G9" i="44"/>
  <c r="G8" i="44"/>
  <c r="G7" i="44"/>
  <c r="G700" i="44" l="1"/>
  <c r="G689" i="44"/>
  <c r="G690" i="44"/>
  <c r="G696" i="44"/>
  <c r="G695" i="44"/>
  <c r="G694" i="44"/>
  <c r="G693" i="44"/>
  <c r="G692" i="44"/>
  <c r="G691" i="44"/>
  <c r="G706" i="44"/>
  <c r="G705" i="44"/>
  <c r="G704" i="44"/>
  <c r="G703" i="44"/>
  <c r="G684" i="44"/>
  <c r="G683" i="44"/>
  <c r="G682" i="44"/>
  <c r="G681" i="44"/>
  <c r="G670" i="44"/>
  <c r="G666" i="44"/>
  <c r="G664" i="44"/>
  <c r="G665" i="44"/>
  <c r="G663" i="44"/>
  <c r="G662" i="44"/>
  <c r="G661" i="44"/>
  <c r="G660" i="44"/>
  <c r="G671" i="44" l="1"/>
  <c r="G701" i="44"/>
  <c r="G676" i="44" l="1"/>
  <c r="G675" i="44"/>
  <c r="G674" i="44"/>
  <c r="G673" i="44"/>
  <c r="G655" i="44"/>
  <c r="G650" i="44"/>
  <c r="G649" i="44"/>
  <c r="G648" i="44"/>
  <c r="G647" i="44"/>
  <c r="G654" i="44"/>
  <c r="G641" i="44"/>
  <c r="G640" i="44"/>
  <c r="G637" i="44"/>
  <c r="G631" i="44"/>
  <c r="G630" i="44"/>
  <c r="G627" i="44"/>
  <c r="G656" i="44" l="1"/>
  <c r="G639" i="44"/>
  <c r="G628" i="44"/>
  <c r="G629" i="44"/>
  <c r="G638" i="44"/>
  <c r="I542" i="44" l="1"/>
  <c r="I543" i="44"/>
  <c r="I528" i="44"/>
  <c r="I529" i="44"/>
  <c r="K521" i="226"/>
  <c r="I564" i="44"/>
  <c r="I523" i="44"/>
  <c r="I527" i="44"/>
  <c r="I538" i="44"/>
  <c r="I500" i="44"/>
  <c r="I524" i="44"/>
  <c r="I483" i="44"/>
  <c r="K137" i="128"/>
  <c r="I507" i="44" l="1"/>
  <c r="I497" i="44"/>
  <c r="I487" i="44"/>
  <c r="I503" i="44"/>
  <c r="I493" i="44"/>
  <c r="I505" i="44"/>
  <c r="I495" i="44"/>
  <c r="I485" i="44"/>
  <c r="I512" i="44"/>
  <c r="I517" i="44"/>
  <c r="I521" i="44"/>
  <c r="I516" i="44"/>
  <c r="I514" i="44"/>
  <c r="I565" i="44"/>
  <c r="I513" i="44"/>
  <c r="I518" i="44"/>
  <c r="I522" i="44"/>
  <c r="I539" i="44"/>
  <c r="I526" i="44"/>
  <c r="I712" i="44"/>
  <c r="I711" i="44"/>
  <c r="I476" i="44"/>
  <c r="I477" i="44"/>
  <c r="I472" i="44"/>
  <c r="I713" i="44"/>
  <c r="I470" i="44"/>
  <c r="K83" i="128"/>
  <c r="L83" i="128" s="1"/>
  <c r="M83" i="128" s="1"/>
  <c r="K35" i="128"/>
  <c r="L35" i="128" s="1"/>
  <c r="M35" i="128" s="1"/>
  <c r="K124" i="128"/>
  <c r="L124" i="128" s="1"/>
  <c r="M124" i="128" s="1"/>
  <c r="I471" i="44"/>
  <c r="I474" i="44"/>
  <c r="I479" i="44"/>
  <c r="K84" i="128"/>
  <c r="L84" i="128" s="1"/>
  <c r="M84" i="128" s="1"/>
  <c r="K36" i="128"/>
  <c r="L36" i="128" s="1"/>
  <c r="M36" i="128" s="1"/>
  <c r="K501" i="226"/>
  <c r="L501" i="226" s="1"/>
  <c r="K28" i="226"/>
  <c r="L28" i="226" s="1"/>
  <c r="I478" i="44"/>
  <c r="I714" i="44"/>
  <c r="I475" i="44"/>
  <c r="I593" i="44"/>
  <c r="I585" i="44"/>
  <c r="I791" i="44"/>
  <c r="I591" i="44"/>
  <c r="I592" i="44"/>
  <c r="I580" i="44"/>
  <c r="K17" i="150"/>
  <c r="I581" i="44"/>
  <c r="K20" i="150"/>
  <c r="K16" i="150"/>
  <c r="K21" i="150"/>
  <c r="I584" i="44"/>
  <c r="I792" i="44"/>
  <c r="I596" i="44"/>
  <c r="I625" i="44"/>
  <c r="I583" i="44"/>
  <c r="K22" i="150"/>
  <c r="I582" i="44"/>
  <c r="I786" i="44"/>
  <c r="K481" i="226"/>
  <c r="L481" i="226" s="1"/>
  <c r="I571" i="44"/>
  <c r="I783" i="44"/>
  <c r="I613" i="44"/>
  <c r="I614" i="44"/>
  <c r="I607" i="44"/>
  <c r="I804" i="44"/>
  <c r="K80" i="24"/>
  <c r="I624" i="44"/>
  <c r="I611" i="44"/>
  <c r="I601" i="44"/>
  <c r="I576" i="44"/>
  <c r="I588" i="44"/>
  <c r="I600" i="44"/>
  <c r="I578" i="44"/>
  <c r="I623" i="44"/>
  <c r="I577" i="44"/>
  <c r="I572" i="44"/>
  <c r="I573" i="44"/>
  <c r="K398" i="226"/>
  <c r="L398" i="226" s="1"/>
  <c r="K80" i="241"/>
  <c r="L80" i="241" s="1"/>
  <c r="K84" i="241"/>
  <c r="L84" i="241" s="1"/>
  <c r="I971" i="44"/>
  <c r="I972" i="44"/>
  <c r="K565" i="226"/>
  <c r="I970" i="44"/>
  <c r="K561" i="226"/>
  <c r="I977" i="44"/>
  <c r="K563" i="226"/>
  <c r="I821" i="44"/>
  <c r="I816" i="44"/>
  <c r="I820" i="44"/>
  <c r="I823" i="44"/>
  <c r="I824" i="44"/>
  <c r="I815" i="44"/>
  <c r="I814" i="44"/>
  <c r="I818" i="44"/>
  <c r="I822" i="44"/>
  <c r="I817" i="44"/>
  <c r="I819" i="44"/>
  <c r="K567" i="226"/>
  <c r="I191" i="44"/>
  <c r="K335" i="226"/>
  <c r="K81" i="24"/>
  <c r="I788" i="44"/>
  <c r="I787" i="44"/>
  <c r="I813" i="44"/>
  <c r="I793" i="44"/>
  <c r="K295" i="226"/>
  <c r="K325" i="226"/>
  <c r="K600" i="226"/>
  <c r="K84" i="24"/>
  <c r="I215" i="44"/>
  <c r="I216" i="44"/>
  <c r="I206" i="44"/>
  <c r="I555" i="44"/>
  <c r="I456" i="44"/>
  <c r="K580" i="226"/>
  <c r="K601" i="226"/>
  <c r="I218" i="44"/>
  <c r="I220" i="44"/>
  <c r="I217" i="44"/>
  <c r="I466" i="44"/>
  <c r="I457" i="44"/>
  <c r="I454" i="44"/>
  <c r="I460" i="44"/>
  <c r="K576" i="226"/>
  <c r="I219" i="44"/>
  <c r="K599" i="226"/>
  <c r="I1007" i="44"/>
  <c r="I465" i="44"/>
  <c r="I455" i="44"/>
  <c r="I464" i="44"/>
  <c r="I458" i="44"/>
  <c r="I461" i="44"/>
  <c r="K605" i="226"/>
  <c r="I1004" i="44"/>
  <c r="I214" i="44"/>
  <c r="I459" i="44"/>
  <c r="I463" i="44"/>
  <c r="I849" i="44"/>
  <c r="K110" i="241"/>
  <c r="L110" i="241" s="1"/>
  <c r="K96" i="241"/>
  <c r="L96" i="241" s="1"/>
  <c r="K322" i="226"/>
  <c r="K334" i="226"/>
  <c r="K76" i="24"/>
  <c r="K83" i="24"/>
  <c r="K346" i="226"/>
  <c r="K332" i="226"/>
  <c r="K330" i="226"/>
  <c r="K344" i="226"/>
  <c r="K82" i="24"/>
  <c r="K371" i="226"/>
  <c r="K333" i="226"/>
  <c r="K327" i="226"/>
  <c r="K324" i="226"/>
  <c r="K323" i="226"/>
  <c r="K331" i="226"/>
  <c r="K345" i="226"/>
  <c r="I978" i="44"/>
  <c r="I462" i="44"/>
  <c r="K342" i="226"/>
  <c r="K328" i="226"/>
  <c r="K329" i="226"/>
  <c r="K343" i="226"/>
  <c r="K326" i="226"/>
  <c r="K41" i="226"/>
  <c r="K237" i="226"/>
  <c r="K222" i="226"/>
  <c r="K16" i="226"/>
  <c r="K462" i="226"/>
  <c r="K442" i="226"/>
  <c r="K422" i="226"/>
  <c r="I78" i="44"/>
  <c r="I70" i="44"/>
  <c r="K177" i="226"/>
  <c r="K47" i="226"/>
  <c r="K212" i="226"/>
  <c r="K57" i="226"/>
  <c r="K202" i="226"/>
  <c r="K137" i="226"/>
  <c r="K127" i="226"/>
  <c r="K42" i="226"/>
  <c r="K238" i="226"/>
  <c r="K223" i="226"/>
  <c r="K215" i="226"/>
  <c r="K60" i="226"/>
  <c r="K140" i="226"/>
  <c r="K180" i="226"/>
  <c r="K62" i="226"/>
  <c r="K182" i="226"/>
  <c r="K142" i="226"/>
  <c r="K217" i="226"/>
  <c r="K175" i="226"/>
  <c r="K135" i="226"/>
  <c r="K210" i="226"/>
  <c r="K55" i="226"/>
  <c r="K209" i="226"/>
  <c r="K134" i="226"/>
  <c r="K54" i="226"/>
  <c r="K174" i="226"/>
  <c r="K271" i="226"/>
  <c r="K105" i="226"/>
  <c r="K258" i="226"/>
  <c r="K160" i="226"/>
  <c r="K90" i="226"/>
  <c r="I843" i="44"/>
  <c r="I1002" i="44"/>
  <c r="K40" i="226"/>
  <c r="K236" i="226"/>
  <c r="K221" i="226"/>
  <c r="K205" i="226"/>
  <c r="K50" i="226"/>
  <c r="K130" i="226"/>
  <c r="K170" i="226"/>
  <c r="I72" i="44"/>
  <c r="K133" i="226"/>
  <c r="K53" i="226"/>
  <c r="K208" i="226"/>
  <c r="K173" i="226"/>
  <c r="K143" i="226"/>
  <c r="K218" i="226"/>
  <c r="K63" i="226"/>
  <c r="K183" i="226"/>
  <c r="K39" i="226"/>
  <c r="K219" i="226"/>
  <c r="K144" i="226"/>
  <c r="K64" i="226"/>
  <c r="K184" i="226"/>
  <c r="K181" i="226"/>
  <c r="K141" i="226"/>
  <c r="K216" i="226"/>
  <c r="K61" i="226"/>
  <c r="K239" i="226"/>
  <c r="K172" i="226"/>
  <c r="K207" i="226"/>
  <c r="K132" i="226"/>
  <c r="K52" i="226"/>
  <c r="K211" i="226"/>
  <c r="K56" i="226"/>
  <c r="K126" i="226"/>
  <c r="K201" i="226"/>
  <c r="K176" i="226"/>
  <c r="K136" i="226"/>
  <c r="K46" i="226"/>
  <c r="I844" i="44"/>
  <c r="I79" i="44"/>
  <c r="I1003" i="44"/>
  <c r="K24" i="150"/>
  <c r="K562" i="226"/>
  <c r="K171" i="226"/>
  <c r="K206" i="226"/>
  <c r="K131" i="226"/>
  <c r="K51" i="226"/>
  <c r="K178" i="226"/>
  <c r="K138" i="226"/>
  <c r="K58" i="226"/>
  <c r="K213" i="226"/>
  <c r="K139" i="226"/>
  <c r="K214" i="226"/>
  <c r="K179" i="226"/>
  <c r="K59" i="226"/>
  <c r="K128" i="226"/>
  <c r="K48" i="226"/>
  <c r="K203" i="226"/>
  <c r="K43" i="226"/>
  <c r="K571" i="226"/>
  <c r="K592" i="226"/>
  <c r="K63" i="128"/>
  <c r="K92" i="128"/>
  <c r="K106" i="128"/>
  <c r="I307" i="44"/>
  <c r="I296" i="44"/>
  <c r="I306" i="44"/>
  <c r="I295" i="44"/>
  <c r="I357" i="44"/>
  <c r="I363" i="44"/>
  <c r="I381" i="44"/>
  <c r="I369" i="44"/>
  <c r="I375" i="44"/>
  <c r="I333" i="44"/>
  <c r="I346" i="44"/>
  <c r="I361" i="44"/>
  <c r="I367" i="44"/>
  <c r="I355" i="44"/>
  <c r="I373" i="44"/>
  <c r="I301" i="44"/>
  <c r="I337" i="44"/>
  <c r="I350" i="44"/>
  <c r="I324" i="44"/>
  <c r="I312" i="44"/>
  <c r="I315" i="44"/>
  <c r="I340" i="44"/>
  <c r="I327" i="44"/>
  <c r="I304" i="44"/>
  <c r="I293" i="44"/>
  <c r="I362" i="44"/>
  <c r="I356" i="44"/>
  <c r="I374" i="44"/>
  <c r="I368" i="44"/>
  <c r="I380" i="44"/>
  <c r="I344" i="44"/>
  <c r="I331" i="44"/>
  <c r="I319" i="44"/>
  <c r="I378" i="44"/>
  <c r="K575" i="226"/>
  <c r="I351" i="44"/>
  <c r="I338" i="44"/>
  <c r="I325" i="44"/>
  <c r="I313" i="44"/>
  <c r="I302" i="44"/>
  <c r="I309" i="44"/>
  <c r="I298" i="44"/>
  <c r="I341" i="44"/>
  <c r="I328" i="44"/>
  <c r="I360" i="44"/>
  <c r="I372" i="44"/>
  <c r="I366" i="44"/>
  <c r="I354" i="44"/>
  <c r="I332" i="44"/>
  <c r="I379" i="44"/>
  <c r="I345" i="44"/>
  <c r="I320" i="44"/>
  <c r="I348" i="44"/>
  <c r="I335" i="44"/>
  <c r="I322" i="44"/>
  <c r="I342" i="44"/>
  <c r="I329" i="44"/>
  <c r="I317" i="44"/>
  <c r="I213" i="44"/>
  <c r="K64" i="128"/>
  <c r="K107" i="128"/>
  <c r="K14" i="225"/>
  <c r="K93" i="128"/>
  <c r="K16" i="241"/>
  <c r="K608" i="226"/>
  <c r="K105" i="128"/>
  <c r="K62" i="128"/>
  <c r="I308" i="44"/>
  <c r="I297" i="44"/>
  <c r="K104" i="128"/>
  <c r="K13" i="128"/>
  <c r="K61" i="128"/>
  <c r="K103" i="128"/>
  <c r="K60" i="128"/>
  <c r="K516" i="226"/>
  <c r="I359" i="44"/>
  <c r="I377" i="44"/>
  <c r="I365" i="44"/>
  <c r="I371" i="44"/>
  <c r="I353" i="44"/>
  <c r="I330" i="44"/>
  <c r="I343" i="44"/>
  <c r="I318" i="44"/>
  <c r="K529" i="226"/>
  <c r="L137" i="128"/>
  <c r="K538" i="226"/>
  <c r="K128" i="128"/>
  <c r="K15" i="128"/>
  <c r="K49" i="128"/>
  <c r="K284" i="226"/>
  <c r="K360" i="226"/>
  <c r="K365" i="226"/>
  <c r="K289" i="226"/>
  <c r="K362" i="226"/>
  <c r="K286" i="226"/>
  <c r="K296" i="226"/>
  <c r="K372" i="226"/>
  <c r="K361" i="226"/>
  <c r="K285" i="226"/>
  <c r="K369" i="226"/>
  <c r="K293" i="226"/>
  <c r="K383" i="226"/>
  <c r="K307" i="226"/>
  <c r="K304" i="226"/>
  <c r="K366" i="226"/>
  <c r="K380" i="226"/>
  <c r="K290" i="226"/>
  <c r="K381" i="226"/>
  <c r="K305" i="226"/>
  <c r="K367" i="226"/>
  <c r="K291" i="226"/>
  <c r="K288" i="226"/>
  <c r="K364" i="226"/>
  <c r="K539" i="226"/>
  <c r="K508" i="226"/>
  <c r="K16" i="128"/>
  <c r="K129" i="128"/>
  <c r="K50" i="128"/>
  <c r="K27" i="240"/>
  <c r="K14" i="240"/>
  <c r="K14" i="128"/>
  <c r="K540" i="226"/>
  <c r="K130" i="128"/>
  <c r="K373" i="226"/>
  <c r="K297" i="226"/>
  <c r="K12" i="128"/>
  <c r="K308" i="226"/>
  <c r="K384" i="226"/>
  <c r="K370" i="226"/>
  <c r="K294" i="226"/>
  <c r="K292" i="226"/>
  <c r="K382" i="226"/>
  <c r="K368" i="226"/>
  <c r="K306" i="226"/>
  <c r="K363" i="226"/>
  <c r="K287" i="226"/>
  <c r="I192" i="44"/>
  <c r="I227" i="44"/>
  <c r="I195" i="44"/>
  <c r="I402" i="44"/>
  <c r="I190" i="44"/>
  <c r="I403" i="44"/>
  <c r="I99" i="44"/>
  <c r="I185" i="44"/>
  <c r="I102" i="44"/>
  <c r="I237" i="44"/>
  <c r="I248" i="44"/>
  <c r="I246" i="44"/>
  <c r="I235" i="44"/>
  <c r="I253" i="44"/>
  <c r="I242" i="44"/>
  <c r="I251" i="44"/>
  <c r="I240" i="44"/>
  <c r="I238" i="44"/>
  <c r="I249" i="44"/>
  <c r="I100" i="44"/>
  <c r="I103" i="44"/>
  <c r="I186" i="44"/>
  <c r="I252" i="44"/>
  <c r="I241" i="44"/>
  <c r="I194" i="44"/>
  <c r="I236" i="44"/>
  <c r="I247" i="44"/>
  <c r="I239" i="44"/>
  <c r="I250" i="44"/>
  <c r="I536" i="44"/>
  <c r="I530" i="44"/>
  <c r="I510" i="44"/>
  <c r="I533" i="44"/>
  <c r="I520" i="44"/>
  <c r="I287" i="44"/>
  <c r="I531" i="44"/>
  <c r="I534" i="44"/>
  <c r="I540" i="44"/>
  <c r="I263" i="44"/>
  <c r="I1000" i="44"/>
  <c r="I267" i="44"/>
  <c r="I535" i="44"/>
  <c r="I511" i="44"/>
  <c r="I277" i="44"/>
  <c r="I999" i="44"/>
  <c r="I532" i="44"/>
  <c r="J563" i="44" l="1"/>
  <c r="I547" i="44" s="1"/>
  <c r="J515" i="44"/>
  <c r="J525" i="44"/>
  <c r="I501" i="44" s="1"/>
  <c r="J537" i="44"/>
  <c r="J519" i="44"/>
  <c r="I504" i="44" s="1"/>
  <c r="J509" i="44"/>
  <c r="I508" i="44" s="1"/>
  <c r="I790" i="44"/>
  <c r="I98" i="44"/>
  <c r="I643" i="44"/>
  <c r="I651" i="44"/>
  <c r="I652" i="44"/>
  <c r="I473" i="44"/>
  <c r="I668" i="44"/>
  <c r="I698" i="44"/>
  <c r="I22" i="44"/>
  <c r="I469" i="44"/>
  <c r="I691" i="44"/>
  <c r="I97" i="44"/>
  <c r="I12" i="44"/>
  <c r="I633" i="44"/>
  <c r="I21" i="44"/>
  <c r="I53" i="44"/>
  <c r="I697" i="44"/>
  <c r="I667" i="44"/>
  <c r="I40" i="44"/>
  <c r="I569" i="44"/>
  <c r="I618" i="44"/>
  <c r="I616" i="44"/>
  <c r="I617" i="44"/>
  <c r="I568" i="44"/>
  <c r="I587" i="44"/>
  <c r="I782" i="44"/>
  <c r="I800" i="44"/>
  <c r="I803" i="44"/>
  <c r="I620" i="44"/>
  <c r="I829" i="44"/>
  <c r="I802" i="44"/>
  <c r="I615" i="44"/>
  <c r="I606" i="44"/>
  <c r="I785" i="44"/>
  <c r="I570" i="44"/>
  <c r="I622" i="44"/>
  <c r="J621" i="44" s="1"/>
  <c r="I590" i="44"/>
  <c r="I589" i="44"/>
  <c r="I689" i="44"/>
  <c r="I211" i="44"/>
  <c r="I595" i="44"/>
  <c r="I594" i="44"/>
  <c r="I794" i="44"/>
  <c r="I784" i="44"/>
  <c r="I619" i="44"/>
  <c r="I781" i="44"/>
  <c r="I799" i="44"/>
  <c r="M80" i="241"/>
  <c r="J610" i="44"/>
  <c r="I602" i="44" s="1"/>
  <c r="I567" i="44"/>
  <c r="J969" i="44"/>
  <c r="L335" i="226"/>
  <c r="M335" i="226" s="1"/>
  <c r="I810" i="44"/>
  <c r="I826" i="44"/>
  <c r="I812" i="44"/>
  <c r="I828" i="44"/>
  <c r="I811" i="44"/>
  <c r="I827" i="44"/>
  <c r="I269" i="44"/>
  <c r="I453" i="44"/>
  <c r="I848" i="44"/>
  <c r="I789" i="44"/>
  <c r="I212" i="44"/>
  <c r="I271" i="44"/>
  <c r="J270" i="44" s="1"/>
  <c r="K550" i="226" s="1"/>
  <c r="I275" i="44"/>
  <c r="I279" i="44"/>
  <c r="I552" i="44"/>
  <c r="L325" i="226"/>
  <c r="M325" i="226" s="1"/>
  <c r="L334" i="226"/>
  <c r="M334" i="226" s="1"/>
  <c r="I281" i="44"/>
  <c r="J280" i="44" s="1"/>
  <c r="I259" i="44"/>
  <c r="I273" i="44"/>
  <c r="I68" i="44"/>
  <c r="I285" i="44"/>
  <c r="I289" i="44"/>
  <c r="I846" i="44"/>
  <c r="I11" i="44"/>
  <c r="I1001" i="44"/>
  <c r="I283" i="44"/>
  <c r="J282" i="44" s="1"/>
  <c r="I209" i="44"/>
  <c r="I976" i="44"/>
  <c r="I255" i="44"/>
  <c r="J254" i="44" s="1"/>
  <c r="I265" i="44"/>
  <c r="I202" i="44"/>
  <c r="I291" i="44"/>
  <c r="I847" i="44"/>
  <c r="I261" i="44"/>
  <c r="J260" i="44" s="1"/>
  <c r="I52" i="44"/>
  <c r="I845" i="44"/>
  <c r="I203" i="44"/>
  <c r="I201" i="44"/>
  <c r="K75" i="241"/>
  <c r="L75" i="241" s="1"/>
  <c r="L371" i="226"/>
  <c r="M371" i="226" s="1"/>
  <c r="L81" i="24"/>
  <c r="M81" i="24" s="1"/>
  <c r="L80" i="24"/>
  <c r="M80" i="24" s="1"/>
  <c r="L84" i="24"/>
  <c r="M84" i="24" s="1"/>
  <c r="L343" i="226"/>
  <c r="M343" i="226" s="1"/>
  <c r="AI322" i="226"/>
  <c r="L329" i="226"/>
  <c r="M329" i="226" s="1"/>
  <c r="L328" i="226"/>
  <c r="M328" i="226" s="1"/>
  <c r="L327" i="226"/>
  <c r="M327" i="226" s="1"/>
  <c r="L346" i="226"/>
  <c r="M346" i="226" s="1"/>
  <c r="L326" i="226"/>
  <c r="M326" i="226" s="1"/>
  <c r="L342" i="226"/>
  <c r="M342" i="226" s="1"/>
  <c r="L345" i="226"/>
  <c r="M345" i="226" s="1"/>
  <c r="L324" i="226"/>
  <c r="M324" i="226" s="1"/>
  <c r="L333" i="226"/>
  <c r="L322" i="226"/>
  <c r="M322" i="226" s="1"/>
  <c r="L330" i="226"/>
  <c r="M330" i="226" s="1"/>
  <c r="I67" i="44"/>
  <c r="I76" i="44"/>
  <c r="I69" i="44"/>
  <c r="I77" i="44"/>
  <c r="I200" i="44"/>
  <c r="I998" i="44"/>
  <c r="L48" i="226"/>
  <c r="L139" i="226"/>
  <c r="M139" i="226" s="1"/>
  <c r="L178" i="226"/>
  <c r="M178" i="226" s="1"/>
  <c r="L132" i="226"/>
  <c r="M132" i="226" s="1"/>
  <c r="L181" i="226"/>
  <c r="M181" i="226" s="1"/>
  <c r="L64" i="226"/>
  <c r="L183" i="226"/>
  <c r="M183" i="226" s="1"/>
  <c r="L173" i="226"/>
  <c r="M173" i="226" s="1"/>
  <c r="L208" i="226"/>
  <c r="M208" i="226" s="1"/>
  <c r="L50" i="226"/>
  <c r="L40" i="226"/>
  <c r="L105" i="226"/>
  <c r="L175" i="226"/>
  <c r="M175" i="226" s="1"/>
  <c r="L182" i="226"/>
  <c r="M182" i="226" s="1"/>
  <c r="L238" i="226"/>
  <c r="M238" i="226" s="1"/>
  <c r="L57" i="226"/>
  <c r="L422" i="226"/>
  <c r="L128" i="226"/>
  <c r="M128" i="226" s="1"/>
  <c r="L171" i="226"/>
  <c r="M171" i="226" s="1"/>
  <c r="L136" i="226"/>
  <c r="M136" i="226" s="1"/>
  <c r="L126" i="226"/>
  <c r="M126" i="226" s="1"/>
  <c r="L211" i="226"/>
  <c r="M211" i="226" s="1"/>
  <c r="L207" i="226"/>
  <c r="M207" i="226" s="1"/>
  <c r="L61" i="226"/>
  <c r="L144" i="226"/>
  <c r="M144" i="226" s="1"/>
  <c r="L205" i="226"/>
  <c r="M205" i="226" s="1"/>
  <c r="L90" i="226"/>
  <c r="L271" i="226"/>
  <c r="L174" i="226"/>
  <c r="M174" i="226" s="1"/>
  <c r="L55" i="226"/>
  <c r="L142" i="226"/>
  <c r="M142" i="226" s="1"/>
  <c r="L62" i="226"/>
  <c r="L60" i="226"/>
  <c r="L42" i="226"/>
  <c r="L137" i="226"/>
  <c r="L442" i="226"/>
  <c r="L237" i="226"/>
  <c r="M237" i="226" s="1"/>
  <c r="L43" i="226"/>
  <c r="L179" i="226"/>
  <c r="M179" i="226" s="1"/>
  <c r="L56" i="226"/>
  <c r="M56" i="226" s="1"/>
  <c r="L216" i="226"/>
  <c r="M216" i="226" s="1"/>
  <c r="L143" i="226"/>
  <c r="M143" i="226" s="1"/>
  <c r="L170" i="226"/>
  <c r="M170" i="226" s="1"/>
  <c r="L221" i="226"/>
  <c r="M221" i="226" s="1"/>
  <c r="L160" i="226"/>
  <c r="L54" i="226"/>
  <c r="L223" i="226"/>
  <c r="M223" i="226" s="1"/>
  <c r="L462" i="226"/>
  <c r="L41" i="226"/>
  <c r="L203" i="226"/>
  <c r="M203" i="226" s="1"/>
  <c r="L214" i="226"/>
  <c r="M214" i="226" s="1"/>
  <c r="L138" i="226"/>
  <c r="M138" i="226" s="1"/>
  <c r="L51" i="226"/>
  <c r="L206" i="226"/>
  <c r="M206" i="226" s="1"/>
  <c r="L46" i="226"/>
  <c r="L52" i="226"/>
  <c r="L141" i="226"/>
  <c r="M141" i="226" s="1"/>
  <c r="L184" i="226"/>
  <c r="M184" i="226" s="1"/>
  <c r="L218" i="226"/>
  <c r="M218" i="226" s="1"/>
  <c r="L236" i="226"/>
  <c r="M236" i="226" s="1"/>
  <c r="L258" i="226"/>
  <c r="L134" i="226"/>
  <c r="M134" i="226" s="1"/>
  <c r="L217" i="226"/>
  <c r="M217" i="226" s="1"/>
  <c r="L180" i="226"/>
  <c r="M180" i="226" s="1"/>
  <c r="L177" i="226"/>
  <c r="L16" i="226"/>
  <c r="L222" i="226"/>
  <c r="M222" i="226" s="1"/>
  <c r="I422" i="44"/>
  <c r="J262" i="44"/>
  <c r="J266" i="44"/>
  <c r="J364" i="44"/>
  <c r="I299" i="44" s="1"/>
  <c r="L103" i="128"/>
  <c r="M103" i="128" s="1"/>
  <c r="L61" i="128"/>
  <c r="M61" i="128" s="1"/>
  <c r="J276" i="44"/>
  <c r="J286" i="44"/>
  <c r="K558" i="226" s="1"/>
  <c r="J376" i="44"/>
  <c r="L62" i="128"/>
  <c r="L608" i="226"/>
  <c r="L106" i="128"/>
  <c r="I334" i="44"/>
  <c r="I347" i="44"/>
  <c r="I199" i="44"/>
  <c r="J352" i="44"/>
  <c r="I294" i="44" s="1"/>
  <c r="J358" i="44"/>
  <c r="L104" i="128"/>
  <c r="M104" i="128" s="1"/>
  <c r="L64" i="128"/>
  <c r="L592" i="226"/>
  <c r="J370" i="44"/>
  <c r="L600" i="226"/>
  <c r="L105" i="128"/>
  <c r="L93" i="128"/>
  <c r="L605" i="226"/>
  <c r="L521" i="226"/>
  <c r="L601" i="226"/>
  <c r="L92" i="128"/>
  <c r="AI371" i="226"/>
  <c r="L529" i="226"/>
  <c r="L562" i="226"/>
  <c r="M562" i="226" s="1"/>
  <c r="L571" i="226"/>
  <c r="L575" i="226"/>
  <c r="M575" i="226" s="1"/>
  <c r="L576" i="226"/>
  <c r="L295" i="226"/>
  <c r="L561" i="226"/>
  <c r="L563" i="226"/>
  <c r="L567" i="226"/>
  <c r="L565" i="226"/>
  <c r="L14" i="240"/>
  <c r="L128" i="128"/>
  <c r="L12" i="128"/>
  <c r="L16" i="128"/>
  <c r="L49" i="128"/>
  <c r="L130" i="128"/>
  <c r="L14" i="128"/>
  <c r="L50" i="128"/>
  <c r="L15" i="128"/>
  <c r="L129" i="128"/>
  <c r="L382" i="226"/>
  <c r="M382" i="226" s="1"/>
  <c r="L384" i="226"/>
  <c r="M384" i="226" s="1"/>
  <c r="L380" i="226"/>
  <c r="M380" i="226" s="1"/>
  <c r="L383" i="226"/>
  <c r="M383" i="226" s="1"/>
  <c r="L381" i="226"/>
  <c r="M381" i="226" s="1"/>
  <c r="I445" i="44"/>
  <c r="I777" i="44"/>
  <c r="I394" i="44"/>
  <c r="I831" i="44"/>
  <c r="I117" i="44"/>
  <c r="I438" i="44"/>
  <c r="I739" i="44"/>
  <c r="I444" i="44"/>
  <c r="I16" i="44"/>
  <c r="I14" i="44"/>
  <c r="I257" i="44"/>
  <c r="I135" i="44"/>
  <c r="I90" i="44"/>
  <c r="I419" i="44"/>
  <c r="I151" i="44"/>
  <c r="I176" i="44"/>
  <c r="I169" i="44"/>
  <c r="I162" i="44"/>
  <c r="I157" i="44"/>
  <c r="I836" i="44"/>
  <c r="I183" i="44"/>
  <c r="I418" i="44"/>
  <c r="I551" i="44"/>
  <c r="I245" i="44"/>
  <c r="I198" i="44"/>
  <c r="I234" i="44"/>
  <c r="I223" i="44"/>
  <c r="I632" i="44"/>
  <c r="I642" i="44"/>
  <c r="I776" i="44"/>
  <c r="I95" i="44"/>
  <c r="I436" i="44"/>
  <c r="I443" i="44"/>
  <c r="I416" i="44"/>
  <c r="I549" i="44"/>
  <c r="I550" i="44"/>
  <c r="I93" i="44"/>
  <c r="I86" i="44"/>
  <c r="I88" i="44"/>
  <c r="I82" i="44"/>
  <c r="I84" i="44"/>
  <c r="I437" i="44"/>
  <c r="I15" i="44"/>
  <c r="I13" i="44"/>
  <c r="I974" i="44"/>
  <c r="I233" i="44"/>
  <c r="I244" i="44"/>
  <c r="I222" i="44"/>
  <c r="I197" i="44"/>
  <c r="I385" i="44"/>
  <c r="I417" i="44"/>
  <c r="I184" i="44"/>
  <c r="K16" i="24"/>
  <c r="K21" i="24"/>
  <c r="I230" i="44"/>
  <c r="I205" i="44"/>
  <c r="I231" i="44"/>
  <c r="I207" i="44"/>
  <c r="I229" i="44"/>
  <c r="I204" i="44"/>
  <c r="I224" i="44"/>
  <c r="I193" i="44"/>
  <c r="J189" i="44" s="1"/>
  <c r="I449" i="44"/>
  <c r="I188" i="44"/>
  <c r="I225" i="44"/>
  <c r="I226" i="44"/>
  <c r="I228" i="44"/>
  <c r="I448" i="44"/>
  <c r="I187" i="44"/>
  <c r="K108" i="24"/>
  <c r="K24" i="225"/>
  <c r="K31" i="225"/>
  <c r="K25" i="225"/>
  <c r="K30" i="225"/>
  <c r="K47" i="225"/>
  <c r="K39" i="225"/>
  <c r="K26" i="225"/>
  <c r="K32" i="225"/>
  <c r="K109" i="24"/>
  <c r="K23" i="225"/>
  <c r="I657" i="44"/>
  <c r="I554" i="44"/>
  <c r="I775" i="44"/>
  <c r="I447" i="44"/>
  <c r="I118" i="44"/>
  <c r="I839" i="44"/>
  <c r="I666" i="44"/>
  <c r="I153" i="44"/>
  <c r="I26" i="44"/>
  <c r="J25" i="44" s="1"/>
  <c r="I179" i="44"/>
  <c r="I142" i="44"/>
  <c r="I57" i="44"/>
  <c r="I834" i="44"/>
  <c r="I706" i="44"/>
  <c r="I684" i="44"/>
  <c r="I441" i="44"/>
  <c r="I172" i="44"/>
  <c r="I138" i="44"/>
  <c r="I10" i="44"/>
  <c r="I806" i="44"/>
  <c r="I641" i="44"/>
  <c r="I387" i="44"/>
  <c r="I165" i="44"/>
  <c r="I115" i="44"/>
  <c r="I696" i="44"/>
  <c r="I631" i="44"/>
  <c r="I396" i="44"/>
  <c r="I108" i="44"/>
  <c r="I91" i="44"/>
  <c r="I676" i="44"/>
  <c r="I650" i="44"/>
  <c r="I557" i="44"/>
  <c r="I414" i="44"/>
  <c r="I147" i="44"/>
  <c r="I20" i="44"/>
  <c r="I9" i="44"/>
  <c r="I639" i="44"/>
  <c r="I629" i="44"/>
  <c r="I433" i="44"/>
  <c r="I390" i="44"/>
  <c r="I399" i="44"/>
  <c r="I762" i="44"/>
  <c r="I742" i="44"/>
  <c r="I753" i="44"/>
  <c r="I768" i="44"/>
  <c r="I757" i="44"/>
  <c r="I663" i="44"/>
  <c r="I693" i="44"/>
  <c r="I164" i="44"/>
  <c r="I413" i="44"/>
  <c r="I146" i="44"/>
  <c r="I774" i="44"/>
  <c r="I838" i="44"/>
  <c r="I423" i="44"/>
  <c r="I152" i="44"/>
  <c r="I178" i="44"/>
  <c r="I158" i="44"/>
  <c r="I141" i="44"/>
  <c r="I833" i="44"/>
  <c r="I440" i="44"/>
  <c r="I171" i="44"/>
  <c r="I137" i="44"/>
  <c r="I654" i="44"/>
  <c r="I690" i="44"/>
  <c r="I660" i="44"/>
  <c r="I638" i="44"/>
  <c r="I628" i="44"/>
  <c r="I386" i="44"/>
  <c r="I395" i="44"/>
  <c r="I743" i="44"/>
  <c r="I754" i="44"/>
  <c r="I763" i="44"/>
  <c r="I144" i="44"/>
  <c r="I439" i="44"/>
  <c r="J1006" i="44"/>
  <c r="I704" i="44"/>
  <c r="I682" i="44"/>
  <c r="I674" i="44"/>
  <c r="I648" i="44"/>
  <c r="I140" i="44"/>
  <c r="I136" i="44"/>
  <c r="I695" i="44"/>
  <c r="I649" i="44"/>
  <c r="I665" i="44"/>
  <c r="I669" i="44"/>
  <c r="I699" i="44"/>
  <c r="I765" i="44"/>
  <c r="I744" i="44"/>
  <c r="I755" i="44"/>
  <c r="I745" i="44"/>
  <c r="I640" i="44"/>
  <c r="I630" i="44"/>
  <c r="I675" i="44"/>
  <c r="I694" i="44"/>
  <c r="I705" i="44"/>
  <c r="I683" i="44"/>
  <c r="I664" i="44"/>
  <c r="I558" i="44"/>
  <c r="I121" i="44"/>
  <c r="I773" i="44"/>
  <c r="I673" i="44"/>
  <c r="I647" i="44"/>
  <c r="I637" i="44"/>
  <c r="I627" i="44"/>
  <c r="I703" i="44"/>
  <c r="I681" i="44"/>
  <c r="I56" i="44"/>
  <c r="I766" i="44"/>
  <c r="I832" i="44"/>
  <c r="I837" i="44"/>
  <c r="I398" i="44"/>
  <c r="I389" i="44"/>
  <c r="I388" i="44"/>
  <c r="I397" i="44"/>
  <c r="I915" i="44"/>
  <c r="J911" i="44" s="1"/>
  <c r="I653" i="44"/>
  <c r="I177" i="44"/>
  <c r="I170" i="44"/>
  <c r="I163" i="44"/>
  <c r="I145" i="44"/>
  <c r="I7" i="44"/>
  <c r="I767" i="44"/>
  <c r="I756" i="44"/>
  <c r="I560" i="44"/>
  <c r="I409" i="44"/>
  <c r="I411" i="44"/>
  <c r="I415" i="44"/>
  <c r="I134" i="44"/>
  <c r="I407" i="44"/>
  <c r="I410" i="44"/>
  <c r="I562" i="44"/>
  <c r="I561" i="44"/>
  <c r="I406" i="44"/>
  <c r="I408" i="44"/>
  <c r="I125" i="44"/>
  <c r="I120" i="44"/>
  <c r="I553" i="44"/>
  <c r="I424" i="44"/>
  <c r="I450" i="44"/>
  <c r="I405" i="44"/>
  <c r="I119" i="44"/>
  <c r="I123" i="44"/>
  <c r="I8" i="44"/>
  <c r="I420" i="44"/>
  <c r="I126" i="44"/>
  <c r="I446" i="44"/>
  <c r="I122" i="44"/>
  <c r="I107" i="44"/>
  <c r="I404" i="44"/>
  <c r="I124" i="44"/>
  <c r="I559" i="44"/>
  <c r="I451" i="44"/>
  <c r="I808" i="44"/>
  <c r="I149" i="44"/>
  <c r="I181" i="44"/>
  <c r="I167" i="44"/>
  <c r="I174" i="44"/>
  <c r="I160" i="44"/>
  <c r="I155" i="44"/>
  <c r="I148" i="44"/>
  <c r="I180" i="44"/>
  <c r="I173" i="44"/>
  <c r="I166" i="44"/>
  <c r="I159" i="44"/>
  <c r="I154" i="44"/>
  <c r="I807" i="44"/>
  <c r="I431" i="44"/>
  <c r="I392" i="44"/>
  <c r="I383" i="44"/>
  <c r="I427" i="44"/>
  <c r="I434" i="44"/>
  <c r="I393" i="44"/>
  <c r="I384" i="44"/>
  <c r="I428" i="44"/>
  <c r="G738" i="44"/>
  <c r="G737" i="44"/>
  <c r="G734" i="44"/>
  <c r="I740" i="44"/>
  <c r="I506" i="44" l="1"/>
  <c r="I486" i="44"/>
  <c r="I496" i="44"/>
  <c r="J541" i="44"/>
  <c r="I481" i="44"/>
  <c r="I490" i="44"/>
  <c r="I488" i="44"/>
  <c r="I498" i="44"/>
  <c r="I484" i="44"/>
  <c r="I494" i="44"/>
  <c r="I491" i="44"/>
  <c r="I482" i="44"/>
  <c r="I28" i="44"/>
  <c r="I46" i="44"/>
  <c r="I34" i="44"/>
  <c r="I54" i="44"/>
  <c r="J51" i="44" s="1"/>
  <c r="I29" i="44"/>
  <c r="I41" i="44"/>
  <c r="I35" i="44"/>
  <c r="I47" i="44"/>
  <c r="I48" i="44"/>
  <c r="I42" i="44"/>
  <c r="I30" i="44"/>
  <c r="I36" i="44"/>
  <c r="I716" i="44"/>
  <c r="J612" i="44"/>
  <c r="J801" i="44"/>
  <c r="J452" i="44"/>
  <c r="J566" i="44"/>
  <c r="J268" i="44"/>
  <c r="K549" i="226" s="1"/>
  <c r="I661" i="44"/>
  <c r="J284" i="44"/>
  <c r="J809" i="44"/>
  <c r="J825" i="44"/>
  <c r="J210" i="44"/>
  <c r="J997" i="44"/>
  <c r="J208" i="44"/>
  <c r="J278" i="44"/>
  <c r="K554" i="226" s="1"/>
  <c r="J274" i="44"/>
  <c r="J272" i="44"/>
  <c r="J258" i="44"/>
  <c r="K544" i="226" s="1"/>
  <c r="J264" i="44"/>
  <c r="J288" i="44"/>
  <c r="K559" i="226" s="1"/>
  <c r="J842" i="44"/>
  <c r="J975" i="44"/>
  <c r="J290" i="44"/>
  <c r="K560" i="226" s="1"/>
  <c r="M565" i="226"/>
  <c r="M52" i="226"/>
  <c r="M51" i="226"/>
  <c r="M54" i="226"/>
  <c r="M43" i="226"/>
  <c r="M567" i="226"/>
  <c r="M561" i="226"/>
  <c r="M576" i="226"/>
  <c r="M521" i="226"/>
  <c r="M605" i="226"/>
  <c r="M46" i="226"/>
  <c r="M50" i="226"/>
  <c r="M48" i="226"/>
  <c r="M529" i="226"/>
  <c r="M601" i="226"/>
  <c r="M600" i="226"/>
  <c r="M60" i="226"/>
  <c r="M55" i="226"/>
  <c r="M61" i="226"/>
  <c r="M64" i="226"/>
  <c r="M333" i="226"/>
  <c r="M563" i="226"/>
  <c r="M295" i="226"/>
  <c r="M62" i="226"/>
  <c r="J75" i="44"/>
  <c r="L108" i="24"/>
  <c r="L16" i="24"/>
  <c r="L83" i="24"/>
  <c r="M83" i="24" s="1"/>
  <c r="L82" i="24"/>
  <c r="M82" i="24" s="1"/>
  <c r="AI342" i="226"/>
  <c r="AI328" i="226"/>
  <c r="AI325" i="226"/>
  <c r="AI323" i="226"/>
  <c r="AI84" i="24"/>
  <c r="AI345" i="226"/>
  <c r="AI80" i="24"/>
  <c r="AI81" i="24"/>
  <c r="AI335" i="226"/>
  <c r="L76" i="24"/>
  <c r="AI330" i="226"/>
  <c r="L323" i="226"/>
  <c r="M323" i="226" s="1"/>
  <c r="L344" i="226"/>
  <c r="M344" i="226" s="1"/>
  <c r="AI334" i="226"/>
  <c r="L332" i="226"/>
  <c r="M332" i="226" s="1"/>
  <c r="AI329" i="226"/>
  <c r="L331" i="226"/>
  <c r="M331" i="226" s="1"/>
  <c r="L212" i="226"/>
  <c r="L127" i="226"/>
  <c r="L135" i="226"/>
  <c r="M135" i="226" s="1"/>
  <c r="L130" i="226"/>
  <c r="M130" i="226" s="1"/>
  <c r="L47" i="226"/>
  <c r="L202" i="226"/>
  <c r="L215" i="226"/>
  <c r="M215" i="226" s="1"/>
  <c r="L210" i="226"/>
  <c r="M210" i="226" s="1"/>
  <c r="L133" i="226"/>
  <c r="M133" i="226" s="1"/>
  <c r="L63" i="226"/>
  <c r="L219" i="226"/>
  <c r="M219" i="226" s="1"/>
  <c r="L172" i="226"/>
  <c r="M172" i="226" s="1"/>
  <c r="L176" i="226"/>
  <c r="M176" i="226" s="1"/>
  <c r="L131" i="226"/>
  <c r="M131" i="226" s="1"/>
  <c r="L58" i="226"/>
  <c r="L53" i="226"/>
  <c r="L39" i="226"/>
  <c r="M39" i="226" s="1"/>
  <c r="L213" i="226"/>
  <c r="M213" i="226" s="1"/>
  <c r="L59" i="226"/>
  <c r="L140" i="226"/>
  <c r="M140" i="226" s="1"/>
  <c r="L209" i="226"/>
  <c r="M209" i="226" s="1"/>
  <c r="L239" i="226"/>
  <c r="M239" i="226" s="1"/>
  <c r="L201" i="226"/>
  <c r="M201" i="226" s="1"/>
  <c r="K556" i="226"/>
  <c r="AI600" i="226"/>
  <c r="I321" i="44"/>
  <c r="I310" i="44"/>
  <c r="AI601" i="226"/>
  <c r="AI521" i="226"/>
  <c r="AI605" i="226"/>
  <c r="L60" i="128"/>
  <c r="M60" i="128" s="1"/>
  <c r="L16" i="241"/>
  <c r="I316" i="44"/>
  <c r="I305" i="44"/>
  <c r="L63" i="128"/>
  <c r="L107" i="128"/>
  <c r="L13" i="128"/>
  <c r="I349" i="44"/>
  <c r="I336" i="44"/>
  <c r="I323" i="44"/>
  <c r="I300" i="44"/>
  <c r="I311" i="44"/>
  <c r="L14" i="225"/>
  <c r="M12" i="128"/>
  <c r="AI567" i="226"/>
  <c r="AI561" i="226"/>
  <c r="AI383" i="226"/>
  <c r="AI380" i="226"/>
  <c r="AI563" i="226"/>
  <c r="L304" i="226"/>
  <c r="M304" i="226" s="1"/>
  <c r="L364" i="226"/>
  <c r="M364" i="226" s="1"/>
  <c r="L294" i="226"/>
  <c r="L292" i="226"/>
  <c r="AI565" i="226"/>
  <c r="AI295" i="226"/>
  <c r="AI575" i="226"/>
  <c r="L284" i="226"/>
  <c r="M284" i="226" s="1"/>
  <c r="L296" i="226"/>
  <c r="M296" i="226" s="1"/>
  <c r="L307" i="226"/>
  <c r="M307" i="226" s="1"/>
  <c r="L369" i="226"/>
  <c r="M369" i="226" s="1"/>
  <c r="AI384" i="226"/>
  <c r="AI562" i="226"/>
  <c r="AI529" i="226"/>
  <c r="L293" i="226"/>
  <c r="L288" i="226"/>
  <c r="M288" i="226" s="1"/>
  <c r="L368" i="226"/>
  <c r="M368" i="226" s="1"/>
  <c r="L366" i="226"/>
  <c r="M366" i="226" s="1"/>
  <c r="L297" i="226"/>
  <c r="L290" i="226"/>
  <c r="M290" i="226" s="1"/>
  <c r="L287" i="226"/>
  <c r="M287" i="226" s="1"/>
  <c r="L372" i="226"/>
  <c r="M372" i="226" s="1"/>
  <c r="L305" i="226"/>
  <c r="M305" i="226" s="1"/>
  <c r="L308" i="226"/>
  <c r="M308" i="226" s="1"/>
  <c r="L365" i="226"/>
  <c r="M365" i="226" s="1"/>
  <c r="AI576" i="226"/>
  <c r="AI382" i="226"/>
  <c r="AI381" i="226"/>
  <c r="AI12" i="128"/>
  <c r="L27" i="240"/>
  <c r="L286" i="226"/>
  <c r="L370" i="226"/>
  <c r="M370" i="226" s="1"/>
  <c r="L289" i="226"/>
  <c r="M289" i="226" s="1"/>
  <c r="L306" i="226"/>
  <c r="M306" i="226" s="1"/>
  <c r="L367" i="226"/>
  <c r="M367" i="226" s="1"/>
  <c r="L285" i="226"/>
  <c r="L291" i="226"/>
  <c r="M291" i="226" s="1"/>
  <c r="J973" i="44"/>
  <c r="I49" i="44"/>
  <c r="I686" i="44"/>
  <c r="I31" i="44"/>
  <c r="I678" i="44"/>
  <c r="I634" i="44"/>
  <c r="I670" i="44"/>
  <c r="I644" i="44"/>
  <c r="I43" i="44"/>
  <c r="I23" i="44"/>
  <c r="I759" i="44"/>
  <c r="I750" i="44"/>
  <c r="I708" i="44"/>
  <c r="I655" i="44"/>
  <c r="I37" i="44"/>
  <c r="I770" i="44"/>
  <c r="I778" i="44"/>
  <c r="I700" i="44"/>
  <c r="I17" i="44"/>
  <c r="J243" i="44"/>
  <c r="J232" i="44"/>
  <c r="L24" i="225"/>
  <c r="M24" i="225" s="1"/>
  <c r="L31" i="225"/>
  <c r="L373" i="226"/>
  <c r="M373" i="226" s="1"/>
  <c r="L550" i="226"/>
  <c r="L558" i="226"/>
  <c r="L363" i="226"/>
  <c r="M363" i="226" s="1"/>
  <c r="L25" i="225"/>
  <c r="L580" i="226"/>
  <c r="L573" i="226"/>
  <c r="M573" i="226" s="1"/>
  <c r="L539" i="226"/>
  <c r="L541" i="226"/>
  <c r="M541" i="226" s="1"/>
  <c r="L538" i="226"/>
  <c r="L540" i="226"/>
  <c r="L582" i="226"/>
  <c r="M582" i="226" s="1"/>
  <c r="L583" i="226"/>
  <c r="L595" i="226"/>
  <c r="J196" i="44"/>
  <c r="J221" i="44"/>
  <c r="J182" i="44"/>
  <c r="L508" i="226"/>
  <c r="L30" i="225"/>
  <c r="I764" i="44"/>
  <c r="J835" i="44"/>
  <c r="J830" i="44"/>
  <c r="J805" i="44"/>
  <c r="J161" i="44"/>
  <c r="J168" i="44"/>
  <c r="J175" i="44"/>
  <c r="J150" i="44"/>
  <c r="J156" i="44"/>
  <c r="J116" i="44"/>
  <c r="G736" i="44"/>
  <c r="J256" i="44"/>
  <c r="J94" i="44"/>
  <c r="J442" i="44"/>
  <c r="J92" i="44"/>
  <c r="J133" i="44"/>
  <c r="J81" i="44"/>
  <c r="J85" i="44"/>
  <c r="J435" i="44"/>
  <c r="J139" i="44"/>
  <c r="J83" i="44"/>
  <c r="J382" i="44"/>
  <c r="J143" i="44"/>
  <c r="J798" i="44"/>
  <c r="J89" i="44"/>
  <c r="J87" i="44"/>
  <c r="I734" i="44"/>
  <c r="J96" i="44"/>
  <c r="J412" i="44"/>
  <c r="J391" i="44"/>
  <c r="J421" i="44"/>
  <c r="J106" i="44"/>
  <c r="I737" i="44"/>
  <c r="I738" i="44"/>
  <c r="J55" i="44"/>
  <c r="G735" i="44"/>
  <c r="I502" i="44" l="1"/>
  <c r="I492" i="44"/>
  <c r="J480" i="44"/>
  <c r="L549" i="226"/>
  <c r="I579" i="44"/>
  <c r="I795" i="44"/>
  <c r="J780" i="44" s="1"/>
  <c r="L554" i="226"/>
  <c r="L559" i="226"/>
  <c r="L560" i="226"/>
  <c r="M108" i="24"/>
  <c r="M558" i="226"/>
  <c r="M285" i="226"/>
  <c r="M30" i="225"/>
  <c r="M58" i="226"/>
  <c r="M297" i="226"/>
  <c r="M292" i="226"/>
  <c r="M13" i="128"/>
  <c r="M550" i="226"/>
  <c r="M294" i="226"/>
  <c r="M59" i="226"/>
  <c r="M63" i="226"/>
  <c r="M293" i="226"/>
  <c r="M580" i="226"/>
  <c r="M286" i="226"/>
  <c r="M53" i="226"/>
  <c r="AI343" i="226"/>
  <c r="AI346" i="226"/>
  <c r="AI324" i="226"/>
  <c r="AI333" i="226"/>
  <c r="AI332" i="226"/>
  <c r="AI344" i="226"/>
  <c r="AI326" i="226"/>
  <c r="AI83" i="24"/>
  <c r="AI331" i="226"/>
  <c r="AI82" i="24"/>
  <c r="AI327" i="226"/>
  <c r="AI59" i="226"/>
  <c r="AI213" i="226"/>
  <c r="AI209" i="226"/>
  <c r="AI128" i="226"/>
  <c r="AI179" i="226"/>
  <c r="AI58" i="226"/>
  <c r="AI172" i="226"/>
  <c r="AI210" i="226"/>
  <c r="AI223" i="226"/>
  <c r="AI126" i="226"/>
  <c r="AI61" i="226"/>
  <c r="AI174" i="226"/>
  <c r="AI138" i="226"/>
  <c r="AI51" i="226"/>
  <c r="AI175" i="226"/>
  <c r="AI183" i="226"/>
  <c r="AI142" i="226"/>
  <c r="AI48" i="226"/>
  <c r="AI170" i="226"/>
  <c r="AI56" i="226"/>
  <c r="AI216" i="226"/>
  <c r="AI143" i="226"/>
  <c r="AI178" i="226"/>
  <c r="AI238" i="226"/>
  <c r="AI171" i="226"/>
  <c r="AI55" i="226"/>
  <c r="AI203" i="226"/>
  <c r="AI201" i="226"/>
  <c r="AI239" i="226"/>
  <c r="AI219" i="226"/>
  <c r="AI130" i="226"/>
  <c r="AI135" i="226"/>
  <c r="AI173" i="226"/>
  <c r="AI52" i="226"/>
  <c r="AI132" i="226"/>
  <c r="AI217" i="226"/>
  <c r="AI207" i="226"/>
  <c r="AI214" i="226"/>
  <c r="AI39" i="226"/>
  <c r="AI176" i="226"/>
  <c r="AI63" i="226"/>
  <c r="AI133" i="226"/>
  <c r="AI139" i="226"/>
  <c r="AI50" i="226"/>
  <c r="AI205" i="226"/>
  <c r="AI62" i="226"/>
  <c r="AI221" i="226"/>
  <c r="AI141" i="226"/>
  <c r="AI222" i="226"/>
  <c r="AI181" i="226"/>
  <c r="AI182" i="226"/>
  <c r="AI218" i="226"/>
  <c r="AI236" i="226"/>
  <c r="AI134" i="226"/>
  <c r="AI180" i="226"/>
  <c r="AI208" i="226"/>
  <c r="AI43" i="226"/>
  <c r="AI131" i="226"/>
  <c r="AI184" i="226"/>
  <c r="AI64" i="226"/>
  <c r="AI54" i="226"/>
  <c r="AI136" i="226"/>
  <c r="AI211" i="226"/>
  <c r="AI144" i="226"/>
  <c r="AI60" i="226"/>
  <c r="AI237" i="226"/>
  <c r="AI206" i="226"/>
  <c r="AI46" i="226"/>
  <c r="AI140" i="226"/>
  <c r="AI53" i="226"/>
  <c r="AI215" i="226"/>
  <c r="J292" i="44"/>
  <c r="AI104" i="128"/>
  <c r="AI61" i="128"/>
  <c r="J314" i="44"/>
  <c r="J303" i="44"/>
  <c r="J326" i="44"/>
  <c r="K587" i="226" s="1"/>
  <c r="AI13" i="128"/>
  <c r="AI103" i="128"/>
  <c r="J339" i="44"/>
  <c r="AI60" i="128"/>
  <c r="K543" i="226"/>
  <c r="AI560" i="226"/>
  <c r="AI550" i="226"/>
  <c r="AI559" i="226"/>
  <c r="AI549" i="226"/>
  <c r="AI554" i="226"/>
  <c r="AI558" i="226"/>
  <c r="AI370" i="226"/>
  <c r="AI23" i="225"/>
  <c r="AI21" i="24"/>
  <c r="AI308" i="226"/>
  <c r="AI305" i="226"/>
  <c r="AI372" i="226"/>
  <c r="AI287" i="226"/>
  <c r="AI293" i="226"/>
  <c r="AI306" i="226"/>
  <c r="AI30" i="225"/>
  <c r="AI285" i="226"/>
  <c r="AI294" i="226"/>
  <c r="AI304" i="226"/>
  <c r="AI580" i="226"/>
  <c r="AI366" i="226"/>
  <c r="AI288" i="226"/>
  <c r="AI363" i="226"/>
  <c r="AI360" i="226"/>
  <c r="AI284" i="226"/>
  <c r="AI361" i="226"/>
  <c r="AI291" i="226"/>
  <c r="AI365" i="226"/>
  <c r="AI367" i="226"/>
  <c r="AI286" i="226"/>
  <c r="AI369" i="226"/>
  <c r="AI296" i="226"/>
  <c r="AI362" i="226"/>
  <c r="AI290" i="226"/>
  <c r="AI297" i="226"/>
  <c r="AI368" i="226"/>
  <c r="AI24" i="225"/>
  <c r="AI307" i="226"/>
  <c r="AI292" i="226"/>
  <c r="AI364" i="226"/>
  <c r="AI289" i="226"/>
  <c r="AI373" i="226"/>
  <c r="I430" i="44"/>
  <c r="I758" i="44"/>
  <c r="I749" i="44"/>
  <c r="I769" i="44"/>
  <c r="AI108" i="24"/>
  <c r="L23" i="225"/>
  <c r="L360" i="226"/>
  <c r="M360" i="226" s="1"/>
  <c r="L26" i="225"/>
  <c r="L32" i="225"/>
  <c r="L362" i="226"/>
  <c r="M362" i="226" s="1"/>
  <c r="L39" i="225"/>
  <c r="L361" i="226"/>
  <c r="M361" i="226" s="1"/>
  <c r="L47" i="225"/>
  <c r="L21" i="24"/>
  <c r="L109" i="24"/>
  <c r="I736" i="44"/>
  <c r="I748" i="44"/>
  <c r="I746" i="44"/>
  <c r="I747" i="44"/>
  <c r="I735" i="44"/>
  <c r="J489" i="44" l="1"/>
  <c r="J499" i="44" s="1"/>
  <c r="M549" i="226"/>
  <c r="M560" i="226"/>
  <c r="M554" i="226"/>
  <c r="M559" i="226"/>
  <c r="M21" i="24"/>
  <c r="M109" i="24"/>
  <c r="M23" i="225"/>
  <c r="L543" i="226"/>
  <c r="M543" i="226" s="1"/>
  <c r="AI109" i="24"/>
  <c r="L556" i="226"/>
  <c r="M556" i="226" s="1"/>
  <c r="L516" i="226"/>
  <c r="L544" i="226"/>
  <c r="J733" i="44"/>
  <c r="M516" i="226" l="1"/>
  <c r="M544" i="226"/>
  <c r="L587" i="226"/>
  <c r="AI543" i="226"/>
  <c r="L599" i="226"/>
  <c r="AI544" i="226"/>
  <c r="AI556" i="226"/>
  <c r="AI516" i="226"/>
  <c r="M599" i="226" l="1"/>
  <c r="M587" i="226"/>
  <c r="AI587" i="226"/>
  <c r="AI599" i="226"/>
  <c r="I556" i="44"/>
  <c r="J548" i="44" l="1"/>
  <c r="I401" i="44" l="1"/>
  <c r="I468" i="44"/>
  <c r="I426" i="44"/>
  <c r="I731" i="44"/>
  <c r="I730" i="44"/>
  <c r="I729" i="44"/>
  <c r="I727" i="44"/>
  <c r="I726" i="44"/>
  <c r="I728" i="44"/>
  <c r="I725" i="44"/>
  <c r="I724" i="44"/>
  <c r="I723" i="44"/>
  <c r="I722" i="44"/>
  <c r="J467" i="44" l="1"/>
  <c r="J400" i="44"/>
  <c r="I720" i="44" l="1"/>
  <c r="I719" i="44"/>
  <c r="I718" i="44"/>
  <c r="J717" i="44" l="1"/>
  <c r="F9" i="173"/>
  <c r="S258" i="76" l="1"/>
  <c r="S229" i="76"/>
  <c r="S262" i="76"/>
  <c r="S227" i="76"/>
  <c r="S224" i="76"/>
  <c r="S237" i="76"/>
  <c r="S256" i="76"/>
  <c r="S228" i="76"/>
  <c r="S259" i="76"/>
  <c r="S242" i="76"/>
  <c r="S250" i="76"/>
  <c r="S241" i="76"/>
  <c r="S248" i="76"/>
  <c r="S266" i="76"/>
  <c r="S246" i="76"/>
  <c r="S244" i="76"/>
  <c r="S249" i="76"/>
  <c r="S247" i="76"/>
  <c r="S254" i="76"/>
  <c r="S226" i="76"/>
  <c r="S245" i="76"/>
  <c r="S231" i="76"/>
  <c r="S267" i="76"/>
  <c r="S233" i="76"/>
  <c r="S265" i="76"/>
  <c r="S260" i="76"/>
  <c r="S234" i="76"/>
  <c r="S264" i="76"/>
  <c r="S263" i="76"/>
  <c r="S251" i="76"/>
  <c r="S243" i="76"/>
  <c r="S240" i="76"/>
  <c r="S239" i="76"/>
  <c r="S230" i="76"/>
  <c r="S268" i="76"/>
  <c r="S235" i="76"/>
  <c r="S269" i="76"/>
  <c r="S236" i="76"/>
  <c r="S257" i="76"/>
  <c r="S253" i="76"/>
  <c r="S261" i="76"/>
  <c r="S255" i="76"/>
  <c r="S238" i="76"/>
  <c r="S252" i="76"/>
  <c r="S225" i="76"/>
  <c r="S232" i="76"/>
  <c r="K23" i="150"/>
  <c r="E5" i="173" l="1"/>
  <c r="B13" i="273"/>
  <c r="B13" i="288" s="1"/>
  <c r="V75" i="241" l="1"/>
  <c r="T75" i="241" s="1"/>
  <c r="I75" i="241" s="1"/>
  <c r="V76" i="24"/>
  <c r="T76" i="24" s="1"/>
  <c r="I76" i="24" s="1"/>
  <c r="V16" i="24"/>
  <c r="T16" i="24" s="1"/>
  <c r="Y16" i="24"/>
  <c r="W16" i="24" s="1"/>
  <c r="V16" i="226"/>
  <c r="T16" i="226" s="1"/>
  <c r="I16" i="226" s="1"/>
  <c r="V508" i="226"/>
  <c r="T508" i="226" s="1"/>
  <c r="Y26" i="225"/>
  <c r="W26" i="225" s="1"/>
  <c r="Y25" i="225"/>
  <c r="W25" i="225" s="1"/>
  <c r="AB47" i="225"/>
  <c r="Z47" i="225" s="1"/>
  <c r="V47" i="225"/>
  <c r="T47" i="225" s="1"/>
  <c r="Y39" i="225"/>
  <c r="W39" i="225" s="1"/>
  <c r="Y31" i="225"/>
  <c r="V14" i="225"/>
  <c r="T14" i="225" s="1"/>
  <c r="Y107" i="128"/>
  <c r="S106" i="128"/>
  <c r="Y64" i="128"/>
  <c r="S63" i="128"/>
  <c r="V16" i="241"/>
  <c r="V26" i="225"/>
  <c r="T26" i="225" s="1"/>
  <c r="V25" i="225"/>
  <c r="T25" i="225" s="1"/>
  <c r="S39" i="225"/>
  <c r="Q39" i="225" s="1"/>
  <c r="AB32" i="225"/>
  <c r="V32" i="225"/>
  <c r="Y14" i="225"/>
  <c r="W14" i="225" s="1"/>
  <c r="V107" i="128"/>
  <c r="AB106" i="128"/>
  <c r="V64" i="128"/>
  <c r="AB63" i="128"/>
  <c r="S26" i="225"/>
  <c r="Q26" i="225" s="1"/>
  <c r="S25" i="225"/>
  <c r="Q25" i="225" s="1"/>
  <c r="Y47" i="225"/>
  <c r="W47" i="225" s="1"/>
  <c r="S47" i="225"/>
  <c r="Q47" i="225" s="1"/>
  <c r="AB39" i="225"/>
  <c r="Z39" i="225" s="1"/>
  <c r="V39" i="225"/>
  <c r="T39" i="225" s="1"/>
  <c r="AB31" i="225"/>
  <c r="V31" i="225"/>
  <c r="AB14" i="225"/>
  <c r="Z14" i="225" s="1"/>
  <c r="S107" i="128"/>
  <c r="Y106" i="128"/>
  <c r="S64" i="128"/>
  <c r="Y63" i="128"/>
  <c r="AB26" i="225"/>
  <c r="Z26" i="225" s="1"/>
  <c r="AB25" i="225"/>
  <c r="Z25" i="225" s="1"/>
  <c r="Y32" i="225"/>
  <c r="S14" i="225"/>
  <c r="Q14" i="225" s="1"/>
  <c r="AB107" i="128"/>
  <c r="V106" i="128"/>
  <c r="AB64" i="128"/>
  <c r="V63" i="128"/>
  <c r="S508" i="226"/>
  <c r="Q508" i="226" s="1"/>
  <c r="AB508" i="226"/>
  <c r="Z508" i="226" s="1"/>
  <c r="S16" i="128"/>
  <c r="S15" i="128"/>
  <c r="AB16" i="128"/>
  <c r="AB15" i="128"/>
  <c r="Y16" i="128"/>
  <c r="Y15" i="128"/>
  <c r="V16" i="128"/>
  <c r="V15" i="128"/>
  <c r="W14" i="240"/>
  <c r="V14" i="240"/>
  <c r="T14" i="240" s="1"/>
  <c r="Z14" i="240"/>
  <c r="Q14" i="240"/>
  <c r="S31" i="225"/>
  <c r="I16" i="24" l="1"/>
  <c r="I25" i="225"/>
  <c r="I14" i="225"/>
  <c r="M16" i="226"/>
  <c r="I26" i="225"/>
  <c r="M26" i="225" s="1"/>
  <c r="M76" i="24"/>
  <c r="M75" i="241"/>
  <c r="I47" i="225"/>
  <c r="I39" i="225"/>
  <c r="I14" i="240"/>
  <c r="I508" i="226"/>
  <c r="S32" i="225"/>
  <c r="I658" i="44"/>
  <c r="N248" i="76" l="1"/>
  <c r="M16" i="24"/>
  <c r="AI75" i="241"/>
  <c r="AI76" i="24"/>
  <c r="AI16" i="226"/>
  <c r="O264" i="76"/>
  <c r="R264" i="76"/>
  <c r="P264" i="76"/>
  <c r="M14" i="225"/>
  <c r="M508" i="226"/>
  <c r="M14" i="240"/>
  <c r="M25" i="225"/>
  <c r="AI16" i="24" l="1"/>
  <c r="AI47" i="225"/>
  <c r="AI26" i="225"/>
  <c r="AI14" i="240"/>
  <c r="AI25" i="225"/>
  <c r="AI508" i="226"/>
  <c r="AI14" i="225"/>
  <c r="I609" i="44" l="1"/>
  <c r="I608" i="44"/>
  <c r="I604" i="44"/>
  <c r="I605" i="44" l="1"/>
  <c r="J603" i="44" l="1"/>
  <c r="I575" i="44" l="1"/>
  <c r="I586" i="44"/>
  <c r="I945" i="44" l="1"/>
  <c r="I944" i="44"/>
  <c r="I943" i="44"/>
  <c r="I941" i="44"/>
  <c r="I940" i="44"/>
  <c r="I939" i="44"/>
  <c r="I953" i="44"/>
  <c r="I950" i="44"/>
  <c r="I947" i="44"/>
  <c r="I948" i="44"/>
  <c r="I951" i="44"/>
  <c r="J942" i="44" l="1"/>
  <c r="J938" i="44"/>
  <c r="J946" i="44"/>
  <c r="J949" i="44"/>
  <c r="G859" i="44"/>
  <c r="G857" i="44"/>
  <c r="G854" i="44"/>
  <c r="G853" i="44"/>
  <c r="I662" i="44" l="1"/>
  <c r="I692" i="44"/>
  <c r="I129" i="44" l="1"/>
  <c r="I130" i="44"/>
  <c r="I128" i="44"/>
  <c r="I132" i="44"/>
  <c r="I1025" i="44" l="1"/>
  <c r="I1024" i="44"/>
  <c r="I1023" i="44"/>
  <c r="I1022" i="44"/>
  <c r="I1021" i="44"/>
  <c r="I996" i="44"/>
  <c r="I995" i="44"/>
  <c r="I994" i="44"/>
  <c r="I993" i="44"/>
  <c r="I992" i="44"/>
  <c r="I991" i="44"/>
  <c r="I990" i="44"/>
  <c r="I989" i="44"/>
  <c r="I988" i="44"/>
  <c r="I986" i="44"/>
  <c r="I985" i="44"/>
  <c r="I984" i="44"/>
  <c r="I983" i="44"/>
  <c r="I982" i="44"/>
  <c r="I981" i="44"/>
  <c r="I980" i="44"/>
  <c r="I968" i="44"/>
  <c r="I967" i="44"/>
  <c r="I966" i="44"/>
  <c r="I1019" i="44"/>
  <c r="I1018" i="44"/>
  <c r="I1017" i="44"/>
  <c r="I1016" i="44"/>
  <c r="I1015" i="44"/>
  <c r="I1014" i="44"/>
  <c r="I1013" i="44"/>
  <c r="I1012" i="44"/>
  <c r="I1011" i="44"/>
  <c r="I1010" i="44"/>
  <c r="I1009" i="44"/>
  <c r="J987" i="44" l="1"/>
  <c r="J965" i="44"/>
  <c r="J1008" i="44"/>
  <c r="J979" i="44"/>
  <c r="J1020" i="44"/>
  <c r="I874" i="44" l="1"/>
  <c r="I872" i="44"/>
  <c r="J873" i="44" l="1"/>
  <c r="J871" i="44"/>
  <c r="I933" i="44"/>
  <c r="I931" i="44"/>
  <c r="I927" i="44"/>
  <c r="I925" i="44"/>
  <c r="I921" i="44"/>
  <c r="I923" i="44"/>
  <c r="I919" i="44"/>
  <c r="I917" i="44"/>
  <c r="K38" i="24" l="1"/>
  <c r="K35" i="24"/>
  <c r="J918" i="44"/>
  <c r="J932" i="44"/>
  <c r="J920" i="44"/>
  <c r="J926" i="44"/>
  <c r="J922" i="44"/>
  <c r="J916" i="44"/>
  <c r="J924" i="44"/>
  <c r="J930" i="44"/>
  <c r="I954" i="44"/>
  <c r="I899" i="44"/>
  <c r="G904" i="44"/>
  <c r="I910" i="44"/>
  <c r="I909" i="44"/>
  <c r="I908" i="44"/>
  <c r="I907" i="44"/>
  <c r="I906" i="44"/>
  <c r="I905" i="44"/>
  <c r="I902" i="44"/>
  <c r="I901" i="44"/>
  <c r="I900" i="44"/>
  <c r="I898" i="44"/>
  <c r="I897" i="44"/>
  <c r="I896" i="44"/>
  <c r="I895" i="44"/>
  <c r="I894" i="44"/>
  <c r="J952" i="44" l="1"/>
  <c r="I936" i="44"/>
  <c r="I935" i="44"/>
  <c r="I904" i="44"/>
  <c r="J893" i="44"/>
  <c r="AI38" i="24" l="1"/>
  <c r="AI35" i="24"/>
  <c r="L38" i="24"/>
  <c r="L35" i="24"/>
  <c r="J903" i="44"/>
  <c r="M38" i="24" l="1"/>
  <c r="M35" i="24"/>
  <c r="F9" i="150"/>
  <c r="T258" i="76" l="1"/>
  <c r="T261" i="76"/>
  <c r="T229" i="76"/>
  <c r="T255" i="76"/>
  <c r="T262" i="76"/>
  <c r="T235" i="76"/>
  <c r="T267" i="76"/>
  <c r="T254" i="76"/>
  <c r="T256" i="76"/>
  <c r="T240" i="76"/>
  <c r="T228" i="76"/>
  <c r="T260" i="76"/>
  <c r="T250" i="76"/>
  <c r="T257" i="76"/>
  <c r="T230" i="76"/>
  <c r="T248" i="76"/>
  <c r="T252" i="76"/>
  <c r="T246" i="76"/>
  <c r="T225" i="76"/>
  <c r="T242" i="76"/>
  <c r="T231" i="76"/>
  <c r="T269" i="76"/>
  <c r="T239" i="76"/>
  <c r="T241" i="76"/>
  <c r="T234" i="76"/>
  <c r="T253" i="76"/>
  <c r="T247" i="76"/>
  <c r="T227" i="76"/>
  <c r="T224" i="76"/>
  <c r="T251" i="76"/>
  <c r="T237" i="76"/>
  <c r="T226" i="76"/>
  <c r="T232" i="76"/>
  <c r="T233" i="76"/>
  <c r="T265" i="76"/>
  <c r="T259" i="76"/>
  <c r="T268" i="76"/>
  <c r="T236" i="76"/>
  <c r="T266" i="76"/>
  <c r="T244" i="76"/>
  <c r="T263" i="76"/>
  <c r="T249" i="76"/>
  <c r="M30" i="150"/>
  <c r="D226" i="76" l="1"/>
  <c r="AA226" i="76" s="1"/>
  <c r="V226" i="76"/>
  <c r="V269" i="76"/>
  <c r="D269" i="76"/>
  <c r="AA269" i="76" s="1"/>
  <c r="D268" i="76"/>
  <c r="AA268" i="76" s="1"/>
  <c r="V268" i="76"/>
  <c r="V232" i="76"/>
  <c r="D232" i="76"/>
  <c r="AA232" i="76" s="1"/>
  <c r="V237" i="76"/>
  <c r="D237" i="76"/>
  <c r="AA237" i="76" s="1"/>
  <c r="V251" i="76"/>
  <c r="D251" i="76"/>
  <c r="AA251" i="76" s="1"/>
  <c r="V224" i="76"/>
  <c r="D224" i="76"/>
  <c r="AA224" i="76" s="1"/>
  <c r="V227" i="76"/>
  <c r="D227" i="76"/>
  <c r="AA227" i="76" s="1"/>
  <c r="D239" i="76"/>
  <c r="AA239" i="76" s="1"/>
  <c r="V239" i="76"/>
  <c r="D242" i="76"/>
  <c r="AA242" i="76" s="1"/>
  <c r="V242" i="76"/>
  <c r="D225" i="76"/>
  <c r="AA225" i="76" s="1"/>
  <c r="V225" i="76"/>
  <c r="D257" i="76"/>
  <c r="AA257" i="76" s="1"/>
  <c r="V257" i="76"/>
  <c r="V250" i="76"/>
  <c r="D250" i="76"/>
  <c r="AA250" i="76" s="1"/>
  <c r="D228" i="76"/>
  <c r="AA228" i="76" s="1"/>
  <c r="V228" i="76"/>
  <c r="D254" i="76"/>
  <c r="AA254" i="76" s="1"/>
  <c r="V254" i="76"/>
  <c r="V229" i="76"/>
  <c r="D229" i="76"/>
  <c r="AA229" i="76" s="1"/>
  <c r="D259" i="76"/>
  <c r="AA259" i="76" s="1"/>
  <c r="V259" i="76"/>
  <c r="D267" i="76"/>
  <c r="AA267" i="76" s="1"/>
  <c r="V267" i="76"/>
  <c r="D261" i="76"/>
  <c r="AA261" i="76" s="1"/>
  <c r="V261" i="76"/>
  <c r="D265" i="76"/>
  <c r="AA265" i="76" s="1"/>
  <c r="V265" i="76"/>
  <c r="D241" i="76"/>
  <c r="AA241" i="76" s="1"/>
  <c r="V241" i="76"/>
  <c r="D262" i="76"/>
  <c r="AA262" i="76" s="1"/>
  <c r="V262" i="76"/>
  <c r="D258" i="76"/>
  <c r="AA258" i="76" s="1"/>
  <c r="V258" i="76"/>
  <c r="E5" i="150"/>
  <c r="B14" i="273"/>
  <c r="D230" i="76"/>
  <c r="AA230" i="76" s="1"/>
  <c r="V230" i="76"/>
  <c r="V260" i="76"/>
  <c r="D260" i="76"/>
  <c r="AA260" i="76" s="1"/>
  <c r="V240" i="76"/>
  <c r="D240" i="76"/>
  <c r="AA240" i="76" s="1"/>
  <c r="V256" i="76"/>
  <c r="D256" i="76"/>
  <c r="AA256" i="76" s="1"/>
  <c r="V235" i="76"/>
  <c r="D235" i="76"/>
  <c r="AA235" i="76" s="1"/>
  <c r="D255" i="76"/>
  <c r="AA255" i="76" s="1"/>
  <c r="V255" i="76"/>
  <c r="L30" i="150"/>
  <c r="I61" i="44"/>
  <c r="I104" i="44"/>
  <c r="I105" i="44"/>
  <c r="I853" i="44"/>
  <c r="I857" i="44"/>
  <c r="I859" i="44"/>
  <c r="I890" i="44"/>
  <c r="I892" i="44"/>
  <c r="I882" i="44"/>
  <c r="I888" i="44"/>
  <c r="I886" i="44"/>
  <c r="I880" i="44"/>
  <c r="I878" i="44"/>
  <c r="I876" i="44"/>
  <c r="I884" i="44"/>
  <c r="W481" i="226" l="1"/>
  <c r="X51" i="240"/>
  <c r="U52" i="240"/>
  <c r="X50" i="240"/>
  <c r="U51" i="240"/>
  <c r="X52" i="240"/>
  <c r="U50" i="240"/>
  <c r="B14" i="288"/>
  <c r="G597" i="44"/>
  <c r="I597" i="44" s="1"/>
  <c r="G598" i="44"/>
  <c r="F232" i="76"/>
  <c r="F239" i="76"/>
  <c r="R30" i="225"/>
  <c r="Q33" i="225" s="1"/>
  <c r="X103" i="128"/>
  <c r="W105" i="128" s="1"/>
  <c r="AA30" i="225"/>
  <c r="Z33" i="225" s="1"/>
  <c r="U103" i="128"/>
  <c r="T105" i="128" s="1"/>
  <c r="AA60" i="128"/>
  <c r="Z62" i="128" s="1"/>
  <c r="U60" i="128"/>
  <c r="T62" i="128" s="1"/>
  <c r="X30" i="225"/>
  <c r="W33" i="225" s="1"/>
  <c r="R103" i="128"/>
  <c r="Q105" i="128" s="1"/>
  <c r="X60" i="128"/>
  <c r="W62" i="128" s="1"/>
  <c r="R60" i="128"/>
  <c r="Q62" i="128" s="1"/>
  <c r="U30" i="225"/>
  <c r="T33" i="225" s="1"/>
  <c r="AA103" i="128"/>
  <c r="Z105" i="128" s="1"/>
  <c r="U12" i="128"/>
  <c r="T14" i="128" s="1"/>
  <c r="R12" i="128"/>
  <c r="Q14" i="128" s="1"/>
  <c r="AA12" i="128"/>
  <c r="Z14" i="128" s="1"/>
  <c r="X12" i="128"/>
  <c r="W14" i="128" s="1"/>
  <c r="Q63" i="240"/>
  <c r="Q50" i="128"/>
  <c r="Q49" i="128"/>
  <c r="S41" i="226"/>
  <c r="Q41" i="226" s="1"/>
  <c r="V40" i="226"/>
  <c r="T40" i="226" s="1"/>
  <c r="S40" i="226"/>
  <c r="Q40" i="226" s="1"/>
  <c r="V41" i="226"/>
  <c r="T41" i="226" s="1"/>
  <c r="V96" i="241"/>
  <c r="T96" i="241" s="1"/>
  <c r="I96" i="241" s="1"/>
  <c r="R248" i="76" s="1"/>
  <c r="V271" i="226"/>
  <c r="T271" i="226" s="1"/>
  <c r="I271" i="226" s="1"/>
  <c r="V105" i="226"/>
  <c r="T105" i="226" s="1"/>
  <c r="I105" i="226" s="1"/>
  <c r="V90" i="226"/>
  <c r="T90" i="226" s="1"/>
  <c r="I90" i="226" s="1"/>
  <c r="V258" i="226"/>
  <c r="T258" i="226" s="1"/>
  <c r="I258" i="226" s="1"/>
  <c r="V160" i="226"/>
  <c r="T160" i="226" s="1"/>
  <c r="I160" i="226" s="1"/>
  <c r="I114" i="44"/>
  <c r="I964" i="44"/>
  <c r="F225" i="76"/>
  <c r="F255" i="76"/>
  <c r="AI9" i="150"/>
  <c r="T539" i="226"/>
  <c r="I539" i="226" s="1"/>
  <c r="S93" i="128"/>
  <c r="Q93" i="128" s="1"/>
  <c r="W92" i="128"/>
  <c r="Z93" i="128"/>
  <c r="T92" i="128"/>
  <c r="W93" i="128"/>
  <c r="S92" i="128"/>
  <c r="Q92" i="128" s="1"/>
  <c r="T93" i="128"/>
  <c r="Z92" i="128"/>
  <c r="S129" i="128"/>
  <c r="Q129" i="128" s="1"/>
  <c r="W49" i="128"/>
  <c r="S128" i="128"/>
  <c r="Q128" i="128" s="1"/>
  <c r="Z50" i="128"/>
  <c r="T50" i="128"/>
  <c r="Z129" i="128"/>
  <c r="W129" i="128"/>
  <c r="T129" i="128"/>
  <c r="Z49" i="128"/>
  <c r="T49" i="128"/>
  <c r="Z128" i="128"/>
  <c r="W128" i="128"/>
  <c r="T128" i="128"/>
  <c r="W50" i="128"/>
  <c r="V592" i="226"/>
  <c r="V571" i="226"/>
  <c r="T571" i="226" s="1"/>
  <c r="S137" i="128"/>
  <c r="Q137" i="128" s="1"/>
  <c r="AB137" i="128"/>
  <c r="Z137" i="128" s="1"/>
  <c r="Y137" i="128"/>
  <c r="W137" i="128" s="1"/>
  <c r="V137" i="128"/>
  <c r="T137" i="128" s="1"/>
  <c r="L22" i="150"/>
  <c r="L23" i="150"/>
  <c r="G599" i="44"/>
  <c r="L112" i="24"/>
  <c r="J60" i="44"/>
  <c r="I841" i="44"/>
  <c r="I851" i="44"/>
  <c r="I867" i="44"/>
  <c r="I110" i="44"/>
  <c r="I131" i="44"/>
  <c r="J127" i="44" s="1"/>
  <c r="I869" i="44"/>
  <c r="I865" i="44"/>
  <c r="J879" i="44"/>
  <c r="J881" i="44"/>
  <c r="J875" i="44"/>
  <c r="I59" i="44"/>
  <c r="I854" i="44"/>
  <c r="I855" i="44"/>
  <c r="I858" i="44"/>
  <c r="I870" i="44"/>
  <c r="J891" i="44"/>
  <c r="J889" i="44"/>
  <c r="J877" i="44"/>
  <c r="J885" i="44"/>
  <c r="J887" i="44"/>
  <c r="J883" i="44"/>
  <c r="I599" i="44" l="1"/>
  <c r="I598" i="44"/>
  <c r="V481" i="226"/>
  <c r="V398" i="226"/>
  <c r="T398" i="226" s="1"/>
  <c r="I398" i="226" s="1"/>
  <c r="V110" i="241"/>
  <c r="V84" i="241"/>
  <c r="T84" i="241" s="1"/>
  <c r="I84" i="241" s="1"/>
  <c r="W608" i="226"/>
  <c r="V442" i="226"/>
  <c r="W442" i="226"/>
  <c r="Z27" i="240"/>
  <c r="V422" i="226"/>
  <c r="V462" i="226"/>
  <c r="V27" i="240"/>
  <c r="V608" i="226"/>
  <c r="T608" i="226" s="1"/>
  <c r="I40" i="226"/>
  <c r="W17" i="128"/>
  <c r="W15" i="128"/>
  <c r="W16" i="128"/>
  <c r="Q17" i="128"/>
  <c r="I14" i="128"/>
  <c r="Q15" i="128"/>
  <c r="Q16" i="128"/>
  <c r="T31" i="225"/>
  <c r="T32" i="225"/>
  <c r="W31" i="225"/>
  <c r="W32" i="225"/>
  <c r="T108" i="128"/>
  <c r="T107" i="128"/>
  <c r="T106" i="128"/>
  <c r="T17" i="128"/>
  <c r="T15" i="128"/>
  <c r="T16" i="128"/>
  <c r="Q65" i="128"/>
  <c r="I62" i="128"/>
  <c r="Q63" i="128"/>
  <c r="Q64" i="128"/>
  <c r="T65" i="128"/>
  <c r="T63" i="128"/>
  <c r="T64" i="128"/>
  <c r="Z32" i="225"/>
  <c r="Z31" i="225"/>
  <c r="Z17" i="128"/>
  <c r="Z16" i="128"/>
  <c r="Z15" i="128"/>
  <c r="W65" i="128"/>
  <c r="W64" i="128"/>
  <c r="W63" i="128"/>
  <c r="T16" i="241"/>
  <c r="I16" i="241" s="1"/>
  <c r="W108" i="128"/>
  <c r="W107" i="128"/>
  <c r="W106" i="128"/>
  <c r="Z108" i="128"/>
  <c r="Z106" i="128"/>
  <c r="Z107" i="128"/>
  <c r="Q108" i="128"/>
  <c r="I105" i="128"/>
  <c r="Q107" i="128"/>
  <c r="Q106" i="128"/>
  <c r="Z65" i="128"/>
  <c r="Z63" i="128"/>
  <c r="Z64" i="128"/>
  <c r="I33" i="225"/>
  <c r="Q31" i="225"/>
  <c r="Q32" i="225"/>
  <c r="M96" i="241"/>
  <c r="I41" i="226"/>
  <c r="M160" i="226"/>
  <c r="M271" i="226"/>
  <c r="V42" i="226"/>
  <c r="T42" i="226" s="1"/>
  <c r="S42" i="226"/>
  <c r="Q42" i="226" s="1"/>
  <c r="V177" i="226"/>
  <c r="T177" i="226" s="1"/>
  <c r="I177" i="226" s="1"/>
  <c r="V137" i="226"/>
  <c r="T137" i="226" s="1"/>
  <c r="I137" i="226" s="1"/>
  <c r="V127" i="226"/>
  <c r="T127" i="226" s="1"/>
  <c r="I127" i="226" s="1"/>
  <c r="V212" i="226"/>
  <c r="T212" i="226" s="1"/>
  <c r="I212" i="226" s="1"/>
  <c r="V202" i="226"/>
  <c r="T202" i="226" s="1"/>
  <c r="I202" i="226" s="1"/>
  <c r="V57" i="226"/>
  <c r="T57" i="226" s="1"/>
  <c r="I57" i="226" s="1"/>
  <c r="V47" i="226"/>
  <c r="T47" i="226" s="1"/>
  <c r="I47" i="226" s="1"/>
  <c r="M90" i="226"/>
  <c r="M258" i="226"/>
  <c r="M105" i="226"/>
  <c r="J963" i="44"/>
  <c r="M22" i="150"/>
  <c r="I571" i="226"/>
  <c r="I49" i="128"/>
  <c r="I50" i="128"/>
  <c r="I92" i="128"/>
  <c r="I137" i="128"/>
  <c r="Q247" i="76" s="1"/>
  <c r="I129" i="128"/>
  <c r="I93" i="128"/>
  <c r="I128" i="128"/>
  <c r="T540" i="226"/>
  <c r="I540" i="226" s="1"/>
  <c r="W130" i="128"/>
  <c r="Z130" i="128"/>
  <c r="T130" i="128"/>
  <c r="S130" i="128"/>
  <c r="Q130" i="128" s="1"/>
  <c r="AI22" i="150"/>
  <c r="L16" i="150"/>
  <c r="L17" i="150"/>
  <c r="L21" i="150"/>
  <c r="L20" i="150"/>
  <c r="Q16" i="150"/>
  <c r="I16" i="150" s="1"/>
  <c r="T243" i="76" s="1"/>
  <c r="Q20" i="150"/>
  <c r="I20" i="150" s="1"/>
  <c r="T245" i="76" s="1"/>
  <c r="Q23" i="150"/>
  <c r="K37" i="24"/>
  <c r="J113" i="44"/>
  <c r="I18" i="44"/>
  <c r="J6" i="44" s="1"/>
  <c r="I635" i="44"/>
  <c r="J626" i="44" s="1"/>
  <c r="I24" i="44"/>
  <c r="J19" i="44" s="1"/>
  <c r="I679" i="44"/>
  <c r="I44" i="44"/>
  <c r="J39" i="44" s="1"/>
  <c r="I656" i="44"/>
  <c r="J646" i="44" s="1"/>
  <c r="I645" i="44"/>
  <c r="J636" i="44" s="1"/>
  <c r="I38" i="44"/>
  <c r="J33" i="44" s="1"/>
  <c r="I760" i="44"/>
  <c r="J752" i="44" s="1"/>
  <c r="I701" i="44"/>
  <c r="J688" i="44" s="1"/>
  <c r="I50" i="44"/>
  <c r="J45" i="44" s="1"/>
  <c r="I751" i="44"/>
  <c r="J741" i="44" s="1"/>
  <c r="I671" i="44"/>
  <c r="J659" i="44" s="1"/>
  <c r="I32" i="44"/>
  <c r="J27" i="44" s="1"/>
  <c r="I771" i="44"/>
  <c r="J761" i="44" s="1"/>
  <c r="I687" i="44"/>
  <c r="I779" i="44"/>
  <c r="J772" i="44" s="1"/>
  <c r="I732" i="44"/>
  <c r="I709" i="44"/>
  <c r="J840" i="44"/>
  <c r="I429" i="44"/>
  <c r="J109" i="44"/>
  <c r="J866" i="44"/>
  <c r="J850" i="44"/>
  <c r="J864" i="44"/>
  <c r="I937" i="44"/>
  <c r="J868" i="44"/>
  <c r="J856" i="44"/>
  <c r="J58" i="44"/>
  <c r="J101" i="44"/>
  <c r="I71" i="44" s="1"/>
  <c r="J852" i="44"/>
  <c r="I715" i="44" l="1"/>
  <c r="T501" i="226"/>
  <c r="I501" i="226" s="1"/>
  <c r="W501" i="226"/>
  <c r="J574" i="44"/>
  <c r="D245" i="76"/>
  <c r="AA245" i="76" s="1"/>
  <c r="V245" i="76"/>
  <c r="D243" i="76"/>
  <c r="AA243" i="76" s="1"/>
  <c r="V243" i="76"/>
  <c r="M14" i="128"/>
  <c r="D247" i="76"/>
  <c r="AA247" i="76" s="1"/>
  <c r="V247" i="76"/>
  <c r="T481" i="226"/>
  <c r="I481" i="226" s="1"/>
  <c r="M398" i="226"/>
  <c r="T110" i="241"/>
  <c r="M84" i="241"/>
  <c r="W462" i="226"/>
  <c r="W51" i="240"/>
  <c r="W57" i="240" s="1"/>
  <c r="T422" i="226"/>
  <c r="Q27" i="240"/>
  <c r="W27" i="240"/>
  <c r="T51" i="240"/>
  <c r="T57" i="240" s="1"/>
  <c r="T27" i="240"/>
  <c r="M40" i="226"/>
  <c r="I32" i="225"/>
  <c r="I31" i="225"/>
  <c r="I108" i="128"/>
  <c r="I107" i="128"/>
  <c r="M105" i="128"/>
  <c r="W422" i="226"/>
  <c r="I63" i="128"/>
  <c r="I17" i="128"/>
  <c r="M16" i="241"/>
  <c r="M62" i="128"/>
  <c r="I16" i="128"/>
  <c r="I106" i="128"/>
  <c r="I65" i="128"/>
  <c r="I15" i="128"/>
  <c r="T462" i="226"/>
  <c r="I64" i="128"/>
  <c r="T442" i="226"/>
  <c r="I442" i="226" s="1"/>
  <c r="AI271" i="226"/>
  <c r="AI90" i="226"/>
  <c r="M57" i="226"/>
  <c r="M41" i="226"/>
  <c r="M202" i="226"/>
  <c r="M127" i="226"/>
  <c r="M137" i="226"/>
  <c r="I42" i="226"/>
  <c r="AI105" i="226"/>
  <c r="M212" i="226"/>
  <c r="AI160" i="226"/>
  <c r="AI258" i="226"/>
  <c r="M47" i="226"/>
  <c r="M177" i="226"/>
  <c r="AI96" i="241"/>
  <c r="I23" i="150"/>
  <c r="T264" i="76" s="1"/>
  <c r="F254" i="76"/>
  <c r="Q264" i="76"/>
  <c r="M21" i="150"/>
  <c r="M17" i="150"/>
  <c r="I130" i="128"/>
  <c r="M137" i="128"/>
  <c r="J66" i="44"/>
  <c r="M16" i="150"/>
  <c r="M539" i="226"/>
  <c r="M93" i="128"/>
  <c r="M128" i="128"/>
  <c r="M129" i="128"/>
  <c r="M49" i="128"/>
  <c r="M92" i="128"/>
  <c r="M538" i="226"/>
  <c r="M50" i="128"/>
  <c r="M571" i="226"/>
  <c r="M20" i="150"/>
  <c r="AI17" i="150"/>
  <c r="AI21" i="150"/>
  <c r="K33" i="225"/>
  <c r="K27" i="225"/>
  <c r="K108" i="128"/>
  <c r="K65" i="128"/>
  <c r="K17" i="128"/>
  <c r="I685" i="44"/>
  <c r="I677" i="44"/>
  <c r="I707" i="44"/>
  <c r="S1006" i="44"/>
  <c r="J721" i="44"/>
  <c r="J432" i="44"/>
  <c r="J710" i="44" l="1"/>
  <c r="M501" i="226"/>
  <c r="W28" i="226"/>
  <c r="M481" i="226"/>
  <c r="I462" i="226"/>
  <c r="AI398" i="226"/>
  <c r="AI84" i="241"/>
  <c r="I110" i="241"/>
  <c r="I422" i="226"/>
  <c r="I27" i="240"/>
  <c r="AI40" i="226"/>
  <c r="M107" i="128"/>
  <c r="M32" i="225"/>
  <c r="M31" i="225"/>
  <c r="AI14" i="128"/>
  <c r="I608" i="226"/>
  <c r="M64" i="128"/>
  <c r="M16" i="128"/>
  <c r="AI62" i="128"/>
  <c r="AI105" i="128"/>
  <c r="M106" i="128"/>
  <c r="AI16" i="241"/>
  <c r="M442" i="226"/>
  <c r="M63" i="128"/>
  <c r="M15" i="128"/>
  <c r="AI137" i="226"/>
  <c r="AI47" i="226"/>
  <c r="AI212" i="226"/>
  <c r="AI41" i="226"/>
  <c r="M42" i="226"/>
  <c r="AI127" i="226"/>
  <c r="AI57" i="226"/>
  <c r="AI177" i="226"/>
  <c r="AI202" i="226"/>
  <c r="K11" i="150"/>
  <c r="T238" i="76"/>
  <c r="M23" i="150"/>
  <c r="AI137" i="128"/>
  <c r="AI20" i="150"/>
  <c r="AI16" i="150"/>
  <c r="M130" i="128"/>
  <c r="M540" i="226"/>
  <c r="AI539" i="226"/>
  <c r="AI49" i="128"/>
  <c r="AI128" i="128"/>
  <c r="AI538" i="226"/>
  <c r="AI93" i="128"/>
  <c r="AI92" i="128"/>
  <c r="AI50" i="128"/>
  <c r="AI129" i="128"/>
  <c r="AI571" i="226"/>
  <c r="AI37" i="24"/>
  <c r="L24" i="150"/>
  <c r="L33" i="225"/>
  <c r="M33" i="225" s="1"/>
  <c r="L17" i="128"/>
  <c r="L65" i="128"/>
  <c r="L108" i="128"/>
  <c r="L37" i="24"/>
  <c r="J702" i="44"/>
  <c r="S1007" i="44"/>
  <c r="J672" i="44"/>
  <c r="J680" i="44"/>
  <c r="J425" i="44"/>
  <c r="AI501" i="226" l="1"/>
  <c r="AI481" i="226"/>
  <c r="O287" i="76"/>
  <c r="M462" i="226"/>
  <c r="M110" i="241"/>
  <c r="M422" i="226"/>
  <c r="AI107" i="128"/>
  <c r="M27" i="240"/>
  <c r="AI32" i="225"/>
  <c r="AI31" i="225"/>
  <c r="AI442" i="226"/>
  <c r="M608" i="226"/>
  <c r="AI106" i="128"/>
  <c r="AI16" i="128"/>
  <c r="AI63" i="128"/>
  <c r="AI64" i="128"/>
  <c r="AI15" i="128"/>
  <c r="AI42" i="226"/>
  <c r="K20" i="173"/>
  <c r="D238" i="76"/>
  <c r="AA238" i="76" s="1"/>
  <c r="V238" i="76"/>
  <c r="F269" i="76"/>
  <c r="F228" i="76"/>
  <c r="M37" i="24"/>
  <c r="M24" i="150"/>
  <c r="AI130" i="128"/>
  <c r="AI540" i="226"/>
  <c r="M17" i="128"/>
  <c r="M108" i="128"/>
  <c r="M65" i="128"/>
  <c r="AI24" i="150"/>
  <c r="AI33" i="225"/>
  <c r="L27" i="225"/>
  <c r="AI17" i="128"/>
  <c r="AI65" i="128"/>
  <c r="Q159" i="128"/>
  <c r="AI108" i="128"/>
  <c r="L11" i="150"/>
  <c r="T28" i="226" l="1"/>
  <c r="I28" i="226" s="1"/>
  <c r="F235" i="76"/>
  <c r="AI462" i="226"/>
  <c r="AI422" i="226"/>
  <c r="P271" i="76"/>
  <c r="M46" i="150"/>
  <c r="AI110" i="241"/>
  <c r="AI27" i="240"/>
  <c r="AI608" i="226"/>
  <c r="F224" i="76"/>
  <c r="F226" i="76"/>
  <c r="F230" i="76"/>
  <c r="F250" i="76"/>
  <c r="M27" i="225"/>
  <c r="M11" i="150"/>
  <c r="Z159" i="128"/>
  <c r="W159" i="128"/>
  <c r="T159" i="128"/>
  <c r="AI27" i="225"/>
  <c r="M28" i="226" l="1"/>
  <c r="F261" i="76"/>
  <c r="F245" i="76"/>
  <c r="F241" i="76"/>
  <c r="F268" i="76"/>
  <c r="F240" i="76"/>
  <c r="F238" i="76"/>
  <c r="F242" i="76"/>
  <c r="L20" i="173"/>
  <c r="T271" i="76"/>
  <c r="AI28" i="226" l="1"/>
  <c r="F257" i="76"/>
  <c r="F262" i="76"/>
  <c r="F259" i="76"/>
  <c r="F265" i="76"/>
  <c r="F256" i="76"/>
  <c r="F260" i="76"/>
  <c r="F243" i="76"/>
  <c r="M20" i="173"/>
  <c r="M45" i="150"/>
  <c r="S271" i="76" l="1"/>
  <c r="M47" i="150"/>
  <c r="J934" i="44"/>
  <c r="M271" i="76" l="1"/>
  <c r="E5" i="128" l="1"/>
  <c r="B11" i="273"/>
  <c r="B11" i="288" s="1"/>
  <c r="I956" i="44"/>
  <c r="J955" i="44" l="1"/>
  <c r="F229" i="76" l="1"/>
  <c r="D246" i="76"/>
  <c r="AA246" i="76" s="1"/>
  <c r="V246" i="76"/>
  <c r="X246" i="76" s="1"/>
  <c r="D249" i="76"/>
  <c r="AA249" i="76" s="1"/>
  <c r="V249" i="76"/>
  <c r="D263" i="76"/>
  <c r="AA263" i="76" s="1"/>
  <c r="V263" i="76"/>
  <c r="D236" i="76"/>
  <c r="AA236" i="76" s="1"/>
  <c r="V236" i="76"/>
  <c r="X236" i="76" s="1"/>
  <c r="D253" i="76"/>
  <c r="AA253" i="76" s="1"/>
  <c r="V253" i="76"/>
  <c r="D252" i="76"/>
  <c r="V252" i="76"/>
  <c r="D244" i="76"/>
  <c r="AA244" i="76" s="1"/>
  <c r="V244" i="76"/>
  <c r="D264" i="76"/>
  <c r="AA264" i="76" s="1"/>
  <c r="V264" i="76"/>
  <c r="D234" i="76"/>
  <c r="AA234" i="76" s="1"/>
  <c r="V234" i="76"/>
  <c r="D266" i="76"/>
  <c r="AA266" i="76" s="1"/>
  <c r="V266" i="76"/>
  <c r="D231" i="76"/>
  <c r="AA231" i="76" s="1"/>
  <c r="V231" i="76"/>
  <c r="X231" i="76" s="1"/>
  <c r="S1021" i="44"/>
  <c r="S1020" i="44"/>
  <c r="F252" i="76" l="1"/>
  <c r="AA252" i="76"/>
  <c r="D281" i="76"/>
  <c r="F267" i="76"/>
  <c r="F236" i="76"/>
  <c r="D280" i="76"/>
  <c r="F264" i="76"/>
  <c r="F231" i="76"/>
  <c r="F234" i="76"/>
  <c r="D282" i="76"/>
  <c r="F281" i="76"/>
  <c r="F249" i="76"/>
  <c r="F246" i="76"/>
  <c r="F266" i="76"/>
  <c r="F253" i="76"/>
  <c r="F279" i="76"/>
  <c r="D279" i="76"/>
  <c r="F263" i="76"/>
  <c r="S1022" i="44"/>
  <c r="S1023" i="44" l="1"/>
  <c r="S1025" i="44" l="1"/>
  <c r="S1024" i="44"/>
  <c r="F282" i="76" l="1"/>
  <c r="M47" i="225" l="1"/>
  <c r="O634" i="226" l="1"/>
  <c r="O639" i="226"/>
  <c r="AI23" i="150" l="1"/>
  <c r="AI11" i="150" l="1"/>
  <c r="Q271" i="76"/>
  <c r="AI20" i="173" l="1"/>
  <c r="X252" i="76" l="1"/>
  <c r="X264" i="76"/>
  <c r="X253" i="76"/>
  <c r="X244" i="76"/>
  <c r="X256" i="76" l="1"/>
  <c r="X263" i="76"/>
  <c r="X227" i="76"/>
  <c r="X267" i="76"/>
  <c r="X249" i="76"/>
  <c r="X238" i="76"/>
  <c r="X247" i="76"/>
  <c r="X258" i="76"/>
  <c r="X266" i="76"/>
  <c r="X234" i="76"/>
  <c r="X261" i="76"/>
  <c r="X237" i="76"/>
  <c r="X262" i="76"/>
  <c r="X255" i="76"/>
  <c r="X224" i="76"/>
  <c r="X225" i="76"/>
  <c r="X251" i="76"/>
  <c r="X229" i="76"/>
  <c r="X235" i="76"/>
  <c r="X269" i="76"/>
  <c r="X254" i="76"/>
  <c r="X232" i="76"/>
  <c r="X228" i="76"/>
  <c r="X265" i="76"/>
  <c r="X240" i="76"/>
  <c r="X259" i="76"/>
  <c r="X260" i="76"/>
  <c r="X257" i="76"/>
  <c r="X268" i="76"/>
  <c r="X226" i="76"/>
  <c r="X250" i="76"/>
  <c r="X230" i="76"/>
  <c r="X239" i="76"/>
  <c r="X242" i="76"/>
  <c r="X245" i="76"/>
  <c r="X241" i="76"/>
  <c r="X243" i="76"/>
  <c r="R271" i="76" l="1"/>
  <c r="M39" i="225" l="1"/>
  <c r="N271" i="76" s="1"/>
  <c r="AI39" i="225" l="1"/>
  <c r="O233" i="76" l="1"/>
  <c r="T592" i="226"/>
  <c r="I592" i="226" s="1"/>
  <c r="O248" i="76" s="1"/>
  <c r="D233" i="76" l="1"/>
  <c r="V233" i="76"/>
  <c r="X233" i="76" s="1"/>
  <c r="F233" i="76" l="1"/>
  <c r="AA233" i="76"/>
  <c r="M592" i="226"/>
  <c r="D287" i="76" l="1"/>
  <c r="G287" i="76" s="1"/>
  <c r="O271" i="76"/>
  <c r="AI592" i="226"/>
  <c r="I863" i="44" l="1"/>
  <c r="J862" i="44" l="1"/>
  <c r="V248" i="76" l="1"/>
  <c r="X248" i="76" s="1"/>
  <c r="F280" i="76"/>
  <c r="F283" i="76" s="1"/>
  <c r="D248" i="76" l="1"/>
  <c r="F244" i="76"/>
  <c r="F248" i="76" l="1"/>
  <c r="AA248" i="76"/>
  <c r="I958" i="44" l="1"/>
  <c r="J957" i="44" l="1"/>
  <c r="F237" i="76" l="1"/>
  <c r="F227" i="76"/>
  <c r="L271" i="76"/>
  <c r="F251" i="76" l="1"/>
  <c r="F247" i="76"/>
  <c r="F258" i="76"/>
  <c r="T270" i="76" l="1"/>
  <c r="M270" i="76"/>
  <c r="R270" i="76"/>
  <c r="S270" i="76"/>
  <c r="L270" i="76"/>
  <c r="O270" i="76"/>
  <c r="Q270" i="76"/>
  <c r="N270" i="76"/>
  <c r="P270" i="76"/>
  <c r="G268" i="76" l="1"/>
  <c r="G246" i="76"/>
  <c r="G245" i="76"/>
  <c r="G240" i="76"/>
  <c r="G264" i="76"/>
  <c r="G260" i="76"/>
  <c r="G253" i="76"/>
  <c r="G247" i="76"/>
  <c r="G265" i="76"/>
  <c r="G259" i="76"/>
  <c r="G237" i="76"/>
  <c r="G232" i="76"/>
  <c r="G239" i="76"/>
  <c r="G267" i="76"/>
  <c r="G256" i="76"/>
  <c r="G257" i="76"/>
  <c r="G227" i="76"/>
  <c r="G266" i="76"/>
  <c r="G249" i="76"/>
  <c r="G236" i="76"/>
  <c r="G238" i="76"/>
  <c r="G230" i="76"/>
  <c r="G255" i="76"/>
  <c r="G235" i="76"/>
  <c r="G229" i="76"/>
  <c r="G234" i="76"/>
  <c r="G224" i="76"/>
  <c r="G250" i="76"/>
  <c r="G252" i="76"/>
  <c r="G244" i="76"/>
  <c r="G243" i="76"/>
  <c r="G242" i="76"/>
  <c r="G225" i="76"/>
  <c r="G241" i="76"/>
  <c r="G231" i="76"/>
  <c r="G258" i="76"/>
  <c r="G269" i="76"/>
  <c r="G251" i="76"/>
  <c r="G262" i="76"/>
  <c r="G233" i="76"/>
  <c r="G226" i="76"/>
  <c r="G248" i="76"/>
  <c r="G263" i="76"/>
  <c r="G254" i="76"/>
  <c r="G261" i="76"/>
  <c r="G228" i="76"/>
  <c r="H243" i="76" l="1"/>
  <c r="H257" i="76"/>
  <c r="H252" i="76"/>
  <c r="H230" i="76"/>
  <c r="H244" i="76"/>
  <c r="H231" i="76"/>
  <c r="H235" i="76"/>
  <c r="H264" i="76"/>
  <c r="H234" i="76"/>
  <c r="H256" i="76"/>
  <c r="H238" i="76"/>
  <c r="H240" i="76"/>
  <c r="H266" i="76"/>
  <c r="H237" i="76"/>
  <c r="H246" i="76"/>
  <c r="H261" i="76"/>
  <c r="H262" i="76"/>
  <c r="H254" i="76"/>
  <c r="H245" i="76"/>
  <c r="H233" i="76"/>
  <c r="H226" i="76"/>
  <c r="H239" i="76"/>
  <c r="H242" i="76"/>
  <c r="H267" i="76"/>
  <c r="H225" i="76"/>
  <c r="H227" i="76"/>
  <c r="H241" i="76"/>
  <c r="H258" i="76"/>
  <c r="H265" i="76"/>
  <c r="H253" i="76"/>
  <c r="H269" i="76"/>
  <c r="H268" i="76"/>
  <c r="H255" i="76"/>
  <c r="H259" i="76"/>
  <c r="H247" i="76"/>
  <c r="H263" i="76"/>
  <c r="H228" i="76"/>
  <c r="H249" i="76"/>
  <c r="H251" i="76"/>
  <c r="H260" i="76"/>
  <c r="H248" i="76"/>
  <c r="H236" i="76"/>
  <c r="H229" i="76"/>
  <c r="H224" i="76"/>
  <c r="H250" i="76"/>
  <c r="H232" i="7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T26" authorId="0" shapeId="0" xr:uid="{2D35BFAF-F273-46E3-9636-CBDE64E24FE1}">
      <text>
        <r>
          <rPr>
            <b/>
            <sz val="9"/>
            <color indexed="81"/>
            <rFont val="Segoe UI"/>
            <family val="2"/>
          </rPr>
          <t>Autor:</t>
        </r>
        <r>
          <rPr>
            <sz val="9"/>
            <color indexed="81"/>
            <rFont val="Segoe UI"/>
            <family val="2"/>
          </rPr>
          <t xml:space="preserve">
Terá que pegar do Trecho 3</t>
        </r>
      </text>
    </comment>
    <comment ref="T27" authorId="0" shapeId="0" xr:uid="{3D54C34A-7028-4ECD-90EE-42B7A5921049}">
      <text>
        <r>
          <rPr>
            <b/>
            <sz val="9"/>
            <color indexed="81"/>
            <rFont val="Segoe UI"/>
            <family val="2"/>
          </rPr>
          <t>Autor:</t>
        </r>
        <r>
          <rPr>
            <sz val="9"/>
            <color indexed="81"/>
            <rFont val="Segoe UI"/>
            <family val="2"/>
          </rPr>
          <t xml:space="preserve">
Entra como compensação do transporte do Trecho 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H224" authorId="0" shapeId="0" xr:uid="{1B832528-06DB-431E-930D-DEF669FD9326}">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Custo acrescido de 5% para frete.</t>
        </r>
      </text>
    </comment>
    <comment ref="H230" authorId="0" shapeId="0" xr:uid="{0E8AD0BE-22CE-4C4C-9C65-8499D1047313}">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Custo acrescido de 5% para frete.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89C4F8E2-780F-433E-B1D1-86AEB72272F3}">
      <text>
        <r>
          <rPr>
            <b/>
            <sz val="9"/>
            <color indexed="81"/>
            <rFont val="Segoe UI"/>
            <family val="2"/>
          </rPr>
          <t>Autor:</t>
        </r>
        <r>
          <rPr>
            <sz val="9"/>
            <color indexed="81"/>
            <rFont val="Segoe UI"/>
            <family val="2"/>
          </rPr>
          <t xml:space="preserve">
Só 1a categoria.</t>
        </r>
      </text>
    </comment>
    <comment ref="M19" authorId="0" shapeId="0" xr:uid="{12182F82-FDB1-47C2-A9B0-875A3E5F551D}">
      <text>
        <r>
          <rPr>
            <b/>
            <sz val="9"/>
            <color indexed="81"/>
            <rFont val="Segoe UI"/>
            <family val="2"/>
          </rPr>
          <t>Autor:</t>
        </r>
        <r>
          <rPr>
            <sz val="9"/>
            <color indexed="81"/>
            <rFont val="Segoe UI"/>
            <family val="2"/>
          </rPr>
          <t xml:space="preserve">
Só 1a categoria.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A173" authorId="0" shapeId="0" xr:uid="{6466D718-CFEE-4651-935F-44438B626E8D}">
      <text>
        <r>
          <rPr>
            <b/>
            <sz val="9"/>
            <color indexed="81"/>
            <rFont val="Segoe UI"/>
            <family val="2"/>
          </rPr>
          <t>Autor:</t>
        </r>
        <r>
          <rPr>
            <sz val="9"/>
            <color indexed="81"/>
            <rFont val="Segoe UI"/>
            <family val="2"/>
          </rPr>
          <t xml:space="preserve">
Alteração de acordo com projeto recebido em 13/08/2021.</t>
        </r>
      </text>
    </comment>
    <comment ref="A180" authorId="0" shapeId="0" xr:uid="{639E8786-3643-48C2-AA28-5B8021837A5E}">
      <text>
        <r>
          <rPr>
            <b/>
            <sz val="9"/>
            <color indexed="81"/>
            <rFont val="Segoe UI"/>
            <family val="2"/>
          </rPr>
          <t>Autor:</t>
        </r>
        <r>
          <rPr>
            <sz val="9"/>
            <color indexed="81"/>
            <rFont val="Segoe UI"/>
            <family val="2"/>
          </rPr>
          <t xml:space="preserve">
Alteração de acordo com projeto recebido em 13/08/2021.</t>
        </r>
      </text>
    </comment>
    <comment ref="A193" authorId="0" shapeId="0" xr:uid="{1C64919B-4948-4B3D-85A5-DF24C5E7B3D7}">
      <text>
        <r>
          <rPr>
            <b/>
            <sz val="9"/>
            <color indexed="81"/>
            <rFont val="Segoe UI"/>
            <family val="2"/>
          </rPr>
          <t>Autor:</t>
        </r>
        <r>
          <rPr>
            <sz val="9"/>
            <color indexed="81"/>
            <rFont val="Segoe UI"/>
            <family val="2"/>
          </rPr>
          <t xml:space="preserve">
Alteração de acordo com projeto recebido em 13/08/2021.</t>
        </r>
      </text>
    </comment>
    <comment ref="A211" authorId="0" shapeId="0" xr:uid="{1AA29425-0B0C-47C5-ADDB-3AC39F3FED91}">
      <text>
        <r>
          <rPr>
            <b/>
            <sz val="9"/>
            <color indexed="81"/>
            <rFont val="Segoe UI"/>
            <family val="2"/>
          </rPr>
          <t>Autor:</t>
        </r>
        <r>
          <rPr>
            <sz val="9"/>
            <color indexed="81"/>
            <rFont val="Segoe UI"/>
            <family val="2"/>
          </rPr>
          <t xml:space="preserve">
Alteração de acordo com projeto recebido em 13/08/2021.</t>
        </r>
      </text>
    </comment>
    <comment ref="A220" authorId="0" shapeId="0" xr:uid="{373D7AC8-C137-4108-A1A1-12DDE730AE13}">
      <text>
        <r>
          <rPr>
            <b/>
            <sz val="9"/>
            <color indexed="81"/>
            <rFont val="Segoe UI"/>
            <family val="2"/>
          </rPr>
          <t>Autor:</t>
        </r>
        <r>
          <rPr>
            <sz val="9"/>
            <color indexed="81"/>
            <rFont val="Segoe UI"/>
            <family val="2"/>
          </rPr>
          <t xml:space="preserve">
Alteração de acordo com projeto recebido em 13/08/2021.</t>
        </r>
      </text>
    </comment>
    <comment ref="A237" authorId="0" shapeId="0" xr:uid="{0A4FAEA8-5DC4-4AC8-A911-800194E1A0B1}">
      <text>
        <r>
          <rPr>
            <b/>
            <sz val="9"/>
            <color indexed="81"/>
            <rFont val="Segoe UI"/>
            <family val="2"/>
          </rPr>
          <t>Autor:</t>
        </r>
        <r>
          <rPr>
            <sz val="9"/>
            <color indexed="81"/>
            <rFont val="Segoe UI"/>
            <family val="2"/>
          </rPr>
          <t xml:space="preserve">
Alteração de acordo com projeto recebido em 13/08/2021.</t>
        </r>
      </text>
    </comment>
    <comment ref="A245" authorId="0" shapeId="0" xr:uid="{92869F2F-47E9-44A0-A9B4-AAFCD8049056}">
      <text>
        <r>
          <rPr>
            <b/>
            <sz val="9"/>
            <color indexed="81"/>
            <rFont val="Segoe UI"/>
            <family val="2"/>
          </rPr>
          <t>Autor:</t>
        </r>
        <r>
          <rPr>
            <sz val="9"/>
            <color indexed="81"/>
            <rFont val="Segoe UI"/>
            <family val="2"/>
          </rPr>
          <t xml:space="preserve">
Alteração de acordo com projeto recebido em 13/08/2021.</t>
        </r>
      </text>
    </comment>
    <comment ref="A257" authorId="0" shapeId="0" xr:uid="{AA55AF38-F2AD-441A-A746-A5F37E49AEE5}">
      <text>
        <r>
          <rPr>
            <b/>
            <sz val="9"/>
            <color indexed="81"/>
            <rFont val="Segoe UI"/>
            <family val="2"/>
          </rPr>
          <t>Autor:</t>
        </r>
        <r>
          <rPr>
            <sz val="9"/>
            <color indexed="81"/>
            <rFont val="Segoe UI"/>
            <family val="2"/>
          </rPr>
          <t xml:space="preserve">
Alteração de acordo com projeto recebido em 13/08/2021.</t>
        </r>
      </text>
    </comment>
    <comment ref="A263" authorId="0" shapeId="0" xr:uid="{12A848A9-4A70-4DE7-B461-D2D704514F40}">
      <text>
        <r>
          <rPr>
            <b/>
            <sz val="9"/>
            <color indexed="81"/>
            <rFont val="Segoe UI"/>
            <family val="2"/>
          </rPr>
          <t>Autor:</t>
        </r>
        <r>
          <rPr>
            <sz val="9"/>
            <color indexed="81"/>
            <rFont val="Segoe UI"/>
            <family val="2"/>
          </rPr>
          <t xml:space="preserve">
Alteração de acordo com projeto recebido em 13/08/2021.</t>
        </r>
      </text>
    </comment>
    <comment ref="A285" authorId="0" shapeId="0" xr:uid="{AEBA0647-CFDF-445C-A867-F1E548B42F44}">
      <text>
        <r>
          <rPr>
            <b/>
            <sz val="9"/>
            <color indexed="81"/>
            <rFont val="Segoe UI"/>
            <family val="2"/>
          </rPr>
          <t>Autor:</t>
        </r>
        <r>
          <rPr>
            <sz val="9"/>
            <color indexed="81"/>
            <rFont val="Segoe UI"/>
            <family val="2"/>
          </rPr>
          <t xml:space="preserve">
Alteração de acordo com projeto recebido em 13/08/2021.</t>
        </r>
      </text>
    </comment>
  </commentList>
</comments>
</file>

<file path=xl/sharedStrings.xml><?xml version="1.0" encoding="utf-8"?>
<sst xmlns="http://schemas.openxmlformats.org/spreadsheetml/2006/main" count="63652" uniqueCount="4176">
  <si>
    <t>ITEM</t>
  </si>
  <si>
    <t>UNID</t>
  </si>
  <si>
    <t>QUADRO DE PESOS ESPECÍFICOS CONSIDERADOS NO PROJETO</t>
  </si>
  <si>
    <t>t/m³</t>
  </si>
  <si>
    <t>MEMÓRIA DE CÁLCULO DAS DISTÂNCIAS MÉDIAS DE TRANSPORTE - DMTs</t>
  </si>
  <si>
    <t xml:space="preserve">PROJETO:  </t>
  </si>
  <si>
    <t>Cálculo</t>
  </si>
  <si>
    <t>Valor (km)</t>
  </si>
  <si>
    <t>SERVIÇO</t>
  </si>
  <si>
    <t>MATERIAL</t>
  </si>
  <si>
    <t>PERCURSO</t>
  </si>
  <si>
    <t>TRANSPORTE LOCAL</t>
  </si>
  <si>
    <t>TRANSPORTE COMERCIAL</t>
  </si>
  <si>
    <t>ORIGEM</t>
  </si>
  <si>
    <t>DESTINO</t>
  </si>
  <si>
    <t>NP</t>
  </si>
  <si>
    <t>P</t>
  </si>
  <si>
    <t>TOTAL</t>
  </si>
  <si>
    <t>Bota-fora</t>
  </si>
  <si>
    <t>Diversos</t>
  </si>
  <si>
    <t>m²</t>
  </si>
  <si>
    <t/>
  </si>
  <si>
    <t>M</t>
  </si>
  <si>
    <t>t</t>
  </si>
  <si>
    <t>t/m²</t>
  </si>
  <si>
    <t>t.km</t>
  </si>
  <si>
    <t>m</t>
  </si>
  <si>
    <t>SINAPI</t>
  </si>
  <si>
    <t>m³</t>
  </si>
  <si>
    <t>QTDE</t>
  </si>
  <si>
    <t>DESCRIÇÃO NA FONTE</t>
  </si>
  <si>
    <t>DESCRIÇÃO DO SERVIÇO NO PROJETO</t>
  </si>
  <si>
    <t>FONTE</t>
  </si>
  <si>
    <t xml:space="preserve">CLIENTE:  </t>
  </si>
  <si>
    <t xml:space="preserve">ENDEREÇO:  </t>
  </si>
  <si>
    <t>-</t>
  </si>
  <si>
    <t>Pré-moldados</t>
  </si>
  <si>
    <t>SINAPI ADAPTADA</t>
  </si>
  <si>
    <t>SINAPI MODIFICADA</t>
  </si>
  <si>
    <t>un</t>
  </si>
  <si>
    <t>REATERRO MANUAL DE VALAS COM COMPACTAÇÃO MECANIZADA. AF_04/2016</t>
  </si>
  <si>
    <t>UN</t>
  </si>
  <si>
    <t>TXKM</t>
  </si>
  <si>
    <t>M3XKM</t>
  </si>
  <si>
    <t>M3</t>
  </si>
  <si>
    <t>MES</t>
  </si>
  <si>
    <t>H</t>
  </si>
  <si>
    <t>ENCARREGADO GERAL DE OBRAS COM ENCARGOS COMPLEMENTARES</t>
  </si>
  <si>
    <t>ENGENHEIRO CIVIL DE OBRA PLENO COM ENCARGOS COMPLEMENTARES</t>
  </si>
  <si>
    <t>APONTADOR OU APROPRIADOR COM ENCARGOS COMPLEMENTARES</t>
  </si>
  <si>
    <t>AUXILIAR TÉCNICO DE ENGENHARIA COM ENCARGOS COMPLEMENTARES</t>
  </si>
  <si>
    <t>M2</t>
  </si>
  <si>
    <t>LIMPEZA MANUAL DE VEGETAÇÃO EM TERRENO COM ENXADA.AF_05/2018</t>
  </si>
  <si>
    <t>LOCAÇÃO DE REDE DE ÁGUA OU ESGOTO. AF_10/2018</t>
  </si>
  <si>
    <t>KG</t>
  </si>
  <si>
    <t>T</t>
  </si>
  <si>
    <t>L</t>
  </si>
  <si>
    <t>CAIACAO EM MEIO FIO</t>
  </si>
  <si>
    <t>SINALIZACAO HORIZONTAL COM TINTA RETRORREFLETIVA A BASE DE RESINA ACRILICA COM MICROESFERAS DE VIDRO</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</si>
  <si>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</si>
  <si>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</si>
  <si>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</si>
  <si>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</si>
  <si>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LIGAÇÃO DOMICILIAR DE ESGOTO DN 100MM, DA CASA ATÉ A CAIXA, COMPOSTO POR 10,0M TUBO DE PVC ESGOTO PREDIAL DN 100MM E CAIXA DE ALVENARIA COM TAMPA DE CONCRETO - FORNECIMENTO E INSTALAÇÃO</t>
  </si>
  <si>
    <t>RAMAL PREDIAL EM TUBO PEAD 20MM - FORNECIMENTO, INSTALAÇÃO, ESCAVAÇÃO E REATERRO</t>
  </si>
  <si>
    <t>74253/1</t>
  </si>
  <si>
    <t>MONTAGEM DE ARMADURA TRANSVERSAL DE ESTACAS DE SEÇÃO CIRCULAR, DIÂMETRO = 6,3 MM. AF_11/2016</t>
  </si>
  <si>
    <t>FABRICAÇÃO, MONTAGEM E DESMONTAGEM DE FÔRMA PARA VIGA BALDRAME, EM MADEIRA SERRADA, E=25 MM, 4 UTILIZAÇÕES. AF_06/2017</t>
  </si>
  <si>
    <t>CONCRETAGEM DE RADIER, PISO OU LAJE SOBRE SOLO, FCK 30 MPA, PARA ESPESSURA DE 15 CM - LANÇAMENTO, ADENSAMENTO E ACABAMENTO. AF_09/2017</t>
  </si>
  <si>
    <t>LASTRO DE CONCRETO MAGRO, APLICADO EM PISOS OU RADIERS. AF_08/2017</t>
  </si>
  <si>
    <t>LASTRO DE CONCRETO MAGRO, APLICADO EM BLOCOS DE COROAMENTO OU SAPATAS. AF_08/2017</t>
  </si>
  <si>
    <t>PORTAO EM TELA ARAME GALVANIZADO N.12 MALHA 2" E MOLDURA EM TUBOS DE ACO COM DUAS FOLHAS DE ABRIR, INCLUSO FERRAGENS</t>
  </si>
  <si>
    <t>74238/2</t>
  </si>
  <si>
    <t>PROTEÇÃO SUPERFICIAL DE CANAL EM GABIÃO TIPO COLCHÃO, ALTURA DE 30 CENTÍMETROS, ENCHIMENTO COM PEDRA DE MÃO TIPO RACHÃO - FORNECIMENTO E EXECUÇÃO. AF_12/2015</t>
  </si>
  <si>
    <t>EXECUCAO DE DRENO COM MANTA GEOTEXTIL 200 G/M2</t>
  </si>
  <si>
    <t>CHI</t>
  </si>
  <si>
    <t>CHP</t>
  </si>
  <si>
    <t>PLACA DE OBRA EM CHAPA DE ACO GALVANIZADO</t>
  </si>
  <si>
    <t>74209/1</t>
  </si>
  <si>
    <t>EXECUÇÃO DE GUARITA EM CANTEIRO DE OBRA EM CHAPA DE MADEIRA COMPENSADA, NÃO INCLUSO MOBILIÁRIO. AF_04/2016</t>
  </si>
  <si>
    <t>EXECUÇÃO DE CENTRAL DE FÔRMAS, PRODUÇÃO DE ARGAMASSA OU CONCRETO EM CANTEIRO DE OBRA, NÃO INCLUSO MOBILIÁRIO E EQUIPAMENTOS. AF_04/2016</t>
  </si>
  <si>
    <t>EXECUÇÃO DE CENTRAL DE ARMADURA EM CANTEIRO DE OBRA, NÃO INCLUSO MOBILIÁRIO E EQUIPAMENTOS. AF_04/2016</t>
  </si>
  <si>
    <t>EXECUÇÃO DE RESERVATÓRIO ELEVADO DE ÁGUA (2000 LITROS) EM CANTEIRO DE OBRA, APOIADO EM ESTRUTURA DE MADEIRA. AF_02/2016</t>
  </si>
  <si>
    <t>VINCULO</t>
  </si>
  <si>
    <t>CUSTO TOTAL</t>
  </si>
  <si>
    <t>MOI</t>
  </si>
  <si>
    <t>INSUMO</t>
  </si>
  <si>
    <t>COMPOSICAO</t>
  </si>
  <si>
    <t>SET</t>
  </si>
  <si>
    <t>MAT</t>
  </si>
  <si>
    <t>ESMERILHADEIRA ANGULAR ELETRICA, DIAMETRO DO DISCO 7 '' (180 MM), ROTACAO 8500 RPM, POTENCIA 2400 W</t>
  </si>
  <si>
    <t>CARRINHO DE MAO DE ACO CAPACIDADE 50 A 60 L, PNEU COM CAMARA</t>
  </si>
  <si>
    <t>PREGO DE ACO POLIDO COM CABECA 15 X 15 (1 1/4 X 13)</t>
  </si>
  <si>
    <t>PREGO DE ACO POLIDO COM CABECA 17 X 21 (2 X 11)</t>
  </si>
  <si>
    <t>EQL</t>
  </si>
  <si>
    <t>ACO CA-50, 6,3 MM, VERGALHAO</t>
  </si>
  <si>
    <t>CAL HIDRATADA CH-I PARA ARGAMASSAS</t>
  </si>
  <si>
    <t>CIMENTO PORTLAND COMPOSTO CP II-32</t>
  </si>
  <si>
    <t>AREIA GROSSA - POSTO JAZIDA/FORNECEDOR (RETIRADO NA JAZIDA, SEM TRANSPORTE)</t>
  </si>
  <si>
    <t>AREIA MEDIA - POSTO JAZIDA/FORNECEDOR (RETIRADO NA JAZIDA, SEM TRANSPORTE)</t>
  </si>
  <si>
    <t>PEDRA BRITADA N. 1 (9,5 a 19 MM) POSTO PEDREIRA/FORNECEDOR, SEM FRETE</t>
  </si>
  <si>
    <t>PEDRA BRITADA N. 0, OU PEDRISCO (4,8 A 9,5 MM) POSTO PEDREIRA/FORNECEDOR, SEM FRETE</t>
  </si>
  <si>
    <t>PEDRA BRITADA N. 2 (19 A 38 MM) POSTO PEDREIRA/FORNECEDOR, SEM FRETE</t>
  </si>
  <si>
    <t>TELA DE ACO SOLDADA GALVANIZADA/ZINCADA PARA ALVENARIA, FIO D = *1,20 A 1,70* MM, MALHA 15 X 15 MM, (C X L) *50 X 7,5* CM</t>
  </si>
  <si>
    <t>PREGO DE ACO POLIDO COM CABECA DUPLA 17 X 27 (2 1/2 X 11)</t>
  </si>
  <si>
    <t>DESMOLDANTE PROTETOR PARA FORMAS DE MADEIRA, DE BASE OLEOSA EMULSIONADA EM AGUA</t>
  </si>
  <si>
    <t>TUBO DE POLIETILENO DE ALTA DENSIDADE (PEAD), PE-80, DE = 20 MM X 2,3 MM DE PAREDE, PARA LIGACAO DE AGUA PREDIAL (NBR 15561)</t>
  </si>
  <si>
    <t>ELETRODO REVESTIDO AWS - E7018, DIAMETRO IGUAL A 4,00 MM</t>
  </si>
  <si>
    <t>GASOLINA COMUM</t>
  </si>
  <si>
    <t>GUINCHO ELETRICO DE COLUNA, CAPACIDADE 400 KG, COM MOTO FREIO, MOTOR TRIFASICO DE 1,25 CV</t>
  </si>
  <si>
    <t>SERRA CIRCULAR DE BANCADA COM MOTOR ELETRICO, POTENCIA DE *1600* W, PARA DISCO DE DIAMETRO DE 10" (250 MM)</t>
  </si>
  <si>
    <t>BOMBA TRIPLEX, PARA INJECAO DE CALDA DE CIMENTO, VAZAO MAXIMA DE *100* LITROS/MINUTO, PRESSAO MAXIMA DE *70* BAR, POTENCIA DE 15 CV</t>
  </si>
  <si>
    <t>CUSTO PARCIAL</t>
  </si>
  <si>
    <t>PRECO UNITARIO</t>
  </si>
  <si>
    <t>COEFICIENTE</t>
  </si>
  <si>
    <t>UNIDADE ITEM</t>
  </si>
  <si>
    <t>DESCRIÇÃO ITEM</t>
  </si>
  <si>
    <t>CODIGO ITEM</t>
  </si>
  <si>
    <t>TIPO ITEM</t>
  </si>
  <si>
    <t>COD CPU REPET</t>
  </si>
  <si>
    <t>LOCACAO DE CONTAINER 2,30 X 6,00 M, ALT. 2,50 M,  PARA SANITARIO,  COM 4 BACIAS, 8 CHUVEIROS,1 LAVATORIO E 1 MICTORIO</t>
  </si>
  <si>
    <t>LOCACAO DE CONTAINER 2,30 X 4,30 M, ALT. 2,50 M, PARA SANITARIO, COM 3 BACIAS, 4 CHUVEIROS, 1 LAVATORIO E 1 MICTORIO</t>
  </si>
  <si>
    <t>LOCACAO DE CONTAINER 2,30 X 4,30 M, ALT. 2,50 M, P/ SANITARIO, C/ 5 BACIAS, 1 LAVATORIO E 4 MICTORIOS</t>
  </si>
  <si>
    <t>LOCACAO DE CONTAINER 2,30  X  6,00 M, ALT. 2,50 M, PARA ESCRITORIO, SEM DIVISORIAS INTERNAS E SEM SANITARIO</t>
  </si>
  <si>
    <t>LOCACAO DE CONTAINER 2,30  X  6,00 M, ALT. 2,50 M, COM 1 SANITARIO, PARA ESCRITORIO, COMPLETO, SEM DIVISORIAS INTERNAS</t>
  </si>
  <si>
    <t>DESCRICAO DO INSUMO</t>
  </si>
  <si>
    <t xml:space="preserve">CODIGO  </t>
  </si>
  <si>
    <t>ORIGEM DE PREÇO DO ITEM</t>
  </si>
  <si>
    <t>COMPOSIÇÕES CRIADAS PARA O PROJETO</t>
  </si>
  <si>
    <t>03.01</t>
  </si>
  <si>
    <t>MAPA DE COTAÇÃO DE PREÇOS</t>
  </si>
  <si>
    <t>GRUPO CUSTO</t>
  </si>
  <si>
    <t>FORNECEDOR 1</t>
  </si>
  <si>
    <t>COTAÇÃO</t>
  </si>
  <si>
    <t>ESTIMATIVA</t>
  </si>
  <si>
    <t>ANDRÉ LUIZ ZANI</t>
  </si>
  <si>
    <t>Arquiteto &amp; Urbanista - CAU A74536-7</t>
  </si>
  <si>
    <t>CPU CRIADA PARA O PROJETO</t>
  </si>
  <si>
    <t>PROJETO</t>
  </si>
  <si>
    <t>02.</t>
  </si>
  <si>
    <t>FORNECEDOR 2</t>
  </si>
  <si>
    <t>FORNECEDOR 3</t>
  </si>
  <si>
    <t>03.</t>
  </si>
  <si>
    <t>OBRA</t>
  </si>
  <si>
    <t>DESCRIÇÃO</t>
  </si>
  <si>
    <t>OBRA  :</t>
  </si>
  <si>
    <t>COEFICIENTE AJUSTADO</t>
  </si>
  <si>
    <t xml:space="preserve"> </t>
  </si>
  <si>
    <t>CÓDIGO</t>
  </si>
  <si>
    <t>QUANT TOTAL</t>
  </si>
  <si>
    <t>% INCID</t>
  </si>
  <si>
    <t>% ACUMUL</t>
  </si>
  <si>
    <t>CURVA ABC DE SERVIÇOS</t>
  </si>
  <si>
    <t xml:space="preserve">OBRA: </t>
  </si>
  <si>
    <t xml:space="preserve">LOCAL: </t>
  </si>
  <si>
    <t xml:space="preserve">CLIENTE: </t>
  </si>
  <si>
    <t xml:space="preserve">Data do orçamento: </t>
  </si>
  <si>
    <t>INCIDÊNCIA</t>
  </si>
  <si>
    <t>ORÇAMENTO</t>
  </si>
  <si>
    <t>02.02</t>
  </si>
  <si>
    <t>OBSERVAÇÕES</t>
  </si>
  <si>
    <t>CM Obra</t>
  </si>
  <si>
    <t>IS9001</t>
  </si>
  <si>
    <t>ADASA</t>
  </si>
  <si>
    <t>CP9001</t>
  </si>
  <si>
    <t>CP0030</t>
  </si>
  <si>
    <t>CPU FORNECIMENTO</t>
  </si>
  <si>
    <t>CP0031</t>
  </si>
  <si>
    <t>Paviment</t>
  </si>
  <si>
    <t>Asfaltos dil e emulsôes</t>
  </si>
  <si>
    <t>Concreto Asfáltico</t>
  </si>
  <si>
    <t>CAESB</t>
  </si>
  <si>
    <t>PAVIMENTAÇÃO</t>
  </si>
  <si>
    <t>ADMINISTRAÇÃO LOCAL</t>
  </si>
  <si>
    <t>SICRO</t>
  </si>
  <si>
    <t>01.</t>
  </si>
  <si>
    <t>04.</t>
  </si>
  <si>
    <t>05.</t>
  </si>
  <si>
    <t>05.01</t>
  </si>
  <si>
    <t>05.02</t>
  </si>
  <si>
    <t>04.03</t>
  </si>
  <si>
    <t>01.02</t>
  </si>
  <si>
    <t>01.03</t>
  </si>
  <si>
    <t>01.04</t>
  </si>
  <si>
    <t xml:space="preserve">TRECHO: </t>
  </si>
  <si>
    <t>04.01</t>
  </si>
  <si>
    <t>01.01</t>
  </si>
  <si>
    <t>02.01</t>
  </si>
  <si>
    <t>02.01.01</t>
  </si>
  <si>
    <t>02.02.01</t>
  </si>
  <si>
    <t>Jazida</t>
  </si>
  <si>
    <t>Jazida de Solos</t>
  </si>
  <si>
    <t>Jazida de Britas</t>
  </si>
  <si>
    <t>Engenheiro Civil Sênior</t>
  </si>
  <si>
    <t>Engenheiro Civil Pleno</t>
  </si>
  <si>
    <t>Apontador</t>
  </si>
  <si>
    <t>Técnico de Engenharia</t>
  </si>
  <si>
    <t>Vigia Noturno</t>
  </si>
  <si>
    <t>Auxiliar de Serviços Gerais</t>
  </si>
  <si>
    <t>mês</t>
  </si>
  <si>
    <t>h</t>
  </si>
  <si>
    <t>TÉCNICO EM SEGURANÇA DO TRABALHO COM ENCARGOS COMPLEMENTARES</t>
  </si>
  <si>
    <t>Técnico em Segurança do Trabalho</t>
  </si>
  <si>
    <t>CONSTRUÇÕES PROVISÓRIAS</t>
  </si>
  <si>
    <t>SINAPI INSUMO</t>
  </si>
  <si>
    <t>MÊS</t>
  </si>
  <si>
    <t>LOCACAO DE CONTAINER 2,30  X  6,00 M, ALT. 2,50 M, PARA DEPÓSITO/ALMOXARIFADO, SEM DIVISORIAS INTERNAS E SEM SANITARIO</t>
  </si>
  <si>
    <t>LOCACAO DE CONTAINER 2,30  X  6,00 M, ALT. 2,50 M, COM 1 SANITARIO, PARA LABORATÓRIO, COMPLETO, SEM DIVISORIAS INTERNAS</t>
  </si>
  <si>
    <t>Locação de contêiner simples para depósito / almoxarifado, sem banheiro</t>
  </si>
  <si>
    <t>Locação de contêiner completo para escritório, com banheiro</t>
  </si>
  <si>
    <t>REFEITÓRIO</t>
  </si>
  <si>
    <t>VESTIÁRIOS E SANITÁRIOS</t>
  </si>
  <si>
    <t>Solos</t>
  </si>
  <si>
    <t>Vários</t>
  </si>
  <si>
    <t>Mobilizações Internas</t>
  </si>
  <si>
    <t>Concreto asfáltico</t>
  </si>
  <si>
    <t>Guarita</t>
  </si>
  <si>
    <t>Guarita em chapas de madeira</t>
  </si>
  <si>
    <t>Centrais de Fôrma e Armação</t>
  </si>
  <si>
    <t>ÁGUA</t>
  </si>
  <si>
    <t>ENERGIA</t>
  </si>
  <si>
    <t>ESGOTO</t>
  </si>
  <si>
    <t>Central de armação</t>
  </si>
  <si>
    <t>Central de fôrmas</t>
  </si>
  <si>
    <t>Castelo d'água (2000 l)</t>
  </si>
  <si>
    <t>Ligações de água</t>
  </si>
  <si>
    <t>Entrada provisória de energia</t>
  </si>
  <si>
    <t>Caixa de passagem enterrada para entrada de energia</t>
  </si>
  <si>
    <t>Tanque/fossa séptica</t>
  </si>
  <si>
    <t>Sumidouro</t>
  </si>
  <si>
    <t>Ligações de esgoto</t>
  </si>
  <si>
    <t>Caixa de passagem enterrada para esgoto</t>
  </si>
  <si>
    <t>IDENTIFICAÇÃO DA OBRA</t>
  </si>
  <si>
    <t>Placa de identificação da obra</t>
  </si>
  <si>
    <t>SERVIÇOS GERAIS DE CANTEIRO</t>
  </si>
  <si>
    <t>Mobilização e desmobilização de equipamentos para e do o canteiro, considerando-se carreta, motorista e 2 serventes disponíveis.</t>
  </si>
  <si>
    <t>Mobilização e desmobilização de utensílios para e do canteiro, considerando-se caminhão com carroceria de madeira, motorista e 4 serventes disponíveis.</t>
  </si>
  <si>
    <t>CP9002</t>
  </si>
  <si>
    <t>MOBILIZAÇÃO E DESMOBILIZAÇÃO DE EQUIPAMENTOS PARA E DO CANTEIRO, CONSIDERANDO-SE CARRETA, MOTORISTA E 2 SERVENTES DISPONÍVEIS.</t>
  </si>
  <si>
    <t>CP9003</t>
  </si>
  <si>
    <t>MOBILIZAÇÃO E DESMOBILIZAÇÃO DE UTENSÍLIOS PARA E DO CANTEIRO, CONSIDERANDO-SE CAMINHÃO COM CARROCERIA DE MADEIRA, MOTORISTA E 4 SERVENTES DISPONÍVEIS.</t>
  </si>
  <si>
    <t>CONSUMOS DO CANTEIRO</t>
  </si>
  <si>
    <t>CALCULADO</t>
  </si>
  <si>
    <t>m2</t>
  </si>
  <si>
    <t>IO9006</t>
  </si>
  <si>
    <t>CONSUMO DE VOZ E DADOS</t>
  </si>
  <si>
    <t>NET</t>
  </si>
  <si>
    <t>Oi</t>
  </si>
  <si>
    <t>CP9006</t>
  </si>
  <si>
    <t>Consumo de energia</t>
  </si>
  <si>
    <t>Consumo de água</t>
  </si>
  <si>
    <t>Consumo de voz e dados</t>
  </si>
  <si>
    <t>CP9007</t>
  </si>
  <si>
    <t>IO9007</t>
  </si>
  <si>
    <t>CONSUMOS DIVERSOS DE MATERIAL DE LIMPEZA, DE ESCRITÓRIO, DE HIGIENE PESSOAL E OUTRAS MIUDEZAS DE MANUTENÇÃO DO FUNCIONAMENTO DO CANTEIRO E DA OBRA</t>
  </si>
  <si>
    <t>ORÇAMENTISTA</t>
  </si>
  <si>
    <t>Consumos diversos (limpeza, higiene, escritório etc)</t>
  </si>
  <si>
    <t>EQUIPAMENTOS E MOBILIÁRIOS DE ESCRITÓRIOS</t>
  </si>
  <si>
    <t>Todos os mobiliários e equipamentos de escritórios (eletrodomésticos, computadores e periféricos, impressoras, estabilizadores, no-breaks, aparelhos telefônicos e tudo o mais de utilização do construtor serão de responsabilidade do próprio e deverão ser considerados na taxa de rateio administrativo do BDI).</t>
  </si>
  <si>
    <t>CP9008</t>
  </si>
  <si>
    <t>Locação de veículo utilitário leve de apoio à obra</t>
  </si>
  <si>
    <t>CUSTO MEDIANO
R$</t>
  </si>
  <si>
    <t>100 km/dia, 21,75 dias/mês, 10 km/l</t>
  </si>
  <si>
    <t>CP9009</t>
  </si>
  <si>
    <t>Pintura de meios-fios</t>
  </si>
  <si>
    <t>Tanque de asfalto no canteiro - hora produtiva</t>
  </si>
  <si>
    <t>Tanque de asfalto no canteiro - hora improdutiva</t>
  </si>
  <si>
    <t>chi</t>
  </si>
  <si>
    <t>chp</t>
  </si>
  <si>
    <t>CONJUNTO DE CANTONEIRAS E PARAFUSOS GALVANIZADOS PARA FIXAÇÃO DE PLACAS</t>
  </si>
  <si>
    <t>CP0103</t>
  </si>
  <si>
    <t>CP0126</t>
  </si>
  <si>
    <t>EQUIPAMENTOS</t>
  </si>
  <si>
    <t>MATERIAIS</t>
  </si>
  <si>
    <t>SERVIÇOS DE TERCEIROS</t>
  </si>
  <si>
    <t>CRONOGRAMA FÍSICO-FINANCEIRO</t>
  </si>
  <si>
    <t xml:space="preserve">ENDER: </t>
  </si>
  <si>
    <t>Data do orçamento:</t>
  </si>
  <si>
    <t>Duração da obra:</t>
  </si>
  <si>
    <t>INCID</t>
  </si>
  <si>
    <t>PERÍODOS</t>
  </si>
  <si>
    <t>CP9010</t>
  </si>
  <si>
    <t>E9623</t>
  </si>
  <si>
    <t>E9622</t>
  </si>
  <si>
    <t>E9592</t>
  </si>
  <si>
    <t>E9508</t>
  </si>
  <si>
    <t>E9507</t>
  </si>
  <si>
    <t>FINALIDADE</t>
  </si>
  <si>
    <t>DMT</t>
  </si>
  <si>
    <t>Origem: Jazidas
Destino: Centro de Massas da Obra</t>
  </si>
  <si>
    <t>Canteiro de Obras</t>
  </si>
  <si>
    <t>01.01.01</t>
  </si>
  <si>
    <t>01.01.02</t>
  </si>
  <si>
    <t>01.01.03</t>
  </si>
  <si>
    <t>01.01.04</t>
  </si>
  <si>
    <t>01.02.01</t>
  </si>
  <si>
    <t>01.03.01</t>
  </si>
  <si>
    <t>01.04.01</t>
  </si>
  <si>
    <t>02.03</t>
  </si>
  <si>
    <t>02.03.01</t>
  </si>
  <si>
    <t>02.03.02</t>
  </si>
  <si>
    <t>02.04</t>
  </si>
  <si>
    <t>02.05</t>
  </si>
  <si>
    <t>02.06</t>
  </si>
  <si>
    <t>SBC</t>
  </si>
  <si>
    <t>ESCRITÓRIO (2 UN - ADMINISTRAÇÃO LOCAL E FISCALIZAÇÃO)</t>
  </si>
  <si>
    <t>01.01.01.01</t>
  </si>
  <si>
    <t>01.01.02.01</t>
  </si>
  <si>
    <t>01.01.03.01</t>
  </si>
  <si>
    <t>01.02.02</t>
  </si>
  <si>
    <t>MÃO DE OBRA</t>
  </si>
  <si>
    <t>PISO PODOTÁTIL (ALERTA OU DIRECIONAL) 24,5 X 24,5 CM, ASSENTADO COM ARGAMASSA PRÉ-FABRICADA DE CIMENTO COLANTE</t>
  </si>
  <si>
    <t>SCO</t>
  </si>
  <si>
    <t>01.03.02</t>
  </si>
  <si>
    <t>01.03.03</t>
  </si>
  <si>
    <t>Fornecimento de RR-1C</t>
  </si>
  <si>
    <t>Taxa de descarte de resíduo de construção civil no Aterro Sanitário</t>
  </si>
  <si>
    <t>SINAPI INSUMO 10775 CONVERTIDO PARA CPU</t>
  </si>
  <si>
    <t>SINAPI INSUMO 10776 CONVERTIDO PARA CPU</t>
  </si>
  <si>
    <t>SINAPI INSUMO 10777 CONVERTIDO PARA CPU</t>
  </si>
  <si>
    <t>SINAPI INSUMO 10778 CONVERTIDO PARA CPU</t>
  </si>
  <si>
    <t>SINAPI INSUMO 10779 CONVERTIDO PARA CPU</t>
  </si>
  <si>
    <t>CP9011</t>
  </si>
  <si>
    <t>CP9012</t>
  </si>
  <si>
    <t>CP9013</t>
  </si>
  <si>
    <t>CP9014</t>
  </si>
  <si>
    <t>CP9015</t>
  </si>
  <si>
    <t>CP9016</t>
  </si>
  <si>
    <t>CP9017</t>
  </si>
  <si>
    <t>CP9018</t>
  </si>
  <si>
    <t>CP9019</t>
  </si>
  <si>
    <t>PROJETO NOVACAP</t>
  </si>
  <si>
    <t>IO9009</t>
  </si>
  <si>
    <t>ANP + ICMS</t>
  </si>
  <si>
    <t>IO9010</t>
  </si>
  <si>
    <t>CUSTO</t>
  </si>
  <si>
    <t>APONTADOR</t>
  </si>
  <si>
    <t>VIGIA</t>
  </si>
  <si>
    <t>ENCARREGADO GERAL</t>
  </si>
  <si>
    <t>LABORATORISTA</t>
  </si>
  <si>
    <t>SINALIZADOR A LED COM BATERIA</t>
  </si>
  <si>
    <t>CAVALETE EM POLIETILENO ZEBRADO COM FAIXA REFLETIVA</t>
  </si>
  <si>
    <t>CHAPA DE AÇO GALVANIZADO</t>
  </si>
  <si>
    <t>EMULSÃO ASFÁLTICA RR-1C</t>
  </si>
  <si>
    <t>PELÍCULA RETRORREFLETIVA TIPO I + SI</t>
  </si>
  <si>
    <t>PELÍCULA RETRORREFLETIVA TIPO I</t>
  </si>
  <si>
    <t>FIO DE COBRE, SOLIDO, CLASSE 1, ISOLACAO EM PVC/A, ANTICHAMA BWF-B, 450/750V, SECAO NOMINAL 1,5 MM2</t>
  </si>
  <si>
    <t>FITA ISOLANTE ADESIVA ANTICHAMA, USO ATE 750 V, EM ROLO DE 19 MM X 20 M</t>
  </si>
  <si>
    <t>SOQUETE DE PVC / TERMOPLASTICO BASE E27, COM RABICHO, PARA LAMPADAS</t>
  </si>
  <si>
    <t>CONCRETO USINADO BOMBEAVEL, CLASSE DE RESISTENCIA C20, COM BRITA 0, SLUMP = 220 +/- 20 MM, INCLUI SERVICO DE BOMBEAMENTO (NBR 8953)</t>
  </si>
  <si>
    <t>LADRILHO HIDRAULICO, *20 X 20* CM, E= 2 CM, TATIL ALERTA OU DIRECIONAL, AMARELO</t>
  </si>
  <si>
    <t>IO9011</t>
  </si>
  <si>
    <t>CALCULADO PELO BINÔMIO (T+A) - DNIT e ANP</t>
  </si>
  <si>
    <t>ANP UF</t>
  </si>
  <si>
    <t>ANP REGIÃO</t>
  </si>
  <si>
    <t>FORNECEDOR</t>
  </si>
  <si>
    <t>R$</t>
  </si>
  <si>
    <t>CNPJ</t>
  </si>
  <si>
    <t>TELEFONE(S)</t>
  </si>
  <si>
    <t>CONTATO(S)</t>
  </si>
  <si>
    <t>E-mail(s)</t>
  </si>
  <si>
    <t>DNIT</t>
  </si>
  <si>
    <t>Estimativa do orçamentista.</t>
  </si>
  <si>
    <t>Consulta pelo site da empresa.</t>
  </si>
  <si>
    <t>Élen Dânia Silva dos Santos</t>
  </si>
  <si>
    <t>(61) 3961-4901</t>
  </si>
  <si>
    <t>LOCALIDADE: BRASÍLIA/DF</t>
  </si>
  <si>
    <t>OUTRAS BASES</t>
  </si>
  <si>
    <t>INSUMO E9508</t>
  </si>
  <si>
    <t>INSUMO E9592</t>
  </si>
  <si>
    <t>PÁTIOS E ACESSOS</t>
  </si>
  <si>
    <t>Raspagem de camada vegetal na área do canteiro com offset de 1,0 m além dos limites.</t>
  </si>
  <si>
    <t>PREPARO E LIMPEZA DA ÁREA DO CANTEIRO</t>
  </si>
  <si>
    <t>ÁREAS DE CIRCULAÇÃO</t>
  </si>
  <si>
    <t>Compactação de solo para passagem de veículos</t>
  </si>
  <si>
    <t>Fechamento do perímetro com tapume.</t>
  </si>
  <si>
    <t>PROTEÇÕES DO CANTEIRO</t>
  </si>
  <si>
    <t>CP9022</t>
  </si>
  <si>
    <t>SBC CPU 012102 ADAPTADA COM INSUMOS DO SICRO</t>
  </si>
  <si>
    <t>PONTO DE ILUMINACAO PROVISORIA ACAMPAMENTO / CANTEIRO / ACESSOS</t>
  </si>
  <si>
    <t>CP9021</t>
  </si>
  <si>
    <t>Ponto de iluminação provisória para canteiro</t>
  </si>
  <si>
    <t>01.01.03.02</t>
  </si>
  <si>
    <t>SBC CPU 012210 ADAPTADA COM INSUMOS DO SICRO</t>
  </si>
  <si>
    <t>PORTOES EM COMPENSADO (3,00x2,50m) PARA TAPUME CANTEIRO OBRAS</t>
  </si>
  <si>
    <t>IO0034</t>
  </si>
  <si>
    <t>DOBRADICA GONZO FERRO GALV.18x25cm COM PARAFUSOS</t>
  </si>
  <si>
    <t>INSUMO 013843</t>
  </si>
  <si>
    <t>Portões para acesso a canteiro de obras</t>
  </si>
  <si>
    <t>01.01.02.02</t>
  </si>
  <si>
    <t>01.01.01.02</t>
  </si>
  <si>
    <t>Locação de contêiner completo para escritório, sem banheiro</t>
  </si>
  <si>
    <t xml:space="preserve">TOTAL PARA CONFERÊNCIA:  </t>
  </si>
  <si>
    <t xml:space="preserve">DIFERENÇA PARA PLANILHA:  </t>
  </si>
  <si>
    <t>CP9024</t>
  </si>
  <si>
    <t>COMPOSIÇÃO DE MÃO DE OBRA</t>
  </si>
  <si>
    <t>CP9025</t>
  </si>
  <si>
    <t>AUXILIAR TÉCNICO DE ENGENHARIA</t>
  </si>
  <si>
    <t>CP9027</t>
  </si>
  <si>
    <t>AUXILIAR DE SERVIÇOS GERAIS</t>
  </si>
  <si>
    <t>CP9026</t>
  </si>
  <si>
    <t>CP9028</t>
  </si>
  <si>
    <t>ENGENHEIRO SÊNIOR</t>
  </si>
  <si>
    <t>CP9029</t>
  </si>
  <si>
    <t>ENGENHEIRO RESIDENTE</t>
  </si>
  <si>
    <t>CP9034</t>
  </si>
  <si>
    <t>Encarregado Geral</t>
  </si>
  <si>
    <t>CP9035</t>
  </si>
  <si>
    <t>ENGENHEIRO DE SEGURANÇA NO TRABALHO</t>
  </si>
  <si>
    <t>TÉCNICO EM SEGURANÇA DO TRABALHO</t>
  </si>
  <si>
    <t>LOCACAO DE CONTAINER 2,30  X  6,00 M, ALT. 2,50 M, PARA REFEITÓRIO, SEM DIVISORIAS INTERNAS E SEM SANITARIO</t>
  </si>
  <si>
    <t>LOCACAO DE CONTAINER 2,30  X  6,00 M, ALT. 2,50 M, PARA VESTIÁRIO, SEM DIVISORIAS INTERNAS E SEM SANITARIO</t>
  </si>
  <si>
    <t>Locação de contêiner para vestiário</t>
  </si>
  <si>
    <t>Locação de contêiner para sanitário</t>
  </si>
  <si>
    <t>Locação de contêiner para refeitório</t>
  </si>
  <si>
    <t>SUPORTE EM AÇO CARBONO GALVANIZADO PERFIL "C"</t>
  </si>
  <si>
    <t>TUBO ACO GALVANIZADO COM COSTURA, CLASSE MEDIA, DN 1.1/2", E = *3,25* MM, PESO *3,61* KG/M (NBR 5580)</t>
  </si>
  <si>
    <t xml:space="preserve">CUSTO TOTAL PARA CONFERÊNCIA   </t>
  </si>
  <si>
    <t>GERAL</t>
  </si>
  <si>
    <t>SINAPI 94991 MODIFICADA PARA ATENDER À ESPECIFICAÇÃO DO PROJETO.</t>
  </si>
  <si>
    <t>Regularização e compactação do subleito</t>
  </si>
  <si>
    <t>TCPO "22.127.000055.SER"
Aproveitados apenas os coeficientes e
Acrescentado 5% de perda para o ladrilho.</t>
  </si>
  <si>
    <t>GC</t>
  </si>
  <si>
    <t>EQH</t>
  </si>
  <si>
    <t>MOD</t>
  </si>
  <si>
    <t>TARIFA "A" ENTRE  0 E 20M3 FORNECIMENTO D'AGUA</t>
  </si>
  <si>
    <t>TUBO ACO GALVANIZADO COM COSTURA, CLASSE LEVE, DN 25 MM ( 1"),  E = 2,65 MM,  *2,11* KG/M (NBR 5580)</t>
  </si>
  <si>
    <t>TUBO PVC  SERIE NORMAL, DN 100 MM, PARA ESGOTO  PREDIAL (NBR 5688)</t>
  </si>
  <si>
    <t>RETROESCAVADEIRA SOBRE RODAS COM CARREGADEIRA, TRAÇÃO 4X4, POTÊNCIA LÍQ. 88 HP, CAÇAMBA CARREG. CAP. MÍN. 1 M3, CAÇAMBA RETRO CAP. 0,26 M3, PESO OPERACIONAL MÍN. 6.674 KG, PROFUNDIDADE ESCAVAÇÃO MÁX. 4,37 M - CHP DIURNO. AF_06/2014</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</si>
  <si>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</si>
  <si>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</si>
  <si>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PERFURATRIZ COM TORRE METÁLICA PARA EXECUÇÃO DE ESTACA HÉLICE CONTÍNUA, PROFUNDIDADE MÁXIMA DE 30 M, DIÂMETRO MÁXIMO DE 800 MM, POTÊNCIA INSTALADA DE 268 HP, MESA ROTATIVA COM TORQUE MÁXIMO DE 170 KNM - CHP DIURNO. AF_06/2015</t>
  </si>
  <si>
    <t>SERRA CIRCULAR DE BANCADA COM MOTOR ELÉTRICO POTÊNCIA DE 5HP, COM COIFA PARA DISCO 10" - CHP DIURNO. AF_08/2015</t>
  </si>
  <si>
    <t>RETROESCAVADEIRA SOBRE RODAS COM CARREGADEIRA, TRAÇÃO 4X4, POTÊNCIA LÍQ. 88 HP, CAÇAMBA CARREG. CAP. MÍN. 1 M3, CAÇAMBA RETRO CAP. 0,26 M3, PESO OPERACIONAL MÍN. 6.674 KG, PROFUNDIDADE ESCAVAÇÃO MÁX. 4,37 M - CHI DIURNO. AF_06/2014</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</si>
  <si>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</si>
  <si>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</si>
  <si>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PERFURATRIZ COM TORRE METÁLICA PARA EXECUÇÃO DE ESTACA HÉLICE CONTÍNUA, PROFUNDIDADE MÁXIMA DE 30 M, DIÂMETRO MÁXIMO DE 800 MM, POTÊNCIA INSTALADA DE 268 HP, MESA ROTATIVA COM TORQUE MÁXIMO DE 170 KNM - CHI DIURNO. AF_06/2015</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</si>
  <si>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</si>
  <si>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</si>
  <si>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CPU SINAPI COM SUBSTITUIÇÃO DOS RECURSOS PELOS DO SICRO QUANDO POSSÍVEL</t>
  </si>
  <si>
    <t>CP9203</t>
  </si>
  <si>
    <t>CP9207</t>
  </si>
  <si>
    <t>CP9215</t>
  </si>
  <si>
    <t>CP9216</t>
  </si>
  <si>
    <t>CP9231</t>
  </si>
  <si>
    <t>CP9232</t>
  </si>
  <si>
    <t>ESTIMATIVA DO ORÇAMENTISTA
A CPU considera 2 veículos.</t>
  </si>
  <si>
    <t>CPU CRIADA PARA O PROJETO
ESTIMATIVA DO ORÇAMENTISTA
A CPU considera 2 veículos.</t>
  </si>
  <si>
    <t>E9125</t>
  </si>
  <si>
    <t>QUANTIDADE</t>
  </si>
  <si>
    <t>LABORATÓRIO DE SOLOS</t>
  </si>
  <si>
    <t>LABORATÓRIO DE CONCRETO</t>
  </si>
  <si>
    <t>COEFICIENTE ZERADO POR CONSIDERAR O VEÍCULO JÁ LANÇADO NA PLANILHA ORÇAMENTÁRIA</t>
  </si>
  <si>
    <t>Laboratórios</t>
  </si>
  <si>
    <t>LABORATÓRIO DE SOLOS, COMPLETO, SEM DIVISORIAS INTERNAS</t>
  </si>
  <si>
    <t>COMPOSIÇÃO DO PROJETO</t>
  </si>
  <si>
    <t>TABELA DE PREÇOS DE CONSULTORIA DO DNIT</t>
  </si>
  <si>
    <t>CP9046</t>
  </si>
  <si>
    <t>LABORATÓRIO DE BETUMES, COMPLETO, SEM DIVISORIAS INTERNAS</t>
  </si>
  <si>
    <t>CP9047</t>
  </si>
  <si>
    <t>LABORATÓRIO DE CONCRETOS, COMPLETO, SEM DIVISORIAS INTERNAS</t>
  </si>
  <si>
    <t>CP9036</t>
  </si>
  <si>
    <t>EQUIPE PARA LABORATÓRIO DE SOLOS PARA TERRAPLENAGEM</t>
  </si>
  <si>
    <t>CP9037</t>
  </si>
  <si>
    <t>CP9038</t>
  </si>
  <si>
    <t>EQUIPE PARA LABORATÓRIO DE CONCRETOS</t>
  </si>
  <si>
    <t>CPU MONTADA CONFORME MANUAL DO DNIT, VOL. 8, TAB. 53</t>
  </si>
  <si>
    <t>CPU MONTADA CONFORME MANUAL DO DNIT, VOL. 8, TAB. 54</t>
  </si>
  <si>
    <t>EQUIPE PARA LABORATÓRIO DE ASFALTO</t>
  </si>
  <si>
    <t>CPU MONTADA CONFORME MANUAL DO DNIT, VOL. 8, TAB. 55</t>
  </si>
  <si>
    <t>CP9048</t>
  </si>
  <si>
    <t>Laboratório de concretos, inclusive equipamentos</t>
  </si>
  <si>
    <t>Laboratório de asfalto, inclusive equipamentos</t>
  </si>
  <si>
    <t>Laboratório de solos para terraplenagem e pavimentação, inclusive equipamentos</t>
  </si>
  <si>
    <t>Equipe para laboratório de asfalto</t>
  </si>
  <si>
    <t>Equipe para laboratório de concretos</t>
  </si>
  <si>
    <t>Equipe para laboratório de solos para terraplenagem</t>
  </si>
  <si>
    <t>Os equipamentos para laboratório ficarão mobilizados na obra embora as equipes atuem sob contingência.</t>
  </si>
  <si>
    <t>INDENIZAÇÃO DA GRAMA</t>
  </si>
  <si>
    <t>CP0551</t>
  </si>
  <si>
    <t>RECURSO ZERADO PARA ADEQUAÇÃO À ESPECIFICAÇÃO DA CPU.</t>
  </si>
  <si>
    <t>Código</t>
  </si>
  <si>
    <t>AJUDANTE DE ARMADOR COM ENCARGOS COMPLEMENTARES</t>
  </si>
  <si>
    <t>AJUDANTE DE CARPINTEIRO COM ENCARGOS COMPLEMENTARES</t>
  </si>
  <si>
    <t>AJUDANTE DE PEDREIRO COM ENCARGOS COMPLEMENTARES</t>
  </si>
  <si>
    <t>AJUDANTE ESPECIALIZADO COM ENCARGOS COMPLEMENTARES</t>
  </si>
  <si>
    <t>ALVENARIA DE VEDAÇÃO DE BLOCOS VAZADOS DE CONCRETO DE 9X19X39CM (ESPESSURA 9CM) DE PAREDES COM ÁREA LÍQUIDA MENOR QUE 6M² SEM VÃOS E ARGAMASSA DE ASSENTAMENTO COM PREPARO EM BETONEIRA. AF_06/2014</t>
  </si>
  <si>
    <t>APLICAÇÃO DE ADUBO EM SOLO. AF_05/2018</t>
  </si>
  <si>
    <t>APLICAÇÃO DE CALCÁRIO PARA CORREÇÃO DO PH DO SOLO. AF_05/2018</t>
  </si>
  <si>
    <t>ARGAMASSA TRAÇO 1:1,93 (EM VOLUME DE CIMENTO E AREIA MÉDIA ÚMIDA), FCK 20 MPA, PREPARO MECÂNICO COM MISTURADOR DUPLO HORIZONTAL DE ALTA TURBULÊNCIA. AF_03/2020</t>
  </si>
  <si>
    <t>ARGAMASSA TRAÇO 1:2:8 (EM VOLUME DE CIMENTO, CAL E AREIA MÉDIA ÚMIDA) PARA EMBOÇO/MASSA ÚNICA/ASSENTAMENTO DE ALVENARIA DE VEDAÇÃO, PREPARO MECÂNICO COM BETONEIRA 400 L. AF_08/2019</t>
  </si>
  <si>
    <t>ARGAMASSA TRAÇO 1:3 (EM VOLUME DE CIMENTO E AREIA MÉDIA ÚMIDA), PREPARO MANUAL. AF_08/2019</t>
  </si>
  <si>
    <t>ARGAMASSA TRAÇO 1:4 (EM VOLUME DE CIMENTO E AREIA GROSSA ÚMIDA) PARA CHAPISCO CONVENCIONAL, PREPARO MECÂNICO COM BETONEIRA 400 L. AF_08/2019</t>
  </si>
  <si>
    <t>ARGAMASSA TRAÇO 1:4 (EM VOLUME DE CIMENTO E AREIA MÉDIA ÚMIDA), PREPARO MANUAL. AF_08/2019</t>
  </si>
  <si>
    <t>ARMAÇÃO DE BLOCO, VIGA BALDRAME OU SAPATA UTILIZANDO AÇO CA-50 DE 10 MM - MONTAGEM. AF_06/2017</t>
  </si>
  <si>
    <t>ARMAÇÃO DE BLOCO, VIGA BALDRAME OU SAPATA UTILIZANDO AÇO CA-50 DE 12,5 MM - MONTAGEM. AF_06/2017</t>
  </si>
  <si>
    <t>ARMAÇÃO DE BLOCO, VIGA BALDRAME OU SAPATA UTILIZANDO AÇO CA-50 DE 6,3 MM - MONTAGEM. AF_06/2017</t>
  </si>
  <si>
    <t>ARMAÇÃO DE BLOCO, VIGA BALDRAME OU SAPATA UTILIZANDO AÇO CA-50 DE 8 MM - MONTAGEM. AF_06/2017</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</si>
  <si>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</si>
  <si>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</si>
  <si>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</si>
  <si>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6,3 MM - MONTAGEM. AF_07/2019</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</si>
  <si>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</si>
  <si>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</si>
  <si>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</si>
  <si>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</si>
  <si>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</si>
  <si>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</si>
  <si>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</si>
  <si>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CA-60 DE 5,0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</si>
  <si>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</si>
  <si>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CA-60 DE 5,0 MM - MONTAGEM. AF_12/2015</t>
  </si>
  <si>
    <t>ARMAÇÃO DO SISTEMA DE PAREDES DE CONCRETO, EXECUTADA COMO ARMADURA POSITIVA DE LAJES, TELA Q-138. AF_06/2019</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</si>
  <si>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</si>
  <si>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100X15X13X30 CM (COMPRIMENTO X BASE INFERIOR X BASE SUPERIOR X ALTURA), PARA VIAS URBANAS (USO VIÁRIO). AF_06/2016</t>
  </si>
  <si>
    <t>ASSENTAMENTO DE POSTE DE CONCRETO COM COMPRIMENTO NOMINAL DE 9 M, CARGA NOMINAL DE 600 DAN, ENGASTAMENTO BASE CONCRETADA COM 1 M DE CONCRETO E 0,5 M DE SOLO (NÃO INCLUI FORNECIMENTO). AF_11/2019</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</si>
  <si>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</si>
  <si>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</si>
  <si>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</si>
  <si>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</si>
  <si>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</si>
  <si>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</si>
  <si>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</si>
  <si>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</si>
  <si>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AUXILIAR DE ENCANADOR OU BOMBEIRO HIDRÁULICO COM ENCARGOS COMPLEMENTARES</t>
  </si>
  <si>
    <t>AUXILIAR DE LABORATORISTA DE SOLOS E DE CONCRETO COM ENCARGOS COMPLEMENTARES</t>
  </si>
  <si>
    <t>CALCETEIRO COM ENCARGOS COMPLEMENTARES</t>
  </si>
  <si>
    <t>CAMINHÃO BASCULANTE 10 M3, TRUCADO CABINE SIMPLES, PESO BRUTO TOTAL 23.000 KG, CARGA ÚTIL MÁXIMA 15.935 KG, DISTÂNCIA ENTRE EIXOS 4,80 M, POTÊNCIA 230 CV INCLUSIVE CAÇAMBA METÁLICA - CHP DIURNO. AF_06/2014</t>
  </si>
  <si>
    <t>CAMINHÃO BASCULANTE 6 M3, PESO BRUTO TOTAL 16.000 KG, CARGA ÚTIL MÁXIMA 13.071 KG, DISTÂNCIA ENTRE EIXOS 4,80 M, POTÊNCIA 230 CV INCLUSIVE CAÇAMBA METÁLICA - CHP DIURNO. AF_06/2014</t>
  </si>
  <si>
    <t>CAMINHÃO PARA EQUIPAMENTO DE LIMPEZA A SUCÇÃO, COM CAMINHÃO TRUCADO DE PESO BRUTO TOTAL 23000 KG, CARGA ÚTIL MÁXIMA 15935 KG, DISTÂNCIA ENTRE EIXOS 4,80 M, POTÊNCIA 230 CV, INCLUSIVE LIMPADORA A SUCÇÃO, TANQUE 12000 L - CHP DIURNO. AF_11/2015</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</si>
  <si>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</si>
  <si>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</si>
  <si>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</si>
  <si>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</si>
  <si>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CHP DIURNO. AF_06/2014</t>
  </si>
  <si>
    <t>CARPINTEIRO DE FORMAS COM ENCARGOS COMPLEMENTARES</t>
  </si>
  <si>
    <t>CHAPISCO APLICADO EM ALVENARIAS E ESTRUTURAS DE CONCRETO INTERNAS, COM COLHER DE PEDREIRO.  ARGAMASSA TRAÇO 1:3 COM PREPARO EM BETONEIRA 400L. AF_06/2014</t>
  </si>
  <si>
    <t>COLOCAÇÃO DE TELA EM ANDAIME FACHADEIRO. AF_11/2017</t>
  </si>
  <si>
    <t>COMPACTADOR DE SOLOS DE PERCUSSÃO (SOQUETE) COM MOTOR A GASOLINA 4 TEMPOS, POTÊNCIA 4 CV - CHI DIURNO. AF_08/2015</t>
  </si>
  <si>
    <t>COMPACTADOR DE SOLOS DE PERCUSSÃO (SOQUETE) COM MOTOR A GASOLINA 4 TEMPOS, POTÊNCIA 4 CV - CHP DIURNO. AF_08/2015</t>
  </si>
  <si>
    <t>CONCRETAGEM DE BLOCOS DE COROAMENTO E VIGAS BALDRAME, FCK 30 MPA, COM USO DE JERICA  LANÇAMENTO, ADENSAMENTO E ACABAMENTO. AF_06/2017</t>
  </si>
  <si>
    <t>CONCRETAGEM DE BLOCOS DE COROAMENTO E VIGAS BALDRAMES, FCK 30 MPA, COM USO DE BOMBA  LANÇAMENTO, ADENSAMENTO E ACABAMENTO. AF_06/2017</t>
  </si>
  <si>
    <t>CONCRETAGEM DE CORTINA DE CONTENÇÃO, ATRAVÉS DE BOMBA   LANÇAMENTO, ADENSAMENTO E ACABAMENTO. AF_07/2019</t>
  </si>
  <si>
    <t>CONCRETAGEM DE VIGAS E LAJES, FCK=20 MPA, PARA LAJES MACIÇAS OU NERVURADAS COM USO DE BOMBA EM EDIFICAÇÃO COM ÁREA MÉDIA DE LAJES MENOR OU IGUAL A 20 M² - LANÇAMENTO, ADENSAMENTO E ACABAMENTO. AF_12/2015</t>
  </si>
  <si>
    <t>CONTRAPISO EM ARGAMASSA TRAÇO 1:4 (CIMENTO E AREIA), PREPARO MECÂNICO COM BETONEIRA 400 L, APLICADO EM ÁREAS SECAS SOBRE LAJE, ADERIDO, ESPESSURA 3CM. AF_06/2014</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</si>
  <si>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</si>
  <si>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</si>
  <si>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CORTE E DOBRA DE AÇO CA-50, DIÂMETRO DE 12,5 MM, UTILIZADO EM ESTRUTURAS DIVERSAS, EXCETO LAJES. AF_12/2015</t>
  </si>
  <si>
    <t>CORTE E DOBRA DE AÇO CA-50, DIÂMETRO DE 6,3 MM, UTILIZADO EM ESTRUTURAS DIVERSAS, EXCETO LAJES. AF_12/2015</t>
  </si>
  <si>
    <t>CORTE RASO E RECORTE DE ÁRVORE COM DIÂMETRO DE TRONCO MAIOR OU IGUAL A 0,20 M E MENOR QUE 0,40 M.AF_05/2018</t>
  </si>
  <si>
    <t>DEMOLIÇÃO DE LAJES, DE FORMA MANUAL, SEM REAPROVEITAMENTO. AF_12/2017</t>
  </si>
  <si>
    <t>DEMOLIÇÃO DE LAJES, DE FORMA MECANIZADA COM MARTELETE, SEM REAPROVEITAMENTO. AF_12/2017</t>
  </si>
  <si>
    <t>DEMOLIÇÃO PARCIAL DE PAVIMENTO ASFÁLTICO, DE FORMA MECANIZADA, SEM REAPROVEITAMENTO. AF_12/2017</t>
  </si>
  <si>
    <t>DESEMPENADEIRA DE CONCRETO, PESO DE 75KG, 4 PÁS, MOTOR A GASOLINA, POTÊNCIA 5,5 HP - CHP DIURNO. AF_09/2016</t>
  </si>
  <si>
    <t>DESENHISTA PROJETISTA COM ENCARGOS COMPLEMENTARES</t>
  </si>
  <si>
    <t>ELETRICISTA COM ENCARGOS COMPLEMENTARES</t>
  </si>
  <si>
    <t>ENCANADOR OU BOMBEIRO HIDRÁULICO COM ENCARGOS COMPLEMENTARES</t>
  </si>
  <si>
    <t>ENCARREGADO GERAL COM ENCARGOS COMPLEMENTARES</t>
  </si>
  <si>
    <t>ENGENHEIRO CIVIL JUNIOR COM ENCARGOS COMPLEMENTARES</t>
  </si>
  <si>
    <t>ENGENHEIRO CIVIL PLENO COM ENCARGOS COMPLEMENTARES</t>
  </si>
  <si>
    <t>ENGENHEIRO CIVIL SENIOR COM ENCARGOS COMPLEMENTARES</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</si>
  <si>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</si>
  <si>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</si>
  <si>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ESPALHAMENTO DE MATERIAL COM TRATOR DE ESTEIRAS. AF_11/2019</t>
  </si>
  <si>
    <t>ESPARGIDOR DE ASFALTO PRESSURIZADO, TANQUE 6 M3 COM ISOLAÇÃO TÉRMICA, AQUECIDO COM 2 MAÇARICOS, COM BARRA ESPARGIDORA 3,60 M, MONTADO SOBRE CAMINHÃO  TOCO, PBT 14.300 KG, POTÊNCIA 185 CV - CHI DIURNO. AF_08/2015</t>
  </si>
  <si>
    <t>ESPARGIDOR DE ASFALTO PRESSURIZADO, TANQUE 6 M3 COM ISOLAÇÃO TÉRMICA, AQUECIDO COM 2 MAÇARICOS, COM BARRA ESPARGIDORA 3,60 M, MONTADO SOBRE CAMINHÃO  TOCO, PBT 14.300 KG, POTÊNCIA 185 CV - CHP DIURNO. AF_08/2015</t>
  </si>
  <si>
    <t>ESTACA BROCA DE CONCRETO, DIÂMETRO DE 30CM, ESCAVAÇÃO MANUAL COM TRADO CONCHA, INTEIRAMENTE ARMADA. AF_05/2020</t>
  </si>
  <si>
    <t>ESTUCAMENTO DE DENSIDADE ALTA, NAS FACES INTERNAS DE PAREDES DO SISTEMA DE PAREDES DE CONCRETO. AF_06/2015</t>
  </si>
  <si>
    <t>73881/1</t>
  </si>
  <si>
    <t>EXECUÇÃO DE PASSEIO (CALÇADA) OU PISO DE CONCRETO COM CONCRETO MOLDADO IN LOCO, FEITO EM OBRA, ACABAMENTO CONVENCIONAL, NÃO ARMADO. AF_07/2016</t>
  </si>
  <si>
    <t>EXECUÇÃO DE PASSEIO (CALÇADA) OU PISO DE CONCRETO COM CONCRETO MOLDADO IN LOCO, USINADO, ACABAMENTO CONVENCIONAL, ESPESSURA 8 CM, ARMADO. AF_07/2016</t>
  </si>
  <si>
    <t>EXECUÇÃO DE PASSEIO EM PISO INTERTRAVADO, COM BLOCO RETANGULAR COR NATURAL DE 20 X 10 CM, ESPESSURA 6 CM. AF_12/2015</t>
  </si>
  <si>
    <t>EXECUÇÃO DE PAVIMENTO COM APLICAÇÃO DE CONCRETO ASFÁLTICO, CAMADA DE ROLAMENTO - EXCLUSIVE CARGA E TRANSPORTE. AF_11/2019</t>
  </si>
  <si>
    <t>EXECUÇÃO DE SARJETA DE CONCRETO USINADO, MOLDADA  IN LOCO  EM TRECHO RETO, 45 CM BASE X 15 CM ALTURA. AF_06/2016</t>
  </si>
  <si>
    <t>EXECUÇÃO DE VIA EM PISO INTERTRAVADO, COM BLOCO 16 FACES DE 22 X 11 CM, ESPESSURA 8 CM. AF_12/2015</t>
  </si>
  <si>
    <t>EXECUÇÃO E COMPACTAÇÃO DE ATERRO COM SOLO PREDOMINANTEMENTE ARENOSO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</si>
  <si>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</si>
  <si>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PEDRA RACHÃO  - EXCLUSIVE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</si>
  <si>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</si>
  <si>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</si>
  <si>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SOLOS DE COMPORTAMENTO LATERÍTICO (ARENOSO) - EXCLUSIVE SOLO, ESCAVAÇÃO, CARGA E TRANSPORTE. AF_11/2019</t>
  </si>
  <si>
    <t>FABRICAÇÃO, MONTAGEM E DESMONTAGEM DE FÔRMA PARA BLOCO DE COROAMENTO, EM MADEIRA SERRADA, E=25 MM, 4 UTILIZAÇÕES. AF_06/2017</t>
  </si>
  <si>
    <t>FABRICAÇÃO, MONTAGEM E DESMONTAGEM DE FÔRMA PARA CORTINA DE CONTENÇÃO, EM CHAPA DE MADEIRA COMPENSADA PLASTIFICADA, E = 18 MM, 10 UTILIZAÇÕES. AF_07/2019</t>
  </si>
  <si>
    <t>FABRICAÇÃO, MONTAGEM E DESMONTAGEM DE FORMA PARA RADIER, EM MADEIRA SERRADA, 4 UTILIZAÇÕES. AF_09/2017</t>
  </si>
  <si>
    <t>FABRICAÇÃO, MONTAGEM E DESMONTAGEM DE FÔRMA PARA VIGA BALDRAME, EM MADEIRA SERRADA, E=25 MM, 2 UTILIZAÇÕES. AF_06/2017</t>
  </si>
  <si>
    <t>FURO EM CONCRETO PARA DIÂMETROS MAIORES QUE 40 MM E MENORES OU IGUAIS A 75 MM. AF_05/2015</t>
  </si>
  <si>
    <t>GERADOR PORTÁTIL MONOFÁSICO, POTÊNCIA 5500 VA, MOTOR A GASOLINA, POTÊNCIA DO MOTOR 13 CV - CHP DIURNO. AF_03/2016</t>
  </si>
  <si>
    <t>GRADE DE DISCO REBOCÁVEL COM 20 DISCOS 24" X 6 MM COM PNEUS PARA TRANSPORTE - CHI DIURNO. AF_06/2014</t>
  </si>
  <si>
    <t>GRADE DE DISCO REBOCÁVEL COM 20 DISCOS 24" X 6 MM COM PNEUS PARA TRANSPORTE - CHP DIURNO. AF_06/2014</t>
  </si>
  <si>
    <t>GRUPO GERADOR COM CARENAGEM, MOTOR DIESEL POTÊNCIA STANDART ENTRE 250 E 260 KVA - CHI DIURNO. AF_12/2016</t>
  </si>
  <si>
    <t>GRUPO GERADOR COM CARENAGEM, MOTOR DIESEL POTÊNCIA STANDART ENTRE 250 E 260 KVA - CHP DIURNO. AF_12/2016</t>
  </si>
  <si>
    <t>GRUPO GERADOR REBOCÁVEL, POTÊNCIA 66 KVA, MOTOR A DIESEL - CHP DIURNO. AF_03/2016</t>
  </si>
  <si>
    <t>HIDRÔMETRO DN 25 (¾ ), 5,0 M³/H FORNECIMENTO E INSTALAÇÃO. AF_11/2016</t>
  </si>
  <si>
    <t>JARDINEIRO COM ENCARGOS COMPLEMENTARES</t>
  </si>
  <si>
    <t>KIT CAVALETE PARA MEDIÇÃO DE ÁGUA - ENTRADA INDIVIDUALIZADA, EM PVC DN 25 (¾), PARA 1 MEDIDOR  FORNECIMENTO E INSTALAÇÃO (EXCLUSIVE HIDRÔMETRO). AF_11/2016</t>
  </si>
  <si>
    <t>LANÇAMENTO COM USO DE BALDES, ADENSAMENTO E ACABAMENTO DE CONCRETO EM ESTRUTURAS. AF_12/2015</t>
  </si>
  <si>
    <t>LANÇAMENTO COM USO DE BOMBA, ADENSAMENTO E ACABAMENTO DE CONCRETO EM ESTRUTURAS. AF_12/2015</t>
  </si>
  <si>
    <t>LIMPEZA MECANIZADA DE CAMADA VEGETAL, VEGETAÇÃO E PEQUENAS ÁRVORES (DIÂMETRO DE TRONCO MENOR QUE 0,20 M), COM TRATOR DE ESTEIRAS.AF_05/2018</t>
  </si>
  <si>
    <t>MARTELETE OU ROMPEDOR PNEUMÁTICO MANUAL, 28 KG, COM SILENCIADOR - CHP DIURNO. AF_07/2016</t>
  </si>
  <si>
    <t>MASSA ÚNICA, PARA RECEBIMENTO DE PINTURA, EM ARGAMASSA TRAÇO 1:2:8, PREPARO MECÂNICO COM BETONEIRA 400L, APLICADA MANUALMENTE EM FACES INTERNAS DE PAREDES, ESPESSURA DE 10MM, COM EXECUÇÃO DE TALISCAS. AF_06/2014</t>
  </si>
  <si>
    <t>MONTADOR (TUBO AÇO/EQUIPAMENTOS) COM ENCARGOS COMPLEMENTARES</t>
  </si>
  <si>
    <t>MONTADOR DE ESTRUTURA METÁLICA COM ENCARGOS COMPLEMENTARES</t>
  </si>
  <si>
    <t>MONTAGEM DE ARMADURA LONGITUDINAL DE ESTACAS DE SEÇÃO CIRCULAR, DIÂMETRO = 10,0 MM. AF_11/2016</t>
  </si>
  <si>
    <t>MONTAGEM DE ARMADURA LONGITUDINAL DE ESTACAS DE SEÇÃO CIRCULAR, DIÂMETRO = 20,0 MM. AF_11/2016</t>
  </si>
  <si>
    <t>MONTAGEM DE ARMADURA TRANSVERSAL DE ESTACAS DE SEÇÃO CIRCULAR, DIÂMETRO = 5,0 MM. AF_11/2016</t>
  </si>
  <si>
    <t>MONTAGEM E DESMONTAGEM DE FÔRMA DE PILARES CIRCULARES, COM ÁREA MÉDIA DAS SEÇÕES MENOR OU IGUAL A 0,28 M², PÉ-DIREITO SIMPLES, EM MADEIRA, 2 UTILIZAÇÕES. AF_06/2017</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</si>
  <si>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</si>
  <si>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</si>
  <si>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MURO DE GABIÃO, ENCHIMENTO COM PEDRA DE MÃO TIPO RACHÃO, COM SOLO REFORÇADO, PARA MUROS COM ALTURA MENOR OU IGUAL A 4 M   FORNECIMENTO E EXECUÇÃO. AF_12/2015</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</si>
  <si>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</si>
  <si>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</si>
  <si>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5 M, PARA MUROS COM ALTURA MENOR OU IGUAL A 4 M  FORNECIMENTO E EXECUÇÃO. AF_12/2015</t>
  </si>
  <si>
    <t>OPERADOR DE DEMARCADORA DE FAIXAS COM ENCARGOS COMPLEMENTARES</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</si>
  <si>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</si>
  <si>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</si>
  <si>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PASSANTE TIPO TUBO DE DIÂMETRO MAIOR QUE 75 MM, FIXADO EM LAJE. AF_05/2015</t>
  </si>
  <si>
    <t>PASSANTE TIPO TUBO DE DIÂMETRO MAIORES QUE 40 MM E MENORES OU IGUAIS A 75 MM, FIXADO EM LAJE. AF_05/2015</t>
  </si>
  <si>
    <t>PEDREIRO COM ENCARGOS COMPLEMENTARES</t>
  </si>
  <si>
    <t>PERFURATRIZ ROTATIVA SOBRE ESTEIRA, TORQUE MAXIMO 2500 KGM, POTENCIA 110 HP, MOTOR DIESEL - CHI DIURNO. AF_05/2017</t>
  </si>
  <si>
    <t>PERFURATRIZ ROTATIVA SOBRE ESTEIRA, TORQUE MAXIMO 2500 KGM, POTENCIA 110 HP, MOTOR DIESEL- CHP DIURNO. AF_05/2017</t>
  </si>
  <si>
    <t>PINTOR COM ENCARGOS COMPLEMENTARES</t>
  </si>
  <si>
    <t>PINTURA COM TINTA ALQUÍDICA DE FUNDO (TIPO ZARCÃO) APLICADA A ROLO OU PINCEL SOBRE SUPERFÍCIES METÁLICAS (EXCETO PERFIL) EXECUTADO EM OBRA (POR DEMÃO). AF_01/2020</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</si>
  <si>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</si>
  <si>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</si>
  <si>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PLANTIO DE ARBUSTO OU  CERCA VIVA. AF_05/2018</t>
  </si>
  <si>
    <t>PLANTIO DE ÁRVORE ORNAMENTAL COM ALTURA DE MUDA MENOR OU IGUAL A 2,00 M. AF_05/2018</t>
  </si>
  <si>
    <t>PLANTIO DE FORRAÇÃO. AF_05/2018</t>
  </si>
  <si>
    <t>PLANTIO DE GRAMA EM PLACAS. AF_05/2018</t>
  </si>
  <si>
    <t>PLANTIO DE PALMEIRA COM ALTURA DE MUDA MENOR OU IGUAL A 2,00 M. AF_05/2018</t>
  </si>
  <si>
    <t>PROTEÇÃO SUPERFICIAL DE CANAL EM GABIÃO TIPO COLCHÃO, ALTURA DE 23 CENTÍMETROS, ENCHIMENTO COM PEDRA DE MÃO TIPO RACHÃO - FORNECIMENTO E EXECUÇÃO. AF_12/2015</t>
  </si>
  <si>
    <t>RASTELEIRO COM ENCARGOS COMPLEMENTARES</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</si>
  <si>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</si>
  <si>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</si>
  <si>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</si>
  <si>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REGULARIZAÇÃO DE SUPERFÍCIES COM MOTONIVELADORA. AF_11/2019</t>
  </si>
  <si>
    <t>REGULARIZAÇÃO E COMPACTAÇÃO DE SUBLEITO DE SOLO PREDOMINANTEMENTE ARENOSO. AF_11/2019</t>
  </si>
  <si>
    <t>REMOÇÃO DE RAÍZES REMANESCENTES DE TRONCO DE ÁRVORE COM DIÂMETRO MAIOR OU IGUAL A 0,20 M E MENOR QUE 0,40 M.AF_05/2018</t>
  </si>
  <si>
    <t>RETROESCAVADEIRA SOBRE RODAS COM CARREGADEIRA, TRAÇÃO 4X2, POTÊNCIA LÍQ. 79 HP, CAÇAMBA CARREG. CAP. MÍN. 1 M3, CAÇAMBA RETRO CAP. 0,20 M3, PESO OPERACIONAL MÍN. 6.570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</si>
  <si>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</si>
  <si>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</si>
  <si>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ESTATICO, PRESSAO VARIAVEL, POTENCIA 110 HP, PESO SEM/COM LASTRO 10,8/27 T, LARGURA DE ROLAGEM 2,30 M - CHI DIURNO. AF_06/2017</t>
  </si>
  <si>
    <t>ROLO COMPACTADOR DE PNEUS, ESTATICO, PRESSAO VARIAVEL, POTENCIA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</si>
  <si>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</si>
  <si>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</si>
  <si>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</si>
  <si>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</si>
  <si>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</si>
  <si>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</si>
  <si>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SERRALHEIRO COM ENCARGOS COMPLEMENTARES</t>
  </si>
  <si>
    <t>SERVENTE COM ENCARGOS COMPLEMENTARES</t>
  </si>
  <si>
    <t>SERVENTE DE OBRAS COM ENCARGOS COMPLEMENTARES</t>
  </si>
  <si>
    <t>SOLDADOR COM ENCARGOS COMPLEMENTARES</t>
  </si>
  <si>
    <t>TANQUE DE ASFALTO ESTACIONÁRIO COM SERPENTINA, CAPACIDADE 30.000 L - CHI DIURNO. AF_06/2014</t>
  </si>
  <si>
    <t>TANQUE DE ASFALTO ESTACIONÁRIO COM SERPENTINA, CAPACIDADE 30.000 L - CHP DIURNO. AF_06/2014</t>
  </si>
  <si>
    <t>TAPUME COM COMPENSADO DE MADEIRA. AF_05/2018</t>
  </si>
  <si>
    <t>TAPUME COM TELHA METÁLICA. AF_05/2018</t>
  </si>
  <si>
    <t>TECNICO DE EDIFICACOES COM ENCARGOS COMPLEMENTARES</t>
  </si>
  <si>
    <t>TÉCNICO DE LABORATÓRIO E CAMPO DE CONSTRUÇÃO COM ENCARGOS COMPLEMENTARES</t>
  </si>
  <si>
    <t>TRANSPORTE HORIZONTAL COM JERICA DE 90 L, DE MASSA/ GRANEL (UNIDADE: M3XKM). AF_07/2019</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</si>
  <si>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</si>
  <si>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</si>
  <si>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</si>
  <si>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</si>
  <si>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85 CV, TRAÇÃO 4X4, PESO COM LASTRO DE 4.675 KG - CHI DIURNO. AF_06/2014</t>
  </si>
  <si>
    <t>TRATOR DE PNEUS, POTÊNCIA 85 CV, TRAÇÃO 4X4, PESO COM LASTRO DE 4.675 KG - CHP DIURNO. AF_06/2014</t>
  </si>
  <si>
    <t>TUBO PVC, SERIE NORMAL, ESGOTO PREDIAL, DN 50 MM, FORNECIDO E INSTALADO EM PRUMADA DE ESGOTO SANITÁRIO OU VENTILAÇÃO. AF_12/2014</t>
  </si>
  <si>
    <t>TUBO, PVC, SOLDÁVEL, DN 25MM, INSTALADO EM RAMAL OU SUB-RAMAL DE ÁGUA - FORNECIMENTO E INSTALAÇÃO. AF_12/2014</t>
  </si>
  <si>
    <t>USINA DE ASFALTO, TIPO GRAVIMÉTRICA, PROD 150 TON/HORA - CHI DIURNO. AF_12/2019</t>
  </si>
  <si>
    <t>USINA DE ASFALTO, TIPO GRAVIMÉTRICA, PROD 150 TON/HORA - CHP DIURNO. AF_12/2019</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</si>
  <si>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</si>
  <si>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</si>
  <si>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</si>
  <si>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</si>
  <si>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</si>
  <si>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</si>
  <si>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VIGIA DIURNO COM ENCARGOS COMPLEMENTARES</t>
  </si>
  <si>
    <t>Pintura de ligação</t>
  </si>
  <si>
    <t>!EM PROCESSO DE DESATIVACAO! CHAPA DE MADEIRA COMPENSADA RESINADA PARA FORMA DE CONCRETO, DE *2,2 X 1,1* M, E = 10 MM</t>
  </si>
  <si>
    <t>ACO CA-50, 8,0 MM, VERGALHAO</t>
  </si>
  <si>
    <t>ACO CA-60, 4,2 MM, OU 5,0 MM, OU 6,0 MM, OU 7,0 MM, VERGALHAO</t>
  </si>
  <si>
    <t>ADESIVO ESTRUTURAL A BASE DE RESINA EPOXI, BICOMPONENTE, FLUIDO</t>
  </si>
  <si>
    <t>ADESIVO/COLA PARA EPS (ISOPOR) E OUTROS MATERIAIS</t>
  </si>
  <si>
    <t>ARAME FARPADO GALVANIZADO, 14 BWG (2,11 MM), CLASSE 250</t>
  </si>
  <si>
    <t>ARAME GALVANIZADO 12 BWG, D = 2,76 MM (0,048 KG/M) OU 14 BWG, D = 2,11 MM (0,026 KG/M)</t>
  </si>
  <si>
    <t>ARAME RECOZIDO 16 BWG, D = 1,65 MM (0,016 KG/M) OU 18 BWG, D = 1,25 MM (0,01 KG/M)</t>
  </si>
  <si>
    <t>ARGAMASSA COLANTE TIPO AC III</t>
  </si>
  <si>
    <t>ASFALTO DILUIDO DE PETROLEO CM-30 (COLETADO CAIXA NA ANP ACRESCIDO DE ICMS)</t>
  </si>
  <si>
    <t>BUCHA DE NYLON SEM ABA S12, COM PARAFUSO DE 5/16" X 80 MM EM ACO ZINCADO COM ROSCA SOBERBA E CABECA SEXTAVADA</t>
  </si>
  <si>
    <t>CHAPA DE MADEIRA COMPENSADA PLASTIFICADA PARA FORMA DE CONCRETO, DE 2,20 X 1,10 M, E = 12 MM</t>
  </si>
  <si>
    <t>CHAPA DE MADEIRA COMPENSADA RESINADA PARA FORMA DE CONCRETO, DE *2,2 X 1,1* M, E = 14 MM</t>
  </si>
  <si>
    <t>CONCRETO USINADO BOMBEAVEL, CLASSE DE RESISTENCIA C25, COM BRITA 0 E 1, SLUMP = 100 +/- 20 MM, INCLUI SERVICO DE BOMBEAMENTO (NBR 8953)</t>
  </si>
  <si>
    <t>CONCRETO USINADO BOMBEAVEL, CLASSE DE RESISTENCIA C30, COM BRITA 0 E 1, SLUMP = 100 +/- 20 MM, INCLUI SERVICO DE BOMBEAMENTO (NBR 8953)</t>
  </si>
  <si>
    <t>CONCRETO USINADO BOMBEAVEL, CLASSE DE RESISTENCIA C35, COM BRITA 0 E 1, SLUMP = 100 +/- 20 MM, INCLUI SERVICO DE BOMBEAMENTO (NBR 8953)</t>
  </si>
  <si>
    <t>CORRENTE DE ELO CURTO COMUM, SOLDADA, GALVANIZADA, ESPESSURA DO ELO = 1/2" (12,5 MM)</t>
  </si>
  <si>
    <t>EMULSAO ASFALTICA CATIONICA RR-2C PARA USO EM PAVIMENTACAO ASFALTICA (COLETADO CAIXA NA ANP ACRESCIDO DE ICMS)</t>
  </si>
  <si>
    <t>ENDURECEDOR MINERAL DE BASE CIMENTICIA PARA PISO DE CONCRETO</t>
  </si>
  <si>
    <t>GEOTEXTIL NAO TECIDO AGULHADO DE FILAMENTOS CONTINUOS 100% POLIESTER, RESITENCIA A TRACAO = 21 KN/M</t>
  </si>
  <si>
    <t>GRAMA BATATAIS EM PLACAS, SEM PLANTIO</t>
  </si>
  <si>
    <t>GRELHA FOFO SIMPLES COM REQUADRO, CARGA MAXIMA  12,5 T, *300 X 1000* MM, E= *15* MM, AREA ESTACIONAMENTO CARRO PASSEIO</t>
  </si>
  <si>
    <t>GRELHA FOFO SIMPLES COM REQUADRO, CARGA MAXIMA 1,5 T, 200 X 1000 MM, E= *15* MM</t>
  </si>
  <si>
    <t>LAMPADA FLUORESCENTE COMPACTA 3U BRANCA 20 W, BASE E27 (127/220 V)</t>
  </si>
  <si>
    <t>LIXEIRA DUPLA, COM CAPACIDADE VOLUMETRICA DE 60L*, FABRICADA EM TUBO DE ACO CARBONO, CESTOS EM CHAPA DE ACO E PINTURA NO PROCESSO ELETROSTATICO - PARA ACADEMIA AO AR LIVRE / ACADEMIA DA TERCEIRA IDADE - ATI</t>
  </si>
  <si>
    <t>MOURAO CONCRETO CURVO, SECAO "T", H = 2,80 M + CURVA COM 0,45 M, COM FUROS PARA FIOS</t>
  </si>
  <si>
    <t>MUDA DE RASTEIRA/FORRACAO, AMENDOIM RASTEIRO/ONZE HORAS/AZULZINHA/IMPATIENS OU EQUIVALENTE DA REGIAO</t>
  </si>
  <si>
    <t>PARAFUSO, AUTO ATARRACHANTE, CABECA CHATA, FENDA SIMPLES, 1/4 (6,35 MM) X 25 MM</t>
  </si>
  <si>
    <t>PLACA DE OBRA (PARA CONSTRUCAO CIVIL) EM CHAPA GALVANIZADA *N. 22*, ADESIVADA, DE *2,0 X 1,125* M</t>
  </si>
  <si>
    <t>PLACA/PISO DE CONCRETO POROSO/ PAVIMENTO PERMEAVEL/BLOCO DRENANTE DE CONCRETO, 40 CM X 40 CM, E = 6 CM, COR NATURAL</t>
  </si>
  <si>
    <t>PO DE PEDRA (POSTO PEDREIRA/FORNECEDOR, SEM FRETE)</t>
  </si>
  <si>
    <t>POLIESTIRENO EXPANDIDO/EPS (ISOPOR), TIPO 2F, PLACA, ISOLAMENTO TERMOACUSTICO, E = 10 MM, 1000 X 500 MM</t>
  </si>
  <si>
    <t>POLIESTIRENO EXPANDIDO/EPS (ISOPOR), TIPO 2F, PLACA, ISOLAMENTO TERMOACUSTICO, E = 20 MM, 1000 X 500 MM</t>
  </si>
  <si>
    <t>POSTE DE CONCRETO CIRCULAR, 400 KG, H = 9 M (NBR 8451)</t>
  </si>
  <si>
    <t>POSTE DE CONCRETO DUPLO T, TIPO D, 200 KG, H = 9 M (NBR 8451)</t>
  </si>
  <si>
    <t>PREGO DE ACO POLIDO SEM CABECA 15 X 15 (1 1/4 X 13)</t>
  </si>
  <si>
    <t>TELA DE ARAME GALVANIZADA QUADRANGULAR / LOSANGULAR, FIO 2,11 MM (14 BWG), MALHA 5 X 5 CM, H = 2 M</t>
  </si>
  <si>
    <t>TELA DE ARAME ONDULADA, FIO *2,77* MM (12 BWG), MALHA 5 X 5 CM, H = 2 M</t>
  </si>
  <si>
    <t>TINTA ESMALTE SINTETICO PREMIUM ACETINADO</t>
  </si>
  <si>
    <t>TUBO ACO GALVANIZADO COM COSTURA, CLASSE LEVE, DN 50 MM ( 2"),  E = 3,00 MM,  *4,40* KG/M (NBR 5580)</t>
  </si>
  <si>
    <t>TUBO PVC, FLEXIVEL, CORRUGADO, PERFURADO, DN 110 MM, PARA DRENAGEM, SISTEMA IRRIGACAO</t>
  </si>
  <si>
    <t>TUBO PVC, SOLDAVEL, DN 50 MM, PARA AGUA FRIA (NBR-5648)</t>
  </si>
  <si>
    <t>EQA</t>
  </si>
  <si>
    <t>E9093</t>
  </si>
  <si>
    <t>Van furgão - 93 kW</t>
  </si>
  <si>
    <t>GRUPO DE CUSTO</t>
  </si>
  <si>
    <t>Transporte para bota-fora</t>
  </si>
  <si>
    <t>Carga de material para bota-fora</t>
  </si>
  <si>
    <t>m3</t>
  </si>
  <si>
    <t>txkm</t>
  </si>
  <si>
    <t>Obra</t>
  </si>
  <si>
    <t>Aterro Sanitário</t>
  </si>
  <si>
    <t>Base e paviment.</t>
  </si>
  <si>
    <t>Drenagem e meios-fios</t>
  </si>
  <si>
    <t>Pequenas quantidades</t>
  </si>
  <si>
    <t>Fornecedor local</t>
  </si>
  <si>
    <t>MOBILIÁRIO URBANO</t>
  </si>
  <si>
    <t>VEGETAÇÃO</t>
  </si>
  <si>
    <t>ÁRVORES</t>
  </si>
  <si>
    <t>FORRAÇÕES E GRAMÍNEAS</t>
  </si>
  <si>
    <t>Plantio de árvores, h= &lt;= 2,00 m</t>
  </si>
  <si>
    <t>CP0601</t>
  </si>
  <si>
    <t>PLANTIO DE FORRAÇÃO TIPO QUARESMEIRA RASTEIRA EM MUDAS</t>
  </si>
  <si>
    <t>CPU SINAPI 98505 ADAPTADA PARA A ESEPECIFICAÇÃO DO TIPO DE GRAMA.</t>
  </si>
  <si>
    <t>Plantio de grama batatais em placas.</t>
  </si>
  <si>
    <r>
      <t>Plantio de forração tipo Quaresmeira Rasteira (</t>
    </r>
    <r>
      <rPr>
        <i/>
        <sz val="10"/>
        <color theme="1"/>
        <rFont val="Arial"/>
        <family val="2"/>
      </rPr>
      <t>Schizocentron elegans</t>
    </r>
    <r>
      <rPr>
        <sz val="10"/>
        <color theme="1"/>
        <rFont val="Arial"/>
        <family val="2"/>
      </rPr>
      <t>)</t>
    </r>
  </si>
  <si>
    <r>
      <t>Plantio de forração tipo grama Amendoim (</t>
    </r>
    <r>
      <rPr>
        <i/>
        <sz val="10"/>
        <color theme="1"/>
        <rFont val="Arial"/>
        <family val="2"/>
      </rPr>
      <t>Arachis repens</t>
    </r>
    <r>
      <rPr>
        <sz val="10"/>
        <color theme="1"/>
        <rFont val="Arial"/>
        <family val="2"/>
      </rPr>
      <t>)</t>
    </r>
  </si>
  <si>
    <t>Aplicação de adubo em solo</t>
  </si>
  <si>
    <t>Plantio de palmeira, h= &lt;= 2,00 m</t>
  </si>
  <si>
    <t>Calagem de solo.</t>
  </si>
  <si>
    <t>CP0603</t>
  </si>
  <si>
    <t>PARACICLO PADRÃO SEDHAB PORTARIA 59 DE 6/9/2013</t>
  </si>
  <si>
    <t>CPU SCO PJ24.20.0040 ADAPTADA PARA RECURSOS DO SINAPI</t>
  </si>
  <si>
    <t>COEFICIENTE AJUSTADO PARA REFLETIR A ESPECIFICAÇÃO DA SEDHAB E, AO MESMO TEMPO, PARA ADEQUAÇÃO AO FORNECIMENTO</t>
  </si>
  <si>
    <t>COEFICIENTE AJUSTADO PARA O TRANSPORTE LOCAL NA OBRA.</t>
  </si>
  <si>
    <t>Paraciclo conforme projeto SEDHAB, para chumbamento no piso.</t>
  </si>
  <si>
    <t>SINALIZAÇÃO VIÁRIA VERTICAL</t>
  </si>
  <si>
    <t>SINALIZAÇÃO VIÁRIA HORIZONTAL</t>
  </si>
  <si>
    <t>SUPORTES PARA PLACAS DE SINALIZAÇÃO</t>
  </si>
  <si>
    <t>PLACAS DE SINALIZAÇÃO VIÁRIA</t>
  </si>
  <si>
    <t>Fornecimento e implantação de placas de regulamentação</t>
  </si>
  <si>
    <t>Fornecimento e implantação de placa de advertência</t>
  </si>
  <si>
    <t>CP0604</t>
  </si>
  <si>
    <t>BATE-RODAS EM CONCRETO MACIÇO</t>
  </si>
  <si>
    <t>IO0604</t>
  </si>
  <si>
    <t>BATE-RODAS DE CONCRETO MACIÇO PARA CHUMBAMENTO EM PISO, MEDIDAS APROXIMADAS DE 35 X 10 X 17 CM (C X A X L)</t>
  </si>
  <si>
    <t>COEFICIENTE AJUSTADO P/CPU TIPO ÍNDICE</t>
  </si>
  <si>
    <t>CPU SICRO 5213361 ADAPTADA PARA RECURSOS SINAPI E PARA A ESPECIFICAÇÃO DO SERVIÇO
* NÃO FOI CONSIDERADO O TEMPO FIXO</t>
  </si>
  <si>
    <t>Bate-rodas em concreto maciço chumbado e colado</t>
  </si>
  <si>
    <t>06.</t>
  </si>
  <si>
    <t>RESUMO DAS PLANILHAS DE SERVIÇOS E PREÇOS DE ORÇAMENTO DE PROJETO BÁSICO</t>
  </si>
  <si>
    <t>CARGA DE MISTURA ASFÁLTICA EM CAMINHÃO BASCULANTE 14 M³ (UNIDADE: T). AF_07/2020</t>
  </si>
  <si>
    <t>CARGA, MANOBRA E DESCARGA DE ENTULHO EM CAMINHÃO BASCULANTE 14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</si>
  <si>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</si>
  <si>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</si>
  <si>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</si>
  <si>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</si>
  <si>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</si>
  <si>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6 M³ - CARGA COM PÁ CARREGADEIRA (CAÇAMBA DE 1,7 A 2,8 M³ / 128 HP) E DESCARGA LIVRE (UNIDADE: M3).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</si>
  <si>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</si>
  <si>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</si>
  <si>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</si>
  <si>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</si>
  <si>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</si>
  <si>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</si>
  <si>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</si>
  <si>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</si>
  <si>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</si>
  <si>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ENTRADA DE ENERGIA ELÉTRICA, AÉREA, TRIFÁSICA, COM CAIXA DE EMBUTIR, CABO DE 35 MM2 E DISJUNTOR DIN 50A (NÃO INCLUSO O POSTE DE CONCRETO). AF_07/2020</t>
  </si>
  <si>
    <t>TRANSPORTE COM CAMINHÃO BASCULANTE DE 14 M³, EM VIA INTERNA (DENTRO DO CANTEIRO - UNIDADE: TXKM). AF_07/2020</t>
  </si>
  <si>
    <t>TRANSPORTE COM CAMINHÃO BASCULANTE DE 14 M³, EM VIA URBANA EM LEITO NATURAL (UNIDADE: TXKM).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</si>
  <si>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</si>
  <si>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</si>
  <si>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6 M³, EM VIA URBANA EM REVESTIMENTO PRIMÁRIO (UNIDADE: M3XKM). AF_07/2020</t>
  </si>
  <si>
    <t>TRANSPORTE COM CAMINHÃO CARROCERIA 9T, EM VIA INTERNA (DENTRO DO CANTEIRO -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</si>
  <si>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</si>
  <si>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</si>
  <si>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</si>
  <si>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</si>
  <si>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</si>
  <si>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</si>
  <si>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</si>
  <si>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</si>
  <si>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ENCARGOS SOCIAIS SEM DESONERAÇÃO</t>
  </si>
  <si>
    <t>BLOCO CERAMICO VAZADO PARA ALVENARIA DE VEDACAO, 8 FUROS, DE 9 X 19 X 19 CM (L XA X C)</t>
  </si>
  <si>
    <t>BLOCO VEDACAO CONCRETO CELULAR AUTOCLAVADO 7,5 X 30 X 60 CM (E X A X C)</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</si>
  <si>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</si>
  <si>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</si>
  <si>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</si>
  <si>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</si>
  <si>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400 MM</t>
  </si>
  <si>
    <t>TUBO DE CONCRETO ARMADO PARA AGUAS PLUVIAIS, CLASSE PA-1, COM ENCAIXE PONTA E BOLSA, DIAMETRO NOMINAL DE 800 MM</t>
  </si>
  <si>
    <t>TUBO DE CONCRETO ARMADO PARA AGUAS PLUVIAIS, CLASSE PA-2, COM ENCAIXE PONTA E BOLSA, DIAMETRO NOMINAL DE 1000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</si>
  <si>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</si>
  <si>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</si>
  <si>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300 MM</t>
  </si>
  <si>
    <t>TUBO DE CONCRETO ARMADO PARA AGUAS PLUVIAIS, CLASSE PA-2, COM ENCAIXE PONTA E BOLSA, DIAMETRO NOMINAL DE 600 MM</t>
  </si>
  <si>
    <t>TUBO DE CONCRETO ARMADO PARA AGUAS PLUVIAIS, CLASSE PA-2, COM ENCAIXE PONTA E BOLSA, DIAMETRO NOMINAL DE 800 MM</t>
  </si>
  <si>
    <t>TUBO DE CONCRETO ARMADO PARA AGUAS PLUVIAIS, CLASSE PA-3, COM ENCAIXE PONTA E BOLSA, DIAMETRO NOMINAL DE 1000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</si>
  <si>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</si>
  <si>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</si>
  <si>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600 MM</t>
  </si>
  <si>
    <t>TUBO DE CONCRETO ARMADO PARA AGUAS PLUVIAIS, CLASSE PA-3, COM ENCAIXE PONTA E BOLSA, DIAMETRO NOMINAL DE 800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</si>
  <si>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</si>
  <si>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</si>
  <si>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</si>
  <si>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REVESTIMENTO, EM ACO, CORPO SCHEDULE 40, PONTEIRA SCHEDULE 80, ROSQUEAVEL E SEGMENTADO PARA PERFURACAO, DIAMETRO 14'' (400 MM)</t>
  </si>
  <si>
    <t>Espalhamento de material escavado para aterro por compensação</t>
  </si>
  <si>
    <t>CP0571</t>
  </si>
  <si>
    <t>TACHÃO REFLETIVO MONODIRECIONAL - FORNECIMENTO E COLOCAÇÃO</t>
  </si>
  <si>
    <t>CPU SICRO 5213361 COM SUBSTITUIÇÃO DOS RECURSOS PELOS DO SINAPI QUANDO POSSÍVEL.</t>
  </si>
  <si>
    <t>IO0501</t>
  </si>
  <si>
    <t>TACHÃO REFLETIVO MONODIRECIONAL</t>
  </si>
  <si>
    <t>CP0572</t>
  </si>
  <si>
    <t>TACHÃO REFLETIVO BIDIRECIONAL - FORNECIMENTO E COLOCAÇÃO</t>
  </si>
  <si>
    <t>IO0502</t>
  </si>
  <si>
    <t>TACHÃO REFLETIVO BIDIRECIONAL</t>
  </si>
  <si>
    <t>CP0573</t>
  </si>
  <si>
    <t>FORNECIMENTO E IMPLANTAÇÃO DE SUPORTE METÁLICO GALVANIZADO PARA PLACA DE REGULAMENTAÇÃO - D = 0,60 M</t>
  </si>
  <si>
    <t>IO0503</t>
  </si>
  <si>
    <t>IO0504</t>
  </si>
  <si>
    <t>INSUMO M0789</t>
  </si>
  <si>
    <t>INSUMO M0787</t>
  </si>
  <si>
    <t>Fornecimento e implantação de suporte para placa de sinalização</t>
  </si>
  <si>
    <t>CP0574</t>
  </si>
  <si>
    <t>CONFECÇÃO DE PLACA EM AÇO Nº 16 GALVANIZADO, COM PELÍCULA RETRORREFLETIVA TIPO I + SI</t>
  </si>
  <si>
    <t>CP0575</t>
  </si>
  <si>
    <t>FORNECIMENTO E IMPLANTAÇÃO DE PLACA DE REGULAMENTAÇÃO EM AÇO D = 0,60 M - PELÍCULA RETRORREFLETIVA TIPO I + SI</t>
  </si>
  <si>
    <t>CPU SICRO 5213414 COM SUBSTITUIÇÃO DOS RECURSOS PELOS DO SINAPI QUANDO POSSÍVEL E COM ADAPTAÇÕES EM FUNÇÃO DA MÃO DE OBRA DO SINAPI.</t>
  </si>
  <si>
    <t>INSUMO E9623</t>
  </si>
  <si>
    <t>Item B8957</t>
  </si>
  <si>
    <t>LABORATÓRIO DE ASFALTO</t>
  </si>
  <si>
    <t>B8957</t>
  </si>
  <si>
    <t>B8955</t>
  </si>
  <si>
    <t>B8956</t>
  </si>
  <si>
    <t>Item B8955</t>
  </si>
  <si>
    <t>Item B8956</t>
  </si>
  <si>
    <t>IO0505</t>
  </si>
  <si>
    <t>INSUMO M1367</t>
  </si>
  <si>
    <t>IO0506</t>
  </si>
  <si>
    <t>INSUMO M3229</t>
  </si>
  <si>
    <t>CP0576</t>
  </si>
  <si>
    <t>CPU SICRO 5213440 COM SUBSTITUIÇÃO DOS RECURSOS PELOS DO SINAPI QUANDO POSSÍVEL.</t>
  </si>
  <si>
    <t>FORNECIMENTO E IMPLANTAÇÃO DE PLACA DE ADVERTÊNCIA EM AÇO, LADO DE 0,60 M - PELÍCULA RETRORREFLETIVA TIPO I + SI</t>
  </si>
  <si>
    <t>CPU SICRO 5213464 COM SUBSTITUIÇÃO DOS RECURSOS PELOS DO SINAPI QUANDO POSSÍVEL.</t>
  </si>
  <si>
    <t>FORNECIMENTO E IMPLANTAÇÃO DE PLACA EM AÇO - PELÍCULA I + I</t>
  </si>
  <si>
    <t>CPU SICRO 5213570 COM SUBSTITUIÇÃO DOS RECURSOS PELOS DO SINAPI QUANDO POSSÍVEL.</t>
  </si>
  <si>
    <t>INSUMO E9507</t>
  </si>
  <si>
    <t>CP0577</t>
  </si>
  <si>
    <t>CONFECÇÃO DE PLACA EM AÇO Nº 16 GALVANIZADO, COM PELÍCULA TIPO I + I</t>
  </si>
  <si>
    <t>CPU SICRO 5213416 COM SUBSTITUIÇÃO DOS RECURSOS PELOS DO SINAPI QUANDO POSSÍVEL E COM ADAPTAÇÕES EM FUNÇÃO DA MÃO DE OBRA DO SINAPI.</t>
  </si>
  <si>
    <t>IO0507</t>
  </si>
  <si>
    <t>INSUMO M3235</t>
  </si>
  <si>
    <t>CP0578</t>
  </si>
  <si>
    <t>Fornecimento e implantação de placa educativa e de informação</t>
  </si>
  <si>
    <t>CP0001</t>
  </si>
  <si>
    <t>BARREIRA DE SINALIZAÇÃO TIPO I DE DIRECIONAMENTO OU BLOQUEIO - UTILIZAÇÃO DE 10 VEZES</t>
  </si>
  <si>
    <t>CPU SICRO 5213385 ADAPTADA PARA RECURSOS DO SINAPI E COEFICIENTES CONVERTIDOS PARA CONSUMO UNITÁRIO.</t>
  </si>
  <si>
    <t>IO0508</t>
  </si>
  <si>
    <t>PELÍCULA RETRORREFLETIVA TIPO III + SI</t>
  </si>
  <si>
    <t>INSUMO M3236</t>
  </si>
  <si>
    <t>CP0002</t>
  </si>
  <si>
    <t>CAVALETE EM POLIETILENO ZEBRADO COM FAIXA REFLETIVA E COM SINALIZADOR A LED COM BATERIA - H = 1,14 M - UTILIZAÇÃO DE 200 VEZES</t>
  </si>
  <si>
    <t>IO0509</t>
  </si>
  <si>
    <t>INSUMO M0771</t>
  </si>
  <si>
    <t>IO0510</t>
  </si>
  <si>
    <t>INSUMO M0767</t>
  </si>
  <si>
    <t>CP0003</t>
  </si>
  <si>
    <t>OPERAÇÃO DE SINALIZAÇÃO POR BANDEIROLA DE TECIDO OU COM PLACA METÁLICA</t>
  </si>
  <si>
    <t>CP0004</t>
  </si>
  <si>
    <t>PLACA DE ADVERTÊNCIA PARA SINALIZAÇÃO DE OBRAS MONTADA EM SUPORTE METÁLICO MÓVEL, LADO 1,00 M</t>
  </si>
  <si>
    <t>IS0001</t>
  </si>
  <si>
    <t>COMPOSICAO 5213416</t>
  </si>
  <si>
    <t>IS0002</t>
  </si>
  <si>
    <t>CONFECÇÃO DE SUPORTE METÁLICO MÓVEL PARA PLACA DE SINALIZAÇÃO</t>
  </si>
  <si>
    <t>COMPOSICAO 5219546</t>
  </si>
  <si>
    <t>CP0005</t>
  </si>
  <si>
    <t>CP0006</t>
  </si>
  <si>
    <t>CPU SICRO 5213557 ADAPTADA PARA RECURSOS DO SINAPI E COEFICIENTES CONVERTIDOS PARA CONSUMO UNITÁRIO.</t>
  </si>
  <si>
    <t>CPU SICRO 5213558 ADAPTADA PARA RECURSOS DO SINAPI E COEFICIENTES CONVERTIDOS PARA CONSUMO UNITÁRIO.</t>
  </si>
  <si>
    <t>PLACA DE REGULAMENTAÇÃO PARA SINALIZAÇÃO DE OBRAS MONTADA EM SUPORTE METÁLICO MÓVEL, R1 LADO 0,414 M</t>
  </si>
  <si>
    <t>CPU SICRO 5213380 ADAPTADA PARA RECURSOS DO SINAPI E COEFICIENTES CONVERTIDOS PARA CONSUMO UNITÁRIO.</t>
  </si>
  <si>
    <t>CPU SICRO 5213350 ADAPTADA PARA RECURSOS DO SINAPI E COEFICIENTES CONVERTIDOS PARA CONSUMO UNITÁRIO.</t>
  </si>
  <si>
    <t>CPU SICRO 5212560 ADAPTADA PARA RECURSOS DO SINAPI E COEFICIENTES CONVERTIDOS PARA CONSUMO UNITÁRIO.</t>
  </si>
  <si>
    <t>PLACA DE REGULAMENTAÇÃO PARA SINALIZAÇÃO DE OBRAS MONTADA EM SUPORTE METÁLICO MÓVEL - D = 1,00 M</t>
  </si>
  <si>
    <t>CP0007</t>
  </si>
  <si>
    <t>PLACA DE REGULAMENTAÇÃO PARA SINALIZAÇÃO DE OBRAS MONTADA EM SUPORTE METÁLICO MÓVEL, R2 LADO 1,00 M</t>
  </si>
  <si>
    <t>CPU SICRO 5213559 ADAPTADA PARA RECURSOS DO SINAPI E COEFICIENTES CONVERTIDOS PARA CONSUMO UNITÁRIO.</t>
  </si>
  <si>
    <t>CP0008</t>
  </si>
  <si>
    <t>PLACA PARA SINALIZAÇÃO DE OBRAS MONTADA EM CAVALETE METÁLICO - 1,00 X 1,00 M</t>
  </si>
  <si>
    <t>CPU SICRO 5213556 ADAPTADA PARA RECURSOS DO SINAPI E COEFICIENTES CONVERTIDOS PARA CONSUMO UNITÁRIO.</t>
  </si>
  <si>
    <t>IS0003</t>
  </si>
  <si>
    <t>CONFECÇÃO DE CAVALETE EM PERFIL METÁLICO PARA PLACA DE SINALIZAÇÃO - 1,00 M X 1,00 M</t>
  </si>
  <si>
    <t>COMPOSICAO 5219544</t>
  </si>
  <si>
    <t>CP0009</t>
  </si>
  <si>
    <t>REMOÇÃO DE PLACA DE SINALIZAÇÃO</t>
  </si>
  <si>
    <t>CPU SICRO 5213364 ADAPTADA PARA RECURSOS DO SINAPI E COEFICIENTES CONVERTIDOS PARA CONSUMO UNITÁRIO.</t>
  </si>
  <si>
    <t>PAVIMENTAÇÃO INTERTRAVADA</t>
  </si>
  <si>
    <t>05.03</t>
  </si>
  <si>
    <t>ÁREA</t>
  </si>
  <si>
    <t>CP0102</t>
  </si>
  <si>
    <t>SICRO 1600447 ADAPTADA PARA RECURSOS DO SINAPI</t>
  </si>
  <si>
    <t>DEMOLIÇÃO MANUAL DE MEIO FIO DE CONCRETO</t>
  </si>
  <si>
    <t>INSUMO E9071</t>
  </si>
  <si>
    <t>TRANSPORTADOR MANUAL CARRINHO DE MÃO COM CAPACIDADE DE 80 L - CUSTO HORÁRIO PRODUTIVO</t>
  </si>
  <si>
    <t>E9071-P</t>
  </si>
  <si>
    <t>TRANSPORTADOR MANUAL CARRINHO DE MÃO COM CAPACIDADE DE 80 L - CUSTO HORÁRIO IMPRODUTIVO</t>
  </si>
  <si>
    <t>E9071-I</t>
  </si>
  <si>
    <t>Escavação manual</t>
  </si>
  <si>
    <t>DENSIDADE / PESO ESPECÍFICO</t>
  </si>
  <si>
    <t>Entulho</t>
  </si>
  <si>
    <t>Concreto simples</t>
  </si>
  <si>
    <t>Concreto armado</t>
  </si>
  <si>
    <t>Vidros</t>
  </si>
  <si>
    <t>RR-1C</t>
  </si>
  <si>
    <t>CBUQ solto</t>
  </si>
  <si>
    <t>Adotado.</t>
  </si>
  <si>
    <t>Conforme SINAPI CPU 95995</t>
  </si>
  <si>
    <t>Pó-de-pedra (pedrisco)</t>
  </si>
  <si>
    <t>Conforme CPU 92407 multiplicado pelo peso específico de 1,65 t/m³ de material solto</t>
  </si>
  <si>
    <t>Solo compactado</t>
  </si>
  <si>
    <t>Estimado</t>
  </si>
  <si>
    <t>Solo solto</t>
  </si>
  <si>
    <t>Solo in natura</t>
  </si>
  <si>
    <t>Adotado 80% do solo compactado</t>
  </si>
  <si>
    <t>DPE</t>
  </si>
  <si>
    <t>DPE = Densidade ou peso específico</t>
  </si>
  <si>
    <t>CBUQ capa</t>
  </si>
  <si>
    <t>CAP 30-45</t>
  </si>
  <si>
    <t>FORNECIMENTO DE CAP 30-45</t>
  </si>
  <si>
    <t>CIMENTO ASFÁLTICO DE PETRÓLEO - CAP 30-45</t>
  </si>
  <si>
    <t>ASFALTO DILUÍDO CM-30</t>
  </si>
  <si>
    <t>CP0401</t>
  </si>
  <si>
    <t>CPU SINAPI 95995 ADAPTADA PARA A ESPECIFICAÇÃO DO CAP</t>
  </si>
  <si>
    <t>CP0491</t>
  </si>
  <si>
    <t>CPU SINAPI 101025 ADAPTADA PARA A ESPECIFICAÇÃO DO CAP</t>
  </si>
  <si>
    <t>Conforme CPUs SINAPI 101025 x 95995</t>
  </si>
  <si>
    <t>CP0104</t>
  </si>
  <si>
    <t>REMOÇÃO DE TUBOS DE CONCRETO EM VALAS E BUEIROS - D = 400 mm</t>
  </si>
  <si>
    <t>SICRO CPU 1600401 ADAPTADA PARA RECURSOS SINAPI</t>
  </si>
  <si>
    <t>Transporte de solo para reaproveitamento dentro da obra</t>
  </si>
  <si>
    <t>Meios-fios novos em trechos retos</t>
  </si>
  <si>
    <t>Meios-fios novos em trechos curvos</t>
  </si>
  <si>
    <t>CPU SINAPI 94273 COM SUPRESSÃO DO INSUMO PRINCIPAL PARA ADEQUAÇÃO À ESPECIFICAÇÃO.</t>
  </si>
  <si>
    <t>REASSENTAMENTO DE GUIA (MEIO-FIO) EM TRECHO RETO, REAPROVEITADO, DIMENSÕES 100X15X13X30 CM (COMPRIMENTO X BASE INFERIOR X BASE SUPERIOR X ALTURA), PARA VIAS URBANAS (USO VIÁRIO).</t>
  </si>
  <si>
    <t>* As densidades dos solos acima indicadas como "estimadas" ou "adotadas" não possuíam dados na época da elaboração deste orçamento e, portanto, deverão ser verificadas em obra, eventualmente fazendo-se os devidos ajustes na planilha orçamentária.</t>
  </si>
  <si>
    <t>BASE</t>
  </si>
  <si>
    <t>VOLUME</t>
  </si>
  <si>
    <t>Subbase solo-cimento 4%</t>
  </si>
  <si>
    <t>Brita para base de BGS</t>
  </si>
  <si>
    <t>Conforme CPU SINAPI 96393 em volume multiplicado pela densidade da brita.</t>
  </si>
  <si>
    <t>Carga, manobra e descarga de solo excedente da terraplenagem.</t>
  </si>
  <si>
    <t>Transporte de fornecimento de brita até 30 km</t>
  </si>
  <si>
    <t>DMT excedente acima de 30 km para fornecimento de brita</t>
  </si>
  <si>
    <t>Transporte de brita graduada dentro da obra</t>
  </si>
  <si>
    <t>Transporte de CM-30 dentro da obra</t>
  </si>
  <si>
    <t>FORNECIMENTO DE EMULSÃO ASFÁLTICA RR-1C ATÉ A USINA NA OBRA (INCLUSIVE ICMS, TRANSPORTE E PEDÁGIOS)</t>
  </si>
  <si>
    <t>FORNECIMENTO DE ASFALTO DILUÍDO DE PETRÓLEO CM-30, ATÉ A USINA NA OBRA (INCLUSIVE ICMS, TRANSPORTE E PEDÁGIOS)</t>
  </si>
  <si>
    <t>Imprimação</t>
  </si>
  <si>
    <t>Transporte de RR-1C dentro da obra</t>
  </si>
  <si>
    <t>CP0403</t>
  </si>
  <si>
    <t>CP0402</t>
  </si>
  <si>
    <t>CPU SINAPI 96401 MODIFICADA PELA EXCLUSÃO DO INSUMO</t>
  </si>
  <si>
    <t>ITEM ZERADO PARA CÁLCULO DO FORNECIMENTO PELO BINÔMIO.</t>
  </si>
  <si>
    <t>EXECUÇÃO DE PINTURA DE LIGAÇÃO COM EMULSÃO ASFÁLTICA RR-1C, EXCLUÍDO O INSUMO RR-1C.</t>
  </si>
  <si>
    <t>Fornecimento de CAP-30-45</t>
  </si>
  <si>
    <t>Carga de CBUQ na usina</t>
  </si>
  <si>
    <t>Transporte de CBUQ na obra</t>
  </si>
  <si>
    <t>Capa asfáltica com CBUQ</t>
  </si>
  <si>
    <t>Pavimento intertravado</t>
  </si>
  <si>
    <t>Lastro de brita com preparo de fundo</t>
  </si>
  <si>
    <t>CP0404</t>
  </si>
  <si>
    <t>CORDAO DE CONCRETO SIMPLES, COM SECCAO DE (10X25)CM, MOLDADOS NO LOCAL, INCLUSIVE ESCAVACAO E REATERRO</t>
  </si>
  <si>
    <t>CPU SCO BP.19.10.0053 ADAPTADA PARA RECURSOS DO SINAPI.</t>
  </si>
  <si>
    <t>Brita para lastro</t>
  </si>
  <si>
    <t>CP0405</t>
  </si>
  <si>
    <t>ACABAMENTO SEMI POLIDO PARA PISO DE CONCRETO</t>
  </si>
  <si>
    <t>CPU SINAPI 97097 ADAPTADA PARA A ESPECIFICAÇÃO</t>
  </si>
  <si>
    <t>Consumo reduzido em 50% para adequação à especificação.</t>
  </si>
  <si>
    <t>JÁ QUANTIFICADO EM ITEM DA PLANILHA ORÇAMETNÁRIA.</t>
  </si>
  <si>
    <t>OUTROS</t>
  </si>
  <si>
    <t>CUSTO UNIT. MO</t>
  </si>
  <si>
    <t>CUSTO UNIT. MAT</t>
  </si>
  <si>
    <t>CUSTO UNIT. EQP</t>
  </si>
  <si>
    <t>CUSTO UNIT. SET</t>
  </si>
  <si>
    <t>CUSTO UNIT. OUTROS</t>
  </si>
  <si>
    <t>ITENS DE FORNECIMENTO</t>
  </si>
  <si>
    <t>CUSTO TOTAL DOS ITENS DE FORNECIMENTO:</t>
  </si>
  <si>
    <t>Compactação de solo</t>
  </si>
  <si>
    <t>Areia ou Brita</t>
  </si>
  <si>
    <t>03.01.01</t>
  </si>
  <si>
    <t>CP0406</t>
  </si>
  <si>
    <t>CP0407</t>
  </si>
  <si>
    <t>CP0301</t>
  </si>
  <si>
    <t>CONCRETAGEM DE PISO SOBRE SOLO, FCK 25 MPA, PARA ESPESSURA DE 10 CM - LANÇAMENTO, ADENSAMENTO E ACABAMENTO</t>
  </si>
  <si>
    <t>CPU SINAPI 97094 ADAPTADA PARA A ESPECIFICAÇÃO DO SERVIÇO</t>
  </si>
  <si>
    <t>RECURSO SUBSTITUÍDO PARA ADAPTAÇÃO À ESPECIFICAÇÃO E À LOGÍSTICA DA EXECUÇÃO</t>
  </si>
  <si>
    <t>CP0302</t>
  </si>
  <si>
    <t>ALVENARIA DE VEDAÇÃO DE BLOCOS DE CONCRETO CELULAR DE 7X30X60CM (ESPESSURA 7CM) E ARGAMASSA DE ASSENTAMENTO COM PREPARO EM BETONEIRA.</t>
  </si>
  <si>
    <t>RECURSO SUBSTITUÍDO PARA ADAPTAÇÃO À ESPECIFICAÇÃO</t>
  </si>
  <si>
    <t>CPU SINAPI 101154 MODIFICADA PARA A ESPECIFICAÇÃO DO SERVIÇO</t>
  </si>
  <si>
    <t>COEFICIENTE AJUSTADO PARA A ESPECIFICAÇÃO</t>
  </si>
  <si>
    <t>CP0303</t>
  </si>
  <si>
    <t>MASSA ÚNICA, PARA RECEBIMENTO DE PINTURA, EM ARGAMASSA TRAÇO 1:2:8, PREPARO MECÂNICO COM BETONEIRA 400L, APLICADA MANUALMENTE EM FACES INTERNAS DE PAREDES, ESPESSURA DE 25MM, COM EXECUÇÃO DE TALISCAS. AF_06/2014</t>
  </si>
  <si>
    <t>CPU SINAPI 87529 ADAPTADA PARA A ESPECIFICAÇÃO DO SERVIÇO</t>
  </si>
  <si>
    <t>CP0304</t>
  </si>
  <si>
    <t>CONCRETAGEM DE VIGAS E LAJES, FCK=25 MPA, PARA QUALQUER TIPO DE LAJE COM BALDES, COM ÁREA MÉDIA DE LAJES MENOR OU IGUAL A 20 M² - LANÇAMENTO, ADENSAMENTO E ACABAMENTO.</t>
  </si>
  <si>
    <t>CPU SINAPI 92741 MODIFICADA PARA A ESPECIFICAÇÃO DO SERVIÇO</t>
  </si>
  <si>
    <t>CP0391</t>
  </si>
  <si>
    <t>CPU DE FORNECIMENTO</t>
  </si>
  <si>
    <t>CP0408</t>
  </si>
  <si>
    <t>EXECUÇÃO DE SARJETA DE CONCRETO RODADO EM OBRA, MOLDADA  IN LOCO  EM TRECHO RETO, 40 CM BASE X 5 CM ALTURA.</t>
  </si>
  <si>
    <t>CPU SINAPI 94289 MODIFICADA PARA A ESPECIFICAÇÃO DO SERVIÇO</t>
  </si>
  <si>
    <t>RECURSO SUBSTITUÍDO PARA ADEQUALÇÃO À LOGÍSTICA DO SERVIÇO E COEFICIENTE AJUSTADO PARA A ESPECIFICAÇÃO</t>
  </si>
  <si>
    <t>03.01.02</t>
  </si>
  <si>
    <t>03.01.03</t>
  </si>
  <si>
    <t>03.01.04</t>
  </si>
  <si>
    <t>COEFICIENTE AJUSTADO PARA A UNIDADE DO INSUMO</t>
  </si>
  <si>
    <t>INTERNET</t>
  </si>
  <si>
    <t>CP0078</t>
  </si>
  <si>
    <t>SINAPI INSUMO CONVERTIDO PARA CPU</t>
  </si>
  <si>
    <t>CP0079</t>
  </si>
  <si>
    <t>CP0080</t>
  </si>
  <si>
    <t>CP0081</t>
  </si>
  <si>
    <t>CP0083</t>
  </si>
  <si>
    <t>TRANSPORTE HORIZONTAL MANUAL MAT. 1a.CAT./ENTULHO ATE 60m</t>
  </si>
  <si>
    <t>CPU SBC 017361 ADAPTADA PARA RECUROS SINAPI.</t>
  </si>
  <si>
    <t>CP0084</t>
  </si>
  <si>
    <t>LOCACAO DE CONTAINER 2,30  X  6,00 M, ALT. 2,50 M, PARA REFEITÓRIO, COMPLETO, SEM DIVISORIAS INTERNAS</t>
  </si>
  <si>
    <t>CP0086</t>
  </si>
  <si>
    <t>LOCACAO DE CONTAINER 2,30  X  4,30 M, ALT. 2,50 M, PARA SANITÁRIO/VESTIÁRIO, COMPLETO</t>
  </si>
  <si>
    <t>CP0701</t>
  </si>
  <si>
    <t>EQUIPE P/EXECUÇÃO DE SERVIÇO DE DESOBSTRUÇÃO E LIMPEZA DE REDES DE ÁGUAS PLUVIAIS E POÇOS DE VISITA C/ EQUIPAMENTO JATO ALTA ASPIRAÇÃO E SISTEMA MISTO COMBINADO À VACUO</t>
  </si>
  <si>
    <t>NOVACAP CPU 4164 ADAPTADA PARA RECURSOS SINAPI</t>
  </si>
  <si>
    <t>NOVACAP</t>
  </si>
  <si>
    <t>Carga de entulho</t>
  </si>
  <si>
    <t>QTD</t>
  </si>
  <si>
    <t>DENSID</t>
  </si>
  <si>
    <t>LOCAÇÃO DE VEÍCULO DE PASSEIO, SEM MOTORISTA</t>
  </si>
  <si>
    <t>CP9023</t>
  </si>
  <si>
    <t>ELABORAÇÃO E MANUTENÇÃO DO PLANO DE CONTROLE AMBIENTAL DE OBRA - PCAO</t>
  </si>
  <si>
    <t>P8060</t>
  </si>
  <si>
    <t>ENGENHEIRO CONSULTOR ESPECIAL</t>
  </si>
  <si>
    <t>DNIT - NOVA TAB. CONSULT.</t>
  </si>
  <si>
    <t>Não reajustado</t>
  </si>
  <si>
    <t>P8058</t>
  </si>
  <si>
    <t>P8066</t>
  </si>
  <si>
    <t>ENGENHEIRO DE PROJETOS PLENO</t>
  </si>
  <si>
    <t>P8135</t>
  </si>
  <si>
    <t>SECRETÁRIA</t>
  </si>
  <si>
    <t>CPU ELABORADA CONFORME PREMISSAS DADAS PELO CLIENTE</t>
  </si>
  <si>
    <t>CP0409</t>
  </si>
  <si>
    <t>CPU SINAPI 92396 MODIFICADA PARA A ESPECIFICAÇÃO DO SERVIÇO</t>
  </si>
  <si>
    <t>RECURSO SUBSTITUÍDO PARA A ESPECIFICAÇÃO DO SERVIÇO</t>
  </si>
  <si>
    <t>CP0605</t>
  </si>
  <si>
    <t>CP0606</t>
  </si>
  <si>
    <t>CP0607</t>
  </si>
  <si>
    <t>MESA EM CONCRETO ARMADO, QUADRADA, CONFORME DETALHES EM PROJETO, INCLUSIVE TRANSPORTE DO CANTEIRO AO LOCAL DE FIXAÇÃO E FIXAÇÃO</t>
  </si>
  <si>
    <t>BANCO DE CONCRETO ARMADO, REDONDO, CONFORME DETALHES EM PROJETO, INCLUSIVE TRANSPORTE DO CANTEIRO AO LOCAL DE FIXAÇÃO E FIXAÇÃO</t>
  </si>
  <si>
    <t>BANCO DE CONCRETO ARMADO, 4 LUGARES, CONFORME DETALHES EM PROJETO, INCLUSIVE TRANSPORTE DO CANTEIRO AO LOCAL DE FIXAÇÃO E FIXAÇÃO</t>
  </si>
  <si>
    <t>CP0608</t>
  </si>
  <si>
    <t>FORNECIMENTO E INSTALAÇÃO DE LIXEIRAS METÁLICAS, MODELO COM DOIS BOJOS, CHUMBADA NO PISO, INCLUSIVE TRANSPORTE ATÉ O LOCAL DE FIXAÇÃO.</t>
  </si>
  <si>
    <t>Carga, manobra e descarga de solo reaproveitado da escavação</t>
  </si>
  <si>
    <t>ESCAVAÇÃO HORIZONTAL, INCLUINDO CARGA E DESCARGA EM SOLO DE 1A CATEGORIA COM TRATOR DE ESTEIRAS (150HP/LÂMINA: 3,18M3). AF_07/2020</t>
  </si>
  <si>
    <t>ESCAVAÇÃO HORIZONTAL, INCLUINDO CARGA, DESCARGA E TRANSPORTE EM SOLO DE 1A CATEGORIA COM TRATOR DE ESTEIRAS (150HP/LÂMINA: 3,18M3) E CAMINHÃO BASCULANTE DE 14M3, DMT ATÉ 200M. AF_07/2020</t>
  </si>
  <si>
    <t>ESCAVAÇÃO HORIZONTAL, INCLUINDO ESCARIFICAÇÃO, CARGA, DESCARGA E TRANSPORTE EM SOLO DE 2A CATEGORIA COM TRATOR DE ESTEIRAS (150HP/LÂMINA: 3,18M3) E CAMINHÃO BASCULANTE DE 14M3, DMT ATÉ 200M. AF_07/2020</t>
  </si>
  <si>
    <t>Vivo</t>
  </si>
  <si>
    <t>CONCRETO RODADO EM OBRA</t>
  </si>
  <si>
    <t>ESP</t>
  </si>
  <si>
    <t>QTD ABC</t>
  </si>
  <si>
    <t>DATAS BASES DE PREÇOS</t>
  </si>
  <si>
    <t>Escavação para abertura de caixa de pavimentação</t>
  </si>
  <si>
    <t>CP9030</t>
  </si>
  <si>
    <t>Engenheiro de Projetos Pleno</t>
  </si>
  <si>
    <t>QUANTIDADE TOTAL DE MÃO DE OBRA DIRETA</t>
  </si>
  <si>
    <t>QUANTIDADE TOTAL DO SERVIÇO POR PLANILHA</t>
  </si>
  <si>
    <t>QUANT TOTAL SERVIÇO</t>
  </si>
  <si>
    <t>UNITÁRIO</t>
  </si>
  <si>
    <t>CONSUMOS DE MOD / SERVIÇO</t>
  </si>
  <si>
    <t>IMPRIME?</t>
  </si>
  <si>
    <t>CÁLCULO DA QUANTIDADE DE MÃO DE OBRA DIRETA POR COMPOSIÇÃO</t>
  </si>
  <si>
    <t>DIV</t>
  </si>
  <si>
    <t>CP
MO</t>
  </si>
  <si>
    <t>CP
TOTAL MO</t>
  </si>
  <si>
    <t>CA &lt;&gt; MOD
COEFIC</t>
  </si>
  <si>
    <t>CA &lt;&gt; MOD
QTDE UNIT MO</t>
  </si>
  <si>
    <t>CA &lt;&gt; MOD
QTDE TOTAL MO</t>
  </si>
  <si>
    <t>CA
CÓD</t>
  </si>
  <si>
    <t>MO TOTAL CP</t>
  </si>
  <si>
    <t xml:space="preserve">HORAS TOTAIS DE MOD: </t>
  </si>
  <si>
    <t xml:space="preserve">DURAÇAO DA OBRA (EM MESES): </t>
  </si>
  <si>
    <t xml:space="preserve">TOTAL DE HORAS POR MÊS:  </t>
  </si>
  <si>
    <t xml:space="preserve">TOTAL DE HORAS TRABALHÁVEIS MENSAIS P/OPERÁRIO: </t>
  </si>
  <si>
    <t xml:space="preserve">MÉDIA DE OPERÁRIOS POR MÊS: </t>
  </si>
  <si>
    <t>Escavação mecanizada</t>
  </si>
  <si>
    <t>CP0201</t>
  </si>
  <si>
    <t>MOBILIZACAO/RETIRADA EQUIPAMENTO PARA PERFURACAO SOLO</t>
  </si>
  <si>
    <t>IS9002</t>
  </si>
  <si>
    <t>RRT DO ORÇAMENTO: 0</t>
  </si>
  <si>
    <t>MOBILIZACAO EQUIPAMENTO PERFURACAO ESTACAS TIPO STRAUSS</t>
  </si>
  <si>
    <t>INSUMO 031790</t>
  </si>
  <si>
    <t>CPU SCB 031008 ADAPTADA</t>
  </si>
  <si>
    <t>SCB</t>
  </si>
  <si>
    <t>CP0202</t>
  </si>
  <si>
    <t>ESTACA HÉLICE CONTÍNUA , DIÂMETRO DE 50 CM, INCLUSO CONCRETO FCK=20MPA E ARMADURA CONFORME PROJETO (EXCLUSIVE MOBILIZAÇÃO E DESMOBILIZAÇÃO).</t>
  </si>
  <si>
    <t>CPU SINAPI 100652 MODIFICADA PARA A ESPECIFICAÇÃO DO SERVIÇO</t>
  </si>
  <si>
    <t>INSUMO SUBSTITUÍDO E COEFICIENTE ALTERADO PARA ADEQUAÇÃO ÀS ESPECIFICAÇÕES DO PROJETO.</t>
  </si>
  <si>
    <t>COEFICIENTE ALTERADO PARA A ESPECIFICAÇÃO DO SOBRECONSUMO DO PROJETO.</t>
  </si>
  <si>
    <t>COEFICIENTES ZERADOS - CARGA E TRANSPORTE DO MATERIAL ESCAVADO EM ITENS ESPECÍFICOS DA PLANILHA ORÇAMENTÁRIA.</t>
  </si>
  <si>
    <t xml:space="preserve">PREÇO TOTAL DA OBRA: </t>
  </si>
  <si>
    <t>CP0305</t>
  </si>
  <si>
    <t>CONCRETAGEM DE BLOCOS DE COROAMENTO E VIGAS BALDRAMES, FCK 35 MPA, COM USO DE BOMBA LANÇAMENTO, ADENSAMENTO E ACABAMENTO.</t>
  </si>
  <si>
    <t>CPU SINAPI 96557 MODIFICADA PARA A ESPECIFICAÇÃO DO SERVIÇO</t>
  </si>
  <si>
    <t>RECURSO SUBSTITUÍDO PARA ADAPTAÇÃO À ESPECIFICAÇÃO  DO SERVIÇO</t>
  </si>
  <si>
    <t>CP0306</t>
  </si>
  <si>
    <t>CPU SINAPI 100349 MODIFICADA PARA A ESPECIFICAÇÃO DO SERVIÇO</t>
  </si>
  <si>
    <t>CONCRETAGEM DE CORTINA DE CONTENÇÃO, FCK 35,0 MPa, ATRAVÉS DE BOMBA   LANÇAMENTO, ADENSAMENTO E ACABAMENTO. AF_07/2019</t>
  </si>
  <si>
    <t>CP0307</t>
  </si>
  <si>
    <t>CONCRETAGEM DE PILARES, FCK = 35 MPA, COM USO DE BOMBA EM EDIFICAÇÃO COM SEÇÃO MÉDIA DE PILARES MENOR OU IGUAL A 0,25 M² - LANÇAMENTO, ADENSAMENTO E ACABAMENTO.</t>
  </si>
  <si>
    <t>CPU SINAPI 92720 MODIFICADA PARA A ESPECIFICAÇÃO DO SERVIÇO</t>
  </si>
  <si>
    <t>CP0308</t>
  </si>
  <si>
    <t>CONCRETAGEM DE VIGAS E LAJES, FCK=35 MPA, PARA LAJES MACIÇAS OU NERVURADAS COM USO DE BOMBA EM EDIFICAÇÃO COM ÁREA MÉDIA DE LAJES MAIOR QUE 20 M² - LANÇAMENTO, ADENSAMENTO E ACABAMENTO.</t>
  </si>
  <si>
    <t>CP0309</t>
  </si>
  <si>
    <t>CONCRETAGEM DE VIGAS E LAJES, FCK=35 MPA, PARA LAJES MACIÇAS OU NERVURADAS COM USO DE BOMBA EM EDIFICAÇÃO COM ÁREA MÉDIA DE LAJES MENOR OU IGUAL A 20 M² - LANÇAMENTO, ADENSAMENTO E ACABAMENTO.</t>
  </si>
  <si>
    <t>CPU SINAPI 92725 MODIFICADA PARA A ESPECIFICAÇÃO DO SERVIÇO</t>
  </si>
  <si>
    <t>06.01</t>
  </si>
  <si>
    <t>06.01.01</t>
  </si>
  <si>
    <t>06.02</t>
  </si>
  <si>
    <t>CP5001</t>
  </si>
  <si>
    <t>SBC CPU 120053 ADAPTADA PARA RECURSOS SINAPI</t>
  </si>
  <si>
    <t xml:space="preserve">OBRA:  </t>
  </si>
  <si>
    <t>FIXAÇÃO DE PLACA DE ISPOR EM JUNTA DE DILATAÇÃO ESTRUTURAL, COM EPS ESP. 20 MM</t>
  </si>
  <si>
    <t>LARGURA</t>
  </si>
  <si>
    <t>S</t>
  </si>
  <si>
    <t>CP1201</t>
  </si>
  <si>
    <t>ESCORAMENTO DE VALA, TIPO CONTÍNUO, COM PROFUNDIDADE DE 3,0 A 4,5 M, LARGURA MAIOR OU IGUAL A 1,5 E MENOR QUE 2,5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</si>
  <si>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</si>
  <si>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</si>
  <si>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</si>
  <si>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</si>
  <si>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</si>
  <si>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</si>
  <si>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FABRICAÇÃO DE FÔRMA PARA PILARES E ESTRUTURAS SIMILARES, EM CHAPA DE MADEIRA COMPENSADA RESINADA, E = 17 MM. AF_09/2020</t>
  </si>
  <si>
    <t>MONTAGEM E DESMONTAGEM DE FÔRMA DE LAJE MACIÇA, PÉ-DIREITO DUPLO, EM CHAPA DE MADEIRA COMPENSADA RESINADA, 2 UTILIZAÇÕES. AF_09/2020</t>
  </si>
  <si>
    <t>MONTAGEM E DESMONTAGEM DE FÔRMA DE LAJE MACIÇA, PÉ-DIREITO SIMPLES, EM CHAPA DE MADEIRA COMPENSADA PLASTIFICADA, 10 UTILIZAÇÕES. AF_09/2020</t>
  </si>
  <si>
    <t>MONTAGEM E DESMONTAGEM DE FÔRMA DE LAJE MACIÇA, PÉ-DIREITO SIMPLES, EM CHAPA DE MADEIRA COMPENSADA RESINADA, 8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</si>
  <si>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</si>
  <si>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8 UTILIZAÇÕES. AF_09/2020</t>
  </si>
  <si>
    <t>PISO CIMENTADO, TRAÇO 1:3 (CIMENTO E AREIA), ACABAMENTO RÚSTICO, ESPESSURA 3,0 CM, PREPARO MECÂNICO DA ARGAMASSA. AF_09/2020</t>
  </si>
  <si>
    <t>PREPARO DE FUNDO DE VALA COM LARGURA MAIOR OU IGUAL A 1,5 M E MENOR QUE 2,5 M (ACERTO DO SOLO NATURAL).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</si>
  <si>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</si>
  <si>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</si>
  <si>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</si>
  <si>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BRITA, LANÇAMENTO MANUAL. AF_08/2020</t>
  </si>
  <si>
    <t>PREPARO DE FUNDO DE VALA COM LARGURA MENOR QUE 1,5 M, COM CAMADA DE BRITA, LANÇAMENTO MECANIZADO. AF_08/2020</t>
  </si>
  <si>
    <t>QUADRO DE MEDIÇÃO GERAL DE ENERGIA PARA 1 MEDIDOR DE SOBREPOR - FORNECIMENTO E INSTALAÇÃO. AF_10/2020</t>
  </si>
  <si>
    <t>CADEADO SIMPLES, CORPO EM LATAO MACICO, COM LARGURA DE 35 MM E ALTURA DE APROX 30 MM, HASTE CEMENTADA (NAO LONGA), EM ACO TEMPERADO COM DIAMETRO DE APROX 6,0 MM, INCLUINDO 2 CHAVES</t>
  </si>
  <si>
    <t>FERROLHO COM FECHO CHATO E PORTA CADEADO , EM ACO GALVANIZADO / ZINCADO, DE SOBREPOR, COM COMPRIMENTO DE 5", CHAPA COM ESPESSURA MINIMA DE 1,70 MM E LARGURA MINIMA DE 5,00 CM (FECHO REFORCADO)</t>
  </si>
  <si>
    <t>MEIO-FIO OU GUIA DE CONCRETO PRE-MOLDADO, TIPO CHAPEU PARA BOCA DE LOBO,  DIMENSOES *1,20* X 0,15 X 0,30 M</t>
  </si>
  <si>
    <t>PONTALETE *7,5 X 7,5* CM EM PINUS, MISTA OU EQUIVALENTE DA REGIAO - BRUTA</t>
  </si>
  <si>
    <t>SARRAFO *2,5 X 10* CM EM PINUS, MISTA OU EQUIVALENTE DA REGIAO - BRUTA</t>
  </si>
  <si>
    <t>SARRAFO *2,5 X 5* CM EM PINUS, MISTA OU EQUIVALENTE DA REGIAO - BRUTA</t>
  </si>
  <si>
    <t>SARRAFO *2,5 X 7,5* CM EM PINUS, MISTA OU EQUIVALENTE DA REGIAO - BRUTA</t>
  </si>
  <si>
    <t>TABUA *2,5 X 15 CM EM PINUS, MISTA OU EQUIVALENTE DA REGIAO - BRUTA</t>
  </si>
  <si>
    <t>TABUA *2,5 X 30 CM EM PINUS, MISTA OU EQUIVALENTE DA REGIAO - BRUTA</t>
  </si>
  <si>
    <t>VIGA *7,5 X 10* CM EM PINUS, MISTA OU EQUIVALENTE DA REGIAO - BRUTA</t>
  </si>
  <si>
    <t>CP0806</t>
  </si>
  <si>
    <t>SINAPI 73799/1 MODIFICADA</t>
  </si>
  <si>
    <t>CP0807</t>
  </si>
  <si>
    <t>GRELHA EM FERRO FUNDIDO SIMPLES COM REQUADRO, LARG.  20 CM, E = 15 MM, FORNECIDA E ASSENTADA COM ARGAMASSA 1:4 CIMENTO:AREIA.</t>
  </si>
  <si>
    <t>IO0810</t>
  </si>
  <si>
    <t>06.01.02</t>
  </si>
  <si>
    <t>06.01.02.01</t>
  </si>
  <si>
    <t>DEMOLIÇÕES</t>
  </si>
  <si>
    <t>SERVIÇOS TÉCNICOS PROFISSIONAIS</t>
  </si>
  <si>
    <t>ESTUDOS E PROJETO</t>
  </si>
  <si>
    <t>DESPESAS LEGAIS</t>
  </si>
  <si>
    <t>SERVIÇOS COMPLEMENTARES</t>
  </si>
  <si>
    <t>ENSAIOS E TESTES</t>
  </si>
  <si>
    <t>LIMPEZAS DE OBRAS</t>
  </si>
  <si>
    <t>LIMPEZA PERMANENTE</t>
  </si>
  <si>
    <t>LIMPEZA FINAL</t>
  </si>
  <si>
    <t>PROJETOS "AS BUILT" (COMO CONSTRUÍDO)</t>
  </si>
  <si>
    <t>REPROGRAFIA</t>
  </si>
  <si>
    <t>SERVIÇOS AUXILIARES E ADMINISTRATIVOS</t>
  </si>
  <si>
    <t>B.D.I</t>
  </si>
  <si>
    <t>PREÇO UNITÁRIO C/B.D.I.
(R$)</t>
  </si>
  <si>
    <t>CUSTO UNITÁRIO
(R$)</t>
  </si>
  <si>
    <t>PREÇO TOTAL C/B.D.I.
(R$)</t>
  </si>
  <si>
    <t>CPU
CÓDIGO</t>
  </si>
  <si>
    <t>Conforme CPU SINAPI 100324 multiplicado pelo peso específico de 1,65 t/m³</t>
  </si>
  <si>
    <t>DEMOLIÇÕES DE PAVIMENTO ASFÁLTICO</t>
  </si>
  <si>
    <t>REMOÇÃO DE BASE E SUBBASE, COM DEPOSIÇÃO LATERAL DE PARTE DO VOLUME REMOVIDO PARA POSTERIOR REUTILIZAÇÃO NA SUBBASE DA RECUPERAÇÃO DO PAVIMENTO E BOTA-FORA DO EXCEDENTE.</t>
  </si>
  <si>
    <t>Material Asfáltico p/obra</t>
  </si>
  <si>
    <t>Material Asfáltico p/usina</t>
  </si>
  <si>
    <t xml:space="preserve">DATA DO ORÇAMENTO:  </t>
  </si>
  <si>
    <t>EXEMPLO / MODELO</t>
  </si>
  <si>
    <t>BENEFÍCIOS E DESPESAS INDIRETAS</t>
  </si>
  <si>
    <t>Edificações</t>
  </si>
  <si>
    <t>SEM Desoneração da Folha de Pagamento</t>
  </si>
  <si>
    <t>Médio</t>
  </si>
  <si>
    <t>Grupo</t>
  </si>
  <si>
    <t>Componentes</t>
  </si>
  <si>
    <t>Incidências</t>
  </si>
  <si>
    <t>Despesas Indiretas</t>
  </si>
  <si>
    <t>A</t>
  </si>
  <si>
    <t>Administração Central</t>
  </si>
  <si>
    <t>Seguros + Garantias</t>
  </si>
  <si>
    <t>Riscos</t>
  </si>
  <si>
    <t>Despesas Financeiras</t>
  </si>
  <si>
    <t>Subtotal A</t>
  </si>
  <si>
    <t>Tributos</t>
  </si>
  <si>
    <t>B</t>
  </si>
  <si>
    <t>COFINS - Contribuição Para o Financiamento Seguridade Social</t>
  </si>
  <si>
    <t>PIS - Programa de Integração Social</t>
  </si>
  <si>
    <t>ISS - Imposto Sobre Serviços de Qualquer Natureza</t>
  </si>
  <si>
    <t>CPRB - Contribuição Previdenciária Sobre Receita Bruta</t>
  </si>
  <si>
    <t>Subtotal B</t>
  </si>
  <si>
    <t>Bonificação</t>
  </si>
  <si>
    <t>C</t>
  </si>
  <si>
    <t>Lucro</t>
  </si>
  <si>
    <t>Subtotal C</t>
  </si>
  <si>
    <t>BDI</t>
  </si>
  <si>
    <t>FÓRMULA PARA CÁLCULO DO BDI</t>
  </si>
  <si>
    <t>BDI =</t>
  </si>
  <si>
    <t>[(</t>
  </si>
  <si>
    <t>(1 + (AC + S + R + G)) x ((1 + DF) X (1 + L))</t>
  </si>
  <si>
    <t>)</t>
  </si>
  <si>
    <t>]</t>
  </si>
  <si>
    <t>X 100</t>
  </si>
  <si>
    <t>AC</t>
  </si>
  <si>
    <t>Taxa representativa das despesas de rateio da Administração Central</t>
  </si>
  <si>
    <t>Taxa Representativa de Seguros</t>
  </si>
  <si>
    <t>R</t>
  </si>
  <si>
    <t>Taxa Representativa de Riscos</t>
  </si>
  <si>
    <t>G</t>
  </si>
  <si>
    <t>Taxa Representativa de Garantias</t>
  </si>
  <si>
    <t>DF</t>
  </si>
  <si>
    <t>Taxa Representativa de Despesas Financeiras</t>
  </si>
  <si>
    <t>Taxa Representativa de Lucro</t>
  </si>
  <si>
    <t>I</t>
  </si>
  <si>
    <t>Taxa Representativa de Incidência de Impostos</t>
  </si>
  <si>
    <t>Taxa Representativa da Incidência de Impostos é aplicada sobre o preço de venda da prestação do serviço, enquanto que as demais taxas são aplicadas sobre o custo</t>
  </si>
  <si>
    <t>Referência:</t>
  </si>
  <si>
    <t>Relatório do Acordão n° 2.622/2013 - TCU/Plenário</t>
  </si>
  <si>
    <t>Vias Urbanas e Rodovias (incluindo obras de arte especiais)</t>
  </si>
  <si>
    <t>COM Desoneração da Folha de Pagamento</t>
  </si>
  <si>
    <t>1º Quartil</t>
  </si>
  <si>
    <t>3º Quartil</t>
  </si>
  <si>
    <t>Fornecimento de Materiais Betuminosos e Outros Materiais e Equipamentos de Grande Relevância de Natureza Específica</t>
  </si>
  <si>
    <t>Taxa Representativa da Incidênca de Impostos é aplicada sobre o preço de venda da prestação do serviço, enquanto que as demais taxas são aplicadas sobre o custo</t>
  </si>
  <si>
    <t>DEMOLIÇÃO DE CALÇADAS E CICLOVIAS</t>
  </si>
  <si>
    <t>Drenagem Pluvial, Redes de Abastecimento de Água, Coleta de Esgoto e Construções Correlatas</t>
  </si>
  <si>
    <t>Drenagem Pluvial com Pavimentação</t>
  </si>
  <si>
    <t>Paisagismo, Parques e Jardins</t>
  </si>
  <si>
    <t>Obras de Menor Complexidade (Praças, Calçadas, Ciclovias, Meios Fios, Quiosques e Obras Correlatas)</t>
  </si>
  <si>
    <t>Demolição de asfalto no estacionamento.</t>
  </si>
  <si>
    <t>Transporte comercial até 30 km</t>
  </si>
  <si>
    <t>Transporte comercial acima de 30 km</t>
  </si>
  <si>
    <t>01.03.04</t>
  </si>
  <si>
    <t>Demolição de calçadas de concreto</t>
  </si>
  <si>
    <t>DEMOLIÇÃO DE MEIOS-FIOS, CONSIDERANDO-SE O REAPROVEITAMENTO DE 80% COM DEPOSIÇÃO EM LOCAL PRÓXIMO (DMT MÁX.: 1,0 km)</t>
  </si>
  <si>
    <t>Remoção de meios-fios</t>
  </si>
  <si>
    <t>Carga</t>
  </si>
  <si>
    <t>Transporte até 1,0 km para depósito na obra</t>
  </si>
  <si>
    <t>Escavação</t>
  </si>
  <si>
    <t>GERAIS</t>
  </si>
  <si>
    <t xml:space="preserve">TRECHO:  </t>
  </si>
  <si>
    <t>Origem: Centro de Massas da Obra
Destino: Aterro Sanitário Litucera (média das distâncias)</t>
  </si>
  <si>
    <t>RECUPERAÇÃO DE PAVIMENTO ASFÁLTICO APÓS DEMOLIÇÃO PARA SERVIÇOS DIVERSOS, SEGUINDO A MESMA ESPECIFICAÇÃO DA PAVIMENTAÇÃO NOVA, EXCLUINDO-SE FORNECIMENTO, CARGA E TRANSPORTES DE MATERIAIS</t>
  </si>
  <si>
    <t>RECUPERAÇÃO DE CALÇADAS DEMOLIDAS PARA SERVIÇOS DIVERSOS, EXCLUINDO-SE JUNTAS, POLIMENTO, MEIO-FIO, CORDÃO DE CONCRETO E SINALIZAÇÕES E CARGA E TRANSPORTE DE MATERIAIS</t>
  </si>
  <si>
    <t>Lastro de concreto magro</t>
  </si>
  <si>
    <t>CAIXA COM GRELHA SIMPLES RETANGULAR, EM ALVENARIA COM BLOCOS DE CONCRETO, DIMENSÕES INTERNAS: 0,5X1X1 M. AF_12/2020</t>
  </si>
  <si>
    <t>CAIXA ENTERRADA ELÉTRICA RETANGULAR, EM ALVENARIA COM BLOCOS DE CONCRETO, FUNDO COM BRITA, DIMENSÕES INTERNAS: 0,6X0,6X0,6 M. AF_12/2020</t>
  </si>
  <si>
    <t>CAIXA ENTERRADA HIDRÁULICA RETANGULAR EM ALVENARIA COM TIJOLOS CERÂMICOS MACIÇOS, DIMENSÕES INTERNAS: 0,6X0,6X0,6 M PARA REDE DE ESGOTO. AF_12/2020</t>
  </si>
  <si>
    <t>CHAMINÉ CIRCULAR PARA POÇO DE VISITA PARA DRENAGEM, EM CONCRETO PRÉ-MOLDADO, DIÂMETRO INTERNO = 0,6 M. AF_12/2020</t>
  </si>
  <si>
    <t>ESCAVAÇÃO MANUAL DE VALA COM PROFUNDIDADE MENOR OU IGUAL A 1,30 M. AF_02/2021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</si>
  <si>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</si>
  <si>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</si>
  <si>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</si>
  <si>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</si>
  <si>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</si>
  <si>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</si>
  <si>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</si>
  <si>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</si>
  <si>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</si>
  <si>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</si>
  <si>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</si>
  <si>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LASTRO COM MATERIAL GRANULAR (PEDRA BRITADA N.1 E PEDRA BRITADA N.2), APLICADO EM PISOS OU LAJES SOBRE SOLO, ESPESSURA DE *10 CM*. AF_07/2019</t>
  </si>
  <si>
    <t>LASTRO COM MATERIAL GRANULAR (PEDRA BRITADA N.2), APLICADO EM PISOS OU LAJES SOBRE SOLO, ESPESSURA DE *10 CM*. AF_08/2017</t>
  </si>
  <si>
    <t>LASTRO DE CONCRETO MAGRO, APLICADO EM PISOS, LAJES SOBRE SOLO OU RADIERS, ESPESSURA DE 3 CM. AF_07/2016</t>
  </si>
  <si>
    <t>LASTRO DE CONCRETO MAGRO, APLICADO EM PISOS, LAJES SOBRE SOLO OU RADIERS. AF_08/2017</t>
  </si>
  <si>
    <t>SUMIDOURO RETANGULAR, EM ALVENARIA COM TIJOLOS CERÂMICOS MACIÇOS, DIMENSÕES INTERNAS: 0,8 X 1,4 X 3,0 M, ÁREA DE INFILTRAÇÃO: 13,2 M² (PARA 5 CONTRIBUINTES). AF_12/2020</t>
  </si>
  <si>
    <t>TANQUE SÉPTICO RETANGULAR, EM ALVENARIA COM BLOCOS DE CONCRETO, DIMENSÕES INTERNAS: 1,0 X 2,0 X 1,4 M, VOLUME ÚTIL: 2000 L (PARA 5 CONTRIBUINTES). AF_12/2020</t>
  </si>
  <si>
    <t>SINAPI ATUALIZADA</t>
  </si>
  <si>
    <t>CARGA, MANOBRAS E DESCARGA DE MATERIAIS DIVERSOS, COM CAMINHAO CARROCERIA 9T (CARGA E DESCARGA MANUAIS)</t>
  </si>
  <si>
    <t>01.01.02.03</t>
  </si>
  <si>
    <t>01.01.02.04</t>
  </si>
  <si>
    <t>Parcelas</t>
  </si>
  <si>
    <t>Siglas</t>
  </si>
  <si>
    <t>S, G</t>
  </si>
  <si>
    <t>Tributos (I)</t>
  </si>
  <si>
    <t>ISS</t>
  </si>
  <si>
    <t>CPRB</t>
  </si>
  <si>
    <t>(1 - C - P - ISS - CPRB)</t>
  </si>
  <si>
    <t>UNID PROJ</t>
  </si>
  <si>
    <t>02.01.01.01</t>
  </si>
  <si>
    <t>02.03.02.01</t>
  </si>
  <si>
    <t>02.03.02.02</t>
  </si>
  <si>
    <t>02.06.01</t>
  </si>
  <si>
    <t>02.06.01.01</t>
  </si>
  <si>
    <t>02.06.01.02</t>
  </si>
  <si>
    <t>02.06.01.03</t>
  </si>
  <si>
    <t>02.06.01.04</t>
  </si>
  <si>
    <t>02.06.01.05</t>
  </si>
  <si>
    <t>02.06.01.06</t>
  </si>
  <si>
    <t>02.06.01.07</t>
  </si>
  <si>
    <t>02.06.01.08</t>
  </si>
  <si>
    <t>02.06.01.09</t>
  </si>
  <si>
    <t>02.06.01.10</t>
  </si>
  <si>
    <t>02.06.01.11</t>
  </si>
  <si>
    <t>02.06.01.12</t>
  </si>
  <si>
    <t xml:space="preserve">DURAÇÃO DA OBRA: </t>
  </si>
  <si>
    <t>M.O.</t>
  </si>
  <si>
    <t>MAT.</t>
  </si>
  <si>
    <t>EQUIP</t>
  </si>
  <si>
    <t>SERV TERC</t>
  </si>
  <si>
    <t>01.01.01.01.01</t>
  </si>
  <si>
    <t>01.01.01.01.02</t>
  </si>
  <si>
    <t>01.01.01.01.04</t>
  </si>
  <si>
    <t>01.01.01.01.05</t>
  </si>
  <si>
    <t>01.01.01.02.01</t>
  </si>
  <si>
    <t>01.01.01.02.02</t>
  </si>
  <si>
    <t>01.01.01.02.03</t>
  </si>
  <si>
    <t>01.01.01.02.04</t>
  </si>
  <si>
    <t>01.01.01.03</t>
  </si>
  <si>
    <t>01.01.01.03.01</t>
  </si>
  <si>
    <t>01.01.01.03.02</t>
  </si>
  <si>
    <t>01.01.02.01.01</t>
  </si>
  <si>
    <t>01.01.02.01.02</t>
  </si>
  <si>
    <t>01.01.02.02.01</t>
  </si>
  <si>
    <t>01.01.02.04.01</t>
  </si>
  <si>
    <t>01.01.02.05</t>
  </si>
  <si>
    <t>01.01.02.05.01</t>
  </si>
  <si>
    <t>01.01.02.06</t>
  </si>
  <si>
    <t>01.01.02.07</t>
  </si>
  <si>
    <t>01.01.02.04.02</t>
  </si>
  <si>
    <t>01.01.02.03.01</t>
  </si>
  <si>
    <t>01.01.02.06.01</t>
  </si>
  <si>
    <t>01.01.02.06.02</t>
  </si>
  <si>
    <t>01.01.02.07.01</t>
  </si>
  <si>
    <t>01.01.02.07.02</t>
  </si>
  <si>
    <t>01.01.02.07.03</t>
  </si>
  <si>
    <t>01.01.03.03</t>
  </si>
  <si>
    <t>01.01.03.01.01</t>
  </si>
  <si>
    <t>01.01.03.01.02</t>
  </si>
  <si>
    <t>01.01.03.02.01</t>
  </si>
  <si>
    <t>01.01.03.02.02</t>
  </si>
  <si>
    <t>01.01.03.02.03</t>
  </si>
  <si>
    <t>01.01.03.03.01</t>
  </si>
  <si>
    <t>01.01.03.03.02</t>
  </si>
  <si>
    <t>01.01.03.03.03</t>
  </si>
  <si>
    <t>01.01.03.03.04</t>
  </si>
  <si>
    <t>01.01.04.01</t>
  </si>
  <si>
    <t>CONFER</t>
  </si>
  <si>
    <t>PREÇO TOTAL (C/BDI)</t>
  </si>
  <si>
    <t>Encargos Sociais</t>
  </si>
  <si>
    <t>Para elaboração deste orçamento, foram utilizados os encargos sociais do SINAPI para a Unidade da Federação indicada.</t>
  </si>
  <si>
    <t>Observações:</t>
  </si>
  <si>
    <t>01- OS SERVIÇOS DE ADMINISTRAÇÃO LOCAL, INCLUSIVE VIGILÂNCIA, SERÃO REMUNERADOS DE ACORDO COM O AVANÇO FÍSICO DA OBRA</t>
  </si>
  <si>
    <t>CALTINS</t>
  </si>
  <si>
    <t>01.01.01.02.05</t>
  </si>
  <si>
    <t>Transporte de fornecimento de brita em leito natural</t>
  </si>
  <si>
    <t>01.01.01.02.06</t>
  </si>
  <si>
    <t>Carga de brita na jazida</t>
  </si>
  <si>
    <t>CP0310</t>
  </si>
  <si>
    <t>IO0310</t>
  </si>
  <si>
    <t>Gabião colchão</t>
  </si>
  <si>
    <t>CP0321</t>
  </si>
  <si>
    <t>CPU SICRO 0705213 ADAPTADA PARA OS RECURSOS SINAPI</t>
  </si>
  <si>
    <t>CORPO DE BSCC 3,00 X 3,00 M - MOLDADO NO LOCAL - ALTURA DO ATERRO 1,00 A 2,50 M - AREIA E BRITA COMERCIAIS</t>
  </si>
  <si>
    <t>ESTE ITEM ESTÁ ZERADO POIS FOI LANÇADO NA PLANILHA ORÇAMENTÁRIA.</t>
  </si>
  <si>
    <t>01.01.01.01.03</t>
  </si>
  <si>
    <t>01.01.03.01.03</t>
  </si>
  <si>
    <t>01.01.03.01.04</t>
  </si>
  <si>
    <t>Caixa para hidrômetro</t>
  </si>
  <si>
    <t>Hidrômetro</t>
  </si>
  <si>
    <t>01.01.03.02.04</t>
  </si>
  <si>
    <t>Quadro de medição</t>
  </si>
  <si>
    <t>01.01.03.02.05</t>
  </si>
  <si>
    <t>01.01.03.02.06</t>
  </si>
  <si>
    <t>01.01.03.02.07</t>
  </si>
  <si>
    <t>Fornecimento de poste de concreto</t>
  </si>
  <si>
    <t>Transporte de poste de concreto</t>
  </si>
  <si>
    <t>Assentamento de poste de concreto</t>
  </si>
  <si>
    <t>CP9202</t>
  </si>
  <si>
    <t>Carga, manobra e descarga de poste de concreto</t>
  </si>
  <si>
    <t>MEMÓRIA DE LEVANTAMENTO DE CONSUMO DE ENERGIA E ÁGUA</t>
  </si>
  <si>
    <t>CANTEIRO DE OBRAS</t>
  </si>
  <si>
    <t>ITEM:  C02025</t>
  </si>
  <si>
    <t xml:space="preserve">                                                                                                  CONSUMO MENSAL DE ENERGIA ELÉTRICA- ESTIMADO</t>
  </si>
  <si>
    <t>SERVIÇOS DIVERSOS</t>
  </si>
  <si>
    <t xml:space="preserve">QUANT. </t>
  </si>
  <si>
    <t>CONSUMO HORÁRIO  MEDIO DOS EQUIPAMENTOS - KWH</t>
  </si>
  <si>
    <t>CONSUMO MENSAL =176 HORAS / MÊS    ( DIURNO) - 360 HORAS / MÊS (NOTURNO)</t>
  </si>
  <si>
    <t>FATOR DE DEMANDA - ESTIMADO ( DIA E  NOITE)</t>
  </si>
  <si>
    <t>TOTAL DE ENERGIA MENSAL (KW)</t>
  </si>
  <si>
    <t>Chuveiro elétrico</t>
  </si>
  <si>
    <t>Luminária do canteiro VS250W (media)</t>
  </si>
  <si>
    <t>Tomadas potência média</t>
  </si>
  <si>
    <t>Lúminarias barracão - 32W</t>
  </si>
  <si>
    <t>BETONEIRA CAPACIDADE NOMINAL 400 L, CAPACIDADE DE MISTURA 280 L, MOTOR ELETRICO TRIFASICO 220/380 V POTENCIA 2 CV, SEM CARREGADOR</t>
  </si>
  <si>
    <t>BETONEIRA, CAPACIDADE NOMINAL 600 L, CAPACIDADE DE MISTURA 360L, MOTOR ELETRICO TRIFASICO 220/380V, POTENCIA 4CV, EXCLUSO CARREGADOR</t>
  </si>
  <si>
    <t>BOMBA CENTRIFUGA MONOESTAGIO COM MOTOR ELETRICO MONOFASICO, POTENCIA 15 HP, DIAMETRO DO ROTOR *173* MM, HM/Q = *30* MCA / *90* M3/H A *45* MCA / *55* M3/H</t>
  </si>
  <si>
    <t>COMPRESSOR DE AR, VAZAO DE 10 PCM, RESERVATORIO 100 L, PRESSAO DE TRABALHO ENTRE 6,9 E 9,7 BAR, POTENCIA 2 HP, TENSAO 110/220 V (COLETADO CAIXA)</t>
  </si>
  <si>
    <t>MISTURADOR DUPLO HORIZONTAL DE ALTA TURBULENCIA, CAPACIDADE / VOLUME 2 X 500 LITROS, MOTORES ELETRICOS MINIMO 5 CV CADA, PARA NATA CIMENTO, ARGAMASSA E OUTROS</t>
  </si>
  <si>
    <t>USINA MISTURADORA DE SOLOS, DOSADORES TRIPLOS, CALHA VIBRATORIA CAPACIDADE DE 200 A 500 T/H, POTENCIA DE 75 KW</t>
  </si>
  <si>
    <t>TORRE DE ILUMINAÇÃO COM 4 REFLETORES DE 1.000 WATTS (10% - EXPORÁDICO)</t>
  </si>
  <si>
    <t xml:space="preserve">TOTAL MENSAL       </t>
  </si>
  <si>
    <t>ITEM:  920142/035                                                                                                        CONSUMO MENSAL DE ÁGUA E ESGOTO - ESTIMADO</t>
  </si>
  <si>
    <t>SERVIÇOS</t>
  </si>
  <si>
    <t>QUANT. MÊS</t>
  </si>
  <si>
    <t>CONSUMO MEDIO (EM LITROS) POR PESSOAS OU M3</t>
  </si>
  <si>
    <t>CONSUMO MENSAL DE ÁGUA EM LITROS (22 DIAS POR MES)</t>
  </si>
  <si>
    <t>TOTAL DE  ESGOTO -MENSAL (L)</t>
  </si>
  <si>
    <t>TOTAL DE ÁGUA+ ESGOTO -MENSAL (L)</t>
  </si>
  <si>
    <t>CANTEIRO - Pessoas na obra</t>
  </si>
  <si>
    <t>CONCRETO - rodado em obra</t>
  </si>
  <si>
    <t>Fonte: Manual de Custos de Infraestrutura de Transportes, Vol. 8 - Administração Local, DNIT, 2017.</t>
  </si>
  <si>
    <t>TABELA</t>
  </si>
  <si>
    <t>56 - EQUIPES DE LABORATÓRIO DE SOLOS PARA TERRAPLENAGEM</t>
  </si>
  <si>
    <r>
      <t>Q</t>
    </r>
    <r>
      <rPr>
        <b/>
        <vertAlign val="subscript"/>
        <sz val="11"/>
        <color theme="0"/>
        <rFont val="Calibri"/>
        <family val="2"/>
        <scheme val="minor"/>
      </rPr>
      <t>E</t>
    </r>
  </si>
  <si>
    <r>
      <t>E</t>
    </r>
    <r>
      <rPr>
        <b/>
        <vertAlign val="subscript"/>
        <sz val="11"/>
        <color theme="0"/>
        <rFont val="Calibri"/>
        <family val="2"/>
        <scheme val="minor"/>
      </rPr>
      <t>LS</t>
    </r>
  </si>
  <si>
    <t>Compactação de aterros</t>
  </si>
  <si>
    <t>Total de Equipes de Laboratório de Solos para Terraplenagem (Equipe x mês)</t>
  </si>
  <si>
    <t>Total Considerado (Equipe x mês)</t>
  </si>
  <si>
    <t>57 - EQUIPES DE LABORATÓRIO DE SOLOS PARA PAVIMENTAÇÃO</t>
  </si>
  <si>
    <t>NÃO TEM</t>
  </si>
  <si>
    <t>Total de Equipes de Laboratório de Solos para Pavimentação (Equipe x mês)</t>
  </si>
  <si>
    <t>58 - EQUIPES DE LABORATÓRIO DE ASFALTO</t>
  </si>
  <si>
    <t>Tratamento superficial duplo com emulsão</t>
  </si>
  <si>
    <t>Concreto asfáltico usinado a quente - binder</t>
  </si>
  <si>
    <t>Concreto asfáltico usinado a quente - capa rolamento</t>
  </si>
  <si>
    <t>Total de Equipes de Laboratório de Asfalto (Equipe x mês)</t>
  </si>
  <si>
    <t>59 - EQUIPES DE LABORATÓRIO DE CONCRETO</t>
  </si>
  <si>
    <t>CONCRETOS</t>
  </si>
  <si>
    <t>M³</t>
  </si>
  <si>
    <t>Total de Equipes de Laboratório de Concretos para OAE (Equipe x mês)</t>
  </si>
  <si>
    <t>OBRA: CANAL PLANALTO</t>
  </si>
  <si>
    <t>ENDEREÇO: ARAGUAÍNA / TO</t>
  </si>
  <si>
    <t>CLIENTE: TFP</t>
  </si>
  <si>
    <t>FAIXA 0 A 15</t>
  </si>
  <si>
    <t>Até 15,000 m³</t>
  </si>
  <si>
    <t>&gt; 15,00 m³</t>
  </si>
  <si>
    <t>PREÇO/M3-BRK AMBIENTAL - ABRIL A AGO/2020</t>
  </si>
  <si>
    <t>FAIXA ACIMA DE 15 (FATOR DE REDUÇÃO DE R$ 40,19 APLICADO AO TOTAL DA FAIXA).</t>
  </si>
  <si>
    <t>CAIBRO NAO APARELHADO  *7,5 X 7,5* CM, EM MACARANDUBA, ANGELIM OU EQUIVALENTE DA REGIAO -  BRUTA</t>
  </si>
  <si>
    <t>PRANCHAO NAO APARELHADO  *7,5 X 23* CM, EM MACARANDUBA, ANGELIM OU EQUIVALENTE DA REGIAO - BRUTA</t>
  </si>
  <si>
    <t>TABUA APARELHADA *2,5 X 25* CM, EM MACARANDUBA, ANGELIM OU EQUIVALENTE DA REGIAO</t>
  </si>
  <si>
    <t>TABUA APARELHADA *2,5 X 30* CM, EM MACARANDUBA, ANGELIM OU EQUIVALENTE DA REGIAO</t>
  </si>
  <si>
    <t>TABUA NAO APARELHADA *2,5 X 30* CM, EM MACARANDUBA, ANGELIM OU EQUIVALENTE DA REGIAO - BRUTA</t>
  </si>
  <si>
    <t>TARIFA DE CONSUMO KW/H- SINAPI  COD. 14250</t>
  </si>
  <si>
    <t>IO9021</t>
  </si>
  <si>
    <t>BRK Ambiental (site)</t>
  </si>
  <si>
    <t>CP9051</t>
  </si>
  <si>
    <t>CP9052</t>
  </si>
  <si>
    <t>CP9053</t>
  </si>
  <si>
    <t>CP9054</t>
  </si>
  <si>
    <t>IO9031</t>
  </si>
  <si>
    <t>SINAPI INS 14250</t>
  </si>
  <si>
    <t>Planilha calculada</t>
  </si>
  <si>
    <t>CP9061</t>
  </si>
  <si>
    <t>CP9063</t>
  </si>
  <si>
    <t>CP9064</t>
  </si>
  <si>
    <t>CP0311</t>
  </si>
  <si>
    <t>LASTRO COM MATERIAL GRANULAR (PEDRA BRITADA N.1 E PEDRA BRITADA N.2), APLICADO EM PISOS OU LAJES SOBRE SOLO, ESPESSURA DE *10 CM*.</t>
  </si>
  <si>
    <t>CPU SINAPI 100324 MODIFICADA PARA A ESPECIFICAÇÃO DO SERVIÇO</t>
  </si>
  <si>
    <t>INSUMO ZERADO PARA ADEQUAÇÃO À ESPECIFICAÇAO DO SERVIÇO.</t>
  </si>
  <si>
    <t>CP0312</t>
  </si>
  <si>
    <t>CPU MONTADA COM BASE NAS ESPECIFICAÇÕES DO PROJETO</t>
  </si>
  <si>
    <t>CP0322</t>
  </si>
  <si>
    <t>CORPO DE BDCC 3,00 X 3,00 M - MOLDADO NO LOCAL - ALTURA DO ATERRO 1,00 A 2,50 M - AREIA E BRITA COMERCIAIS</t>
  </si>
  <si>
    <t>CPU SICRO 0705301 ADAPTADA PARA OS RECURSOS SINAPI</t>
  </si>
  <si>
    <t>DRENO VERTICAL, COMPOSTO DE TUBO DE PVC EG Ø 50 MM (2") X 0,45 M - TUBO JÁ CONSIDERADO NA EXECUÇÃO DO BUEIRO -, TELA DE POLIAMIDA #40, BRITAS 1 E 2 E MANTA GEOTÊXTIL</t>
  </si>
  <si>
    <t>EQUIP.</t>
  </si>
  <si>
    <t>DIV.</t>
  </si>
  <si>
    <t>CP0323</t>
  </si>
  <si>
    <t>CORPO DE BSCC 2,00 X 3,50 M - MOLDADO NO LOCAL - ALTURA DO ATERRO 1,00 A 2,50 M - AREIA E BRITA COMERCIAIS</t>
  </si>
  <si>
    <t>CPU PROJETO CP0321 COM COEFICIENTES ADAPTADOS PARA AS MEDIDAS DO PROJETO</t>
  </si>
  <si>
    <t>COEFICIENTE AJUSTADO PELO PERÍMETRO DA SEÇÃO DO BUEIRO</t>
  </si>
  <si>
    <t>ESTIMATIVA PELO VOLUME DE CONCRETO DA COMPOSIÇÃO DE REFERÊNCIA</t>
  </si>
  <si>
    <t>CP0324</t>
  </si>
  <si>
    <t>COEFICIENTES AJUSTADO PELA LARGURA DO BUEIRO</t>
  </si>
  <si>
    <t>QUANTIDADE LEVANTADA EM PROJETO</t>
  </si>
  <si>
    <t>CORPO DE BSCC 2,00 X 5,00 M - MOLDADO NO LOCAL - ALTURA DO ATERRO 1,00 A 2,50 M - AREIA E BRITA COMERCIAIS</t>
  </si>
  <si>
    <t>EXISTE NA ATUALIZAÇÃO</t>
  </si>
  <si>
    <t>SRV</t>
  </si>
  <si>
    <t>CPU SINAPI INEXISTENTE NO ÚLTIMO RELATÓRIO PARA ESTE ORÇAMENTO, ATUALIZADA PELOS INSUMOS.</t>
  </si>
  <si>
    <t>04.03.01</t>
  </si>
  <si>
    <t>04.03.01.01</t>
  </si>
  <si>
    <t>04.03.01.02</t>
  </si>
  <si>
    <t>04.03.01.03</t>
  </si>
  <si>
    <t>04.03.01.04</t>
  </si>
  <si>
    <t>ABC-S</t>
  </si>
  <si>
    <t>CPUs UTILIZADAS NAS PLANILHAS</t>
  </si>
  <si>
    <t>CÓD CP REPT</t>
  </si>
  <si>
    <t>CÓD CA REPT</t>
  </si>
  <si>
    <t>PREÇO PARCIAL</t>
  </si>
  <si>
    <t xml:space="preserve">PREÇO TOTAL:  </t>
  </si>
  <si>
    <t>PREÇO UNIT</t>
  </si>
  <si>
    <t>SETOR SOL NASCENTE, CEILÂNDIA/DF</t>
  </si>
  <si>
    <t>ARIA</t>
  </si>
  <si>
    <t>SINAPI-DF</t>
  </si>
  <si>
    <t>FORNECIMENTO DE POSTE DE CONCRETO H= 9 M, 400 KG</t>
  </si>
  <si>
    <t>PLANILHA DE SERVIÇOS, QUANTIDADES, CUSTOS E PREÇOS</t>
  </si>
  <si>
    <t>07.</t>
  </si>
  <si>
    <t>08.</t>
  </si>
  <si>
    <t>09.</t>
  </si>
  <si>
    <t>02- NÃO FOI CONSIDERADO ARREDONDAMENTO DAS CASAS DECIMAIS. OPERAÇÕES DE MULTIPLICAÇÃO COM PONTO FLUTUANTE.</t>
  </si>
  <si>
    <t>05.01.01</t>
  </si>
  <si>
    <t>05.01.02</t>
  </si>
  <si>
    <t>05.01.03</t>
  </si>
  <si>
    <t>05.01.04</t>
  </si>
  <si>
    <t>05.01.05</t>
  </si>
  <si>
    <t>ESCAVAÇÃO POR COMPENSAÇÃO PARA REGULARIZAÇÃO DE GREIDE, CONFORME PROJETOS, COM DEPOSIÇÃO DO MATERIAL ESCAVADO PRÓXIMA DO LOCAL DE ORIGEM (PARA BOTA-FORA, VER ITEM DE BOTA-FORA DO EXCEDENTE)</t>
  </si>
  <si>
    <t>Raspagem mecanizada de terreno</t>
  </si>
  <si>
    <t>Transporte de entulho até 30 km</t>
  </si>
  <si>
    <t>Transporte de entulho acima de 30 km</t>
  </si>
  <si>
    <t>Taxa de descarte de rcc</t>
  </si>
  <si>
    <t>01-CO</t>
  </si>
  <si>
    <t>02-AL</t>
  </si>
  <si>
    <t>03-SP</t>
  </si>
  <si>
    <t>04-DR</t>
  </si>
  <si>
    <t>05-TR</t>
  </si>
  <si>
    <t>RUA 126-VC01</t>
  </si>
  <si>
    <t>RUA 125</t>
  </si>
  <si>
    <t>RUA 124</t>
  </si>
  <si>
    <t>RUA 123</t>
  </si>
  <si>
    <t>RUA 122</t>
  </si>
  <si>
    <t>RUA 121</t>
  </si>
  <si>
    <t>RUA 120</t>
  </si>
  <si>
    <t>RUA 119</t>
  </si>
  <si>
    <t>RUA 118</t>
  </si>
  <si>
    <t>RUA 117</t>
  </si>
  <si>
    <t>RUA 116</t>
  </si>
  <si>
    <t>RUA 115</t>
  </si>
  <si>
    <t>RUA 114</t>
  </si>
  <si>
    <t>RUA 113</t>
  </si>
  <si>
    <t>RUA 112</t>
  </si>
  <si>
    <t>RUA 111</t>
  </si>
  <si>
    <t>RUA 110</t>
  </si>
  <si>
    <t>RUA 109</t>
  </si>
  <si>
    <t>RUA 108</t>
  </si>
  <si>
    <t>RUA 107</t>
  </si>
  <si>
    <t>RUA 106</t>
  </si>
  <si>
    <t>RUA 105</t>
  </si>
  <si>
    <t>RUA 104</t>
  </si>
  <si>
    <t>RUA 103</t>
  </si>
  <si>
    <t>RUA 102</t>
  </si>
  <si>
    <t>RUA 101</t>
  </si>
  <si>
    <t>RUA 100</t>
  </si>
  <si>
    <t>RUA 99</t>
  </si>
  <si>
    <t>RUA 98</t>
  </si>
  <si>
    <t>RUA 97</t>
  </si>
  <si>
    <t>RUA 96</t>
  </si>
  <si>
    <t>RUA 95</t>
  </si>
  <si>
    <t>RUA 94</t>
  </si>
  <si>
    <t>RUA 93</t>
  </si>
  <si>
    <t>RUA 92</t>
  </si>
  <si>
    <t>RUA 91</t>
  </si>
  <si>
    <t>RUA 90</t>
  </si>
  <si>
    <t>RUA 89</t>
  </si>
  <si>
    <t>RUA 88</t>
  </si>
  <si>
    <t>RUA 87</t>
  </si>
  <si>
    <t>RUA 86</t>
  </si>
  <si>
    <t>RUA 85</t>
  </si>
  <si>
    <t>RUA 84</t>
  </si>
  <si>
    <t>RUA 83</t>
  </si>
  <si>
    <t>RUA 82</t>
  </si>
  <si>
    <t>RUA 81</t>
  </si>
  <si>
    <t>RUA 80</t>
  </si>
  <si>
    <t>RUA 79</t>
  </si>
  <si>
    <t>RUA 78</t>
  </si>
  <si>
    <t>RUA 77</t>
  </si>
  <si>
    <t>RUA 76</t>
  </si>
  <si>
    <t>RUA 75</t>
  </si>
  <si>
    <t>RUA 74</t>
  </si>
  <si>
    <t>RUA 73</t>
  </si>
  <si>
    <t>RUA 72</t>
  </si>
  <si>
    <t>RUA 71</t>
  </si>
  <si>
    <t>RUA 70</t>
  </si>
  <si>
    <t>RUA 69</t>
  </si>
  <si>
    <t>RUA 68</t>
  </si>
  <si>
    <t>RUA 67</t>
  </si>
  <si>
    <t>RUA 66</t>
  </si>
  <si>
    <t>RUA 65</t>
  </si>
  <si>
    <t>RUA 64</t>
  </si>
  <si>
    <t>RUA 63</t>
  </si>
  <si>
    <t>RUA 62</t>
  </si>
  <si>
    <t>RUA 61</t>
  </si>
  <si>
    <t>RUA 60</t>
  </si>
  <si>
    <t>RUA 59</t>
  </si>
  <si>
    <t>RUA 58</t>
  </si>
  <si>
    <t>RUA 57</t>
  </si>
  <si>
    <t>RUA 56</t>
  </si>
  <si>
    <t>RUA 55</t>
  </si>
  <si>
    <t>RUA 54</t>
  </si>
  <si>
    <t>RUA 53</t>
  </si>
  <si>
    <t>RUA 52</t>
  </si>
  <si>
    <t>RUA 51</t>
  </si>
  <si>
    <t>RUA 50</t>
  </si>
  <si>
    <t>RUA 49</t>
  </si>
  <si>
    <t>RUA 48</t>
  </si>
  <si>
    <t>RUA 47</t>
  </si>
  <si>
    <t>RUA 46</t>
  </si>
  <si>
    <t>RUA 45</t>
  </si>
  <si>
    <t>RUA 44</t>
  </si>
  <si>
    <t>RUA 43</t>
  </si>
  <si>
    <t>RUA 42</t>
  </si>
  <si>
    <t>RUA 41</t>
  </si>
  <si>
    <t>RUA 40</t>
  </si>
  <si>
    <t>RUA 39</t>
  </si>
  <si>
    <t>RUA 38</t>
  </si>
  <si>
    <t>RUA 37</t>
  </si>
  <si>
    <t>RUA 36</t>
  </si>
  <si>
    <t>RUA 35</t>
  </si>
  <si>
    <t>RUA 34</t>
  </si>
  <si>
    <t>RUA 33</t>
  </si>
  <si>
    <t>RUA 32</t>
  </si>
  <si>
    <t>RUA 31</t>
  </si>
  <si>
    <t>RUA 30</t>
  </si>
  <si>
    <t>RUA 29</t>
  </si>
  <si>
    <t>RUA 28</t>
  </si>
  <si>
    <t>RUA 27</t>
  </si>
  <si>
    <t>RUA 26</t>
  </si>
  <si>
    <t>RUA 25</t>
  </si>
  <si>
    <t>RUA 24</t>
  </si>
  <si>
    <t>RUA 23</t>
  </si>
  <si>
    <t>RUA 22</t>
  </si>
  <si>
    <t>RUA 21</t>
  </si>
  <si>
    <t>RUA 20</t>
  </si>
  <si>
    <t>RUA 19</t>
  </si>
  <si>
    <t>RUA 18</t>
  </si>
  <si>
    <t>RUA 17</t>
  </si>
  <si>
    <t>RUA 16</t>
  </si>
  <si>
    <t>RUA 15</t>
  </si>
  <si>
    <t>RUA 14</t>
  </si>
  <si>
    <t>RUA 13</t>
  </si>
  <si>
    <t>RUA 12</t>
  </si>
  <si>
    <t>RUA 11</t>
  </si>
  <si>
    <t>RUA 10</t>
  </si>
  <si>
    <t>RUA 09</t>
  </si>
  <si>
    <t>RUA 08</t>
  </si>
  <si>
    <t>RUA 07</t>
  </si>
  <si>
    <t>RUA 06</t>
  </si>
  <si>
    <t>RUA 05</t>
  </si>
  <si>
    <t>RUA 04</t>
  </si>
  <si>
    <t>RUA 03</t>
  </si>
  <si>
    <t>RUA 02</t>
  </si>
  <si>
    <t>RUA 01</t>
  </si>
  <si>
    <t>(m2)</t>
  </si>
  <si>
    <t>(m)</t>
  </si>
  <si>
    <t>SUB-BASE</t>
  </si>
  <si>
    <t>ATERRO</t>
  </si>
  <si>
    <t>CORTE</t>
  </si>
  <si>
    <t>LIMPEZA</t>
  </si>
  <si>
    <t>CALÇADA</t>
  </si>
  <si>
    <t>MEIO FIO</t>
  </si>
  <si>
    <t>IMPRIMAÇÃO</t>
  </si>
  <si>
    <t xml:space="preserve">VOLUME </t>
  </si>
  <si>
    <t>FAIXA DE</t>
  </si>
  <si>
    <t>VIAS</t>
  </si>
  <si>
    <t>TERRAPLENAGEM (SEM CORREÇÃO)</t>
  </si>
  <si>
    <t>ESTACIO-NAMENTO</t>
  </si>
  <si>
    <t>QUANTITATIVOS PARA ORÇAMENTO (VOLUMES GEOMÉTRICOS)</t>
  </si>
  <si>
    <t>06.01.03</t>
  </si>
  <si>
    <t>06.01.04</t>
  </si>
  <si>
    <t>06.01.05</t>
  </si>
  <si>
    <t>06.01.06</t>
  </si>
  <si>
    <t>06.01.07</t>
  </si>
  <si>
    <t>06.02.01</t>
  </si>
  <si>
    <t>06.02.02</t>
  </si>
  <si>
    <t>06.02.03</t>
  </si>
  <si>
    <t>06.03</t>
  </si>
  <si>
    <t>06.03.01</t>
  </si>
  <si>
    <t>06.03.02</t>
  </si>
  <si>
    <t>08.01</t>
  </si>
  <si>
    <t>08.01.01</t>
  </si>
  <si>
    <t>08.02</t>
  </si>
  <si>
    <t>08.02.01</t>
  </si>
  <si>
    <t>08.02.01.01</t>
  </si>
  <si>
    <t>08.02.02</t>
  </si>
  <si>
    <t>08.02.02.01</t>
  </si>
  <si>
    <t>08.02.02.02</t>
  </si>
  <si>
    <t>08.02.02.03</t>
  </si>
  <si>
    <t>05.02.01</t>
  </si>
  <si>
    <t>05.02.02</t>
  </si>
  <si>
    <t>05.02.03</t>
  </si>
  <si>
    <t>05.02.04</t>
  </si>
  <si>
    <t>05.02.05</t>
  </si>
  <si>
    <t>TRECHO 1</t>
  </si>
  <si>
    <t>05.03.01</t>
  </si>
  <si>
    <t>05.03.02</t>
  </si>
  <si>
    <t>05.03.03</t>
  </si>
  <si>
    <t>LIMPEZA DE FAIXA PARA IMPLANTAÇÃO DE PISTA</t>
  </si>
  <si>
    <t>PINTURA CONTÍNUA (m²)</t>
  </si>
  <si>
    <t>TOTAL ÁREA PINTURA BRANCA (m²)</t>
  </si>
  <si>
    <t>PINTURA ZEBRADA (m²)</t>
  </si>
  <si>
    <t xml:space="preserve">TOTAL ÁREA PINTURA AMARELA (m²) </t>
  </si>
  <si>
    <t>LFO-2_LINHA DE MARCAÇÃO DE FLUXOS OPOSTOS TRACEJADA AMARELA - L=0.10 m</t>
  </si>
  <si>
    <t>LFO-1_LINHA DE MARCAÇÃO DE FLUXOS OPOSTOS CONTÍNUA AMARELA - L=0.10 m</t>
  </si>
  <si>
    <t>LRE_LINHA DE RETENÇÃO BRANCA - L=0.30 m</t>
  </si>
  <si>
    <t>LEGENDA PARE BRANCA - A=2.65 m²</t>
  </si>
  <si>
    <t>LBO_LINHA DE BORDO BRANCA - L=0.10 m</t>
  </si>
  <si>
    <t>COMPRIMENTO (m)</t>
  </si>
  <si>
    <t>UNIDADE</t>
  </si>
  <si>
    <t>TOTAL (m²)</t>
  </si>
  <si>
    <t>ESPECIFICAÇÃO</t>
  </si>
  <si>
    <t>QUANTITATIVO SINALIZAÇÃO HORIZONTAL - SOL NASCENTE</t>
  </si>
  <si>
    <t>HASTE SIMPLES</t>
  </si>
  <si>
    <t>PLACAS DE REGULAMENTAÇÃO:</t>
  </si>
  <si>
    <t>ÁREA (m²)</t>
  </si>
  <si>
    <t>TIPO</t>
  </si>
  <si>
    <t>R-19_50</t>
  </si>
  <si>
    <t>R-19_40</t>
  </si>
  <si>
    <t>R-1</t>
  </si>
  <si>
    <t>Área Total</t>
  </si>
  <si>
    <t>Suporte</t>
  </si>
  <si>
    <t>Quantidade</t>
  </si>
  <si>
    <t>Área unitária</t>
  </si>
  <si>
    <t>Placas</t>
  </si>
  <si>
    <t>QUANTITATIVO SINALIZAÇÃO HORIZONTAL -  SOL NASCENTE</t>
  </si>
  <si>
    <t>QUANTITATIVO SINALIZAÇÃO HORIZONTAL - SOL NASCENTE-TR.03</t>
  </si>
  <si>
    <t>QUANTITATIVO SINALIZAÇÃO HORIZONTAL -  SOL NASCENTE - TR.03</t>
  </si>
  <si>
    <t>VIA 51</t>
  </si>
  <si>
    <t>VIA 50</t>
  </si>
  <si>
    <t>VIA 49</t>
  </si>
  <si>
    <t>VIA 48</t>
  </si>
  <si>
    <t>VIA 47</t>
  </si>
  <si>
    <t>VIA 46</t>
  </si>
  <si>
    <t>VIA 45</t>
  </si>
  <si>
    <t>VIA 44</t>
  </si>
  <si>
    <t>VIA 43</t>
  </si>
  <si>
    <t>VIA 42</t>
  </si>
  <si>
    <t>VIA 41</t>
  </si>
  <si>
    <t>VIA 40</t>
  </si>
  <si>
    <t>VIA 39</t>
  </si>
  <si>
    <t>VIA 38</t>
  </si>
  <si>
    <t>VIA 37</t>
  </si>
  <si>
    <t>VIA 36</t>
  </si>
  <si>
    <t>VIA 35</t>
  </si>
  <si>
    <t>VIA 34</t>
  </si>
  <si>
    <t>VIA 33</t>
  </si>
  <si>
    <t>VIA 32</t>
  </si>
  <si>
    <t>VIA 31A</t>
  </si>
  <si>
    <t>VIA 31</t>
  </si>
  <si>
    <t>VIA 30</t>
  </si>
  <si>
    <t>VIA 29</t>
  </si>
  <si>
    <t>VIA 28</t>
  </si>
  <si>
    <t>VIA 27</t>
  </si>
  <si>
    <t>VIA 26</t>
  </si>
  <si>
    <t>VIA 25</t>
  </si>
  <si>
    <t>VIA 24</t>
  </si>
  <si>
    <t>VIA 23</t>
  </si>
  <si>
    <t>VIA 22</t>
  </si>
  <si>
    <t>VIA 21</t>
  </si>
  <si>
    <t>VIA 20</t>
  </si>
  <si>
    <t>VIA 19</t>
  </si>
  <si>
    <t>VIA 18</t>
  </si>
  <si>
    <t>VIA 17</t>
  </si>
  <si>
    <t>VIA 16</t>
  </si>
  <si>
    <t>VIA 15</t>
  </si>
  <si>
    <t>VIA 14</t>
  </si>
  <si>
    <t>VIA 13</t>
  </si>
  <si>
    <t>VIA 12</t>
  </si>
  <si>
    <t>VIA 11</t>
  </si>
  <si>
    <t>VIA 10</t>
  </si>
  <si>
    <t>VIA 09</t>
  </si>
  <si>
    <t>VIA 08</t>
  </si>
  <si>
    <t>VIA 07</t>
  </si>
  <si>
    <t>VIA 06</t>
  </si>
  <si>
    <t>VIA 05</t>
  </si>
  <si>
    <t>VIA 04</t>
  </si>
  <si>
    <t>VIA 03</t>
  </si>
  <si>
    <t>VIA 02</t>
  </si>
  <si>
    <t>VIA 01</t>
  </si>
  <si>
    <t>VIA PRINC.</t>
  </si>
  <si>
    <t>TRECHO 3</t>
  </si>
  <si>
    <t>Origem: ADE Setor de Indústrias de Ceilândia
Destino: Centro de Massas da Obra</t>
  </si>
  <si>
    <t>Origem: Areieiros - Guará
Destino: Centro de Massas da Obra</t>
  </si>
  <si>
    <t>Origem: FERCAL
Destino: Centro de Massas da Obra</t>
  </si>
  <si>
    <t>ABERTURA DE CAIXA DE PAVIMENTAÇÃO</t>
  </si>
  <si>
    <t>06.01.01.01</t>
  </si>
  <si>
    <t>06.01.01.02</t>
  </si>
  <si>
    <t>06.01.01.03</t>
  </si>
  <si>
    <t>06.01.01.04</t>
  </si>
  <si>
    <t>REGULARIZAÇÃO DO SUBLEITO</t>
  </si>
  <si>
    <t>06.02.01.01</t>
  </si>
  <si>
    <t>06.01.03.01</t>
  </si>
  <si>
    <t>Subbase solo laterítico</t>
  </si>
  <si>
    <t>06.01.01.05</t>
  </si>
  <si>
    <t>06.01.04.01</t>
  </si>
  <si>
    <t>06.01.05.01</t>
  </si>
  <si>
    <t>Conforme relatório de pavimentação</t>
  </si>
  <si>
    <t>Transporte dentro da obra.</t>
  </si>
  <si>
    <t>Preço calculado pelo binômio FORNECIMENTO x TRANSPORTE, considerando-se o transporte até o canteiro de obras.</t>
  </si>
  <si>
    <t>PINTURA DE LIGAÇÃO</t>
  </si>
  <si>
    <t>06.01.06.01</t>
  </si>
  <si>
    <t>06.01.06.02</t>
  </si>
  <si>
    <t>06.01.06.03</t>
  </si>
  <si>
    <t>IMPRIMAÇÃO LIGANTE</t>
  </si>
  <si>
    <t>PAVIMENTAÇÃO COM CONCRETO BETUMINOSO USINADO A QUENTE - CBUQ</t>
  </si>
  <si>
    <t>06.01.07.01</t>
  </si>
  <si>
    <t>06.01.05.02</t>
  </si>
  <si>
    <t>06.01.05.03</t>
  </si>
  <si>
    <t>Ver planilha de pesos específicos e consumos.</t>
  </si>
  <si>
    <t>06.01.07.02</t>
  </si>
  <si>
    <t>06.01.07.03</t>
  </si>
  <si>
    <t>EXECUÇÃO DE PAVIMENTO COM CBUQ, CONSIDERANDO-SE O TRANSPORTE DO CANTEIRO DE OBRAS PARA A OBRA</t>
  </si>
  <si>
    <t>FORNECIMENTO DE CAP ATÉ O CANTEIRO DE OBRAS</t>
  </si>
  <si>
    <t>FORNECIMENTO DE BRITA PARA CBUQ ATÉ O CANTEIRO DE OBRAS</t>
  </si>
  <si>
    <t>Brita para CBUQ</t>
  </si>
  <si>
    <t>Areia para CBUQ</t>
  </si>
  <si>
    <t>06.02.02.01</t>
  </si>
  <si>
    <t>FORNECIMENTO DE BRITA</t>
  </si>
  <si>
    <t>EXECUÇÃO DO PAVIMENTO INTERTRAVADO</t>
  </si>
  <si>
    <t>06.02.03.01</t>
  </si>
  <si>
    <t>PAVIMENTO INTERTRAVADO</t>
  </si>
  <si>
    <t>Brita para intertravado</t>
  </si>
  <si>
    <t>Conforme CPU SINAPI 92403 multiplicado pelo peso específico de 1,65 t/m³ de material solto</t>
  </si>
  <si>
    <t>MEIOS-FIOS (GUIAS) DE CONCRETO ARMADO</t>
  </si>
  <si>
    <t>FORNECIMENTO</t>
  </si>
  <si>
    <t>ASSENTAMENTO DE MEIOS-FIOS</t>
  </si>
  <si>
    <t>Transporte local</t>
  </si>
  <si>
    <t>Transporte até 30 km</t>
  </si>
  <si>
    <t>Transporte acima de 30 km</t>
  </si>
  <si>
    <t>06.03.01.01</t>
  </si>
  <si>
    <t>06.03.02.01</t>
  </si>
  <si>
    <t>LOCAÇÃO DAS REDES</t>
  </si>
  <si>
    <t>Locação da rede</t>
  </si>
  <si>
    <t>DISSIPADOR A1</t>
  </si>
  <si>
    <t>FUNDAÇÕES PROFUNDAS</t>
  </si>
  <si>
    <t>Estacas raiz Ø 20 cm, profundidade até 10,0 m</t>
  </si>
  <si>
    <t>BLOCOS E BALDRAMES</t>
  </si>
  <si>
    <t>Escavação manual em material de 2ª categoria</t>
  </si>
  <si>
    <t>Regularização de fundo</t>
  </si>
  <si>
    <t>Fôrma</t>
  </si>
  <si>
    <t>Armação</t>
  </si>
  <si>
    <t>Concreto</t>
  </si>
  <si>
    <t>Reaterro manual compactado</t>
  </si>
  <si>
    <t>Espalhamento do excedente da escavação</t>
  </si>
  <si>
    <t>SUPERESTRUTURAS</t>
  </si>
  <si>
    <t>Preparo manual</t>
  </si>
  <si>
    <t>Lastro de concreto magro e= 5 cm</t>
  </si>
  <si>
    <t>Fôrmas</t>
  </si>
  <si>
    <t>MURO GABIÃO E GABIÃO COLCHÃO</t>
  </si>
  <si>
    <t>Dreno com manta geotêxtil</t>
  </si>
  <si>
    <t>Muro gabião</t>
  </si>
  <si>
    <t>FUNDAÇÕES PROFUNDAS - ESTACAS RAIZ</t>
  </si>
  <si>
    <t>Estaca raiz Ø 31 cm, prof. até 10,0 m, com presença de rocha</t>
  </si>
  <si>
    <t>FUNDAÇÕES SUBSUPERFICIAIS - BLOCOS E BALDRAMES</t>
  </si>
  <si>
    <t>Preparo manual de terreno, sem limpeza</t>
  </si>
  <si>
    <t>Fôrma para blocos e baldrames</t>
  </si>
  <si>
    <t>kg</t>
  </si>
  <si>
    <t>Reaterro manual compactado de valas</t>
  </si>
  <si>
    <t>Espalhamento local de excedente de escavação</t>
  </si>
  <si>
    <t>SUPERESTRUTURA</t>
  </si>
  <si>
    <t>DISSIPAÇÃO DE ENERGIA COM MURO GABIÃO E GABIÃO COLCHÃO</t>
  </si>
  <si>
    <t>04.03.01.01.01</t>
  </si>
  <si>
    <t>04.03.01.02.01</t>
  </si>
  <si>
    <t>04.03.01.02.02</t>
  </si>
  <si>
    <t>04.03.01.03.01</t>
  </si>
  <si>
    <t>04.03.01.03.02</t>
  </si>
  <si>
    <t>04.03.01.03.03</t>
  </si>
  <si>
    <t>04.03.01.03.04</t>
  </si>
  <si>
    <t>04.03.01.03.05</t>
  </si>
  <si>
    <t>04.03.01.04.01</t>
  </si>
  <si>
    <t>04.03.01.04.02</t>
  </si>
  <si>
    <t>04.03.01.04.03</t>
  </si>
  <si>
    <t>ESCAVAÇÃO DE VALAS PARA DRENAGEM</t>
  </si>
  <si>
    <t>04.04</t>
  </si>
  <si>
    <t>04.04.01</t>
  </si>
  <si>
    <t>04.04.02</t>
  </si>
  <si>
    <t>ESCORAMENTO DE VALAS</t>
  </si>
  <si>
    <t>04.03.02</t>
  </si>
  <si>
    <t>04.03.02.01</t>
  </si>
  <si>
    <t>04.03.02.01.01</t>
  </si>
  <si>
    <t>04.03.02.02</t>
  </si>
  <si>
    <t>04.03.02.02.01</t>
  </si>
  <si>
    <t>04.03.02.03</t>
  </si>
  <si>
    <t>04.03.02.03.01</t>
  </si>
  <si>
    <t>04.03.02.03.02</t>
  </si>
  <si>
    <t>04.03.02.03.03</t>
  </si>
  <si>
    <t>04.03.02.03.04</t>
  </si>
  <si>
    <t>04.03.02.03.05</t>
  </si>
  <si>
    <t>04.03.02.04</t>
  </si>
  <si>
    <t>04.03.02.04.01</t>
  </si>
  <si>
    <t>04.03.02.04.02</t>
  </si>
  <si>
    <t>04.03.02.04.03</t>
  </si>
  <si>
    <t>Preparo de fundo de vala</t>
  </si>
  <si>
    <t>Transporte dentro da obra</t>
  </si>
  <si>
    <t>PREPARO DE FUNDO DE VALA COM BRITA, INCLUSIVE FORNECIMENTO (INCLUSO NO CUSTO UNITÁRIO DO SERVIÇO) E TRANSPORTE</t>
  </si>
  <si>
    <t>ASSENTAMENTO DE TUBOS DE CONCRETO PARA DRENAGEM</t>
  </si>
  <si>
    <t>Carga, manobra e descarga de tubo de concreto Ø &lt;= 300mm</t>
  </si>
  <si>
    <t>Carga, manobra e descarga de tubo de concreto Ø 400 mm</t>
  </si>
  <si>
    <t>Carga, manobra e descarga de tubo de concreto Ø 500 mm</t>
  </si>
  <si>
    <t>Carga, manobra e descarga de tubo de concreto Ø 600 mm</t>
  </si>
  <si>
    <t>Carga, manobra e descarga de tubo de concreto Ø 700 mm</t>
  </si>
  <si>
    <t>Carga, manobra e descarga de tubo de concreto Ø 800 mm</t>
  </si>
  <si>
    <t>Carga, manobra e descarga de tubo de concreto Ø 900 mm</t>
  </si>
  <si>
    <t>Carga, manobra e descarga de tubo de concreto Ø 1000 mm</t>
  </si>
  <si>
    <t>Carga, manobra e descarga de tubo de concreto Ø 1200 mm</t>
  </si>
  <si>
    <t>Assentamento de tubo de concreto Ø 400 mm</t>
  </si>
  <si>
    <t>Assentamento de tubo de concreto Ø 500 mm</t>
  </si>
  <si>
    <t>Assentamento de tubo de concreto Ø 600 mm</t>
  </si>
  <si>
    <t>Assentamento de tubo de concreto Ø 800 mm</t>
  </si>
  <si>
    <t>Assentamento de tubo de concreto Ø 1000 mm</t>
  </si>
  <si>
    <t>Assentamento de tubo de concreto Ø 1200 mm</t>
  </si>
  <si>
    <t>Assentamento de tubo de concreto Ø 1500 mm</t>
  </si>
  <si>
    <t>POÇOS DE VISITA</t>
  </si>
  <si>
    <t>BOCAS DE LOBO</t>
  </si>
  <si>
    <t>06.02.04</t>
  </si>
  <si>
    <t>06.02.04.01</t>
  </si>
  <si>
    <t>09.01</t>
  </si>
  <si>
    <t>09.01.01</t>
  </si>
  <si>
    <t>09.01.02</t>
  </si>
  <si>
    <t>09.02</t>
  </si>
  <si>
    <t>09.02.01</t>
  </si>
  <si>
    <t>09.02.01.01</t>
  </si>
  <si>
    <t>09.02.01.02</t>
  </si>
  <si>
    <t>09.02.02</t>
  </si>
  <si>
    <t>09.02.02.01</t>
  </si>
  <si>
    <t>09.02.02.02</t>
  </si>
  <si>
    <t>09.02.02.03</t>
  </si>
  <si>
    <t>09.02.02.04</t>
  </si>
  <si>
    <t>09.02.02.05</t>
  </si>
  <si>
    <t>GUARDA-CORPOS</t>
  </si>
  <si>
    <t>TABULEIRO</t>
  </si>
  <si>
    <t>GUARDA-RODAS</t>
  </si>
  <si>
    <t>CONSOLES SOB LAJES DE TRANSIÇÃO</t>
  </si>
  <si>
    <t>ARMADURA - Ø 6,3 mm</t>
  </si>
  <si>
    <t>AÇO CA-50</t>
  </si>
  <si>
    <t>ARMADURA - Ø 8,0 mm</t>
  </si>
  <si>
    <t>ARMADURA - Ø 10,0 mm</t>
  </si>
  <si>
    <t>ARMADURA - Ø 12,5 mm</t>
  </si>
  <si>
    <t>ARMADURA - Ø 16,0 mm</t>
  </si>
  <si>
    <t>ARMADURA - Ø 20,0 mm</t>
  </si>
  <si>
    <t>ARMADURA - Ø 25,0 mm</t>
  </si>
  <si>
    <t>07.01</t>
  </si>
  <si>
    <t>Estaca Ø 140 mm</t>
  </si>
  <si>
    <t>07.01.01</t>
  </si>
  <si>
    <t>CP0313</t>
  </si>
  <si>
    <t>FORMAS DE COMPENSADO RESINADO 14 MM - USO GERAL - UTILIZAÇÃO DE 3 VEZES - CONFECÇÃO, INSTALAÇÃO E RETIRADA</t>
  </si>
  <si>
    <t>CPU SICRO 3108005 ADAPTADA PARA OS RECURSOS SINAPI</t>
  </si>
  <si>
    <t>07.01.02</t>
  </si>
  <si>
    <t>07.01.03</t>
  </si>
  <si>
    <t>07.01.04</t>
  </si>
  <si>
    <t>07.01.05</t>
  </si>
  <si>
    <t>Carga do solo escavado</t>
  </si>
  <si>
    <t>Transporte além de 30 km</t>
  </si>
  <si>
    <t>Taxa de descarte de RCC</t>
  </si>
  <si>
    <t xml:space="preserve">Data base dos preços: </t>
  </si>
  <si>
    <t xml:space="preserve">B.D.I. para Serviços: </t>
  </si>
  <si>
    <t xml:space="preserve">B.D.I. para Simples Fornecimento: </t>
  </si>
  <si>
    <t>06.01.01.06</t>
  </si>
  <si>
    <t>Aterro por compensação</t>
  </si>
  <si>
    <t>PAVIMENTAÇÃO ASFÁLTICA - TRÁFEGO MÉDIO</t>
  </si>
  <si>
    <t>06.02.01.02</t>
  </si>
  <si>
    <t>06.02.01.03</t>
  </si>
  <si>
    <t>06.02.01.04</t>
  </si>
  <si>
    <t>06.02.01.05</t>
  </si>
  <si>
    <t>06.02.01.06</t>
  </si>
  <si>
    <t>06.02.05</t>
  </si>
  <si>
    <t>06.02.05.01</t>
  </si>
  <si>
    <t>06.02.05.02</t>
  </si>
  <si>
    <t>06.02.05.03</t>
  </si>
  <si>
    <t>06.02.07</t>
  </si>
  <si>
    <t>06.02.07.01</t>
  </si>
  <si>
    <t>06.02.07.01.01</t>
  </si>
  <si>
    <t>06.02.07.01.02</t>
  </si>
  <si>
    <t>06.02.07.02</t>
  </si>
  <si>
    <t>06.02.07.02.01</t>
  </si>
  <si>
    <t>06.02.07.03</t>
  </si>
  <si>
    <t>06.02.07.03.01</t>
  </si>
  <si>
    <t>06.02.07.03.02</t>
  </si>
  <si>
    <t>06.02.07.03.03</t>
  </si>
  <si>
    <t>06.03.03</t>
  </si>
  <si>
    <t>06.03.03.01</t>
  </si>
  <si>
    <t>06.03.03.02</t>
  </si>
  <si>
    <t>06.03.03.03</t>
  </si>
  <si>
    <t>06.03.04</t>
  </si>
  <si>
    <t>06.03.04.01</t>
  </si>
  <si>
    <t>06.04</t>
  </si>
  <si>
    <t>06.04.01</t>
  </si>
  <si>
    <t>06.04.01.01</t>
  </si>
  <si>
    <t>06.04.01.02</t>
  </si>
  <si>
    <t>06.04.01.03</t>
  </si>
  <si>
    <t>06.04.02</t>
  </si>
  <si>
    <t>06.04.02.01</t>
  </si>
  <si>
    <t>06.04.02.02</t>
  </si>
  <si>
    <t>06.04.02.03</t>
  </si>
  <si>
    <t>PAVIMENTAÇÃO ASFÁLTICA - TRÁFEGO MEIO PESADO</t>
  </si>
  <si>
    <t>EXECUÇÃO DE PAVIMENTO COM CBUQ, CONSIDERANDO-SE O TRANSPORTE DO CANTEIRO DE OBRAS PARA A OBRA (EM DUAS CAMADAS)</t>
  </si>
  <si>
    <t>03.01.05</t>
  </si>
  <si>
    <t>03.02</t>
  </si>
  <si>
    <t>03.02.02</t>
  </si>
  <si>
    <t>03.02.02.01</t>
  </si>
  <si>
    <t>03.02.02.02</t>
  </si>
  <si>
    <t>03.02.02.03</t>
  </si>
  <si>
    <t>03.02.02.04</t>
  </si>
  <si>
    <t>03.02.03</t>
  </si>
  <si>
    <t>03.02.03.01</t>
  </si>
  <si>
    <t>03.02.03.02</t>
  </si>
  <si>
    <t>03.02.03.03</t>
  </si>
  <si>
    <t>03.02.04</t>
  </si>
  <si>
    <t>03.02.04.01</t>
  </si>
  <si>
    <t>03.02.04.02</t>
  </si>
  <si>
    <t>03.02.04.03</t>
  </si>
  <si>
    <t>03.02.04.04</t>
  </si>
  <si>
    <t>03.02.05</t>
  </si>
  <si>
    <t>03.02.05.01</t>
  </si>
  <si>
    <t>03.02.05.02</t>
  </si>
  <si>
    <t>03.02.05.03</t>
  </si>
  <si>
    <t>03.02.05.04</t>
  </si>
  <si>
    <t>03.02.05.05</t>
  </si>
  <si>
    <t>Remoção de entulho</t>
  </si>
  <si>
    <t>03.02.02.05</t>
  </si>
  <si>
    <t>03.02.03.04</t>
  </si>
  <si>
    <t>03.02.04.05</t>
  </si>
  <si>
    <t xml:space="preserve">CANTEIRO DE OBRAS - CONSTRUÇÕES: </t>
  </si>
  <si>
    <t xml:space="preserve">CANTEIRO DE OBRAS - LOCAÇÕES: </t>
  </si>
  <si>
    <t xml:space="preserve">CANTEIRO DE OBRAS - CUTOS MENSAIS: </t>
  </si>
  <si>
    <t>MLQ - DRENAGEM</t>
  </si>
  <si>
    <t>DADOS E CÁLCULOS AUXILIARES</t>
  </si>
  <si>
    <t>TOTAIS DE SERVIÇOS</t>
  </si>
  <si>
    <t>OBRA:</t>
  </si>
  <si>
    <t>Data levant.:</t>
  </si>
  <si>
    <t>DADOS DE PROJETOS</t>
  </si>
  <si>
    <t>DADOS AUXILIARES</t>
  </si>
  <si>
    <t>CÁLCULOS AUXILIARES</t>
  </si>
  <si>
    <t>CÁLCULOS DAS SEÇÕES</t>
  </si>
  <si>
    <t>LIMPEZA INICIAL</t>
  </si>
  <si>
    <t>VOLUME ESCAVAÇÃO TOTAL</t>
  </si>
  <si>
    <t>VOLUME DE ESCAVAÇÃO PELA PROFUNDIDADE MÉDIA E LARGURA</t>
  </si>
  <si>
    <t>ACERTO FUNDO VALA</t>
  </si>
  <si>
    <t>ESCORAMENTO PELA PROFUNDIDADE MÉDIA</t>
  </si>
  <si>
    <t>VOLUME DO BERÇO</t>
  </si>
  <si>
    <t>COMPRIMENTOS TOTAIS DOS TUBOS PELA CLASSIFICAÇÃO E PELO DIÂMETRO (EM MM)</t>
  </si>
  <si>
    <t>DEMOLIÇÃO DE TUBOS (estimativa)</t>
  </si>
  <si>
    <t>CHAMINÉS</t>
  </si>
  <si>
    <t>ANÉIS DE CONCR. (h= 50 cm)</t>
  </si>
  <si>
    <t>ESTRIBOS</t>
  </si>
  <si>
    <t>BOCAS DE LOBO
(SIMPLES)</t>
  </si>
  <si>
    <t>BOCAS DE LOBO
(DUPLAS)</t>
  </si>
  <si>
    <t>BOCAS DE LOBO
(TRIPLAS)</t>
  </si>
  <si>
    <t>CAIXAS DE PASS.
(CC)</t>
  </si>
  <si>
    <t>REAT. MANUAL</t>
  </si>
  <si>
    <t>REATERRO MECANIZ.</t>
  </si>
  <si>
    <t>REDE</t>
  </si>
  <si>
    <t>MONTANTE</t>
  </si>
  <si>
    <t>JUSANTE</t>
  </si>
  <si>
    <t>COMPRIM. ENTRE PVs</t>
  </si>
  <si>
    <t>ESPESS. BERÇO</t>
  </si>
  <si>
    <t>ESPESS. PAREDE DO TUBO</t>
  </si>
  <si>
    <t>RECOBR. TUBO NA GERATRIZ SUPERIOR</t>
  </si>
  <si>
    <t>SUP. LIMP. (offset total 1,0m)</t>
  </si>
  <si>
    <t>PROF. MÉDIA DA VALA</t>
  </si>
  <si>
    <t>INCLIN. DO TALUDE</t>
  </si>
  <si>
    <t>LARGURAS</t>
  </si>
  <si>
    <t>PROF. REAT. MANUAL</t>
  </si>
  <si>
    <t>TUBO</t>
  </si>
  <si>
    <t>ESCAVAÇÃO</t>
  </si>
  <si>
    <t>REATERRO MANUAL</t>
  </si>
  <si>
    <t>REATERRO MECÂNICO</t>
  </si>
  <si>
    <t>TIPO DE TUBO (PS ou PA)</t>
  </si>
  <si>
    <t>TL ou GAL</t>
  </si>
  <si>
    <t>PV / BL / CCS</t>
  </si>
  <si>
    <t>Ø TUBO SAÍDA</t>
  </si>
  <si>
    <t>COTA TERRENO</t>
  </si>
  <si>
    <t>COTA SAÍDA</t>
  </si>
  <si>
    <t>COTA CHEGADA</t>
  </si>
  <si>
    <t>FUNDO</t>
  </si>
  <si>
    <t>BOCA</t>
  </si>
  <si>
    <t>TALUDE
(2 LADOS)</t>
  </si>
  <si>
    <t>INTERNA</t>
  </si>
  <si>
    <t>EXTERNA</t>
  </si>
  <si>
    <t>ÁREA TOTAL DE ESCORAM.</t>
  </si>
  <si>
    <t>PARA OUTRAS VARIANTES</t>
  </si>
  <si>
    <t>LARGURA DO FUNDO</t>
  </si>
  <si>
    <t>Ø 300 a
Ø 600 mm</t>
  </si>
  <si>
    <t>Ø 800 a
Ø 1.500 mm</t>
  </si>
  <si>
    <t>e</t>
  </si>
  <si>
    <t>COMPRIM. CALCUL.</t>
  </si>
  <si>
    <t>COMPRIM. ADOTADO</t>
  </si>
  <si>
    <t>1,5 &lt;= L &lt;= 2,5</t>
  </si>
  <si>
    <t>_</t>
  </si>
  <si>
    <t>mm</t>
  </si>
  <si>
    <t>un ou m</t>
  </si>
  <si>
    <t>Rede</t>
  </si>
  <si>
    <t>TC</t>
  </si>
  <si>
    <t>PROJ-C</t>
  </si>
  <si>
    <t>CP4345</t>
  </si>
  <si>
    <t>TOTAIS (m)</t>
  </si>
  <si>
    <t xml:space="preserve">ÁREA DE DEMOLIÇÃO DE PAVIMENTO:  </t>
  </si>
  <si>
    <t xml:space="preserve">ÁREA LÍQUIDA DE LIMPEZA INICIAL:  </t>
  </si>
  <si>
    <t>ESCORAMENTO PELO TIPO DE DRENO E PELA PROFUNDIDADE</t>
  </si>
  <si>
    <t>TOTAIS DE TUBULAÇÕES POR TIPO E DIÂMETRO</t>
  </si>
  <si>
    <t>POÇOS DE VISITAS POR DIÂMETRO e POR TIPO DE TUBO</t>
  </si>
  <si>
    <t>TOTAIS</t>
  </si>
  <si>
    <t>PROFUNDIDADES E LARGURAS PADRÃO SINAPI</t>
  </si>
  <si>
    <t>Ø</t>
  </si>
  <si>
    <t>Somatória</t>
  </si>
  <si>
    <t>Esta planilha</t>
  </si>
  <si>
    <t>Esta aba</t>
  </si>
  <si>
    <t>ESTA ABA</t>
  </si>
  <si>
    <t>SIMPLES</t>
  </si>
  <si>
    <t>Até 1,5 m</t>
  </si>
  <si>
    <t>De 1,5 a 3,0 m</t>
  </si>
  <si>
    <t>De 3,0 a 4,5 m</t>
  </si>
  <si>
    <t>&gt; que 4,5 m</t>
  </si>
  <si>
    <t>PS</t>
  </si>
  <si>
    <t>CP0392</t>
  </si>
  <si>
    <t>Ø (mm)</t>
  </si>
  <si>
    <t>CP0393</t>
  </si>
  <si>
    <t>CP0394</t>
  </si>
  <si>
    <t>PA-1</t>
  </si>
  <si>
    <t>CP0395</t>
  </si>
  <si>
    <t>CP0396</t>
  </si>
  <si>
    <t>CP0397</t>
  </si>
  <si>
    <t>TL</t>
  </si>
  <si>
    <t>CP0398</t>
  </si>
  <si>
    <t>CP0399</t>
  </si>
  <si>
    <t>SEÇÃO (mm)</t>
  </si>
  <si>
    <t>CP0400</t>
  </si>
  <si>
    <t>DUPLAS</t>
  </si>
  <si>
    <t>PA-2</t>
  </si>
  <si>
    <t>PA-3</t>
  </si>
  <si>
    <t>TRIPLAS</t>
  </si>
  <si>
    <t>PROFUNDIDADES PADRÃO NOVACAP</t>
  </si>
  <si>
    <t>CP0410</t>
  </si>
  <si>
    <t>GAL</t>
  </si>
  <si>
    <t>* Utilizar quando a largura média for maior que 2,5 m ou com profunidades maiores que as do SINAPI</t>
  </si>
  <si>
    <t>CP0411</t>
  </si>
  <si>
    <t>CP0412</t>
  </si>
  <si>
    <t>Até 4 m</t>
  </si>
  <si>
    <t>De 4 a 7 m</t>
  </si>
  <si>
    <t>De 7 a 10 m</t>
  </si>
  <si>
    <t>&gt; que 10 m</t>
  </si>
  <si>
    <t>CP0413</t>
  </si>
  <si>
    <t>CP0414</t>
  </si>
  <si>
    <t>CP0415</t>
  </si>
  <si>
    <t>TOTAL GERAL</t>
  </si>
  <si>
    <t>SOMA PLANILHAS</t>
  </si>
  <si>
    <t>LAJES DE TAMPA PARA PV/CP TÚNEL LINER</t>
  </si>
  <si>
    <t>CHAMINÉS PARA POÇOS DE VISITAS / CAIXA DE PASSAGEM (EXCETO TÚNEL LINER)</t>
  </si>
  <si>
    <t>CHAMINÉ</t>
  </si>
  <si>
    <t>COMPR.</t>
  </si>
  <si>
    <t>PESOS DOS TUBOS DE CONCRETO POR DIÂMETRO E TIPO</t>
  </si>
  <si>
    <t>ANÉIS</t>
  </si>
  <si>
    <t>PESO TOTAL</t>
  </si>
  <si>
    <t>COMPRIMENTO POR ABA</t>
  </si>
  <si>
    <t>PESO</t>
  </si>
  <si>
    <t>TAMPÕES</t>
  </si>
  <si>
    <t>PESO TOTAL DOS TUBOS</t>
  </si>
  <si>
    <t>PREMISSAS PARA ESCAVAÇÕES DE VALAS E DE SISTEMAS DESTRUTIVOS E NÃO DESTRUTIVOS</t>
  </si>
  <si>
    <t>TUBOS DE CONCRETO (TC)</t>
  </si>
  <si>
    <t>Ø tubo</t>
  </si>
  <si>
    <t>E= tubo</t>
  </si>
  <si>
    <t>Fonte dos dados dos tubos:
www.concretubosmt.com.br
www.guaranitubos.com.br
www.jesusdemari.com.br</t>
  </si>
  <si>
    <t>E= bolsa</t>
  </si>
  <si>
    <t>E= lastro</t>
  </si>
  <si>
    <t>Ø Total</t>
  </si>
  <si>
    <t>Peso unitário PS</t>
  </si>
  <si>
    <t>Peso unitário PA1</t>
  </si>
  <si>
    <t>Peso unitário PA2</t>
  </si>
  <si>
    <t>Peso unitário PA3</t>
  </si>
  <si>
    <t>Talude</t>
  </si>
  <si>
    <t xml:space="preserve">Fonte dimensões: </t>
  </si>
  <si>
    <t>Mediana de pesquisas em sites de fabricantes</t>
  </si>
  <si>
    <t>Fontes de pesos:</t>
  </si>
  <si>
    <t>TUNNEL LINER (TL)</t>
  </si>
  <si>
    <t>Ø líquido</t>
  </si>
  <si>
    <t>Esp. osso</t>
  </si>
  <si>
    <t>Esp. revestim.</t>
  </si>
  <si>
    <t>Esp. total parede</t>
  </si>
  <si>
    <t>Ø Aquisição</t>
  </si>
  <si>
    <t>Fonte:</t>
  </si>
  <si>
    <t>ARMCO STACO</t>
  </si>
  <si>
    <t>GALERIA QUADRADA DE CONCRETO ARMADO (GQC)</t>
  </si>
  <si>
    <t>Largura líquida</t>
  </si>
  <si>
    <t>Altura líquida</t>
  </si>
  <si>
    <t>Esp. parede</t>
  </si>
  <si>
    <t>Largura total</t>
  </si>
  <si>
    <t>Altura total</t>
  </si>
  <si>
    <t>Seção líquida</t>
  </si>
  <si>
    <t>Seção total</t>
  </si>
  <si>
    <t>Esp. berço</t>
  </si>
  <si>
    <t>Fonte</t>
  </si>
  <si>
    <t>Projeto / Relatório de Drenagem</t>
  </si>
  <si>
    <t>Ø TUBO</t>
  </si>
  <si>
    <t>SEÇÃO GALERIA</t>
  </si>
  <si>
    <t>PROF. DESCONTAR</t>
  </si>
  <si>
    <t>ANÉIS DE CONCRETO ARMADO</t>
  </si>
  <si>
    <t>Ø ANEL</t>
  </si>
  <si>
    <t>Peso unitário</t>
  </si>
  <si>
    <t>GALERIA QUADRA DE CONCRETO PRÉ-MOLDADO</t>
  </si>
  <si>
    <t>* Adotada a densidade de 2,5 t/m³ de concreto armado.</t>
  </si>
  <si>
    <t>TRECHO:</t>
  </si>
  <si>
    <t>PV1-1</t>
  </si>
  <si>
    <t>PV1-2</t>
  </si>
  <si>
    <t>PV1-3</t>
  </si>
  <si>
    <t>PV1-4</t>
  </si>
  <si>
    <t>PV1-5</t>
  </si>
  <si>
    <t>PV2-1</t>
  </si>
  <si>
    <t>PV3-1</t>
  </si>
  <si>
    <t>PV3-2</t>
  </si>
  <si>
    <t>DISS. B2</t>
  </si>
  <si>
    <t>PV4-1</t>
  </si>
  <si>
    <t>PV5-1</t>
  </si>
  <si>
    <t>PV6-1</t>
  </si>
  <si>
    <t>PV6-2</t>
  </si>
  <si>
    <t>PV6-3</t>
  </si>
  <si>
    <t>PV6-4</t>
  </si>
  <si>
    <t>PV8-1</t>
  </si>
  <si>
    <t>PV8-2</t>
  </si>
  <si>
    <t>PV8-3</t>
  </si>
  <si>
    <t>PV9-1</t>
  </si>
  <si>
    <t>DISS. A1</t>
  </si>
  <si>
    <t>PV10-1</t>
  </si>
  <si>
    <t>PV10-2</t>
  </si>
  <si>
    <t>PV11-1</t>
  </si>
  <si>
    <t>PV11-2</t>
  </si>
  <si>
    <t>PV11-3</t>
  </si>
  <si>
    <t>PV11-4</t>
  </si>
  <si>
    <t>PV12-1</t>
  </si>
  <si>
    <t>PV12-2</t>
  </si>
  <si>
    <t>PV1-6</t>
  </si>
  <si>
    <t>PV1-7</t>
  </si>
  <si>
    <t>PV1-8</t>
  </si>
  <si>
    <t>PV1-9</t>
  </si>
  <si>
    <t>PV1-10</t>
  </si>
  <si>
    <t>PV1-11</t>
  </si>
  <si>
    <t>PV1-12</t>
  </si>
  <si>
    <t>PV1-13</t>
  </si>
  <si>
    <t>PV1-14</t>
  </si>
  <si>
    <t>PV1-15</t>
  </si>
  <si>
    <t>PV1-16</t>
  </si>
  <si>
    <t>PV1-17</t>
  </si>
  <si>
    <t>SUBTOTAIS BACIA 1</t>
  </si>
  <si>
    <t>PV4-2</t>
  </si>
  <si>
    <t>PV5-2</t>
  </si>
  <si>
    <t>PV5-3</t>
  </si>
  <si>
    <t>PV7-1</t>
  </si>
  <si>
    <t>PV7-2</t>
  </si>
  <si>
    <t>PV9-2</t>
  </si>
  <si>
    <t>SUBTOTAIS BACIA 2</t>
  </si>
  <si>
    <t>PV2-2</t>
  </si>
  <si>
    <t>PV3-3</t>
  </si>
  <si>
    <t>PV4-3</t>
  </si>
  <si>
    <t>PV4-4</t>
  </si>
  <si>
    <t>PV4-5</t>
  </si>
  <si>
    <t>PV4-6</t>
  </si>
  <si>
    <t>PV4-7</t>
  </si>
  <si>
    <t>PV4-8</t>
  </si>
  <si>
    <t>PV4-9</t>
  </si>
  <si>
    <t>PV4-10</t>
  </si>
  <si>
    <t>PV4-11</t>
  </si>
  <si>
    <t>PV4-12</t>
  </si>
  <si>
    <t>PV4-13</t>
  </si>
  <si>
    <t>PV4-14</t>
  </si>
  <si>
    <t>PV4-15</t>
  </si>
  <si>
    <t>PV4-16</t>
  </si>
  <si>
    <t>PV4-17</t>
  </si>
  <si>
    <t>PV4-18</t>
  </si>
  <si>
    <t>PV4-19</t>
  </si>
  <si>
    <t>PV7-3</t>
  </si>
  <si>
    <t>PV7-4</t>
  </si>
  <si>
    <t>PV7-5</t>
  </si>
  <si>
    <t>PV9-3</t>
  </si>
  <si>
    <t>PV9-4</t>
  </si>
  <si>
    <t>DISS. VERT.</t>
  </si>
  <si>
    <t>PV-EXIST.</t>
  </si>
  <si>
    <t xml:space="preserve">EXTENSÃO TOTAL DAS VIAS (TRECHO 1):  </t>
  </si>
  <si>
    <t xml:space="preserve">EXTENSÃO TOTAL DAS VIAS (TRECHO 3):  </t>
  </si>
  <si>
    <t xml:space="preserve">EXTENSÃO TOTAL DAS VIAS (TRECHOS 1 e 3):  </t>
  </si>
  <si>
    <t xml:space="preserve">PREÇO TOTAL (TRECHO 1):  </t>
  </si>
  <si>
    <t xml:space="preserve">PREÇO TOTAL (TRECHO 3):  </t>
  </si>
  <si>
    <t xml:space="preserve">PREÇO TOTAL (TRECHOS 1 e 3):  </t>
  </si>
  <si>
    <t xml:space="preserve">PREÇO TOTAL POR METRO DE VIA:  </t>
  </si>
  <si>
    <t>Escavação de vala
P &lt;= 1,5 m
L &lt; 1,5 m</t>
  </si>
  <si>
    <t>Escavação de vala
P &lt;= 1,5 m
1,5 m &lt;= L &lt;= 2,5 m</t>
  </si>
  <si>
    <t>Escavação de vala
1,5 m &lt; P &lt;= 3,0 m
L &lt; 1,5 m</t>
  </si>
  <si>
    <t>Escavação de vala
1,5 m &lt; P &lt;= 3,0 m
1,5 m &lt;= L &lt;= 2,5 m</t>
  </si>
  <si>
    <t>Escavação de vala
3,0 m &lt; P &lt;= 4,5 m
L &lt; 1,5 m</t>
  </si>
  <si>
    <t>Escavação de vala
3,0 m &lt; P &lt;= 4,5 m
1,5 m &lt;= L &lt;= 2,5 m</t>
  </si>
  <si>
    <t>Escavação de vala
4,5 m &lt; P &lt;= 6,0 m
L &lt; 1,5 m</t>
  </si>
  <si>
    <t>Escavação de vala
4,5 m &lt; P &lt;= 6,0 m
1,5 m &lt;= L &lt;= 2,5 m</t>
  </si>
  <si>
    <t>04.04.03</t>
  </si>
  <si>
    <t>04.04.04</t>
  </si>
  <si>
    <t>04.04.05</t>
  </si>
  <si>
    <t>04.04.06</t>
  </si>
  <si>
    <t>04.04.07</t>
  </si>
  <si>
    <t>04.04.08</t>
  </si>
  <si>
    <t>Escavação fora dos parâmetros do SINAPI</t>
  </si>
  <si>
    <t>04.04.09</t>
  </si>
  <si>
    <t>ESCAVAÇÕES FORA</t>
  </si>
  <si>
    <t>DO PADRÃO SINAPI</t>
  </si>
  <si>
    <t>Escoramento de vala fora do padrão SINAPI</t>
  </si>
  <si>
    <t>Escoramento de vala
P &lt;= 1,5 m
L &lt; 1,5 m</t>
  </si>
  <si>
    <t>Escoramento de vala
1,5 m &lt; P &lt;= 3,0 m
L &lt; 1,5 m</t>
  </si>
  <si>
    <t>Escoramento de vala
3,0 m &lt; P &lt;= 4,5 m
L &lt; 1,5 m</t>
  </si>
  <si>
    <t>Escoramento de vala
P &lt;= 1,5 m
1,5 &lt;= L &lt; 2,5 m</t>
  </si>
  <si>
    <t>Escoramento de vala
1,5 m &lt; P &lt;= 3,0 m
1,5 &lt;= L &lt; 2,5 m</t>
  </si>
  <si>
    <t>Escoramento de vala
3,0 m &lt; P &lt;= 4,5 m
1,5 &lt;= L &lt; 2,5 m</t>
  </si>
  <si>
    <t>ESCORAMENTO DESCONTÍNUO, COM PRANCHÕES ESPAÇAMENTO DE 2,0 M, INCLUSIVE DESMONTAGEM (5 REAPROVEITAMENTOS), VALAS PROFUNDIDADE DE 4,0 A 7,0 M, PARA BUEIROS Ø DE 800 A 1500 MM</t>
  </si>
  <si>
    <t>NOVACAP CPU 4345 ADAPTADA PARA RECURSOS SINAPI</t>
  </si>
  <si>
    <t>CP0351</t>
  </si>
  <si>
    <t>CP0352</t>
  </si>
  <si>
    <t>CP0353</t>
  </si>
  <si>
    <t>CP0354</t>
  </si>
  <si>
    <t>CP0355</t>
  </si>
  <si>
    <t>CP0356</t>
  </si>
  <si>
    <t>CP0357</t>
  </si>
  <si>
    <t>CP0358</t>
  </si>
  <si>
    <t>CP0359</t>
  </si>
  <si>
    <t>CP0360</t>
  </si>
  <si>
    <t>CP0361</t>
  </si>
  <si>
    <t>CP0362</t>
  </si>
  <si>
    <t>CP0363</t>
  </si>
  <si>
    <t>CP0364</t>
  </si>
  <si>
    <t>CP0365</t>
  </si>
  <si>
    <t>CP0366</t>
  </si>
  <si>
    <t>CP0367</t>
  </si>
  <si>
    <t>CP0368</t>
  </si>
  <si>
    <t>FORNECIMENTO DE TUBO DE CONCRETO Ø 400 MM - PS</t>
  </si>
  <si>
    <t>FORNECIMENTO DE TUBO DE CONCRETO Ø 600 MM - PA-3</t>
  </si>
  <si>
    <t>FORNECIMENTO DE TUBO DE CONCRETO Ø 600 MM - PA-2</t>
  </si>
  <si>
    <t>FORNECIMENTO DE TUBO DE CONCRETO Ø 600 MM - PA-1</t>
  </si>
  <si>
    <t>FORNECIMENTO DE TUBO DE CONCRETO Ø 600 MM - PS</t>
  </si>
  <si>
    <t>FORNECIMENTO DE TUBO DE CONCRETO Ø 800 MM - PA-1</t>
  </si>
  <si>
    <t>FORNECIMENTO DE TUBO DE CONCRETO Ø 800 MM - PA-2</t>
  </si>
  <si>
    <t>FORNECIMENTO DE TUBO DE CONCRETO Ø 800 MM - PA-3</t>
  </si>
  <si>
    <t>FORNECIMENTO DE TUBO DE CONCRETO Ø 1000 MM - PA-3</t>
  </si>
  <si>
    <t>FORNECIMENTO DE TUBO DE CONCRETO Ø 1000 MM - PA-2</t>
  </si>
  <si>
    <t>FORNECIMENTO DE TUBO DE CONCRETO Ø 1000 MM - PA-1</t>
  </si>
  <si>
    <t>FORNECIMENTO DE TUBO DE CONCRETO Ø 1200 MM - PA-1</t>
  </si>
  <si>
    <t>FORNECIMENTO DE TUBO DE CONCRETO Ø 1200 MM - PA-2</t>
  </si>
  <si>
    <t>FORNECIMENTO DE TUBO DE CONCRETO Ø 1200 MM - PA-3</t>
  </si>
  <si>
    <t>FORNECIMENTO DE TUBO DE CONCRETO Ø 1500 MM - PA-3</t>
  </si>
  <si>
    <t>FORNECIMENTO DE TUBO DE CONCRETO Ø 1500 MM - PA-2</t>
  </si>
  <si>
    <t>FORNECIMENTO DE TUBO DE CONCRETO Ø 1500 MM - PA-1</t>
  </si>
  <si>
    <t>FORNECIMENTO DE TUBO DE CONCRETO Ø 500 MM - PS</t>
  </si>
  <si>
    <t>Fornecimento de tubo de concreto Ø 400 mm - PS</t>
  </si>
  <si>
    <t>Fornecimento de tubo de concreto Ø 500 mm - PS</t>
  </si>
  <si>
    <t>Fornecimento de tubo de concreto Ø 600 mm - PS</t>
  </si>
  <si>
    <t>Fornecimento de tubo de concreto Ø 600 mm - PA-1</t>
  </si>
  <si>
    <t>Fornecimento de tubo de concreto Ø 800 mm - PA-1</t>
  </si>
  <si>
    <t>Fornecimento de tubo de concreto Ø 1000 mm - PA-1</t>
  </si>
  <si>
    <t>Fornecimento de tubo de concreto Ø 1200 mm - PA-1</t>
  </si>
  <si>
    <t>Fornecimento de tubo de concreto Ø 1500 mm - PA-1</t>
  </si>
  <si>
    <t>Fornecimento de tubo de concreto Ø 600 mm - PA-2</t>
  </si>
  <si>
    <t>Fornecimento de tubo de concreto Ø 800 mm - PA-2</t>
  </si>
  <si>
    <t>Fornecimento de tubo de concreto Ø 1000 mm - PA-2</t>
  </si>
  <si>
    <t>Fornecimento de tubo de concreto Ø 1200 mm - PA-2</t>
  </si>
  <si>
    <t>Fornecimento de tubo de concreto Ø 1500 mm - PA-2</t>
  </si>
  <si>
    <t>Fornecimento de tubo de concreto Ø 600 mm - PA-3</t>
  </si>
  <si>
    <t>Fornecimento de tubo de concreto Ø 800 mm - PA-3</t>
  </si>
  <si>
    <t>Fornecimento de tubo de concreto Ø 1000 mm - PA-3</t>
  </si>
  <si>
    <t>Fornecimento de tubo de concreto Ø 1200 mm - PA-3</t>
  </si>
  <si>
    <t>Fornecimento de tubo de concreto Ø 1500 mm - PA-3</t>
  </si>
  <si>
    <t>CP0381</t>
  </si>
  <si>
    <t>NOVACAP DESENHO 150/018.1</t>
  </si>
  <si>
    <t>CP0390</t>
  </si>
  <si>
    <t>CONSIDERADA A DMT DE 2,0 KM.</t>
  </si>
  <si>
    <t>PESO TOTAL DO QUADRO DE FERRO SUBTRAÍDA A QUANTIDADE PRA LAJE DE FUNDO (CP0390)</t>
  </si>
  <si>
    <t>CP0382</t>
  </si>
  <si>
    <t>NOVACAP DESENHO 150/397</t>
  </si>
  <si>
    <t>CP0383</t>
  </si>
  <si>
    <t>NOVACAP DESENHO 150/004</t>
  </si>
  <si>
    <t>QUANTIDADES DE PROJETO ACRESCIDAS DE 10% PARA PERDAS</t>
  </si>
  <si>
    <t>CP0384</t>
  </si>
  <si>
    <t>NOVACAP DESENHO 150/05</t>
  </si>
  <si>
    <t>CP0385</t>
  </si>
  <si>
    <t>NOVACAP DESENHO 150/6</t>
  </si>
  <si>
    <t>FABRICAÇÃO DE TAMPÃO DE CONCRETO ARMADO Ø 710 MM, E= 50 MM, PARA POÇO DE VISITA PADRÃO NOVACAP, EXCLUSIVE CARGA, TRANSPORTE E DESCARGA NA CHAMINÉ DO PV (0,0495 t/un)</t>
  </si>
  <si>
    <t>FABRICAÇÃO DE LAJE DE CONCRETO PARA TETO DE POÇO DE VISITA PADRÃO NOVACAP, MEDINDO 1,50 x 1,50 x 0,10 M, EXCLUSIVE CARGA, TRANSPORTE E DESCARGA DA LAJE SOBRE A ALVENARIA DO PV (0,5907 t/un).</t>
  </si>
  <si>
    <t>FABRICAÇÃO DE LAJE DE CONCRETO PARA TETO DE POÇO DE VISITA PADRÃO NOVACAP, MEDINDO 1,10 x 1,10 x 0,10 M, EXCLUSIVE CARGA, TRANSPORTE E DESCARGA DA LAJE SOBRE A ALVENARIA DO PV (0,3177 t/un).</t>
  </si>
  <si>
    <t>FABRICAÇÃO DE LAJE DE CONCRETO PARA FUNDO DE POÇO DE VISITA PADRÃO NOVACAP, MEDINDO 1,50 x 1,50 x 0,15 M, EXCLUSIVE CARGA, TRANSPORTE E DESCARGA DA LAJE NO FUNDO DO PV (0,8860 t/un).</t>
  </si>
  <si>
    <t>FABRICAÇÃO DE LAJE DE CONCRETO PARA FUNDO DE POÇO DE VISITA PADRÃO NOVACAP, MEDINDO 1,10 x 1,10 x 0,12 M, EXCLUSIVE CARGA, TRANSPORTE E DESCARGA DA LAJE NO FUNDO DO PV (0,3812 t/un).</t>
  </si>
  <si>
    <t>Poço de visita para saídas com Ø até 600 mm</t>
  </si>
  <si>
    <t>Poço de visita para saídas com Ø de  800 mm</t>
  </si>
  <si>
    <t>Poço de visita para saídas com Ø de 1000</t>
  </si>
  <si>
    <t>Poço de visita para saídas com Ø de 1200</t>
  </si>
  <si>
    <t>Poço de visita para saídas com Ø de 1500</t>
  </si>
  <si>
    <t>SUBTOTAIS BACIA 3</t>
  </si>
  <si>
    <t>POÇO DE VISITA PADRÃO NOVACAP, PARA REDES DE DRENAGEM COM Ø ATÉ 600 MM (CONF. DES. 150/018.1), ESCAVAÇÃO E REATERRO CONSIDERADOS NA REDE, EXCLUÍDA A CHAMINÉ</t>
  </si>
  <si>
    <t>POÇO DE VISITA PADRÃO NOVACAP, PARA REDES DE DRENAGEM COM Ø  800 MM (CONF. DES. 150/397), ESCAVAÇÃO E REATERRO CONSIDERADOS NA REDE, EXCLUÍDA A CHAMINÉ</t>
  </si>
  <si>
    <t>POÇO DE VISITA PADRÃO NOVACAP, PARA REDES DE DRENAGEM COM Ø 1000 MM (CONF. DES. 150/004), ESCAVAÇÃO E REATERRO CONSIDERADOS NA REDE, EXCLUÍDA A CHAMINÉ</t>
  </si>
  <si>
    <t>POÇO DE VISITA PADRÃO NOVACAP, PARA REDES DE DRENAGEM COM Ø 1200 MM (CONF. DES. 150/05), ESCAVAÇÃO E REATERRO CONSIDERADOS NA REDE, EXCLUÍDA A CHAMINÉ</t>
  </si>
  <si>
    <t>POÇO DE VISITA PADRÃO NOVACAP, PARA REDES DE DRENAGEM COM Ø 1500 MM (CONF. DES. 150/6), ESCAVAÇÃO E REATERRO CONSIDERADOS NA REDE, EXCLUÍDA A CHAMINÉ</t>
  </si>
  <si>
    <t>Chaminé</t>
  </si>
  <si>
    <t>Carga, manobra e descarga de tubo Ø 600 mm</t>
  </si>
  <si>
    <t>FORNECIMENTO DE TUBOS DE CONCRETO PARA DRENAGEM DE ÁGUAS PLUVIAIS</t>
  </si>
  <si>
    <t>POÇOS DE VISITA E CHAMINÉS</t>
  </si>
  <si>
    <t>PV8-4</t>
  </si>
  <si>
    <t>TRINCHEIRA</t>
  </si>
  <si>
    <t>NÃO HÁ</t>
  </si>
  <si>
    <t>MEMÓRIA DE LEVANTAMENTO DE QUANTITATIVOS</t>
  </si>
  <si>
    <t>VOLUME DE DEMOLIÇÃO</t>
  </si>
  <si>
    <t>DEMOLIÇÃO DE DISPOSITIVOS EXISTENTES PARA CHEGADAS NOVAS</t>
  </si>
  <si>
    <t>PV</t>
  </si>
  <si>
    <t>PV11-5</t>
  </si>
  <si>
    <t>PV13-1</t>
  </si>
  <si>
    <t>PV13-2</t>
  </si>
  <si>
    <t>PV13-3</t>
  </si>
  <si>
    <t>PV13-4</t>
  </si>
  <si>
    <t>PV13-5</t>
  </si>
  <si>
    <t>PV13-6</t>
  </si>
  <si>
    <t>PV13-7</t>
  </si>
  <si>
    <t>PV13-8</t>
  </si>
  <si>
    <t>CANAL</t>
  </si>
  <si>
    <t>PV14-1</t>
  </si>
  <si>
    <t>PV14-2</t>
  </si>
  <si>
    <t>PV14-3</t>
  </si>
  <si>
    <t>PV15-1</t>
  </si>
  <si>
    <t>PV16-1</t>
  </si>
  <si>
    <t>PV16-2</t>
  </si>
  <si>
    <t>PV16-3</t>
  </si>
  <si>
    <t># REDE</t>
  </si>
  <si>
    <t># SUB-BACIA</t>
  </si>
  <si>
    <t>DENSIDADE</t>
  </si>
  <si>
    <t>PESO UNIT.</t>
  </si>
  <si>
    <t>CARGA TOTAL</t>
  </si>
  <si>
    <t>BOCA DE LOBO</t>
  </si>
  <si>
    <t>PV17-1</t>
  </si>
  <si>
    <t>PV17-2</t>
  </si>
  <si>
    <t>ITEM INSERIDO</t>
  </si>
  <si>
    <t>PV18-1</t>
  </si>
  <si>
    <t>PV19-1</t>
  </si>
  <si>
    <t>PV19-2</t>
  </si>
  <si>
    <t>PV19-3</t>
  </si>
  <si>
    <t>PV19-4</t>
  </si>
  <si>
    <t>PV19-5</t>
  </si>
  <si>
    <t>PV19-6</t>
  </si>
  <si>
    <t>PV19-7</t>
  </si>
  <si>
    <t>PV20-1</t>
  </si>
  <si>
    <t>PV21-1</t>
  </si>
  <si>
    <t>PV22-1</t>
  </si>
  <si>
    <t>PV22-2</t>
  </si>
  <si>
    <t>PV22-3</t>
  </si>
  <si>
    <t>PV23-1</t>
  </si>
  <si>
    <t>PV24-1</t>
  </si>
  <si>
    <t>PV24-2</t>
  </si>
  <si>
    <t>PV25-1</t>
  </si>
  <si>
    <t>EXISTENTE</t>
  </si>
  <si>
    <t>PV5-4</t>
  </si>
  <si>
    <t>PV5-5</t>
  </si>
  <si>
    <t>PV5-6</t>
  </si>
  <si>
    <t>PV6A-1</t>
  </si>
  <si>
    <t>PV6A-2</t>
  </si>
  <si>
    <t>PV6A-3</t>
  </si>
  <si>
    <t>DISPOSITIVO A DEMOLIR</t>
  </si>
  <si>
    <t>SB.1-1</t>
  </si>
  <si>
    <t>SB.1-2</t>
  </si>
  <si>
    <t>SB.1-3</t>
  </si>
  <si>
    <t>SB.1-4</t>
  </si>
  <si>
    <t>SB.1-5</t>
  </si>
  <si>
    <t>SB.1-6</t>
  </si>
  <si>
    <t>SB.1-7</t>
  </si>
  <si>
    <t>SB.1-8</t>
  </si>
  <si>
    <t>SB.1-9</t>
  </si>
  <si>
    <t>SB.1-10</t>
  </si>
  <si>
    <t>SB.1-11</t>
  </si>
  <si>
    <t>SB.1-12</t>
  </si>
  <si>
    <t>SB.2-1</t>
  </si>
  <si>
    <t>SB.2-2</t>
  </si>
  <si>
    <t>SB.2-3</t>
  </si>
  <si>
    <t>SB.2-4</t>
  </si>
  <si>
    <t>SB.2-5</t>
  </si>
  <si>
    <t>SB.2-6</t>
  </si>
  <si>
    <t>SB.2-7</t>
  </si>
  <si>
    <t>SB.2-8</t>
  </si>
  <si>
    <t>SB.2-9</t>
  </si>
  <si>
    <t>SB.3-1</t>
  </si>
  <si>
    <t>SB.3-2</t>
  </si>
  <si>
    <t>SB.3-3</t>
  </si>
  <si>
    <t>SB.3-4</t>
  </si>
  <si>
    <t>SB.3-5</t>
  </si>
  <si>
    <t>SB.3-6</t>
  </si>
  <si>
    <t>SB.3-7</t>
  </si>
  <si>
    <t>SB.3-8</t>
  </si>
  <si>
    <t>SB.3-9</t>
  </si>
  <si>
    <t>SB.3-10</t>
  </si>
  <si>
    <t>SB.4-1</t>
  </si>
  <si>
    <t>SB.4-2</t>
  </si>
  <si>
    <t>SB.4-3</t>
  </si>
  <si>
    <t>SB.4-4</t>
  </si>
  <si>
    <t>SB.4-5</t>
  </si>
  <si>
    <t>SB.4-6</t>
  </si>
  <si>
    <t>SB.4-7</t>
  </si>
  <si>
    <t>SB.4-8</t>
  </si>
  <si>
    <t>SB.4-9</t>
  </si>
  <si>
    <t>SB.4-10</t>
  </si>
  <si>
    <t>SB.4-11</t>
  </si>
  <si>
    <t>SB.4-12</t>
  </si>
  <si>
    <t>SB.4-13</t>
  </si>
  <si>
    <t>SB.4-14</t>
  </si>
  <si>
    <t>SB.4-15</t>
  </si>
  <si>
    <t>SB.4-16</t>
  </si>
  <si>
    <t>SB.4-17</t>
  </si>
  <si>
    <t>SB.4-18</t>
  </si>
  <si>
    <t>SB.4-19</t>
  </si>
  <si>
    <t>SB.4-20</t>
  </si>
  <si>
    <t>SB.4-21</t>
  </si>
  <si>
    <t>SB.4-22</t>
  </si>
  <si>
    <t>SB.4-23</t>
  </si>
  <si>
    <t>SB.4-24</t>
  </si>
  <si>
    <t>SB.4-25</t>
  </si>
  <si>
    <t>SB.5-1</t>
  </si>
  <si>
    <t>SB.5-2</t>
  </si>
  <si>
    <t>SB.5-3</t>
  </si>
  <si>
    <t>SB.5-4</t>
  </si>
  <si>
    <t>SB.5-5</t>
  </si>
  <si>
    <t>SB.5-6</t>
  </si>
  <si>
    <t>SB.5-6A</t>
  </si>
  <si>
    <t>SB.5-7</t>
  </si>
  <si>
    <t>SB.5-8</t>
  </si>
  <si>
    <t>SB.5-9</t>
  </si>
  <si>
    <t>SB.5-10</t>
  </si>
  <si>
    <t>SB.5-11</t>
  </si>
  <si>
    <t>SB.5-12</t>
  </si>
  <si>
    <t>SUBTOTAIS BACIA 4</t>
  </si>
  <si>
    <t>SUBTOTAIS BACIA 5</t>
  </si>
  <si>
    <t>FORA DO PADRÃO SINAPI</t>
  </si>
  <si>
    <t>Reaterro manual de vala de drenagem</t>
  </si>
  <si>
    <t>Reaterro mecanizado de vala de drenagem
L &lt;= 1,5 m
P &lt;= 3,0 m</t>
  </si>
  <si>
    <t>Reaterro mecanizado de vala de drenagem
L &lt;= 1,5 m
3,0 m &lt; P &lt;= 4,5 m</t>
  </si>
  <si>
    <t>Reaterro mecanizado de vala de drenagem
1,5 m &lt; L &lt;= 2,5 m
3,0 m &lt; P &lt;= 4,5 m</t>
  </si>
  <si>
    <t>Reaterro mecanizado de vala de drenagem
L &lt;= 1,5 m
4,5 m &lt; P &lt;= 6,0 m</t>
  </si>
  <si>
    <t>Reaterro mecanizado de vala de drenagem
1,5 m &lt; L &lt;= 2,5 m
4,5 m &lt; P &lt;= 6,0 m</t>
  </si>
  <si>
    <t>Reaterro mecanizado de vala de drenagem
1,5 m &lt; L &lt;= 2,5 m
P &lt;= 1,5 m</t>
  </si>
  <si>
    <t>Reaterro mecanizado de vala de drenagem
1,5 m &lt; L &lt;= 2,5 m
1,5 m &lt; P &lt;= 3,0 m</t>
  </si>
  <si>
    <t>Reaterro mecanizado de vala de drenagem para larguras e profundidades fora do padrão SINAPI</t>
  </si>
  <si>
    <t>Carga, manobra e descarga</t>
  </si>
  <si>
    <t>Transporte do solo escavado na obra</t>
  </si>
  <si>
    <t xml:space="preserve">Extensão de ruas: </t>
  </si>
  <si>
    <t>BOCAS DE LOBO SIMPLES COM MEIO-FIO VAZADO</t>
  </si>
  <si>
    <t>ESCAVAÇÃO COM DEPOSIÇÃO LATERAL E PREPARO DO FUNDO COM LASTRO DE BRITA, INCLUSIVE O TRANSPORTE DA BRITA ATÉ À OBRA</t>
  </si>
  <si>
    <t>Escavação mecanizada para boca de lobo, incluindo vala para tubo de 400 mm de ligação à rede.</t>
  </si>
  <si>
    <t>Lastro de fundo para assentamento do tubo de ligação à rede</t>
  </si>
  <si>
    <t>Transporte de brita até 30 km</t>
  </si>
  <si>
    <t>CONSTRUÇÃO DA BOCA DE LOBO</t>
  </si>
  <si>
    <t>Execução de boca de lobo simples com grelha</t>
  </si>
  <si>
    <t>Reaterro manual de boca de lobo, incluindo do tubo de 400 mm de ligação à rede</t>
  </si>
  <si>
    <t>Regularização do fundo escavado para boca de lobo</t>
  </si>
  <si>
    <t>CP0421</t>
  </si>
  <si>
    <t>CP0422</t>
  </si>
  <si>
    <t>CP0423</t>
  </si>
  <si>
    <t>CONSTRUÇÃO DE BOCA DE LOBO TRIPLA COM MEIO-FIO VAZADO, EXCETO ESCAVAÇÃO E REATERRO</t>
  </si>
  <si>
    <t>LIGAÇÃO DA BOCA DE LOBO AO PV</t>
  </si>
  <si>
    <t>Fornecimento de tubo de concreto Ø 400 mm</t>
  </si>
  <si>
    <t>Carga do excedente da escavação</t>
  </si>
  <si>
    <t>Reaterro manual</t>
  </si>
  <si>
    <t>Reaterro mecanizado</t>
  </si>
  <si>
    <t>Assentamento de tubo de concreto Ø 400</t>
  </si>
  <si>
    <t>BOCAS DE LOBO TRIPLA COM MEIO-FIO VAZADO</t>
  </si>
  <si>
    <t>BOCAS DE LOBO DUPLAS COM MEIO-FIO VAZADO</t>
  </si>
  <si>
    <t>* As DMTs sofreram truncagem no cálculo das médias de modo a evitar décimos que incrementassem o custo da obra desnecessariamente, como 30,1 km, que lançaria 0,1 km no custo de transporte acima de 30 km do SINAPI.</t>
  </si>
  <si>
    <t>Areias (fina, média, grossa)</t>
  </si>
  <si>
    <t>Areias</t>
  </si>
  <si>
    <t>RCC</t>
  </si>
  <si>
    <t>Brita e rachão</t>
  </si>
  <si>
    <t>Origem: COAL
Destino: NOVACAP</t>
  </si>
  <si>
    <t>Origem: NOVACAP
Destino: Centro de Massas da Obra</t>
  </si>
  <si>
    <t>CONSUMO DE ENERGIA PARA O CANTEIRO</t>
  </si>
  <si>
    <t>CONSUMO DE ENERGIA PARA CANTEIRO</t>
  </si>
  <si>
    <t>CONSUMO DE ÁGUA PARA CANTEIRO</t>
  </si>
  <si>
    <t>CONSUMO DE ÁGUA PARA O CANTEIRO</t>
  </si>
  <si>
    <t>REDE DE DRENAGEM, COMPOSTA DE TUBOS E POÇOS DE VISITA, INCLUINDO ESCAVAÇÕES, ESCORAMENTOS, PREPARO DE FUNDO DE VALA E REATERROS</t>
  </si>
  <si>
    <t>04.04.01.01</t>
  </si>
  <si>
    <t>04.04.01.02</t>
  </si>
  <si>
    <t>04.04.01.03</t>
  </si>
  <si>
    <t>04.04.01.04</t>
  </si>
  <si>
    <t>04.04.01.05</t>
  </si>
  <si>
    <t>04.04.02.01</t>
  </si>
  <si>
    <t>04.04.03.01</t>
  </si>
  <si>
    <t>04.04.03.02</t>
  </si>
  <si>
    <t>04.04.03.03</t>
  </si>
  <si>
    <t>04.04.03.04</t>
  </si>
  <si>
    <t>04.04.03.05</t>
  </si>
  <si>
    <t>04.04.04.01</t>
  </si>
  <si>
    <t>04.04.04.02</t>
  </si>
  <si>
    <t>04.04.04.03</t>
  </si>
  <si>
    <t>04.04.04.04</t>
  </si>
  <si>
    <t>04.04.04.05</t>
  </si>
  <si>
    <t>04.04.04.06</t>
  </si>
  <si>
    <t>04.04.04.07</t>
  </si>
  <si>
    <t>04.04.05.01</t>
  </si>
  <si>
    <t>04.04.05.02</t>
  </si>
  <si>
    <t>04.04.05.03</t>
  </si>
  <si>
    <t>04.04.05.04</t>
  </si>
  <si>
    <t>04.04.05.05</t>
  </si>
  <si>
    <t>04.04.06.01</t>
  </si>
  <si>
    <t>04.04.06.02</t>
  </si>
  <si>
    <t>04.04.06.03</t>
  </si>
  <si>
    <t>04.04.06.04</t>
  </si>
  <si>
    <t>04.04.06.05</t>
  </si>
  <si>
    <t>04.04.06.06</t>
  </si>
  <si>
    <t>04.04.06.07</t>
  </si>
  <si>
    <t>04.04.06.08</t>
  </si>
  <si>
    <t>04.04.06.09</t>
  </si>
  <si>
    <t>04.04.06.10</t>
  </si>
  <si>
    <t>04.04.07.01</t>
  </si>
  <si>
    <t>04.04.07.02</t>
  </si>
  <si>
    <t>04.04.07.03</t>
  </si>
  <si>
    <t>04.04.07.04</t>
  </si>
  <si>
    <t>04.04.07.05</t>
  </si>
  <si>
    <t>04.04.07.06</t>
  </si>
  <si>
    <t>04.04.07.07</t>
  </si>
  <si>
    <t>LIMPEZA DA FAIXA DE IMPLANTAÇÃO DA REDE</t>
  </si>
  <si>
    <t>04.04.03.06</t>
  </si>
  <si>
    <t>04.04.03.07</t>
  </si>
  <si>
    <t>04.04.03.08</t>
  </si>
  <si>
    <t>04.04.03.09</t>
  </si>
  <si>
    <t>04.04.06.11</t>
  </si>
  <si>
    <t>04.04.06.12</t>
  </si>
  <si>
    <t>04.04.06.13</t>
  </si>
  <si>
    <t>04.04.06.14</t>
  </si>
  <si>
    <t>04.04.06.15</t>
  </si>
  <si>
    <t>04.04.06.16</t>
  </si>
  <si>
    <t>04.04.06.17</t>
  </si>
  <si>
    <t>04.04.06.18</t>
  </si>
  <si>
    <t>04.04.06.19</t>
  </si>
  <si>
    <t>04.04.06.20</t>
  </si>
  <si>
    <t>04.04.06.21</t>
  </si>
  <si>
    <t>04.04.06.22</t>
  </si>
  <si>
    <t>04.04.06.23</t>
  </si>
  <si>
    <t>04.04.06.24</t>
  </si>
  <si>
    <t>04.04.06.25</t>
  </si>
  <si>
    <t>04.04.06.26</t>
  </si>
  <si>
    <t>04.04.06.27</t>
  </si>
  <si>
    <t>04.04.06.28</t>
  </si>
  <si>
    <t>04.04.06.29</t>
  </si>
  <si>
    <t>04.04.06.30</t>
  </si>
  <si>
    <t>04.04.08.01</t>
  </si>
  <si>
    <t>04.04.08.02</t>
  </si>
  <si>
    <t>04.04.08.03</t>
  </si>
  <si>
    <t>04.04.08.04</t>
  </si>
  <si>
    <t>04.04.08.05</t>
  </si>
  <si>
    <t>04.04.08.06</t>
  </si>
  <si>
    <t>04.04.08.07</t>
  </si>
  <si>
    <t>04.04.08.08</t>
  </si>
  <si>
    <t>04.04.08.09</t>
  </si>
  <si>
    <t>04.04.08.10</t>
  </si>
  <si>
    <t>04.04.09.01</t>
  </si>
  <si>
    <t>04.04.09.02</t>
  </si>
  <si>
    <t>04.04.09.03</t>
  </si>
  <si>
    <t>04.04.09.04</t>
  </si>
  <si>
    <t>04.04.09.05</t>
  </si>
  <si>
    <t>04.04.09.06</t>
  </si>
  <si>
    <t>04.04.09.07</t>
  </si>
  <si>
    <t>04.04.09.08</t>
  </si>
  <si>
    <t>04.04.09.09</t>
  </si>
  <si>
    <t>04.04.09.10</t>
  </si>
  <si>
    <t>04.04.09.11</t>
  </si>
  <si>
    <t>04.04.09.12</t>
  </si>
  <si>
    <t>04.04.09.13</t>
  </si>
  <si>
    <t>04.01.01</t>
  </si>
  <si>
    <t>04.03.03</t>
  </si>
  <si>
    <t>04.03.03.01</t>
  </si>
  <si>
    <t>04.03.03.01.01</t>
  </si>
  <si>
    <t>04.03.03.01.02</t>
  </si>
  <si>
    <t>04.03.03.01.03</t>
  </si>
  <si>
    <t>04.03.03.02</t>
  </si>
  <si>
    <t>04.03.03.02.01</t>
  </si>
  <si>
    <t>04.03.03.02.02</t>
  </si>
  <si>
    <t>04.03.03.03</t>
  </si>
  <si>
    <t>04.03.03.03.01</t>
  </si>
  <si>
    <t>04.03.03.03.02</t>
  </si>
  <si>
    <t>04.03.03.03.03</t>
  </si>
  <si>
    <t>04.03.03.03.04</t>
  </si>
  <si>
    <t>LIMPEZA SUPERFICIAL E BOTA-FORA</t>
  </si>
  <si>
    <t>Escavação mecanizada com trator de esteiras, em material de 1ª catetoria</t>
  </si>
  <si>
    <t>Escavação mecanizada com trator de esteiras, em material de 2ª catetoria</t>
  </si>
  <si>
    <t>Regularização do fundo da lagoa.</t>
  </si>
  <si>
    <t>Aterro dos taludes</t>
  </si>
  <si>
    <t>Plantio de grama</t>
  </si>
  <si>
    <t>Fixação da grama e do geotêxtil</t>
  </si>
  <si>
    <t>Considerados grampos em "U" c/0,5 m cada e 1 grampo a cada 2,25 m²</t>
  </si>
  <si>
    <t>Regularização da base do talude de contenção</t>
  </si>
  <si>
    <t>REGULARIZAÇÃO DO FUNDO DAS LAGOAS</t>
  </si>
  <si>
    <t>ESCAVAÇÃO DAS LAGOAS, CONSIDERANDO-SE A DEPOSIÇÃO PRÓXIMA DAS LAGOAS PARA POSTERIOR REAPROVEITAMENTO NOS TALUDES DE CONTENÇÃO, COM BOTA-FORA DO EXCEDENTE EM ITEM ESPECÍFICO</t>
  </si>
  <si>
    <t>Transporte de britas e rochas até 30 km</t>
  </si>
  <si>
    <t>Transporte de britas e rochas além de 30 km</t>
  </si>
  <si>
    <t>Transporte de britas e rochas dentro da obra</t>
  </si>
  <si>
    <t>Fornecimento de tubo de concreto Ø 600 mm</t>
  </si>
  <si>
    <t>Carga de tubo</t>
  </si>
  <si>
    <t>Transporte de tubo até 30 km</t>
  </si>
  <si>
    <t>Transporte de tubo além de 30 km</t>
  </si>
  <si>
    <t>Transporte de tubo dentro da obra</t>
  </si>
  <si>
    <t>Gabião caixa</t>
  </si>
  <si>
    <t>GRADE PESADA, COM REQUADRO EM PERFIL, FORNECIDA E ASSENTADA COM ARGAMASSA 1:4 DE CIMENTO E AREIA</t>
  </si>
  <si>
    <t>Grade de proteção do tubo</t>
  </si>
  <si>
    <t>Carga de aço para estruturas</t>
  </si>
  <si>
    <t>Transporte de aço para estruturas</t>
  </si>
  <si>
    <t>CONSTRUÇÃO DO DISPOSITIVO</t>
  </si>
  <si>
    <t>Arrasamento de estacas</t>
  </si>
  <si>
    <t>Reaterro</t>
  </si>
  <si>
    <t>FUNDAÇÕES SUBSUPERFICIAIS (BLOCOS E BALDRAMES), CONSIDERADO O ESPALHAMENTO LATERAL DO EXCESSO DA ESCAVAÇÃO APÓS O REATERRO DAS ESTRUTURAS</t>
  </si>
  <si>
    <t>Estaca</t>
  </si>
  <si>
    <t>Lançamento de concreto</t>
  </si>
  <si>
    <t>Fôrmas para blocos</t>
  </si>
  <si>
    <t>Fôrmas para baldrames</t>
  </si>
  <si>
    <t>CONSTRUÇÃO DO DISSIPADOR</t>
  </si>
  <si>
    <t>Geotêxtil</t>
  </si>
  <si>
    <t>LAGOAS DE DENTENÇÃO</t>
  </si>
  <si>
    <t>ESTRUTURAS DE ENTRADA</t>
  </si>
  <si>
    <t>04.01.01.01</t>
  </si>
  <si>
    <t>04.01.01.02</t>
  </si>
  <si>
    <t>04.01.01.03</t>
  </si>
  <si>
    <t>04.01.01.04</t>
  </si>
  <si>
    <t>04.01.01.05</t>
  </si>
  <si>
    <t>04.01.02</t>
  </si>
  <si>
    <t>04.01.02.01</t>
  </si>
  <si>
    <t>04.01.02.02</t>
  </si>
  <si>
    <t>04.01.03</t>
  </si>
  <si>
    <t>04.01.03.01</t>
  </si>
  <si>
    <t>04.01.04</t>
  </si>
  <si>
    <t>04.01.04.01</t>
  </si>
  <si>
    <t>04.01.04.02</t>
  </si>
  <si>
    <t>04.01.05</t>
  </si>
  <si>
    <t>04.01.05.01</t>
  </si>
  <si>
    <t>04.01.05.01.01</t>
  </si>
  <si>
    <t>04.01.05.01.02</t>
  </si>
  <si>
    <t>04.01.05.01.03</t>
  </si>
  <si>
    <t>04.01.05.02</t>
  </si>
  <si>
    <t>04.01.05.02.01</t>
  </si>
  <si>
    <t>04.01.05.02.02</t>
  </si>
  <si>
    <t>04.01.05.02.03</t>
  </si>
  <si>
    <t>04.01.05.02.04</t>
  </si>
  <si>
    <t>04.01.05.02.05</t>
  </si>
  <si>
    <t>04.01.05.02.06</t>
  </si>
  <si>
    <t>04.01.05.02.07</t>
  </si>
  <si>
    <t>04.01.05.02.08</t>
  </si>
  <si>
    <t>04.01.05.02.09</t>
  </si>
  <si>
    <t>04.01.05.02.10</t>
  </si>
  <si>
    <t>04.01.05.02.11</t>
  </si>
  <si>
    <t>04.01.05.02.12</t>
  </si>
  <si>
    <t>04.01.05.02.13</t>
  </si>
  <si>
    <t>04.01.05.03</t>
  </si>
  <si>
    <t>04.01.05.03.01</t>
  </si>
  <si>
    <t>04.01.05.03.02</t>
  </si>
  <si>
    <t>04.01.05.03.03</t>
  </si>
  <si>
    <t>04.01.05.03.04</t>
  </si>
  <si>
    <t>04.01.05.03.05</t>
  </si>
  <si>
    <t>04.01.05.03.06</t>
  </si>
  <si>
    <t>04.01.05.03.07</t>
  </si>
  <si>
    <t>04.01.05.03.08</t>
  </si>
  <si>
    <t>04.01.05.03.11</t>
  </si>
  <si>
    <t>04.01.05.03.12</t>
  </si>
  <si>
    <t>04.01.05.03.13</t>
  </si>
  <si>
    <t>04.01.05.03.09</t>
  </si>
  <si>
    <t>04.01.05.03.10</t>
  </si>
  <si>
    <t>04.01.06</t>
  </si>
  <si>
    <t>04.01.06.01</t>
  </si>
  <si>
    <t>04.01.06.02</t>
  </si>
  <si>
    <t>ESTRUTURAS DE INTERLIGAÇÃO - MOVIMENTOS DE TERRA JÁ CONSIDERADOS NOS ITENS DE ESCAVAÇÃO DAS LAGOAS E ATERROS DAS CONTENÇÕES</t>
  </si>
  <si>
    <t>ESTRUTURAS DE SAÍDA DAS LAGOAS</t>
  </si>
  <si>
    <t>04.01.07</t>
  </si>
  <si>
    <t>04.01.07.01</t>
  </si>
  <si>
    <t>04.01.07.01.01</t>
  </si>
  <si>
    <t>04.01.07.01.02</t>
  </si>
  <si>
    <t>04.01.07.01.03</t>
  </si>
  <si>
    <t>04.01.07.02</t>
  </si>
  <si>
    <t>04.01.07.02.01</t>
  </si>
  <si>
    <t>04.01.07.02.02</t>
  </si>
  <si>
    <t>04.01.07.02.03</t>
  </si>
  <si>
    <t>04.01.07.02.04</t>
  </si>
  <si>
    <t>04.01.07.02.05</t>
  </si>
  <si>
    <t>04.01.07.02.06</t>
  </si>
  <si>
    <t>04.01.07.02.07</t>
  </si>
  <si>
    <t>04.01.07.02.08</t>
  </si>
  <si>
    <t>04.01.07.02.09</t>
  </si>
  <si>
    <t>04.01.07.02.10</t>
  </si>
  <si>
    <t>04.01.07.02.11</t>
  </si>
  <si>
    <t>04.01.07.02.12</t>
  </si>
  <si>
    <t>04.01.07.02.13</t>
  </si>
  <si>
    <t>04.01.07.03</t>
  </si>
  <si>
    <t>04.01.07.03.01</t>
  </si>
  <si>
    <t>04.01.07.03.02</t>
  </si>
  <si>
    <t>04.01.07.03.03</t>
  </si>
  <si>
    <t>04.01.07.03.04</t>
  </si>
  <si>
    <t>04.01.07.03.05</t>
  </si>
  <si>
    <t>04.01.07.03.06</t>
  </si>
  <si>
    <t>04.01.07.03.07</t>
  </si>
  <si>
    <t>04.01.07.03.08</t>
  </si>
  <si>
    <t>04.01.07.03.11</t>
  </si>
  <si>
    <t>04.01.07.03.12</t>
  </si>
  <si>
    <t>04.01.07.03.13</t>
  </si>
  <si>
    <t>04.01.07.03.09</t>
  </si>
  <si>
    <t>04.01.07.03.10</t>
  </si>
  <si>
    <t>CONSTRUÇÃO DA ESTRUTURA DE SAÍDA</t>
  </si>
  <si>
    <t>04.01.05.03.14</t>
  </si>
  <si>
    <t>04.01.07.03.14</t>
  </si>
  <si>
    <t>04.01.07.03.15</t>
  </si>
  <si>
    <t>04.01.07.03.16</t>
  </si>
  <si>
    <t>Fornecimento de tubo de concreto Ø 300 mm</t>
  </si>
  <si>
    <t>CP0350</t>
  </si>
  <si>
    <t>FORNECIMENTO DE TUBO DE CONCRETO Ø 300 MM - PA-2</t>
  </si>
  <si>
    <t>04.01.08</t>
  </si>
  <si>
    <t>04.01.08.01</t>
  </si>
  <si>
    <t>04.01.08.02</t>
  </si>
  <si>
    <t>04.01.08.02.01</t>
  </si>
  <si>
    <t>04.01.08.02.02</t>
  </si>
  <si>
    <t>04.01.08.02.03</t>
  </si>
  <si>
    <t>04.01.08.02.04</t>
  </si>
  <si>
    <t>04.01.08.02.05</t>
  </si>
  <si>
    <t>04.01.08.02.06</t>
  </si>
  <si>
    <t>04.01.08.02.07</t>
  </si>
  <si>
    <t>04.01.08.02.08</t>
  </si>
  <si>
    <t>04.01.08.02.09</t>
  </si>
  <si>
    <t>04.01.08.02.10</t>
  </si>
  <si>
    <t>04.01.08.02.11</t>
  </si>
  <si>
    <t>04.01.08.02.12</t>
  </si>
  <si>
    <t>04.01.08.02.13</t>
  </si>
  <si>
    <t>04.01.08.01.01</t>
  </si>
  <si>
    <t>04.01.08.01.02</t>
  </si>
  <si>
    <t>CONSTRUÇÃO DO CANAL</t>
  </si>
  <si>
    <t>Limpeza manual (capina)</t>
  </si>
  <si>
    <t>PREPARO DA FAIXA DE IMPLANTAÇÃO DO CANAL COM ESPALHAMENTO LATERAL DO MATERIAL CAPINADO</t>
  </si>
  <si>
    <t>04.01.08.03</t>
  </si>
  <si>
    <t>04.01.08.03.01</t>
  </si>
  <si>
    <t>04.01.08.03.02</t>
  </si>
  <si>
    <t>04.01.08.03.03</t>
  </si>
  <si>
    <t>04.01.08.03.04</t>
  </si>
  <si>
    <t>04.01.08.03.05</t>
  </si>
  <si>
    <t>04.01.08.03.06</t>
  </si>
  <si>
    <t>04.01.08.03.07</t>
  </si>
  <si>
    <t>04.01.08.03.08</t>
  </si>
  <si>
    <t>04.01.08.03.09</t>
  </si>
  <si>
    <t>04.01.08.03.10</t>
  </si>
  <si>
    <t>04.01.09</t>
  </si>
  <si>
    <t>04.01.09.01</t>
  </si>
  <si>
    <t>04.01.09.01.01</t>
  </si>
  <si>
    <t>04.01.09.01.02</t>
  </si>
  <si>
    <t>04.01.09.02</t>
  </si>
  <si>
    <t>04.01.09.02.01</t>
  </si>
  <si>
    <t>04.01.09.02.02</t>
  </si>
  <si>
    <t>04.01.09.02.03</t>
  </si>
  <si>
    <t>04.01.09.03</t>
  </si>
  <si>
    <t>04.01.09.03.01</t>
  </si>
  <si>
    <t>04.01.09.03.02</t>
  </si>
  <si>
    <t>04.01.09.03.03</t>
  </si>
  <si>
    <t>04.01.09.03.04</t>
  </si>
  <si>
    <t>04.01.09.03.05</t>
  </si>
  <si>
    <t>04.01.09.03.06</t>
  </si>
  <si>
    <t>04.01.09.03.07</t>
  </si>
  <si>
    <t>04.01.09.03.08</t>
  </si>
  <si>
    <t>04.01.09.03.09</t>
  </si>
  <si>
    <t>04.01.09.03.10</t>
  </si>
  <si>
    <t>04.01.09.03.11</t>
  </si>
  <si>
    <t>04.01.09.03.12</t>
  </si>
  <si>
    <t>04.01.09.03.13</t>
  </si>
  <si>
    <t>04.01.09.04</t>
  </si>
  <si>
    <t>04.01.09.04.01</t>
  </si>
  <si>
    <t>04.01.09.04.02</t>
  </si>
  <si>
    <t>04.01.09.04.03</t>
  </si>
  <si>
    <t>04.01.09.04.04</t>
  </si>
  <si>
    <t>04.01.09.04.05</t>
  </si>
  <si>
    <t>Transporte de brita além de 30 km</t>
  </si>
  <si>
    <t>Transporte de brita dentro da obra</t>
  </si>
  <si>
    <t>Lastro de brita</t>
  </si>
  <si>
    <t>PREPARO DA FAIXA DE IMPLANTAÇÃO DO DISPOSITIVO COM ESPALHAMENTO LATERAL DO MATERIAL CAPINADO</t>
  </si>
  <si>
    <t>04.01.09.04.06</t>
  </si>
  <si>
    <t>04.01.09.04.07</t>
  </si>
  <si>
    <t>04.01.09.04.08</t>
  </si>
  <si>
    <t>04.01.09.04.09</t>
  </si>
  <si>
    <t>04.01.09.04.10</t>
  </si>
  <si>
    <t>04.01.09.04.11</t>
  </si>
  <si>
    <t>04.01.09.04.12</t>
  </si>
  <si>
    <t>04.01.09.04.13</t>
  </si>
  <si>
    <t>04.01.10</t>
  </si>
  <si>
    <t>04.01.10.01</t>
  </si>
  <si>
    <t>04.01.10.01.01</t>
  </si>
  <si>
    <t>04.01.10.02.01</t>
  </si>
  <si>
    <t>SAÍDA DO DISSIPADOR VERTICAL</t>
  </si>
  <si>
    <t>DISPOSITIVO DE AMORTECIMENTO DA SAÍDA DO DISSIPADOR VERTICAL COM GABIÕES</t>
  </si>
  <si>
    <t>04.01.10.02.02</t>
  </si>
  <si>
    <t>04.01.10.02.03</t>
  </si>
  <si>
    <t>04.01.10.02.04</t>
  </si>
  <si>
    <t>04.01.10.02.05</t>
  </si>
  <si>
    <t>04.01.10.01.02</t>
  </si>
  <si>
    <t>04.01.10.03</t>
  </si>
  <si>
    <t>04.01.10.03.01</t>
  </si>
  <si>
    <t>Transporte de rocha até 30 km</t>
  </si>
  <si>
    <t>Transporte de rocha além de 30 km</t>
  </si>
  <si>
    <t>Transporte de rocha dentro da obra</t>
  </si>
  <si>
    <t>04.01.10.03.02</t>
  </si>
  <si>
    <t>04.01.10.03.03</t>
  </si>
  <si>
    <t>04.01.10.03.04</t>
  </si>
  <si>
    <t>04.01.10.03.05</t>
  </si>
  <si>
    <t>04.01.10.03.06</t>
  </si>
  <si>
    <t>MEMÓRIA DE LEVANTAMENTOS DE QUANTITATIVOS DAS LAGOAS DE DETENÇÃO</t>
  </si>
  <si>
    <t xml:space="preserve">LOCALIZAÇÃO: </t>
  </si>
  <si>
    <t>QUANTITATIVOS PARCIAIS</t>
  </si>
  <si>
    <t>LAGOAS 1A e 1B</t>
  </si>
  <si>
    <t>LAGOAS 2A e 2B</t>
  </si>
  <si>
    <t>REFERÊNCIAS</t>
  </si>
  <si>
    <t>Considerados 10% do volume total da lagoa.</t>
  </si>
  <si>
    <t>Considerados 4,485 kg/m conforme CPU 101176.</t>
  </si>
  <si>
    <t>Armação CA-50 Ø 6,3 mm</t>
  </si>
  <si>
    <t>Armação CA-50 Ø 8,0 mm</t>
  </si>
  <si>
    <t>Armação CA-50 Ø 10,0 mm</t>
  </si>
  <si>
    <t>Armação CA-50 Ø 12,5 mm</t>
  </si>
  <si>
    <t>Calculado na planilha orçamentária.</t>
  </si>
  <si>
    <t>Calculado na planilha orçamentária</t>
  </si>
  <si>
    <t>QUANT TOTAL
TRECHO 1</t>
  </si>
  <si>
    <t>QUANT TOTAL
TRECHO _</t>
  </si>
  <si>
    <t>QUANT TOTAL
TRECHO 3</t>
  </si>
  <si>
    <t>04.01.01.06</t>
  </si>
  <si>
    <t>Taludes interno e externo e berma.</t>
  </si>
  <si>
    <t>04.01.05.02.14</t>
  </si>
  <si>
    <t>04.01.05.02.15</t>
  </si>
  <si>
    <t>04.01.05.03.15</t>
  </si>
  <si>
    <t>04.01.05.03.16</t>
  </si>
  <si>
    <t>04.01.07.02.14</t>
  </si>
  <si>
    <t>04.01.07.02.15</t>
  </si>
  <si>
    <t>04.01.08.02.14</t>
  </si>
  <si>
    <t>04.01.08.02.15</t>
  </si>
  <si>
    <t>04.01.09.03.14</t>
  </si>
  <si>
    <t>04.01.09.03.15</t>
  </si>
  <si>
    <t>04.01.09.04.14</t>
  </si>
  <si>
    <t>04.01.11</t>
  </si>
  <si>
    <t>CERCAMENTO DAS LAGOAS, INCLUINDO CERCAMENTO DE LAGOAS EXISTENTES</t>
  </si>
  <si>
    <t>04.01.11.01</t>
  </si>
  <si>
    <t>Considerado o offset de 1,0 m além da cerca.</t>
  </si>
  <si>
    <t>A3</t>
  </si>
  <si>
    <t>A2</t>
  </si>
  <si>
    <t>04.01.06.01.01</t>
  </si>
  <si>
    <t>04.01.06.01.02</t>
  </si>
  <si>
    <t>04.01.06.01.03</t>
  </si>
  <si>
    <t>04.01.06.01.04</t>
  </si>
  <si>
    <t>04.01.06.01.05</t>
  </si>
  <si>
    <t>04.01.06.01.06</t>
  </si>
  <si>
    <t>04.01.06.01.07</t>
  </si>
  <si>
    <t>04.01.06.01.08</t>
  </si>
  <si>
    <t>04.01.06.01.09</t>
  </si>
  <si>
    <t>04.01.06.01.10</t>
  </si>
  <si>
    <t>04.01.06.01.11</t>
  </si>
  <si>
    <t>04.01.06.01.12</t>
  </si>
  <si>
    <t>ESTRUTURAS DE LIGAÇÃO COM GABIÃO CAIXA</t>
  </si>
  <si>
    <t>04.01.06.02.01</t>
  </si>
  <si>
    <t>ESTRUTURAS DE LIGAÇÃO EM CONCRETO ARMADO (MOVIMENTOS DE TERRA JÁ CONSIDERADOS NA CONFORMAÇÃO DAS LAGOAS)</t>
  </si>
  <si>
    <t>PREPARO DO TERRENO</t>
  </si>
  <si>
    <t>04.01.06.02.01.01</t>
  </si>
  <si>
    <t>Regularização</t>
  </si>
  <si>
    <t>04.01.06.02.02</t>
  </si>
  <si>
    <t>04.01.06.02.02.01</t>
  </si>
  <si>
    <t>04.01.06.02.01.02</t>
  </si>
  <si>
    <t>Armação Ø 6.3 mm</t>
  </si>
  <si>
    <t>Armação Ø 8.0 mm</t>
  </si>
  <si>
    <t>Armação Ø 10.0 mm</t>
  </si>
  <si>
    <t>Armação Ø 12.5 mm</t>
  </si>
  <si>
    <t>LANÇAMENTO DO TUBO DRENO</t>
  </si>
  <si>
    <t>04.01.06.02.03</t>
  </si>
  <si>
    <t>04.01.06.02.03.01</t>
  </si>
  <si>
    <t>04.01.06.02.02.02</t>
  </si>
  <si>
    <t>04.01.06.02.02.03</t>
  </si>
  <si>
    <t>04.01.06.02.02.04</t>
  </si>
  <si>
    <t>04.01.06.02.02.05</t>
  </si>
  <si>
    <t>04.01.06.02.02.06</t>
  </si>
  <si>
    <t>Assentamento de tubo Ø 400 mm</t>
  </si>
  <si>
    <t>04.01.06.02.03.02</t>
  </si>
  <si>
    <t>04.01.06.02.03.03</t>
  </si>
  <si>
    <t>04.01.06.02.03.04</t>
  </si>
  <si>
    <t>04.01.06.02.03.05</t>
  </si>
  <si>
    <t>04.01.06.02.03.06</t>
  </si>
  <si>
    <t>04.01.06.02.03.07</t>
  </si>
  <si>
    <t>04.01.06.02.03.08</t>
  </si>
  <si>
    <t>04.01.06.02.03.09</t>
  </si>
  <si>
    <t>04.01.06.02.03.10</t>
  </si>
  <si>
    <t>04.01.06.02.03.11</t>
  </si>
  <si>
    <t>04.01.06.02.03.12</t>
  </si>
  <si>
    <t>04.01.06.02.03.13</t>
  </si>
  <si>
    <t>04.01.06.02.03.14</t>
  </si>
  <si>
    <t>Assentamento de tubo Ø 600 mm</t>
  </si>
  <si>
    <t>04.01.06.01.13</t>
  </si>
  <si>
    <t>04.01.07.03.17</t>
  </si>
  <si>
    <t>04.01.07.03.18</t>
  </si>
  <si>
    <t>Assentamento de tubo Ø 300 mm</t>
  </si>
  <si>
    <t>04.01.10.02.06</t>
  </si>
  <si>
    <t>Construção de cerca nova</t>
  </si>
  <si>
    <t>Recomposição de arame em cerca</t>
  </si>
  <si>
    <t>04.01.11.02</t>
  </si>
  <si>
    <t>LANÇMTO 7</t>
  </si>
  <si>
    <t>LANÇMTO 6</t>
  </si>
  <si>
    <t>LANÇMTO 5</t>
  </si>
  <si>
    <t>Plantio de cerca-viva</t>
  </si>
  <si>
    <t>04.01.11.03</t>
  </si>
  <si>
    <t>04.01.11.04</t>
  </si>
  <si>
    <t>04.01.11.05</t>
  </si>
  <si>
    <t>04.01.11.06</t>
  </si>
  <si>
    <t>Carga de pré-moldados</t>
  </si>
  <si>
    <t>04.01.11.07</t>
  </si>
  <si>
    <t>04.01.11.08</t>
  </si>
  <si>
    <t>Considerados 2,5 kg/m de arame farpado.</t>
  </si>
  <si>
    <t>CP0041</t>
  </si>
  <si>
    <t>CERCA COM MOURÕES DE CONCRETO, SEÇÃO "T" PONTA INCLINADA, 10X10 CM, ESPAÇAMENTO DE 2,5 M, CRAVADOS 0,5 M, COM 10 FIOS DE ARAME FARPADO Nº 14 E UMA LINHA DE ARAME FARPADO ENROLADO - FORNECIMENTO E INSTALAÇÃO.</t>
  </si>
  <si>
    <t>SINAPI CPU 101197 ADAPTADA PARA AS ESPECIFICAÇÕES DO PROJETO</t>
  </si>
  <si>
    <t>Fórmula da helicoidal por metro de helicoidal:
√(D² + (2πr)²) / D, onde "D" é a distância entre cada volta e "r" é o raio da helicoidal.</t>
  </si>
  <si>
    <t>OBSERVAÇÃO</t>
  </si>
  <si>
    <t>Peso do mourão por metro de cerca</t>
  </si>
  <si>
    <t>FABRICANTES</t>
  </si>
  <si>
    <t>Peso dos arames (liso e farpado) por metro de cerca</t>
  </si>
  <si>
    <t>Peso para carga conforme composições da cerca e da recomposição parcial do arame farpado.</t>
  </si>
  <si>
    <t>CP0042</t>
  </si>
  <si>
    <t>RECOMPOSIÇÃO DE ARAME FARPADO Nº 14 CLASSE 250, FIXADO EM CERCA COM MOURÕES DE CONCRETO, 10 FIOS POR METRO MAIS UMA CONCERTINA DE ARAME FARPADO - FORNECIMENTO E INSTALAÇÃO.</t>
  </si>
  <si>
    <t>SINAPI CPU 101188 ADAPTADA PARA AS ESPECIFICAÇÕES DO PROJETO</t>
  </si>
  <si>
    <t>Mão de obra acrescida de 30% para instalação da concertina.</t>
  </si>
  <si>
    <t>Portão com alambrado e tubos metálicos 4,00 x 2,40 m</t>
  </si>
  <si>
    <t>Placas de advertência 60 x 60 cm</t>
  </si>
  <si>
    <t>04.01.11.09</t>
  </si>
  <si>
    <t>CP9233</t>
  </si>
  <si>
    <t>PLACA DE ADVERTÊNCIA DE 60 X 60 CM, FIXADA / AMARRADA EM CERCAMENTOS</t>
  </si>
  <si>
    <t>SINAPI CPU 74209/1 ADAPTADA PARA AS ESPECIFICAÇÕES DO PROJETO</t>
  </si>
  <si>
    <t>Coeficiente ajustado.</t>
  </si>
  <si>
    <t>Coeficiente zerado por não ser necessário no serviço.</t>
  </si>
  <si>
    <t>PV1-18</t>
  </si>
  <si>
    <t>PV1-19</t>
  </si>
  <si>
    <t>PV1-20</t>
  </si>
  <si>
    <t>PV1-21</t>
  </si>
  <si>
    <t>PV1-22</t>
  </si>
  <si>
    <t>PV1-23</t>
  </si>
  <si>
    <t>PV1-24</t>
  </si>
  <si>
    <t>PV1-25</t>
  </si>
  <si>
    <t>PV1-26</t>
  </si>
  <si>
    <t>PV1-27</t>
  </si>
  <si>
    <t>PV1-28</t>
  </si>
  <si>
    <t>PV1-29</t>
  </si>
  <si>
    <t>PV1-30</t>
  </si>
  <si>
    <t>PV1-31</t>
  </si>
  <si>
    <t>PV1-32</t>
  </si>
  <si>
    <t>PV1-33</t>
  </si>
  <si>
    <t>LANÇMTO</t>
  </si>
  <si>
    <t>LAGOA</t>
  </si>
  <si>
    <t>LAGOA 01A</t>
  </si>
  <si>
    <t>LANÇMETO</t>
  </si>
  <si>
    <t>DIRETO</t>
  </si>
  <si>
    <t>REDE 1</t>
  </si>
  <si>
    <t>PV6-5</t>
  </si>
  <si>
    <t>PV6-6</t>
  </si>
  <si>
    <t>PV2-3</t>
  </si>
  <si>
    <t>PV2-4</t>
  </si>
  <si>
    <t>PV2-5</t>
  </si>
  <si>
    <t>PV2-6</t>
  </si>
  <si>
    <t>PV2-7</t>
  </si>
  <si>
    <t>REDE 2</t>
  </si>
  <si>
    <t>DIRETO 3</t>
  </si>
  <si>
    <t>DIRETO 4</t>
  </si>
  <si>
    <t>SUBTOTAIS REDE LANÇAMENTO LAGOA</t>
  </si>
  <si>
    <t>SUBTOTAIS LANÇAMENTO DIRETO 2</t>
  </si>
  <si>
    <t>SUBTOTAIS REDE LANÇAMENTO DIRETO 1</t>
  </si>
  <si>
    <t>SUBTOTAIS LANÇAMENTO DIRETO 3</t>
  </si>
  <si>
    <t>SUBTOTAIS LANÇAMENTO DIRETO 4</t>
  </si>
  <si>
    <t>Intertravado</t>
  </si>
  <si>
    <t>VER PROJETO</t>
  </si>
  <si>
    <t>DIRETO 5</t>
  </si>
  <si>
    <t>LAGOA 1A</t>
  </si>
  <si>
    <t>LAGOA 2A</t>
  </si>
  <si>
    <t>04.01.06.02.03.15</t>
  </si>
  <si>
    <t>04.01.07.03.19</t>
  </si>
  <si>
    <t>Grades</t>
  </si>
  <si>
    <t>VERTICAL</t>
  </si>
  <si>
    <t>B2</t>
  </si>
  <si>
    <t>Subbacia 2</t>
  </si>
  <si>
    <t>Subbacia 3</t>
  </si>
  <si>
    <t>Lançmto 6</t>
  </si>
  <si>
    <t>DISS. A2</t>
  </si>
  <si>
    <t>PV3-4</t>
  </si>
  <si>
    <t>PV3-5</t>
  </si>
  <si>
    <t>PV3-6</t>
  </si>
  <si>
    <t>PV3-7</t>
  </si>
  <si>
    <t>PV3-8</t>
  </si>
  <si>
    <t>PV3-9</t>
  </si>
  <si>
    <t>SUBTOTAIS LANÇAMENTO DIRETO 5</t>
  </si>
  <si>
    <t>PV-SAÍDA LAGOA</t>
  </si>
  <si>
    <t>SAÍDA E AMORTECIMENTO DE DISSIPADOR VERTICAL</t>
  </si>
  <si>
    <t>CANAIS NAS SAÍDAS DAS LAGOAS</t>
  </si>
  <si>
    <t>LANÇAMENTO FINAL DAS LAGOAS EM DISSIPADORES</t>
  </si>
  <si>
    <t>CONSTRUÇÃO DO DISSIPADOR B2 (LAGOA 1B - TRECHO 3)</t>
  </si>
  <si>
    <t>CONSTRUÇÃO DE DISSIPADORES VERTICAIS (LAGOAS 1B E 2B - TRECHO 1)</t>
  </si>
  <si>
    <t>04.01.09.05</t>
  </si>
  <si>
    <t>04.01.09.05.01</t>
  </si>
  <si>
    <t>04.01.09.05.02</t>
  </si>
  <si>
    <t>04.01.09.05.03</t>
  </si>
  <si>
    <t>04.01.09.05.04</t>
  </si>
  <si>
    <t>04.01.09.05.05</t>
  </si>
  <si>
    <t>04.01.09.05.06</t>
  </si>
  <si>
    <t>04.01.09.05.07</t>
  </si>
  <si>
    <t>04.01.09.05.08</t>
  </si>
  <si>
    <t>04.01.09.05.09</t>
  </si>
  <si>
    <t>04.01.09.05.10</t>
  </si>
  <si>
    <t>04.01.09.05.11</t>
  </si>
  <si>
    <t>04.01.09.05.12</t>
  </si>
  <si>
    <t>04.01.09.05.13</t>
  </si>
  <si>
    <t>04.01.09.05.14</t>
  </si>
  <si>
    <t>04.03.01.01.02</t>
  </si>
  <si>
    <t>04.03.01.01.03</t>
  </si>
  <si>
    <t>04.03.01.03.06</t>
  </si>
  <si>
    <t>04.03.02.01.02</t>
  </si>
  <si>
    <t>04.03.02.01.03</t>
  </si>
  <si>
    <t>04.03.02.03.06</t>
  </si>
  <si>
    <t>04.03.03.03.05</t>
  </si>
  <si>
    <t>04.03.03.03.06</t>
  </si>
  <si>
    <t>04.03.03.04</t>
  </si>
  <si>
    <t>04.03.03.04.01</t>
  </si>
  <si>
    <t>04.03.03.04.02</t>
  </si>
  <si>
    <t>04.03.03.04.03</t>
  </si>
  <si>
    <t>04.02</t>
  </si>
  <si>
    <t>04.02.01</t>
  </si>
  <si>
    <t>04.02.01.01</t>
  </si>
  <si>
    <t>04.02.01.01.01</t>
  </si>
  <si>
    <t>04.02.01.02</t>
  </si>
  <si>
    <t>04.02.01.02.01</t>
  </si>
  <si>
    <t>04.02.01.02.02</t>
  </si>
  <si>
    <t>04.02.01.02.03</t>
  </si>
  <si>
    <t>04.02.01.02.04</t>
  </si>
  <si>
    <t>04.02.01.02.05</t>
  </si>
  <si>
    <t>04.02.01.02.06</t>
  </si>
  <si>
    <t>04.02.01.02.07</t>
  </si>
  <si>
    <t>04.02.01.02.08</t>
  </si>
  <si>
    <t>04.02.01.03</t>
  </si>
  <si>
    <t>04.02.01.03.01</t>
  </si>
  <si>
    <t>04.02.01.03.02</t>
  </si>
  <si>
    <t>04.02.01.03.03</t>
  </si>
  <si>
    <t>04.02.01.03.04</t>
  </si>
  <si>
    <t>04.02.01.03.05</t>
  </si>
  <si>
    <t>04.02.01.04</t>
  </si>
  <si>
    <t>04.02.01.04.01</t>
  </si>
  <si>
    <t>04.02.01.04.02</t>
  </si>
  <si>
    <t>04.02.01.04.03</t>
  </si>
  <si>
    <t>04.02.02</t>
  </si>
  <si>
    <t>04.02.02.01</t>
  </si>
  <si>
    <t>04.02.02.01.01</t>
  </si>
  <si>
    <t>04.02.02.02</t>
  </si>
  <si>
    <t>04.02.02.02.01</t>
  </si>
  <si>
    <t>04.02.02.02.02</t>
  </si>
  <si>
    <t>04.02.02.02.03</t>
  </si>
  <si>
    <t>04.02.02.02.04</t>
  </si>
  <si>
    <t>04.02.02.02.05</t>
  </si>
  <si>
    <t>04.02.02.02.06</t>
  </si>
  <si>
    <t>04.02.02.02.07</t>
  </si>
  <si>
    <t>04.02.02.02.08</t>
  </si>
  <si>
    <t>04.02.02.03</t>
  </si>
  <si>
    <t>04.02.02.03.01</t>
  </si>
  <si>
    <t>04.02.02.03.02</t>
  </si>
  <si>
    <t>04.02.02.03.03</t>
  </si>
  <si>
    <t>04.02.02.03.04</t>
  </si>
  <si>
    <t>04.02.02.03.05</t>
  </si>
  <si>
    <t>04.02.02.04</t>
  </si>
  <si>
    <t>04.02.02.04.01</t>
  </si>
  <si>
    <t>04.02.02.04.02</t>
  </si>
  <si>
    <t>04.02.02.04.03</t>
  </si>
  <si>
    <t>LANÇAMENTOS DIRETOS</t>
  </si>
  <si>
    <t>SAÍDA E AMORTECIMENTO DOS DISSIPADORES FINAIS DAS LAGOAS</t>
  </si>
  <si>
    <t>DISPOSITIVO DE AMORTECIMENTO DA SAÍDA DOS DISSIPADORES FINAIS COM GABIÕES</t>
  </si>
  <si>
    <t>04.01.04.01.01</t>
  </si>
  <si>
    <t>04.01.04.02.01</t>
  </si>
  <si>
    <t>04.01.04.01.02</t>
  </si>
  <si>
    <t>04.01.04.01.03</t>
  </si>
  <si>
    <t>04.01.04.01.04</t>
  </si>
  <si>
    <t>04.01.04.01.05</t>
  </si>
  <si>
    <t>04.01.04.02.02</t>
  </si>
  <si>
    <t>04.01.04.02.03</t>
  </si>
  <si>
    <t>04.01.04.02.04</t>
  </si>
  <si>
    <t>04.01.04.02.05</t>
  </si>
  <si>
    <t>CONTENÇÕES DE LAGOAS COM GABIÃO CAIXA</t>
  </si>
  <si>
    <t>Proteção de taludes e aterros com geotêxtil</t>
  </si>
  <si>
    <t>CONTENÇÕES DE LAGOAS COM ATERROS COM REAPROVEITAMENTO DO MATERIAL DE 1ª CATEGORIA ESCAVADO DA LAGOA</t>
  </si>
  <si>
    <t>CONTENÇÕES DAS LAGOAS</t>
  </si>
  <si>
    <t>Considerada a densidade de 1 un/0,2 m, em duas fileiras, conforme orientações por e-mail de 10/06/2021.</t>
  </si>
  <si>
    <t>PINTURA TRACEJADA (m²)</t>
  </si>
  <si>
    <t>PINTURA DE LOMBADA (PRETA / AMARELA)</t>
  </si>
  <si>
    <t>R-19</t>
  </si>
  <si>
    <t>PLACA ADVERTÊNCIA LOSANGULAR</t>
  </si>
  <si>
    <t>Entroncamento e passagem de escola</t>
  </si>
  <si>
    <t>PLACA ADVERTÊNCIA LOMBADA</t>
  </si>
  <si>
    <t>PROJETO GEOMÉTRICO ALTIMÉTRICO E DE TERRAPLENAGEM - TRECHO 3</t>
  </si>
  <si>
    <t>COMPRIMENTO</t>
  </si>
  <si>
    <t>Espessura Revestimento</t>
  </si>
  <si>
    <t>Espessura Base</t>
  </si>
  <si>
    <t>Espessura Sub-Base</t>
  </si>
  <si>
    <r>
      <t>(m</t>
    </r>
    <r>
      <rPr>
        <vertAlign val="superscript"/>
        <sz val="10"/>
        <rFont val="Calibri"/>
        <family val="2"/>
        <scheme val="minor"/>
      </rPr>
      <t>2</t>
    </r>
    <r>
      <rPr>
        <sz val="10"/>
        <rFont val="Calibri"/>
        <family val="2"/>
        <scheme val="minor"/>
      </rPr>
      <t>)</t>
    </r>
  </si>
  <si>
    <r>
      <t>(m</t>
    </r>
    <r>
      <rPr>
        <vertAlign val="superscript"/>
        <sz val="10"/>
        <rFont val="Calibri"/>
        <family val="2"/>
        <scheme val="minor"/>
      </rPr>
      <t>3</t>
    </r>
    <r>
      <rPr>
        <sz val="10"/>
        <rFont val="Calibri"/>
        <family val="2"/>
        <scheme val="minor"/>
      </rPr>
      <t>)</t>
    </r>
  </si>
  <si>
    <t>RETORNO 01</t>
  </si>
  <si>
    <t>Flexível (meio pesado)</t>
  </si>
  <si>
    <t>Flexível (médio)</t>
  </si>
  <si>
    <t>Ver abas
"MLQ-TR1-TRePAV" e
"MLQ-TR3-TRePAV".</t>
  </si>
  <si>
    <t>MEMÓRIA DE LEVANTAMENTOS DE QUANTITATIVOS</t>
  </si>
  <si>
    <t>OBRAS REMANESCENTES NO SETOR SOL NASCENTE</t>
  </si>
  <si>
    <t>ST. SOL NASCENTE - CEILÂNDIA/DF</t>
  </si>
  <si>
    <t>OBRA DE ARTE ESPECIAL - PONTE</t>
  </si>
  <si>
    <t>FUNDAÇÕES</t>
  </si>
  <si>
    <t>1.1</t>
  </si>
  <si>
    <t>ESTACAS RAIZ Ø 41 CM EM SOLO CAP. FINAL DE 1300 KN</t>
  </si>
  <si>
    <t>1.1.1</t>
  </si>
  <si>
    <t>NÚMERO DE UNIDADES</t>
  </si>
  <si>
    <t>ESTACAS SOB SAPATA 01</t>
  </si>
  <si>
    <t>ESTACAS SOB SAPATA 02</t>
  </si>
  <si>
    <t>SUBTOTAL</t>
  </si>
  <si>
    <t>1.1.2</t>
  </si>
  <si>
    <t>COMPRIMENTO 13 M</t>
  </si>
  <si>
    <t>INFRAESTRUTURA</t>
  </si>
  <si>
    <t>2.1</t>
  </si>
  <si>
    <t>SAPATAS</t>
  </si>
  <si>
    <t>2.1.1</t>
  </si>
  <si>
    <t>VOLUME DE CONCRETO (C30)</t>
  </si>
  <si>
    <t>SAPATA 01</t>
  </si>
  <si>
    <t>SAPATA 02</t>
  </si>
  <si>
    <t>2.1.2</t>
  </si>
  <si>
    <t>ÁREA DE FORMAS</t>
  </si>
  <si>
    <t>2.2</t>
  </si>
  <si>
    <t>LAJES DE TRANSIÇÃO</t>
  </si>
  <si>
    <t>2.2.1</t>
  </si>
  <si>
    <t>LAJE SOBRE MURO ALA 01</t>
  </si>
  <si>
    <t>LAJE SOBRE MURO ALA 02</t>
  </si>
  <si>
    <t>2.2.2</t>
  </si>
  <si>
    <t>MESOESTRUTURA</t>
  </si>
  <si>
    <t>3.1</t>
  </si>
  <si>
    <t>3.1.1</t>
  </si>
  <si>
    <t>CONSOLE SOB LAJE DO MURO ALA 01</t>
  </si>
  <si>
    <t>CONSOLE SOB LAJE DO MURO ALA 02</t>
  </si>
  <si>
    <t>3.1.2</t>
  </si>
  <si>
    <t>CONSOLE SOB LAJE MURO ALA 01</t>
  </si>
  <si>
    <t>CONSOLE SOB LAJE MURO ALA 02</t>
  </si>
  <si>
    <t>3.2</t>
  </si>
  <si>
    <t>MUROS ALA</t>
  </si>
  <si>
    <t>3.2.1</t>
  </si>
  <si>
    <t>MURO ALA 01</t>
  </si>
  <si>
    <t>MURO ALA 02</t>
  </si>
  <si>
    <t>3.2.2</t>
  </si>
  <si>
    <t>3.3</t>
  </si>
  <si>
    <t>CONTRAFORTES</t>
  </si>
  <si>
    <t>3.3.1</t>
  </si>
  <si>
    <t>CONTRFORTES DO MURO ALA 01</t>
  </si>
  <si>
    <t>CONTRFORTES DO MURO ALA 02</t>
  </si>
  <si>
    <t>3.3.2</t>
  </si>
  <si>
    <t>4.3</t>
  </si>
  <si>
    <t>3.3.3</t>
  </si>
  <si>
    <t>4.1</t>
  </si>
  <si>
    <t>4.1.1</t>
  </si>
  <si>
    <t>4.1.2</t>
  </si>
  <si>
    <t>4.2</t>
  </si>
  <si>
    <t>4.2.1</t>
  </si>
  <si>
    <t>4.2.2</t>
  </si>
  <si>
    <t>4.3.1</t>
  </si>
  <si>
    <t>4.3.2</t>
  </si>
  <si>
    <t>4.4</t>
  </si>
  <si>
    <t>INSTALAÇÕES HIDRÁULICAS</t>
  </si>
  <si>
    <t>4.4.1</t>
  </si>
  <si>
    <t>TUBO PVC DN50MM (BUZINOTE)</t>
  </si>
  <si>
    <t>4.4.2</t>
  </si>
  <si>
    <t>TUBO PVC DN100MM (BUZINOTE)</t>
  </si>
  <si>
    <t>ARMADURA PASSIVA</t>
  </si>
  <si>
    <t>5.1</t>
  </si>
  <si>
    <t>5.1.1</t>
  </si>
  <si>
    <t>Ø6.3MM</t>
  </si>
  <si>
    <t>5.1.2</t>
  </si>
  <si>
    <t>Ø8.0MM</t>
  </si>
  <si>
    <t>5.1.3</t>
  </si>
  <si>
    <t>Ø10.0MM</t>
  </si>
  <si>
    <t>5.1.4</t>
  </si>
  <si>
    <t>Ø12.5MM</t>
  </si>
  <si>
    <t>5.1.5</t>
  </si>
  <si>
    <t>Ø16.0MM</t>
  </si>
  <si>
    <t>5.1.6</t>
  </si>
  <si>
    <t>Ø20.0MM</t>
  </si>
  <si>
    <t>5.1.7</t>
  </si>
  <si>
    <t>Ø25.0MM</t>
  </si>
  <si>
    <t>6.1</t>
  </si>
  <si>
    <t>SONDAGENS À PRECUSSÃO SPT</t>
  </si>
  <si>
    <t>6.1.1</t>
  </si>
  <si>
    <t>SPT 01 A 04</t>
  </si>
  <si>
    <t>6.1.2</t>
  </si>
  <si>
    <t>NÚMERO DE DESLOCAMENTOS</t>
  </si>
  <si>
    <t>CPU</t>
  </si>
  <si>
    <t>FORNECIMENTO DE CONCRETO USINADO FCK 30 MPa,INCLUINDO BOMBEAMENTO</t>
  </si>
  <si>
    <t>CP0314</t>
  </si>
  <si>
    <t>Fornecimento de concreto</t>
  </si>
  <si>
    <t>Lançamento e adensamento</t>
  </si>
  <si>
    <t>INFRAESTRUTURAS</t>
  </si>
  <si>
    <t>Lançamento e adensamento de concreto</t>
  </si>
  <si>
    <t>MESOESTRUTURAS</t>
  </si>
  <si>
    <t>ARMAÇÃO PARA TODAS AS PEÇAS</t>
  </si>
  <si>
    <t>Buzinotes Ø 100 mm</t>
  </si>
  <si>
    <t>Buzinotes Ø 50 mm</t>
  </si>
  <si>
    <t>ALTERNATIVAS DE PAVIMENTAÇÃO</t>
  </si>
  <si>
    <t>ALTERNATIVA 1</t>
  </si>
  <si>
    <t>CUSTO UNIT</t>
  </si>
  <si>
    <t>REVESTIMENTO</t>
  </si>
  <si>
    <t>ESPESSURA</t>
  </si>
  <si>
    <t>ALTERNATIVA 2</t>
  </si>
  <si>
    <t>TRAFÉGO LEVE</t>
  </si>
  <si>
    <t>ALTERNATIVA 3</t>
  </si>
  <si>
    <t>FORNECIMENTO DE MATERIAL PARA O REVESTIMENTO (CAP E BRITA)</t>
  </si>
  <si>
    <t>Arquivo "O-2021-009 - MCP Material Betuminoso.xlsx"</t>
  </si>
  <si>
    <t>IO9012</t>
  </si>
  <si>
    <t>EMULSÃO ASFÁLTICA PARA SERVIÇO DE IMPRIMAÇÃO</t>
  </si>
  <si>
    <t>CP0032</t>
  </si>
  <si>
    <t>FORNECIMENTO DE EMULSÃO ASFÁLTICA PARA SERVIÇO DE IMPRIMAÇÃO (EAI), ATÉ A USINA NA OBRA (INCLUSIVE ICMS, TRANSPORTE E PEDÁGIOS)</t>
  </si>
  <si>
    <t>Fornecimento de EAI</t>
  </si>
  <si>
    <t>ALTERNATIVA ÚNICA PARA CBR SUBLEITO 3%</t>
  </si>
  <si>
    <t>EXECUÇÃO E COMPACTAÇÃO DE BASE E OU SUB BASE PARA PAVIMENTAÇÃO DE SOLO (PREDOMINANTEMENTE ARENOSO) COM CIMENTO (TEOR DE 3%) - EXCLUSIVE SOLO, ESCAVAÇÃO, CARGA E TRANSPORTE.</t>
  </si>
  <si>
    <t>CPU SINAPI 96389 MODIFICADA PARA A ESPECIFICAÇÃO DO SERVIÇO</t>
  </si>
  <si>
    <t>REFORÇO DO SUBLEITO</t>
  </si>
  <si>
    <t>TRAFÉGO MÉDIO</t>
  </si>
  <si>
    <t>CP0127</t>
  </si>
  <si>
    <t>FORNECIMENTO DE CAP 50-70</t>
  </si>
  <si>
    <t>IO9013</t>
  </si>
  <si>
    <t>CIMENTOS ASFÁLTICOS CAP-50-70</t>
  </si>
  <si>
    <t>TRAFÉGO MEIO PESADO</t>
  </si>
  <si>
    <t>USINAGEM DE CONCRETO ASFÁLTICO PARA CAMADA DE ROLAMENTO, PADRÃO DNIT FAIXA C, EM USINA DE ASFALTO GRAVIMÉTRICA DE 150 TON/H.</t>
  </si>
  <si>
    <t>EXECUÇÃO DE PAVIMENTO COM APLICAÇÃO DE CONCRETO ASFÁLTICO, CAMADA DE ROLAMENTO, EXCLUSIVE CARGA E TRANSPORTE.</t>
  </si>
  <si>
    <t>FORNECIMENTO EM ITEM ESPECÍFICO DE PLANILHA</t>
  </si>
  <si>
    <t>CPU SINAPI 96402 MODIFICADA PELA EXCLUSÃO DO INSUMO</t>
  </si>
  <si>
    <t xml:space="preserve">MELHOR ALTERNATIVA: </t>
  </si>
  <si>
    <t>ÚNICA</t>
  </si>
  <si>
    <t xml:space="preserve">DATA DA ESTIMATIVA DE CUSTO: </t>
  </si>
  <si>
    <t xml:space="preserve">DATA BASE DOS PREÇOS UNITÁRIOS: </t>
  </si>
  <si>
    <t>EXECUÇÃO DE IMPRIMAÇÃO, EXCLUÍDO O FORNECIMENTO DO INSUMO</t>
  </si>
  <si>
    <t>Origem: Centro de Massa da Obra
Destino: Extremidades da obra</t>
  </si>
  <si>
    <t>CP9004</t>
  </si>
  <si>
    <t>HORAS IN ITINERE (DESLOCAMENTO DO CANTEIRO ATÉ À OBRA) - TRECHO 1</t>
  </si>
  <si>
    <t>H9004</t>
  </si>
  <si>
    <t>HORAS IN ITINERE (DESLOCAMENTO DO CANTEIRO À OBRA) - TRECHO 1</t>
  </si>
  <si>
    <t>MEMÓRIA DE CÁLCULO DAS HORAS IN ITINERE</t>
  </si>
  <si>
    <t>QUANT</t>
  </si>
  <si>
    <t>HORAS IN ITINERE (DESLOCAMENTO DO CANTEIRO À OBRA) - TRECHO 3</t>
  </si>
  <si>
    <t>KM</t>
  </si>
  <si>
    <t>TEMPO DE DESLOCAMENTO - IDA</t>
  </si>
  <si>
    <t>DISTÂNCIA MÉDIA DE DESLOCAMENTO - IDA</t>
  </si>
  <si>
    <t>DISTÂNCIA MÉDIA DE DESLOCAMENTO - VOLTA</t>
  </si>
  <si>
    <t>TEMPO DE DESLOCAMENTO - VOLTA</t>
  </si>
  <si>
    <t>DIAS TRABALHÁVEIS POR MÊS</t>
  </si>
  <si>
    <t>DD</t>
  </si>
  <si>
    <t>TEMPO DE DESLOCAMENTO UNITÁRIO POR MÊS - IDA E VOLTA</t>
  </si>
  <si>
    <t>TOTAL DE HORAS IN ITINERE</t>
  </si>
  <si>
    <t>R$ / h</t>
  </si>
  <si>
    <t>Hh</t>
  </si>
  <si>
    <t>CUSTO UNITÁRIO MÉDIO DAS HORAS TRABALHADAS</t>
  </si>
  <si>
    <t>(A)</t>
  </si>
  <si>
    <t>(B)</t>
  </si>
  <si>
    <t>CUSTO TOTAL DAS HORAS TRABALHADAS</t>
  </si>
  <si>
    <t>(C)</t>
  </si>
  <si>
    <t>(D)</t>
  </si>
  <si>
    <t>(E)</t>
  </si>
  <si>
    <t>Google Earth</t>
  </si>
  <si>
    <t>(F)</t>
  </si>
  <si>
    <t>Considerados 5 dias/sem x 4,35 sem/mês</t>
  </si>
  <si>
    <t>(G) = (C + E) x F</t>
  </si>
  <si>
    <t>(H) = A x G</t>
  </si>
  <si>
    <t>(I)</t>
  </si>
  <si>
    <t>Calculado</t>
  </si>
  <si>
    <t>FÓRMULA</t>
  </si>
  <si>
    <t>REFERÊNCIA</t>
  </si>
  <si>
    <t>VER ABA "01-MLQ-CO-HII-TR3"</t>
  </si>
  <si>
    <t>Observação:</t>
  </si>
  <si>
    <r>
      <t xml:space="preserve">A Lei n.º 13.467, de 11/11/2017, não permite mais considerar horas </t>
    </r>
    <r>
      <rPr>
        <i/>
        <sz val="11"/>
        <color theme="1"/>
        <rFont val="Calibri"/>
        <family val="2"/>
        <scheme val="minor"/>
      </rPr>
      <t>in itinere</t>
    </r>
    <r>
      <rPr>
        <sz val="11"/>
        <color theme="1"/>
        <rFont val="Calibri"/>
        <family val="2"/>
        <scheme val="minor"/>
      </rPr>
      <t xml:space="preserve"> como horas extras para o trabalhador.
Contudo, por motivo de segurança do orçamento, este item foi previsto uma vez que o canteiro de obras do Trecho 3 fica consideravelmente distante para o deslocamento a pé, o que não só consumiria energia dos trabalhadores como tempo de deslocamento.
Portanto, foram calculadas horas </t>
    </r>
    <r>
      <rPr>
        <i/>
        <sz val="11"/>
        <color theme="1"/>
        <rFont val="Calibri"/>
        <family val="2"/>
        <scheme val="minor"/>
      </rPr>
      <t>in itinere</t>
    </r>
    <r>
      <rPr>
        <sz val="11"/>
        <color theme="1"/>
        <rFont val="Calibri"/>
        <family val="2"/>
        <scheme val="minor"/>
      </rPr>
      <t xml:space="preserve"> na intenção ou de compensar as horas perdidas de trabalho ou as horas extras de chegada ao canteiro de obras antecipadamente para posterior deslocamento da mão de obra até o local de trabalho.</t>
    </r>
  </si>
  <si>
    <t>Horas in itinere - Trecho 3</t>
  </si>
  <si>
    <t>H9005</t>
  </si>
  <si>
    <t>HORAS IN ITINERE (DESLOCAMENTO DO CANTEIRO ATÉ À OBRA) - TRECHO 3</t>
  </si>
  <si>
    <t>CP9005</t>
  </si>
  <si>
    <t>Horas in itinere - Trecho 1</t>
  </si>
  <si>
    <t>DEPÓSITO / ALMOXARIFADO (2 UN)</t>
  </si>
  <si>
    <t>TODOS</t>
  </si>
  <si>
    <t>SELECIONAR TRECHO PARA VISUALIZAÇÃO E/OU IMPRESSÃO</t>
  </si>
  <si>
    <t>01.02.01.01</t>
  </si>
  <si>
    <t>01.02.01.01.01</t>
  </si>
  <si>
    <t>01.02.01.01.02</t>
  </si>
  <si>
    <t>01.02.01.01.03</t>
  </si>
  <si>
    <t>01.02.01.01.04</t>
  </si>
  <si>
    <t>01.02.01.01.05</t>
  </si>
  <si>
    <t>01.02.01.02</t>
  </si>
  <si>
    <t>01.02.01.02.01</t>
  </si>
  <si>
    <t>01.02.01.02.02</t>
  </si>
  <si>
    <t>01.02.01.02.03</t>
  </si>
  <si>
    <t>01.02.01.02.04</t>
  </si>
  <si>
    <t>01.02.01.02.05</t>
  </si>
  <si>
    <t>01.02.01.02.06</t>
  </si>
  <si>
    <t>01.02.01.03</t>
  </si>
  <si>
    <t>01.02.01.03.01</t>
  </si>
  <si>
    <t>01.02.01.03.02</t>
  </si>
  <si>
    <t>01.02.02.01</t>
  </si>
  <si>
    <t>01.02.02.01.01</t>
  </si>
  <si>
    <t>01.02.02.02</t>
  </si>
  <si>
    <t>01.02.02.02.01</t>
  </si>
  <si>
    <t>IMPLANTAÇÃO DO CANTEIRO DE APOIO DO TRECHO 1 (OAE)</t>
  </si>
  <si>
    <t>ESCRITÓRIO (1 UN)</t>
  </si>
  <si>
    <t>BANHEIRO QUÍMICO</t>
  </si>
  <si>
    <t>01.02.02.03</t>
  </si>
  <si>
    <t>01.02.02.03.01</t>
  </si>
  <si>
    <t>IS0004</t>
  </si>
  <si>
    <t>ALUGUEL MENSAL DE BANHEIRO QUIMICO PADRAO STANDARD COM 3 LIMPEZAS SEMANAIS</t>
  </si>
  <si>
    <t>UN/MÊS</t>
  </si>
  <si>
    <t>SBC 04/2021</t>
  </si>
  <si>
    <t>INSUMO 42675</t>
  </si>
  <si>
    <t>SBC ABR/2021</t>
  </si>
  <si>
    <t>SICRO JAN/2021</t>
  </si>
  <si>
    <t>CP9071</t>
  </si>
  <si>
    <t>Locação de banheiro químico para canteiro de apoio</t>
  </si>
  <si>
    <t>un.mês</t>
  </si>
  <si>
    <t>UN.MÊS</t>
  </si>
  <si>
    <t>01.04.02</t>
  </si>
  <si>
    <t>01.04.03</t>
  </si>
  <si>
    <t>01.04.04</t>
  </si>
  <si>
    <t>01.04.05</t>
  </si>
  <si>
    <t>01.04.06</t>
  </si>
  <si>
    <t>01.04.07</t>
  </si>
  <si>
    <t>01.05</t>
  </si>
  <si>
    <t>01.05.01</t>
  </si>
  <si>
    <t>CP9101</t>
  </si>
  <si>
    <t>CPU ENVIADA PELA ARIA EM 12/08/2021.</t>
  </si>
  <si>
    <t>DIMENSIONAMENTO DAS EQUIPES MENSAIS DE LABORATÓRIOS - TRECHO 3</t>
  </si>
  <si>
    <t>DIMENSIONAMENTO DAS EQUIPES MENSAIS DE LABORATÓRIOS - TRECHO 1</t>
  </si>
  <si>
    <t>06-PAV</t>
  </si>
  <si>
    <t>07-OAE</t>
  </si>
  <si>
    <t>08-SIN</t>
  </si>
  <si>
    <t>09-URB</t>
  </si>
  <si>
    <t>CP9102</t>
  </si>
  <si>
    <t>ESTUDO DE CAPACIDADE DE SUPORTE DE SOLO - TRECHO 1</t>
  </si>
  <si>
    <t>ESTUDO DE CAPACIDADE DE SUPORTE DE SOLO - TRECHO 3</t>
  </si>
  <si>
    <t>Estudo de capacidade de suporte de solo - Trecho 1</t>
  </si>
  <si>
    <t>Estudo de capacidade de suporte de solo - Trecho 3</t>
  </si>
  <si>
    <t>02.01.01.02</t>
  </si>
  <si>
    <t>LEGENDA ÔNIBUS BRANCA - A=1.65 m²</t>
  </si>
  <si>
    <t>LMS-1_LINHA DE MARCAÇÃO DE MESMO FLUXO CONTÍNUA BRANCA - L=0.10 m</t>
  </si>
  <si>
    <t>LMS-2_LINHA DE MARCAÇÃO DE MESMO FLUXO TRACEJADA BRANCA - L=0.10 m</t>
  </si>
  <si>
    <t>MER_LINHA DE MARAÇAO DE ESTACIONAMENTO REGULAMENTADO BRANCA - L=0,10 m</t>
  </si>
  <si>
    <t>RETORNO</t>
  </si>
  <si>
    <t>PLACAS DE INICAÇÃO:</t>
  </si>
  <si>
    <t>PV6B-1</t>
  </si>
  <si>
    <t>PV6B-2</t>
  </si>
  <si>
    <t>PV6B-3</t>
  </si>
  <si>
    <t>PV6B-4</t>
  </si>
  <si>
    <t>PV13-9</t>
  </si>
  <si>
    <t>PV13-10</t>
  </si>
  <si>
    <t>SB.5-6B</t>
  </si>
  <si>
    <t>DISS.VERT</t>
  </si>
  <si>
    <t>DISS.GAB</t>
  </si>
  <si>
    <t>SB.4-1'</t>
  </si>
  <si>
    <t>SB.4-2'</t>
  </si>
  <si>
    <t>PV2'-1</t>
  </si>
  <si>
    <t>PV1'-1</t>
  </si>
  <si>
    <t>DISSIPADOR A2</t>
  </si>
  <si>
    <t>Consideradas 5 estacas com 2,5 m de extensão cada.</t>
  </si>
  <si>
    <t>Considerados 30 kg/m³ de concreto.</t>
  </si>
  <si>
    <t>Considerados 70 kg/m³ de concreto.</t>
  </si>
  <si>
    <t>DISSIPADOR B2</t>
  </si>
  <si>
    <t xml:space="preserve">CANTEIRO DE OBRAS - SERVIÇOS GERAIS: </t>
  </si>
  <si>
    <t xml:space="preserve">CANTEIRO DE OBRAS - CONSUMOS: </t>
  </si>
  <si>
    <t>TRECHO 01</t>
  </si>
  <si>
    <t>TRECHO 03</t>
  </si>
  <si>
    <t>OBRA DE ARTE ESPECIAL - TRECHO 1 - PONTE</t>
  </si>
  <si>
    <t>INTERTRAVADO</t>
  </si>
  <si>
    <t>NÃO TEM CALÇADA EXISTENTE</t>
  </si>
  <si>
    <t>X</t>
  </si>
  <si>
    <t>CBUQ</t>
  </si>
  <si>
    <t>Calçada existende entre as estacas 0+0,00 e 35+0,00</t>
  </si>
  <si>
    <t>REMOÇÃO DO PAVIMENTO</t>
  </si>
  <si>
    <t>TIPO DE MATERIAL</t>
  </si>
  <si>
    <t>PAVIMENTO</t>
  </si>
  <si>
    <t>REGIÃO ADMINISTRATIVA DO SOL NASCENTE E POR DO SOL - RA XXXII</t>
  </si>
  <si>
    <t>x</t>
  </si>
  <si>
    <t xml:space="preserve">CALÇADA EXISTENTE DA ESTACA 16+2.972 ATE 30+8.928 </t>
  </si>
  <si>
    <t>CALÇADA EXISTENTE DA ESTACA 0+00.000 ATE 10+15.821 E DA24+2.787 ATE 42+16.847</t>
  </si>
  <si>
    <t>RUA 51A</t>
  </si>
  <si>
    <t>RUA 04A</t>
  </si>
  <si>
    <t>PROJETO GEOMÉTRICO ALTIMÉTRICO E DE TERRAPLENAGEM - TRECHO 1</t>
  </si>
  <si>
    <t>SUBBASE</t>
  </si>
  <si>
    <t>SUBLEITO</t>
  </si>
  <si>
    <t>CAIXA</t>
  </si>
  <si>
    <t>RESUMO POR TIPO DE PAVIMENTO</t>
  </si>
  <si>
    <t>IMPRIM. /
PINT. LIG.</t>
  </si>
  <si>
    <t>MAR/2021</t>
  </si>
  <si>
    <t>URBANIZAÇÃO DO SETOR SOL NASCENTE - TRECHOS 1 e 3</t>
  </si>
  <si>
    <t>Área de gabião colchão = 3.804,00 m²</t>
  </si>
  <si>
    <t>07.06</t>
  </si>
  <si>
    <t>07.06.01</t>
  </si>
  <si>
    <t>DESMATAMENTO E LIMPEZA</t>
  </si>
  <si>
    <t>07.06.01.01</t>
  </si>
  <si>
    <t>Corte de árvores</t>
  </si>
  <si>
    <t>Arrancamento de raízes</t>
  </si>
  <si>
    <t>Estimada 1 a cada 36 m² e 0,3 m³/un.</t>
  </si>
  <si>
    <t>Mesma quantidade da de cima com 0,5 m³/un.</t>
  </si>
  <si>
    <t>07.06.01.02</t>
  </si>
  <si>
    <t>07.06.01.03</t>
  </si>
  <si>
    <t>07.06.01.04</t>
  </si>
  <si>
    <t>07.06.01.05</t>
  </si>
  <si>
    <t>07.06.01.06</t>
  </si>
  <si>
    <t>07.06.01.07</t>
  </si>
  <si>
    <t>CONFORMAÇÃO DO CANAL COM GABIÃO COLCHÃO</t>
  </si>
  <si>
    <t>07.06.02</t>
  </si>
  <si>
    <t>07.06.02.01</t>
  </si>
  <si>
    <t>LANÇAMENTO DE TUBOS PARA AMPLIAÇÃO DO BUEIRO EXISTENTE</t>
  </si>
  <si>
    <t>07.06.02.02</t>
  </si>
  <si>
    <t>07.06.02.03</t>
  </si>
  <si>
    <t>Locação dos bueiros</t>
  </si>
  <si>
    <t>Assentamento dos bueiros</t>
  </si>
  <si>
    <t>Fornecimento de tubo</t>
  </si>
  <si>
    <t>Carga dos tubos</t>
  </si>
  <si>
    <t>Transporte interno dos tubos</t>
  </si>
  <si>
    <t>07.06.03</t>
  </si>
  <si>
    <t>Transporte do material escavado manualmente</t>
  </si>
  <si>
    <t>Distância média de transporte= 100 m.</t>
  </si>
  <si>
    <t>07.06.03.01</t>
  </si>
  <si>
    <t>07.06.03.02</t>
  </si>
  <si>
    <t>07.06.03.03</t>
  </si>
  <si>
    <t>Transporte de rachão até 30 km</t>
  </si>
  <si>
    <t>Transporte de rachão além de 30 km</t>
  </si>
  <si>
    <t>Transporte de rachão em vias internas</t>
  </si>
  <si>
    <t>Transporte manual de material para aterro</t>
  </si>
  <si>
    <t>m³.km</t>
  </si>
  <si>
    <t>07.06.04</t>
  </si>
  <si>
    <t>07.06.04.01</t>
  </si>
  <si>
    <t>Considerada a mesma seção de gabião caixa com 15,0 m de comprimento para preparação para os novos bueiros.</t>
  </si>
  <si>
    <t>REMOÇÃO CUIDADOSA DE MACIÇO DE TERRA SOBRE BUEIRO EXISTENTE COM DEPOSIÇÃO LATERAL DO MATERIAL ESCAVADO</t>
  </si>
  <si>
    <t>Considerada a mesma seção de gabião caixa com 4,0 m de comprimento sobre os bueiros existentes.</t>
  </si>
  <si>
    <t>Considerada a mesma seção de gabião caixa com 11,0 m de comprimento para os bueiros novos.</t>
  </si>
  <si>
    <t>Carga mecanizada do excedente para bota-fora</t>
  </si>
  <si>
    <t>07.06.04.02</t>
  </si>
  <si>
    <t>07.06.04.03</t>
  </si>
  <si>
    <t>07.06.04.04</t>
  </si>
  <si>
    <t>07.06.04.05</t>
  </si>
  <si>
    <t>CALÇADA SOBRE ATERRO DE PROTEÇÃO DO BUEIRO / EMISSÁRIO</t>
  </si>
  <si>
    <t>07.06.05</t>
  </si>
  <si>
    <t>07.06.05.01</t>
  </si>
  <si>
    <t>Calçada</t>
  </si>
  <si>
    <t>Considerada a extensão de 15,00 m.</t>
  </si>
  <si>
    <t>07.01.01.01</t>
  </si>
  <si>
    <t>07.01.01.02</t>
  </si>
  <si>
    <t>07.01.01.03</t>
  </si>
  <si>
    <t>07.01.01.04</t>
  </si>
  <si>
    <t>07.01.01.05</t>
  </si>
  <si>
    <t>07.01.02.01</t>
  </si>
  <si>
    <t>07.01.02.01.01</t>
  </si>
  <si>
    <t>07.01.02.01.02</t>
  </si>
  <si>
    <t>07.01.02.02</t>
  </si>
  <si>
    <t>07.01.02.02.01</t>
  </si>
  <si>
    <t>07.01.02.02.02</t>
  </si>
  <si>
    <t>07.01.02.02.03</t>
  </si>
  <si>
    <t>07.01.03.01</t>
  </si>
  <si>
    <t>07.01.03.01.01</t>
  </si>
  <si>
    <t>07.01.03.01.02</t>
  </si>
  <si>
    <t>07.01.03.01.03</t>
  </si>
  <si>
    <t>07.01.03.02</t>
  </si>
  <si>
    <t>07.01.03.02.01</t>
  </si>
  <si>
    <t>07.01.03.02.02</t>
  </si>
  <si>
    <t>07.01.03.02.03</t>
  </si>
  <si>
    <t>07.01.03.03</t>
  </si>
  <si>
    <t>07.01.03.03.01</t>
  </si>
  <si>
    <t>07.01.03.03.02</t>
  </si>
  <si>
    <t>07.01.03.03.03</t>
  </si>
  <si>
    <t>07.01.04.02</t>
  </si>
  <si>
    <t>07.01.04.01.01</t>
  </si>
  <si>
    <t>07.01.04.01.02</t>
  </si>
  <si>
    <t>07.01.04.01.03</t>
  </si>
  <si>
    <t>07.01.04.01.04</t>
  </si>
  <si>
    <t>07.01.04.02.01</t>
  </si>
  <si>
    <t>07.01.04.02.02</t>
  </si>
  <si>
    <t>07.01.04.02.03</t>
  </si>
  <si>
    <t>07.01.04.03</t>
  </si>
  <si>
    <t>07.01.04.03.01</t>
  </si>
  <si>
    <t>07.01.04.03.02</t>
  </si>
  <si>
    <t>07.01.04.03.03</t>
  </si>
  <si>
    <t>07.01.05.01</t>
  </si>
  <si>
    <t>07.01.05.02</t>
  </si>
  <si>
    <t>07.01.05.03</t>
  </si>
  <si>
    <t>07.01.05.04</t>
  </si>
  <si>
    <t>07.01.05.05</t>
  </si>
  <si>
    <t>07.01.05.06</t>
  </si>
  <si>
    <t>07.01.05.07</t>
  </si>
  <si>
    <t>Escolha TODOS para visualizar e imprimir o custo total dos dois trechos
Escolha TRECHO 1 para visualizar e imprimir apenas o Trecho 1
Escolha TRECHO 3 para visualizar e imprimir apenas o Trecho 3</t>
  </si>
  <si>
    <t>TOTAL DE OPERÁRIOS POR MÊS</t>
  </si>
  <si>
    <t>TOTAL DE HORAS DE OPERÁRIOS NA OBRA</t>
  </si>
  <si>
    <t>Ver aba "PSP-RESUMO"</t>
  </si>
  <si>
    <t>Ver aba "ABC-S"</t>
  </si>
  <si>
    <t>(J)</t>
  </si>
  <si>
    <r>
      <t xml:space="preserve">(K) = J </t>
    </r>
    <r>
      <rPr>
        <sz val="11"/>
        <color theme="1"/>
        <rFont val="Calibri"/>
        <family val="2"/>
      </rPr>
      <t>÷</t>
    </r>
    <r>
      <rPr>
        <sz val="11"/>
        <color theme="1"/>
        <rFont val="Calibri"/>
        <family val="2"/>
        <scheme val="minor"/>
      </rPr>
      <t xml:space="preserve"> I</t>
    </r>
  </si>
  <si>
    <t>CHECAR O INSUMO NA ABA "01-MLQ-CO-HII-TR3" E ATUALIZAR O VALOR MANUALMENTE.</t>
  </si>
  <si>
    <t>NÃO HÁ HORAS IN ITINERE NO TRECHO 1</t>
  </si>
  <si>
    <t>&lt;&lt;= DIGITAR VALOR</t>
  </si>
  <si>
    <t>DISSIPADOR</t>
  </si>
  <si>
    <t>tipo</t>
  </si>
  <si>
    <t>BACIA</t>
  </si>
  <si>
    <t>LANÇAMENTO</t>
  </si>
  <si>
    <t>#</t>
  </si>
  <si>
    <t xml:space="preserve">Volume para aterro por compensação: </t>
  </si>
  <si>
    <t xml:space="preserve">Volume da subbase das vias: </t>
  </si>
  <si>
    <t xml:space="preserve">Volume da base das vias: </t>
  </si>
  <si>
    <t xml:space="preserve">Volume total de subbases e base: </t>
  </si>
  <si>
    <t xml:space="preserve">Volume de escavação das vias: </t>
  </si>
  <si>
    <t xml:space="preserve">Volume de escavação das bacias: </t>
  </si>
  <si>
    <t xml:space="preserve">Volume para aterro das redes: </t>
  </si>
  <si>
    <t xml:space="preserve">Volume de escavação das redes de drenagem: </t>
  </si>
  <si>
    <t xml:space="preserve">Volume de escavações: </t>
  </si>
  <si>
    <t>TRECHO</t>
  </si>
  <si>
    <t>Concreto magro</t>
  </si>
  <si>
    <t>GABIÕES</t>
  </si>
  <si>
    <t>Gabião colchão H30</t>
  </si>
  <si>
    <t>1,0 x 1,0</t>
  </si>
  <si>
    <t>QUANTITATIVOS TOTAIS</t>
  </si>
  <si>
    <t>CANAIS</t>
  </si>
  <si>
    <t>DISSIPADORES</t>
  </si>
  <si>
    <t>VERTICAIS</t>
  </si>
  <si>
    <t>DRENAGEM - LANÇAMENTOS DIRETOS</t>
  </si>
  <si>
    <t xml:space="preserve">ENDEREÇO: </t>
  </si>
  <si>
    <t>Resolução ADASA n.º 20/2020.</t>
  </si>
  <si>
    <t>IS9003</t>
  </si>
  <si>
    <t>CP9091</t>
  </si>
  <si>
    <t>IS9004</t>
  </si>
  <si>
    <t>CP9092</t>
  </si>
  <si>
    <t>TAXA DE DESCARTE DE RESÍDUOS DA CONSTRUÇÃO CIVIL SEGREGADOS - RCCS</t>
  </si>
  <si>
    <t>TAXA DE DESCARTE DE RESÍDUOS DA CONSTRUÇÃO CIVIL NÃO SEGREGADOS - RCCNS</t>
  </si>
  <si>
    <t>TAXA DE DESCARTE DE RESÍDUOS DE PODAS E GALHADAS</t>
  </si>
  <si>
    <t>TAXA DE DESCARTE DE RESÍDUOS DA CONSTRUÇÃO CIVIL NÃO SEGREGADOS - RCCS - NA UNIDADE DE RECEBIMENTO DE ENTULHOS</t>
  </si>
  <si>
    <t>TAXA DE DESCARTE DE RESÍDUOS DE PODAS E GALHADAS - NA UNIDADE DE RECEBIMENTO DE ENTULHOS</t>
  </si>
  <si>
    <t>TAXA DE DESCARTE DE RESÍDUOS DA CONSTRUÇÃO CIVIL SEGREGADOS - RCCS - NA UNIDADE DE RECEBIMENTO DE ENTULHOS</t>
  </si>
  <si>
    <t>Armação CA-50 6.3 mm</t>
  </si>
  <si>
    <t>Armação CA-50 8.0 mm</t>
  </si>
  <si>
    <t>Armação CA-50 10.0 mm</t>
  </si>
  <si>
    <t>Armação CA-50 12.5 mm</t>
  </si>
  <si>
    <t>04.01.06.01.14</t>
  </si>
  <si>
    <t>Assentamento de tubo de PVC EG Ø 100 mm</t>
  </si>
  <si>
    <t>CONSTRUÇÃO DE CALÇADAS</t>
  </si>
  <si>
    <t>09.03</t>
  </si>
  <si>
    <t>09.03.01</t>
  </si>
  <si>
    <t>Regularização de solo</t>
  </si>
  <si>
    <t>09.03.02</t>
  </si>
  <si>
    <t>ARRASAMENTO MECANICO DE ESTACA DE CONCRETO ARMADO, DIAMETROS DE ATÉ 40 CM. AF_05/2021</t>
  </si>
  <si>
    <t>ESTACA RAÍZ, DIÂMETRO DE 31CM, SEM PRESENÇA DE ROCHA (EXCLUSIVE MOBILIZAÇÃO E DESMOBILIZAÇÃO). AF_03/2020_P</t>
  </si>
  <si>
    <t>ESTACA RAÍZ, DIÂMETRO DE 20CM, PERFURADA EM ROCHA (EXCLUSIVE MOBILIZAÇÃO E DESMOBILIZAÇÃO). AF_03/2020_P</t>
  </si>
  <si>
    <t>CONCRETO MAGRO PARA LASTRO, TRAÇO 1:4,5:4,5 (EM MASSA SECA DE CIMENTO/ AREIA MÉDIA/ BRITA 1) - PREPARO MECÂNICO COM BETONEIRA 400 L. AF_05/2021</t>
  </si>
  <si>
    <t>CONCRETO FCK = 25MPA, TRAÇO 1:2,3:2,7 (EM MASSA SECA DE CIMENTO/ AREIA MÉDIA/ BRITA 1) - PREPARO MECÂNICO COM BETONEIRA 400 L. AF_05/2021</t>
  </si>
  <si>
    <t>CONCRETO MAGRO PARA LASTRO, TRAÇO 1:4,5:4,5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</si>
  <si>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</si>
  <si>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</si>
  <si>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MAGRO PARA LASTRO, TRAÇO 1:4,5:4,5 (EM MASSA SECA DE CIMENTO/ AREIA MÉDIA/ BRITA 1) - PREPARO MANUAL. AF_05/2021</t>
  </si>
  <si>
    <t>PINTURA COM TINTA EPOXÍDICA DE ACABAMENTO PULVERIZADA SOBRE PERFIL METÁLICO EXECUTADO EM FÁBRICA (POR DEMÃO). AF_01/2020_P</t>
  </si>
  <si>
    <t xml:space="preserve">M2    </t>
  </si>
  <si>
    <t xml:space="preserve">UN    </t>
  </si>
  <si>
    <t xml:space="preserve">M     </t>
  </si>
  <si>
    <t xml:space="preserve">L     </t>
  </si>
  <si>
    <t xml:space="preserve">KG    </t>
  </si>
  <si>
    <t xml:space="preserve">M3    </t>
  </si>
  <si>
    <t xml:space="preserve">MES   </t>
  </si>
  <si>
    <t xml:space="preserve">CENTO </t>
  </si>
  <si>
    <t>Regularização de fundo e de taludes</t>
  </si>
  <si>
    <t>Reforço do Subleito</t>
  </si>
  <si>
    <t>Subleito</t>
  </si>
  <si>
    <t>Base de solo-cimento</t>
  </si>
  <si>
    <t>CM-30 ou EAI</t>
  </si>
  <si>
    <t>CP0621</t>
  </si>
  <si>
    <t>SICRO 4011304</t>
  </si>
  <si>
    <t>E9027-P</t>
  </si>
  <si>
    <t>CAMINHÃO DISTRIBUIDOR DE CIMENTO COM CAPACIDADE DE 17 m³ - 210 kW - CUSTO HORÁRIO PRODUTIVO</t>
  </si>
  <si>
    <t>INSUMO E9027</t>
  </si>
  <si>
    <t>CAMINHÃO DISTRIBUIDOR DE CIMENTO COM CAPACIDADE DE 17 m³ - 210 kW - CUSTO HORÁRIO IMPRODUTIVO</t>
  </si>
  <si>
    <t>E9027-I</t>
  </si>
  <si>
    <t>E9762-P</t>
  </si>
  <si>
    <t>ROLO COMPACTADOR DE PNEUS AUTOPROPELIDO DE 27 t - 85 kW</t>
  </si>
  <si>
    <t>INSUMO E9762</t>
  </si>
  <si>
    <t>E9762-I</t>
  </si>
  <si>
    <t>Não foi considerado o serviço 4016096 (1,05626 m³/m³) por não ser pertinente à especificação do serviço.</t>
  </si>
  <si>
    <t>CP0651</t>
  </si>
  <si>
    <t>CARGA, MANOBRA E DESCARGA DE CIMENTO A GRANEL EM CAMINHÃO SILO DE 30 M³</t>
  </si>
  <si>
    <t>E9146-P</t>
  </si>
  <si>
    <t>E9146-I</t>
  </si>
  <si>
    <t>CAMINHÃO SILO COM CAPACIDADE DE 30 m³ - 265 kW - CUSTO HORÁRIO PRODUTIVO</t>
  </si>
  <si>
    <t>CAMINHÃO SILO COM CAPACIDADE DE 30 m³ - 265 kW - CUSTO HORÁRIO IMPRODUTIVO</t>
  </si>
  <si>
    <t>INSUMO E9146</t>
  </si>
  <si>
    <t>SICRO CPU 5914363</t>
  </si>
  <si>
    <t>Não foi considerado o tempo fixo da escavação (4016096).</t>
  </si>
  <si>
    <t>06.03.01.02</t>
  </si>
  <si>
    <t>06.03.01.03</t>
  </si>
  <si>
    <t>06.03.01.04</t>
  </si>
  <si>
    <t>06.03.01.05</t>
  </si>
  <si>
    <t>06.03.01.06</t>
  </si>
  <si>
    <t>06.03.05</t>
  </si>
  <si>
    <t>06.03.05.01</t>
  </si>
  <si>
    <t>06.03.05.02</t>
  </si>
  <si>
    <t>06.03.05.01.01</t>
  </si>
  <si>
    <t>06.03.05.01.02</t>
  </si>
  <si>
    <t>06.03.05.01.03</t>
  </si>
  <si>
    <t>06.03.05.02.01</t>
  </si>
  <si>
    <t>1.1.3</t>
  </si>
  <si>
    <t>COMPRIMENTO 19 M</t>
  </si>
  <si>
    <t>1.1.4</t>
  </si>
  <si>
    <t>COMPRIMENTO 23 M</t>
  </si>
  <si>
    <t>Bota-fora saldo de escavação</t>
  </si>
  <si>
    <t>Origem: Centro de Massas da Obra
Destino: DER 5º DISTRITO</t>
  </si>
  <si>
    <t>Bota-espera de material escavado para Trecho PRISMA</t>
  </si>
  <si>
    <t>DER 5º Distrito</t>
  </si>
  <si>
    <t>CP0711</t>
  </si>
  <si>
    <t>SINAPI CPU 100931 ADAPTADA PARA ESPECIFICAÇÕES DO PROJETO</t>
  </si>
  <si>
    <t>O projeto especifica Ø 41 cm, contudo não há CPUs em outras bases para estacas com esse diâmetro. Foi adotada a estaca escavada com menor diâmetro.</t>
  </si>
  <si>
    <t>PROJETO: O COEFICIENTE REPRESENTA A QUANTIDADE DE TUBO NECESSÁRIA AO PROJETO.</t>
  </si>
  <si>
    <t>CP0721</t>
  </si>
  <si>
    <t>Mobilização e desmobilização de equipamentos para estaca</t>
  </si>
  <si>
    <t>OBRA DE ARTE CORRENTE - CONFORMAÇÃO DE LEITO DE CÓRREGO EM CANAL E AMPLIAÇÃO DE BUEIRO EXISTENTE</t>
  </si>
  <si>
    <t>Juntas de dilatação</t>
  </si>
  <si>
    <t>IO0712</t>
  </si>
  <si>
    <t>M1142</t>
  </si>
  <si>
    <t>Junta de dilatação em elastômero e perfil VV - L = 35 mm e H = 60 mm</t>
  </si>
  <si>
    <t>JUNTA DE DILATAÇÃO EM ELASTÔMERO E PERFIL VV - L = 35 MM E H = 60 MM - FORNECIMENTO E INSTALAÇÃO</t>
  </si>
  <si>
    <t>SICRO CPU 0307735 ADAPTADA PARA OS RECURSOS SINAPI</t>
  </si>
  <si>
    <t>07.01.04.01.05</t>
  </si>
  <si>
    <t>07.06.02.04</t>
  </si>
  <si>
    <t>07.06.02.05</t>
  </si>
  <si>
    <t>07.06.02.06</t>
  </si>
  <si>
    <t>Regularização do fundo e laterais da lagoa.</t>
  </si>
  <si>
    <t>07.06.04.06</t>
  </si>
  <si>
    <t>07.06.04.07</t>
  </si>
  <si>
    <t>07.06.05.02</t>
  </si>
  <si>
    <t>07.06.05.03</t>
  </si>
  <si>
    <t>07.06.05.04</t>
  </si>
  <si>
    <t>07.06.05.05</t>
  </si>
  <si>
    <t>07.06.05.06</t>
  </si>
  <si>
    <t>07.06.05.07</t>
  </si>
  <si>
    <t>07.06.05.08</t>
  </si>
  <si>
    <t>07.06.05.09</t>
  </si>
  <si>
    <t>07.06.05.10</t>
  </si>
  <si>
    <t>07.06.06</t>
  </si>
  <si>
    <t>07.06.06.01</t>
  </si>
  <si>
    <t>07.06.06.02</t>
  </si>
  <si>
    <t>07.06.06.03</t>
  </si>
  <si>
    <t>07.06.06.04</t>
  </si>
  <si>
    <t>07.06.06.05</t>
  </si>
  <si>
    <t>07.06.07</t>
  </si>
  <si>
    <t>07.06.07.01</t>
  </si>
  <si>
    <t>LCA_LINHA DE CANALIZAÇÃO DE MESMO FLUXO BRANCA - L=0.10 m</t>
  </si>
  <si>
    <t>PINTURA DE FAIXA DE PEDESTRE COM LINHA DE RETENÇÃO</t>
  </si>
  <si>
    <t>SEGREGADOR 500MMX 170MM</t>
  </si>
  <si>
    <t>LMS-2_LINHA DE MARCAÇÃO DE MESMO FLUXO TRACEJADA AMARELA - L=0.10 m</t>
  </si>
  <si>
    <t>ZPA_LINHA ZEBRADA DE MESMO FLUXO BRANCA - L=0.30 m</t>
  </si>
  <si>
    <t>Origem: Canteiro de Obras
Destino: Trecho 3 - Lotes 1 e 2</t>
  </si>
  <si>
    <t>REATERRO DAS VALAS DE DRENAGEM (BOTA-FORA DO EXCEDENTE NO 5º DISTRITO DO DER)</t>
  </si>
  <si>
    <t>BOTA-FORA DO EXCEDENTE DA ESCAVAÇÃO NO 5º DISTRITO DO DER</t>
  </si>
  <si>
    <t>PROTEÇÃO DO BUEIRO COM GABIÃO CAIXA E ATERRO MANUAL COM REAPROVEITAMENTO DO MATERIAL RETIRADO E BOTA-FORA DO EXCEDENTE DA ESCAVAÇÃO NO 5º DISTRITO DO DER</t>
  </si>
  <si>
    <t>04.02.03</t>
  </si>
  <si>
    <t>04.02.03.01</t>
  </si>
  <si>
    <t>04.02.03.01.01</t>
  </si>
  <si>
    <t>04.02.03.02</t>
  </si>
  <si>
    <t>04.02.03.02.01</t>
  </si>
  <si>
    <t>04.02.03.02.02</t>
  </si>
  <si>
    <t>04.02.03.02.03</t>
  </si>
  <si>
    <t>04.02.03.02.04</t>
  </si>
  <si>
    <t>04.02.03.02.05</t>
  </si>
  <si>
    <t>04.02.03.02.06</t>
  </si>
  <si>
    <t>04.02.03.02.07</t>
  </si>
  <si>
    <t>04.02.03.02.08</t>
  </si>
  <si>
    <t>04.02.03.03</t>
  </si>
  <si>
    <t>04.02.03.03.01</t>
  </si>
  <si>
    <t>04.02.03.03.02</t>
  </si>
  <si>
    <t>04.02.03.03.03</t>
  </si>
  <si>
    <t>04.02.03.03.04</t>
  </si>
  <si>
    <t>04.02.03.03.05</t>
  </si>
  <si>
    <t>04.02.03.04</t>
  </si>
  <si>
    <t>04.02.03.04.01</t>
  </si>
  <si>
    <t>04.02.03.04.02</t>
  </si>
  <si>
    <t>04.02.03.04.03</t>
  </si>
  <si>
    <t>04.02.04</t>
  </si>
  <si>
    <t>04.02.04.01</t>
  </si>
  <si>
    <t>MOVIMENTOS DE TERRA PARA EQUALIZAÇÃO E NIVELAMENTO DO CÓRREGO COM BOTA-FORA DO MATERIAL ESCAVAD NO 5º DISTRITO DO DER</t>
  </si>
  <si>
    <t>Conforme arquivo
"Relatório_DRN_Sol_Nascente_Trecho_1_e_3.pdf"
Quantitativos de trincheiras obtido do projeto.</t>
  </si>
  <si>
    <t>04.02.01.04.04</t>
  </si>
  <si>
    <t>04.02.01.04.05</t>
  </si>
  <si>
    <t>04.02.01.04.06</t>
  </si>
  <si>
    <t>CP0521</t>
  </si>
  <si>
    <t>CPU SINAPI 101624 ADAPTADA</t>
  </si>
  <si>
    <t>LANÇAMENTO MECANIZADO DE BRITA E VALA / TRINCHEIRA</t>
  </si>
  <si>
    <t>NÃO CONSIDERADO PARA A ESPECIFICAÇÃO DO SERVIÇO</t>
  </si>
  <si>
    <t>Carga, manobra e descarga de solo escavado</t>
  </si>
  <si>
    <t>Acerto de fundo de vala</t>
  </si>
  <si>
    <t>Volume de brita dentro da trincheira</t>
  </si>
  <si>
    <t>Considerado no fundo e nas laterais da trincheira.</t>
  </si>
  <si>
    <t>TRINCHEIRAS DE INFILTRAÇÃO, CONSIDERANDO O BOTA-FORA DO MATERIAL ESCAVADO NO 5º DISTRITO DO DER</t>
  </si>
  <si>
    <t>04.02.04.02</t>
  </si>
  <si>
    <t>04.02.04.03</t>
  </si>
  <si>
    <t>04.02.04.04</t>
  </si>
  <si>
    <t>04.02.04.05</t>
  </si>
  <si>
    <t>04.02.04.06</t>
  </si>
  <si>
    <t>04.02.04.07</t>
  </si>
  <si>
    <t>TOTAL B.L. SIMPLES</t>
  </si>
  <si>
    <t>TOTAL B.L. DUPLA</t>
  </si>
  <si>
    <t>B.L. SIMPLES</t>
  </si>
  <si>
    <t>B.L. DUPLA</t>
  </si>
  <si>
    <t>Lançamento 05</t>
  </si>
  <si>
    <t>BACIA 05</t>
  </si>
  <si>
    <t>Lançamento 04</t>
  </si>
  <si>
    <t>BACIA 04</t>
  </si>
  <si>
    <t>Lançamento 03</t>
  </si>
  <si>
    <t>BACIA 03</t>
  </si>
  <si>
    <t>Lançamento 02</t>
  </si>
  <si>
    <t>BACIA 02</t>
  </si>
  <si>
    <t>Lançamento 01</t>
  </si>
  <si>
    <t>BACIA 01</t>
  </si>
  <si>
    <t>Trecho 03</t>
  </si>
  <si>
    <t>Trecho 01</t>
  </si>
  <si>
    <t>BOCAS DE LOBO DE QUALIDADE</t>
  </si>
  <si>
    <t>04.03.04</t>
  </si>
  <si>
    <t>04.03.04.01</t>
  </si>
  <si>
    <t>04.03.04.01.01</t>
  </si>
  <si>
    <t>04.03.04.01.02</t>
  </si>
  <si>
    <t>04.03.04.01.03</t>
  </si>
  <si>
    <t>04.03.04.02</t>
  </si>
  <si>
    <t>04.03.04.02.01</t>
  </si>
  <si>
    <t>04.03.04.03</t>
  </si>
  <si>
    <t>04.03.04.03.01</t>
  </si>
  <si>
    <t>04.03.04.03.02</t>
  </si>
  <si>
    <t>04.03.04.03.03</t>
  </si>
  <si>
    <t>04.03.04.03.04</t>
  </si>
  <si>
    <t>04.03.04.03.05</t>
  </si>
  <si>
    <t>04.03.04.03.06</t>
  </si>
  <si>
    <t>04.03.04.04</t>
  </si>
  <si>
    <t>04.03.04.04.01</t>
  </si>
  <si>
    <t>04.03.04.04.02</t>
  </si>
  <si>
    <t>04.03.04.04.03</t>
  </si>
  <si>
    <t>CP0522</t>
  </si>
  <si>
    <t>CP0523</t>
  </si>
  <si>
    <t>CP0524</t>
  </si>
  <si>
    <t>CP0525</t>
  </si>
  <si>
    <t>EXECUCAO DE DRENO COM TUBOS DE PVC CORRUGADO FLEXIVEL PERFURADO - DN 100</t>
  </si>
  <si>
    <t>SINAPI 73816/1 DA BASE DE DEZ/2018</t>
  </si>
  <si>
    <t>ESPALHAMENTO MANUAL DE MATERIAL EXCEDENTE DE ESCAVAÇÃO</t>
  </si>
  <si>
    <t>SICRO 2003767 ADAPTADA PARA OS RECURSOS SINAPI</t>
  </si>
  <si>
    <t>BOCA DE LOBO DE QUALIDADE, COM RESERVATÓRIO E GRELHA (EXECUÇÃO), INCLUI TODOS OS SERVIÇOS DESDE A ESCAVAÇÃO ATÉ O REATERRO, EXCETO BOTA-FORA DO MATERIAL ESCAVADO</t>
  </si>
  <si>
    <t>FORMA PARA ESTRUTURAS DE CONCRETO COM CHAPA COMPENSADA RESINADA E=14MM, 3 APROVEITAMENTOS, (INCLUSIVE ESCORAMENTO)</t>
  </si>
  <si>
    <t>CPU NOVACAP 5366A ADAPTADA PARA OS RECURSOS DO SINAPI E RETIRADOS OS 5% DE FERRAMENTAS</t>
  </si>
  <si>
    <t>Execução de boca de lobo de qualidade</t>
  </si>
  <si>
    <t>04.03.02.02.02</t>
  </si>
  <si>
    <t>Descontadas as bocas de lobo de qualidade (item adiante)</t>
  </si>
  <si>
    <t>DESCONSIDERADO O ESPALHAMENTO E CONSIDERADO O BOTA-FORA EM ITEM ESPECÍFICO DA PLANILHA ORÇAMENTÁRIA.</t>
  </si>
  <si>
    <t>Xmin</t>
  </si>
  <si>
    <t>Xmax</t>
  </si>
  <si>
    <t>CbrProjeto</t>
  </si>
  <si>
    <t>Student - t</t>
  </si>
  <si>
    <t>Desvio</t>
  </si>
  <si>
    <t>Média</t>
  </si>
  <si>
    <t>Media</t>
  </si>
  <si>
    <t>IP</t>
  </si>
  <si>
    <t>LP</t>
  </si>
  <si>
    <t>LL</t>
  </si>
  <si>
    <t>IG</t>
  </si>
  <si>
    <t>D</t>
  </si>
  <si>
    <t>CBR-85</t>
  </si>
  <si>
    <t>CBR-84</t>
  </si>
  <si>
    <t>CBR-83</t>
  </si>
  <si>
    <t>CBR-82</t>
  </si>
  <si>
    <t>CBR-81</t>
  </si>
  <si>
    <t>CBR-80</t>
  </si>
  <si>
    <t>CBR-79</t>
  </si>
  <si>
    <t>CBR-78</t>
  </si>
  <si>
    <t>CBR-77</t>
  </si>
  <si>
    <t>CBR-76</t>
  </si>
  <si>
    <t>CBR-75</t>
  </si>
  <si>
    <t>CBR-74</t>
  </si>
  <si>
    <t>CBR-73</t>
  </si>
  <si>
    <t>SM</t>
  </si>
  <si>
    <t>A -2- 4</t>
  </si>
  <si>
    <t>CBR-72</t>
  </si>
  <si>
    <t>CL</t>
  </si>
  <si>
    <t>A - 7- 6</t>
  </si>
  <si>
    <t>CBR-71</t>
  </si>
  <si>
    <t>MH</t>
  </si>
  <si>
    <t>A - 7- 5</t>
  </si>
  <si>
    <t>CBR-70</t>
  </si>
  <si>
    <t>CBR-69</t>
  </si>
  <si>
    <t>CBR-68</t>
  </si>
  <si>
    <t>CBR-67</t>
  </si>
  <si>
    <t>CBR-66</t>
  </si>
  <si>
    <t>ML</t>
  </si>
  <si>
    <t>A - 4</t>
  </si>
  <si>
    <t>CBR-65</t>
  </si>
  <si>
    <t>A - 6</t>
  </si>
  <si>
    <t>CBR-64</t>
  </si>
  <si>
    <t>CBR-63</t>
  </si>
  <si>
    <t>CBR-62</t>
  </si>
  <si>
    <t>CBR-61</t>
  </si>
  <si>
    <t>CBR-60</t>
  </si>
  <si>
    <t>CH</t>
  </si>
  <si>
    <t>CBR-59</t>
  </si>
  <si>
    <t>CBR-58</t>
  </si>
  <si>
    <t>CBR-57</t>
  </si>
  <si>
    <t>CBR-56</t>
  </si>
  <si>
    <t>CBR-55</t>
  </si>
  <si>
    <t>CBR-54</t>
  </si>
  <si>
    <t>CBR-53</t>
  </si>
  <si>
    <t>CBR-52</t>
  </si>
  <si>
    <t>CBR-51</t>
  </si>
  <si>
    <t>CBR-50</t>
  </si>
  <si>
    <t>CBR-49</t>
  </si>
  <si>
    <t>CBR-48</t>
  </si>
  <si>
    <t>CBR-47</t>
  </si>
  <si>
    <t>CBR-46</t>
  </si>
  <si>
    <t>SC</t>
  </si>
  <si>
    <t>A -2- 7</t>
  </si>
  <si>
    <t>NO</t>
  </si>
  <si>
    <t>NL</t>
  </si>
  <si>
    <t>CBR-45</t>
  </si>
  <si>
    <t>CBR-44</t>
  </si>
  <si>
    <t>CBR-43</t>
  </si>
  <si>
    <t>A -2- 6</t>
  </si>
  <si>
    <t>CBR-42</t>
  </si>
  <si>
    <t>CBR-41</t>
  </si>
  <si>
    <t>CBR-40</t>
  </si>
  <si>
    <t>CBR-39</t>
  </si>
  <si>
    <t>CBR-38</t>
  </si>
  <si>
    <t>CBR-37</t>
  </si>
  <si>
    <t>CBR-36</t>
  </si>
  <si>
    <t>CBR-35</t>
  </si>
  <si>
    <t>CBR-34</t>
  </si>
  <si>
    <t>CBR-33</t>
  </si>
  <si>
    <t>CBR-32</t>
  </si>
  <si>
    <t>CBR-31</t>
  </si>
  <si>
    <t>OH</t>
  </si>
  <si>
    <t>CBR-30</t>
  </si>
  <si>
    <t>CBR-29</t>
  </si>
  <si>
    <t>CBR-28</t>
  </si>
  <si>
    <t>CBR-27</t>
  </si>
  <si>
    <t>CBR-26</t>
  </si>
  <si>
    <t>CBR-25</t>
  </si>
  <si>
    <t>CBR-24</t>
  </si>
  <si>
    <t>CBR-23</t>
  </si>
  <si>
    <t>CBR-22</t>
  </si>
  <si>
    <t>CBR-21</t>
  </si>
  <si>
    <t>CBR-20</t>
  </si>
  <si>
    <t>CBR-19</t>
  </si>
  <si>
    <t>CBR-18</t>
  </si>
  <si>
    <t>CBR-17</t>
  </si>
  <si>
    <t>CBR-16</t>
  </si>
  <si>
    <t>CBR-15</t>
  </si>
  <si>
    <t>CBR-14</t>
  </si>
  <si>
    <t>CBR-13</t>
  </si>
  <si>
    <t>CBR-12</t>
  </si>
  <si>
    <t>CBR-11</t>
  </si>
  <si>
    <t>CBR-10</t>
  </si>
  <si>
    <t>CBR-09</t>
  </si>
  <si>
    <t>CBR-08</t>
  </si>
  <si>
    <t>CBR-07</t>
  </si>
  <si>
    <t>CBR-06</t>
  </si>
  <si>
    <t>CBR-05</t>
  </si>
  <si>
    <t>29,,04</t>
  </si>
  <si>
    <t>CBR-04</t>
  </si>
  <si>
    <t>CBR-03</t>
  </si>
  <si>
    <t>CBR-02</t>
  </si>
  <si>
    <t>CBR-01</t>
  </si>
  <si>
    <t>INDICE DE GRUPO</t>
  </si>
  <si>
    <t>UNIFICADA - AASHO</t>
  </si>
  <si>
    <t>HRB GRUPO</t>
  </si>
  <si>
    <t>PASSA P. 200</t>
  </si>
  <si>
    <t>PASSA P. 40</t>
  </si>
  <si>
    <t>PASSA P. 10</t>
  </si>
  <si>
    <t>ARGILA SILTE</t>
  </si>
  <si>
    <t>AREIA FINA</t>
  </si>
  <si>
    <t>AREIA GROSSA</t>
  </si>
  <si>
    <t>PEDREGULHO</t>
  </si>
  <si>
    <t>ISC Porc</t>
  </si>
  <si>
    <t>EXP Porc</t>
  </si>
  <si>
    <t xml:space="preserve">DEN. MAXI. COMPACTADA </t>
  </si>
  <si>
    <t>UMID. OTIMA Porc</t>
  </si>
  <si>
    <t>N</t>
  </si>
  <si>
    <t>E</t>
  </si>
  <si>
    <t>N.A</t>
  </si>
  <si>
    <t>DESCRICAO</t>
  </si>
  <si>
    <t>FURO</t>
  </si>
  <si>
    <t>Conforme relatórios de CBR.</t>
  </si>
  <si>
    <t>RESUMO COMPARATIVO DOS TRECHOS</t>
  </si>
  <si>
    <t>DIFERENÇA PARA O ORÇAMENTO AGRUPADO</t>
  </si>
  <si>
    <t>Somente devem ser copiados para a planilha orçamentária e para o Mapa de Cotação de Preços os itens "H" e "K", respectivamente, quando é solicitado o Trecho 3 na aba "TRECHO(S) A IMPRIMIR". Caso contrário os valores hachurados não devem ser copiados e mantidos apenas aqueles já lançados na planilha e no MCP para o Trecho 3.</t>
  </si>
  <si>
    <t>ESCAVAÇÕES DAS LAGOAS</t>
  </si>
  <si>
    <t>04.01.02.01.01</t>
  </si>
  <si>
    <t>04.01.02.02.01</t>
  </si>
  <si>
    <t>TRANSPORTE PARA USO LOCAL EM SUB-BASES E BASES</t>
  </si>
  <si>
    <t>TRANSPORTE PARA O BOTA-ESPERA NO PROJETO DO TRECHO 3 LOTES 1 E 2</t>
  </si>
  <si>
    <t>04.01.02.03</t>
  </si>
  <si>
    <t>04.01.02.03.01</t>
  </si>
  <si>
    <t>04.01.02.03.02</t>
  </si>
  <si>
    <t>04.01.02.03.03</t>
  </si>
  <si>
    <t>ESCAVAÇÃO DAS LAGOAS, CONSIDERANDO-SE PARTE DO VOUME ESCAVADO PARA O BOTA-ESPERA (PROJETO DO TRECHO 3 - LOTES 1 E 2) E PARTE REUTILIZADA NAS BASES E SUB-BASES DESTE PROJETO.</t>
  </si>
  <si>
    <t>BOTA-FORA DE EXCEDENTE DAS ESCAVAÇÕES PARA O 5º DISTRITO DO DER, APÓS REUTILIZAÇÃO DO EXCEDENTE ESCAVADO NO REFORÇO DO SUBLEITO NO TRECHO 1</t>
  </si>
  <si>
    <t xml:space="preserve">Reforço de subleito: </t>
  </si>
  <si>
    <t xml:space="preserve">Saldo das escavações em volume: </t>
  </si>
  <si>
    <t>BASE DE SOLO CIMENTO, COM REAPROVEITAMENTO DO SOLO ESCAVADO DAS LAGOAS (VER ITEM DE DRENAGEM - ESCAVAÇÃO DAS LAGOAS)</t>
  </si>
  <si>
    <t>SUBBASE COM SOLO COMPACTADO, COM REAPROVEITAMENTO DO SOLO ESCAVADO DAS LAGOAS (VER ITEM DE DRENAGEM - ESCAVAÇÃO DAS LAGOAS)</t>
  </si>
  <si>
    <t>REFORÇO DO SUBLEITO COM MATERIAL REAPROVEITADO DA TERRAPLENAGEM</t>
  </si>
  <si>
    <t>Calculado. Vai para MCP, insumo H9005.</t>
  </si>
  <si>
    <t>Calculado. Vai para a aba 01-CO, Trecho 3, item 01.03.04.</t>
  </si>
  <si>
    <t>Diferença pelo cálculo dos itens das NR-18 e NR-24.</t>
  </si>
  <si>
    <t>A - 5</t>
  </si>
  <si>
    <t>REMOÇÃO DE ENTULHO EM RUAS E COMPLEMENTAÇÃO COM RACHÃO (AGULHAMENTO)</t>
  </si>
  <si>
    <t>Camada de rachão</t>
  </si>
  <si>
    <t>Transporte interno</t>
  </si>
  <si>
    <t>03.01.06</t>
  </si>
  <si>
    <t>03.01.07</t>
  </si>
  <si>
    <t>03.01.08</t>
  </si>
  <si>
    <t>03.01.09</t>
  </si>
  <si>
    <t>Escoramento de valas contínuo</t>
  </si>
  <si>
    <t>04.04.04.08</t>
  </si>
  <si>
    <t>Contínuo</t>
  </si>
  <si>
    <t>Descontínuo</t>
  </si>
  <si>
    <t>Inseridas por solicitação da ARKIS e descontadas das BLDs.</t>
  </si>
  <si>
    <t>Inseridas por solicitação da Secretaria de Obras e descontadas das bocas de lobo simples com meio-fio vazado.</t>
  </si>
  <si>
    <t>BOCAS DE LOBO SIMPLES COM GRELHA</t>
  </si>
  <si>
    <t>Execução de boca de lobo simples com meio-fio vazado</t>
  </si>
  <si>
    <t>04.03.05</t>
  </si>
  <si>
    <t>04.03.05.01</t>
  </si>
  <si>
    <t>04.03.05.01.01</t>
  </si>
  <si>
    <t>04.03.05.01.02</t>
  </si>
  <si>
    <t>04.03.05.01.03</t>
  </si>
  <si>
    <t>04.03.05.02</t>
  </si>
  <si>
    <t>04.03.05.02.01</t>
  </si>
  <si>
    <t>04.03.05.02.02</t>
  </si>
  <si>
    <t>04.03.05.03</t>
  </si>
  <si>
    <t>04.03.05.03.01</t>
  </si>
  <si>
    <t>04.03.05.03.02</t>
  </si>
  <si>
    <t>04.03.05.03.03</t>
  </si>
  <si>
    <t>04.03.05.03.04</t>
  </si>
  <si>
    <t>04.03.05.03.05</t>
  </si>
  <si>
    <t>04.03.05.03.06</t>
  </si>
  <si>
    <t>04.03.05.04</t>
  </si>
  <si>
    <t>04.03.05.04.01</t>
  </si>
  <si>
    <t>04.03.05.04.02</t>
  </si>
  <si>
    <t>04.03.05.04.03</t>
  </si>
  <si>
    <t>TSD</t>
  </si>
  <si>
    <t>CBUQ
1ª CAMADA</t>
  </si>
  <si>
    <t>CP0033</t>
  </si>
  <si>
    <t>FORNECIMENTO DE EMULSÃO ASFÁLTICA RR-2C (INCLUSIVE ICMS, TRANSPORTE E PEDÁGIOS)</t>
  </si>
  <si>
    <t>IO9014</t>
  </si>
  <si>
    <t>EMULSÃO ASFÁLTICA RR-2C</t>
  </si>
  <si>
    <t>06.01.06.01.01</t>
  </si>
  <si>
    <t>06.01.06.01.02</t>
  </si>
  <si>
    <t>CPU SINAPI 97805 ADAPTADA</t>
  </si>
  <si>
    <t>PAVIMENTO COM TRATAMENTO SUPERFICIAL DUPLO, COM EMULSÃO ASFÁLTICA RR-2C (EXCLUSA A EMULSÃO)</t>
  </si>
  <si>
    <t>Execução de TSD</t>
  </si>
  <si>
    <t>FORNECIMENTO DE BRITA DIRETAMENTE NA PISTA</t>
  </si>
  <si>
    <t>Conforme CPU SINAPI 97805</t>
  </si>
  <si>
    <t>Consumo de brita para Tratamento Superficial Duplo - TSD</t>
  </si>
  <si>
    <t>Consumo de RR-2C para Tratamento Superficial Duplo - TSD</t>
  </si>
  <si>
    <t>Conforme CPU SINAPI 97805 multiplicado pelo peso específico de 1,65 t/m³.</t>
  </si>
  <si>
    <t>Considerada a brita comercial.</t>
  </si>
  <si>
    <t>06.01.06.02.01</t>
  </si>
  <si>
    <t>EXECUÇÃO DO TRATAMENTO SUPERFICIAL DUPLO - TSD</t>
  </si>
  <si>
    <t>06.01.06.03.01</t>
  </si>
  <si>
    <t>CAMADA DE REFLEXÃO DE TRINCAS COM TSD</t>
  </si>
  <si>
    <t>06.01.08</t>
  </si>
  <si>
    <t>06.01.08.01</t>
  </si>
  <si>
    <t>06.01.08.01.01</t>
  </si>
  <si>
    <t>06.01.08.01.02</t>
  </si>
  <si>
    <t>06.01.08.02</t>
  </si>
  <si>
    <t>06.01.08.02.01</t>
  </si>
  <si>
    <t>06.01.08.03</t>
  </si>
  <si>
    <t>06.01.08.03.01</t>
  </si>
  <si>
    <t>06.01.08.03.02</t>
  </si>
  <si>
    <t>06.01.08.03.03</t>
  </si>
  <si>
    <t>Execução de boca de lobo dupla com meio-fio vazado</t>
  </si>
  <si>
    <t>Execução de boca de lobo tripla com meio-fio vazado</t>
  </si>
  <si>
    <t>REFORÇO DO SUBLEITO DE SOLO MELHORADO COM 3% DE CAL E MISTURA NA PISTA COM MATERIAL REAPROVEITADO DA TERRAPLENAGEM</t>
  </si>
  <si>
    <t>TOTAL (M)</t>
  </si>
  <si>
    <t>QUANTITIDADE DE CORDÃO</t>
  </si>
  <si>
    <t>FORNECIMENTO E ASSENTAMENTO DE CORDÃO DE CONCRETO PARA SEPARAÇÃO DO PAVIMENTO INTERTRAVADO DE OUTROS PAVIMENTOS EM NÍVEL</t>
  </si>
  <si>
    <t>06.03.05.01.04</t>
  </si>
  <si>
    <t>Considerada brita comercial.</t>
  </si>
  <si>
    <t>06.03.05.02.02</t>
  </si>
  <si>
    <t>06.03.05.02.03</t>
  </si>
  <si>
    <t>06.03.05.03</t>
  </si>
  <si>
    <t>06.03.05.03.01</t>
  </si>
  <si>
    <t>Pintura de sinalização viária, horizontal, com resina acrílica e esferas de vidro</t>
  </si>
  <si>
    <t>Pintura de sinalização viária, horizontal, com elastoplástico</t>
  </si>
  <si>
    <t>08.01.02</t>
  </si>
  <si>
    <t>CP0579</t>
  </si>
  <si>
    <t>CPU SICRO 5213358 COM SUBSTITUIÇÃO DOS RECURSOS PELOS DO SINAPI QUANDO POSSÍVEL.</t>
  </si>
  <si>
    <t>LAMINADO ELASTOPLÁSTICO PARA SINALIZAÇÃO HORIZONTAL - ESPESSURA DE 1,5 MM - FORNECIMENTO E IMPLANTAÇÃO</t>
  </si>
  <si>
    <t>IO0511</t>
  </si>
  <si>
    <t>ADESIVO DE CONTATO PARA LAMINADO ELASTOPLÁSTICO</t>
  </si>
  <si>
    <t>INSUMO M0032</t>
  </si>
  <si>
    <t>IO0512</t>
  </si>
  <si>
    <t>LAMINADO ELASTOPLÁSTICO DE 1,5 mm</t>
  </si>
  <si>
    <t>INSUMO M0521</t>
  </si>
  <si>
    <t>Tabela de Consultorias - JAN/21</t>
  </si>
  <si>
    <t>Reaj. &gt; junho/2021 INCC</t>
  </si>
  <si>
    <t>ENGENHEIRO AMBIENTAL PLENO</t>
  </si>
  <si>
    <t>JAN/2021</t>
  </si>
  <si>
    <t>INSUMO M3870</t>
  </si>
  <si>
    <t>INSUMO M3869</t>
  </si>
  <si>
    <t>Reaj. &gt; jun/2021 INCC</t>
  </si>
  <si>
    <t xml:space="preserve">CONCRETO USINADO BOMBEÁVEL FCK = 25MPA - LANÇAMENTO, ADENSAMENTO E ACABAMENTO. ORIGEM; SINAPI 97094 - CONCRETO 25 MPA </t>
  </si>
  <si>
    <t>ASSENTAMENTO  E FORNECIMENTO DE GUIA MEIO FIO VAZADO EM TRECHO RETO- TIPO GUIA CHAPÉU</t>
  </si>
  <si>
    <t>CP0424</t>
  </si>
  <si>
    <t>CPU SINAPI 94273 ADAPTADA PARA A ESPECIFICAÇÃO DO MEIO-FIO</t>
  </si>
  <si>
    <t>CP0425</t>
  </si>
  <si>
    <t>CPU SINAPI 87527 ADAPTADA PARA A ESPECIFICAÇÃO</t>
  </si>
  <si>
    <t>REVESTIMENTO ARGAMASSA  TRAÇO 1:3 (CIMENTO E AREIA) ACABAMENTO RÚSTICO ESPES. 2,5 CM</t>
  </si>
  <si>
    <t>CP0426</t>
  </si>
  <si>
    <t>CPU SINAPI 97094 ADAPTADA PARA A ESPECIFICAÇÃO</t>
  </si>
  <si>
    <t>CP0427</t>
  </si>
  <si>
    <t>CP0428</t>
  </si>
  <si>
    <t>CPU SICRO 3108000 ADAPTADA PARA A ESPECIFICAÇÃO</t>
  </si>
  <si>
    <t>CPU SICRO 2003850 ADAPTADA PARA A ESPECIFICAÇÃO</t>
  </si>
  <si>
    <t>E9066</t>
  </si>
  <si>
    <t>Grupo gerador - 13/14 kVA</t>
  </si>
  <si>
    <t>LASTRO DE BRITA COMERCIAL</t>
  </si>
  <si>
    <t>FORMAS DE COMPENSADO RESINADO 14 MM- USO GERAL- UTILIZAÇÃO 2 VEZES - CONFECÇÃO, INSTALAÇÃO E RETIRADA.</t>
  </si>
  <si>
    <t>COMPOSIÇAO NOVACAP 4456 MODIFICADA PARA A ESPECIFICAÇÃO</t>
  </si>
  <si>
    <t>BOCA DE LOBO SIMPLES EM ALVENARIA DE BLOCO DE CONCRETO (09X19X39) CM - REVESTIMENTO ARGAMASSA 1:3 E=2,5 CM COM MEIO FIO VAZADO E TAMPA DE CONCRETO. CONF. DET PROJETO  BOCA DE LOBO SIMPLES C/ MEIO FIO VAZADO NOVACAP</t>
  </si>
  <si>
    <t>BOCA DE LOBO DUPLA EM ALVENARIA DE BLOCO DE CONCRETO (9X19X39) CM - REVESTIMENTO ARGAMASSA 1:3 E=2,5 CM COM MEIO FIO VAZADO E TAMPA DE CONCRETO. CONF. DET PROJETO PE-DRN-FX-1-2-N-EST-BLS-R00</t>
  </si>
  <si>
    <t>CP0429</t>
  </si>
  <si>
    <t>CPU SICRO 0407819 ADAPTADA PARA A ESPECIFICAÇÃO</t>
  </si>
  <si>
    <t>ARMAÇÃO EM AÇO CA-50 - FORNECIMENTO, PREPARO E COLOCAÇÃO. ORIGEM; SICRO-0407819</t>
  </si>
  <si>
    <t>CP0492</t>
  </si>
  <si>
    <t>CPU SICRO 5914492 ADAPTADA PARA O SINAPI</t>
  </si>
  <si>
    <t>CARGA, MANOBRA E DESCARGA DE MATERIAIS DIVERSOS EM CAMINHÃO CARROCERIA DE 15 T - CARGA E DESCARGA MANUAIS</t>
  </si>
  <si>
    <t>ESTACA RAÍZ, DIÂMETRO DE 41CM, (EXCLUSIVE MOBILIZAÇÃO E DESMOBILIZAÇÃO), CONSIDERADA INCORPORAÇÃO DE TUBO DE REVESTIMENTO EM SEGMENTOS INDICADOS EM PROJETO.</t>
  </si>
  <si>
    <t>CONSUMO DE CONCRETO E ARGAMASSA RODADO EM OBRA</t>
  </si>
  <si>
    <t>CONS. TOTAL CONCR. ARG. ROD. OBRA</t>
  </si>
  <si>
    <t>CONS. PARC. CONCR. ARG. ROD. OBRA</t>
  </si>
  <si>
    <t>JUNHO/2021</t>
  </si>
  <si>
    <t>CANTEIRO DE OBRAS (CONSTRUÇÕES PROVISÓRIAS) - TRECHOS 1 e 3</t>
  </si>
  <si>
    <t>IMPLANTAÇÃO DOS CANTEIROS DE OBRAS - TRECHOS 1 e 3</t>
  </si>
  <si>
    <t>LIGAÇÕES PROVISÓRIAS PARA OS CANTEIROS DE OBRAS - TRECHOS 1 e 3</t>
  </si>
  <si>
    <t>URBANIZAÇÃO E PAISAGISMO - TRECHOS 1 e 3</t>
  </si>
  <si>
    <t>SINALIZAÇÃO VIÁRIA - TRECHOS 1 e 3</t>
  </si>
  <si>
    <t>OBRA DE ARTE ESPECIAL (PONTE) E OBRA DE ARTE CORRENTE (CANAL) - TRECHOS 1 e 3</t>
  </si>
  <si>
    <t>PAVIMENTAÇÕES - TRECHOS 1 e 3</t>
  </si>
  <si>
    <t>TERRAPLENAGEM - TRECHOS 1 e 3</t>
  </si>
  <si>
    <t>DRENAGEM URBANA DE ÁGUAS PLUVIAIS E CONSTRUÇÃO DE BACIAS DE DETENÇÃO - TRECHOS 1 e 3</t>
  </si>
  <si>
    <t>SERVIÇOS PRELIMINARES DE OBRAS - TRECHOS 1 e 3</t>
  </si>
  <si>
    <t>ADMINISTRAÇÃO LOCAL - TRECHOS 1 e 3</t>
  </si>
  <si>
    <t>MÁQUINA DE BANCADA GUILHOTINA - 4 KW</t>
  </si>
  <si>
    <t>MÁQUINA DE BANCADA UNIVERSAL PARA CORTE DE CHAPA - 1,5 KW</t>
  </si>
  <si>
    <t>COMPUTADOR, PLOTTER DE RECORTE E SOFTWARE</t>
  </si>
  <si>
    <t>CAMINHÃO CARROCERIA COM CAPACIDADE DE 9 T - 136 KW</t>
  </si>
  <si>
    <t>CAMINHÃO CARROCERIA COM CAPACIDADE DE 15 T - 188 KW</t>
  </si>
  <si>
    <t>VEÍCULO LEVE - 53 KW (SEM MOTORISTA)</t>
  </si>
  <si>
    <t>CA</t>
  </si>
  <si>
    <t>28/JAN/2022</t>
  </si>
  <si>
    <t>TOTAIS GERAIS ENCARGOS SOCIAIS SEM DESONERAÇÃO</t>
  </si>
  <si>
    <t>CÓDIGO P8058</t>
  </si>
  <si>
    <t>CÓDIGO P8060</t>
  </si>
  <si>
    <t>CÓDIGO P8066</t>
  </si>
  <si>
    <t>CÓDIGO P8135</t>
  </si>
  <si>
    <t>1,5&lt;PM&lt;=3</t>
  </si>
  <si>
    <t>3&lt;PM&lt;=4,5</t>
  </si>
  <si>
    <t>4,5&lt;PM&lt;=6</t>
  </si>
  <si>
    <t>1,5&lt;=PM&lt;3</t>
  </si>
  <si>
    <t>3&lt;=PM&lt;4,5</t>
  </si>
  <si>
    <t>e &gt; 1,5 m</t>
  </si>
  <si>
    <t>e &gt; 3 m</t>
  </si>
  <si>
    <t>e &gt; 4,5 m</t>
  </si>
  <si>
    <t>OBRA  : URBANIZAÇÃO DO SETOR SOL NASCENTE - TRECHOS 1 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</si>
</sst>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44" formatCode="_-&quot;R$&quot;\ * #,##0.00_-;\-&quot;R$&quot;\ * #,##0.00_-;_-&quot;R$&quot;\ * &quot;-&quot;??_-;_-@_-"/>
    <numFmt numFmtId="43" formatCode="_-* #,##0.00_-;\-* #,##0.00_-;_-* &quot;-&quot;??_-;_-@_-"/>
    <numFmt numFmtId="164" formatCode="_-&quot;R$&quot;* #,##0.00_-;\-&quot;R$&quot;* #,##0.00_-;_-&quot;R$&quot;* &quot;-&quot;??_-;_-@_-"/>
    <numFmt numFmtId="165" formatCode="[$R$-416]&quot; &quot;#,##0.00;[Red]&quot;-&quot;[$R$-416]&quot; &quot;#,##0.00"/>
    <numFmt numFmtId="166" formatCode="#,##0.0000"/>
    <numFmt numFmtId="167" formatCode="_(* #,##0.00_);_(* \(#,##0.00\);_(* &quot;-&quot;??_);_(@_)"/>
    <numFmt numFmtId="168" formatCode="#,##0.00&quot; m&quot;"/>
    <numFmt numFmtId="169" formatCode="#,##0.0000000"/>
    <numFmt numFmtId="170" formatCode="00"/>
    <numFmt numFmtId="171" formatCode="&quot;R$&quot;\ #,##0.00&quot; / km&quot;"/>
    <numFmt numFmtId="172" formatCode="0.0000%"/>
    <numFmt numFmtId="173" formatCode="mmm/yyyy"/>
    <numFmt numFmtId="174" formatCode="0.000"/>
    <numFmt numFmtId="175" formatCode="&quot;REV.: &quot;00"/>
    <numFmt numFmtId="176" formatCode="0&quot; mês(es)&quot;"/>
    <numFmt numFmtId="177" formatCode="0.000%"/>
    <numFmt numFmtId="178" formatCode="&quot;Peso para transporte: &quot;#,##0.00000&quot; t/un&quot;"/>
    <numFmt numFmtId="179" formatCode="#,##0&quot; mês(es)&quot;"/>
    <numFmt numFmtId="180" formatCode="&quot;MÊS &quot;0"/>
    <numFmt numFmtId="181" formatCode="&quot;R$&quot;\ #,##0.00"/>
    <numFmt numFmtId="182" formatCode="#,##0.0&quot; m&quot;"/>
    <numFmt numFmtId="183" formatCode="&quot;Considerada a espessura de &quot;#,##0.0&quot; cm.&quot;"/>
    <numFmt numFmtId="184" formatCode="#,##0.00000"/>
    <numFmt numFmtId="185" formatCode="#,##0.00&quot; m²&quot;"/>
    <numFmt numFmtId="186" formatCode="#,##0.00&quot; m³&quot;"/>
    <numFmt numFmtId="187" formatCode="#,##0.000&quot; t/m³&quot;"/>
    <numFmt numFmtId="188" formatCode="&quot;Quantidade considerada: &quot;0&quot; un/mês.&quot;"/>
    <numFmt numFmtId="189" formatCode="0.0%"/>
    <numFmt numFmtId="190" formatCode="&quot;Espessura adotada: &quot;#,##0.00&quot; m.&quot;"/>
    <numFmt numFmtId="191" formatCode="#,##0\ &quot;mês(es)&quot;"/>
    <numFmt numFmtId="192" formatCode="#,##0.000&quot; t/un&quot;"/>
    <numFmt numFmtId="193" formatCode="_(* #,##0.000_);_(* \(#,##0.000\);_(* &quot;-&quot;??_);_(@_)"/>
    <numFmt numFmtId="194" formatCode="_(* #,##0.0000000_);_(* \(#,##0.0000000\);_(* &quot;-&quot;??_);_(@_)"/>
    <numFmt numFmtId="195" formatCode="_(* #,##0.00000000_);_(* \(#,##0.00000000\);_(* &quot;-&quot;??_);_(@_)"/>
    <numFmt numFmtId="196" formatCode="#,##0.000"/>
    <numFmt numFmtId="197" formatCode="&quot;Perímetro considerado para a pintura: &quot;#,##0.00&quot; m.&quot;"/>
    <numFmt numFmtId="198" formatCode="#,##0.0000&quot; t/m³&quot;"/>
    <numFmt numFmtId="199" formatCode="#,##0.000&quot; t/m²&quot;"/>
    <numFmt numFmtId="200" formatCode="&quot;Espessura de projeto/relatório: &quot;#,##0.00&quot; m.&quot;"/>
    <numFmt numFmtId="201" formatCode="&quot;Espessura de projeto/relatório: &quot;#,##0.000&quot; m.&quot;"/>
    <numFmt numFmtId="202" formatCode="&quot;Espessura da camada: &quot;#,##0.00&quot; m.&quot;"/>
    <numFmt numFmtId="203" formatCode="&quot;Área da seção unitária: &quot;#,##0.0000&quot; m².&quot;"/>
    <numFmt numFmtId="204" formatCode="&quot;Ø &quot;#,##0&quot; mm&quot;"/>
    <numFmt numFmtId="205" formatCode="&quot;Ø &quot;#,##0"/>
    <numFmt numFmtId="206" formatCode="&quot;PM&lt;=&quot;#,##0.0"/>
    <numFmt numFmtId="207" formatCode="&quot;PM&gt;&quot;#,##0.0"/>
    <numFmt numFmtId="208" formatCode="&quot;L &lt; &quot;#,##0.0&quot; m&quot;"/>
    <numFmt numFmtId="209" formatCode="&quot;L &gt;= &quot;#,##0.0&quot; m&quot;"/>
    <numFmt numFmtId="210" formatCode="&quot;L&lt;&quot;#,##0.0"/>
    <numFmt numFmtId="211" formatCode="&quot;PM&lt;&quot;#,##0.0"/>
    <numFmt numFmtId="212" formatCode="&quot;PM&gt;=&quot;#,##0.0"/>
    <numFmt numFmtId="213" formatCode="&quot;L&lt;&quot;#,##0.0&quot;m&quot;"/>
    <numFmt numFmtId="214" formatCode="&quot;L&gt;=&quot;#,##0.0&quot;m&quot;"/>
    <numFmt numFmtId="215" formatCode="00&quot;-&quot;00"/>
    <numFmt numFmtId="216" formatCode="#,##0.0"/>
    <numFmt numFmtId="217" formatCode="#,##0.000&quot; m²&quot;"/>
    <numFmt numFmtId="218" formatCode="#,##0&quot; un&quot;"/>
    <numFmt numFmtId="219" formatCode="#,##0&quot; m&quot;"/>
    <numFmt numFmtId="220" formatCode="#,##0.000&quot; t&quot;"/>
    <numFmt numFmtId="221" formatCode="#,##0&quot; mm&quot;"/>
    <numFmt numFmtId="222" formatCode="#,##0.000&quot; m&quot;"/>
    <numFmt numFmtId="223" formatCode="0&quot; mm&quot;"/>
    <numFmt numFmtId="224" formatCode="#,##0.000&quot; t/m&quot;"/>
    <numFmt numFmtId="225" formatCode="#,##0.00&quot; m2&quot;"/>
    <numFmt numFmtId="226" formatCode="&quot;L &lt;= &quot;#,##0.0&quot; m&quot;"/>
    <numFmt numFmtId="227" formatCode="&quot;P &lt;= &quot;#,##0.0&quot; m&quot;"/>
    <numFmt numFmtId="228" formatCode="&quot;1,5 m &lt; L &lt;= &quot;#,##0.0&quot; m&quot;"/>
    <numFmt numFmtId="229" formatCode="&quot;Estimados &quot;#,##0.00&quot; kg/m³&quot;\."/>
    <numFmt numFmtId="230" formatCode="#,##0.0000&quot; t/m&quot;"/>
    <numFmt numFmtId="231" formatCode="0\ &quot;un&quot;"/>
    <numFmt numFmtId="232" formatCode="#,##0.0&quot; km&quot;"/>
    <numFmt numFmtId="233" formatCode="&quot;R$&quot;\ #,##0.00&quot;/m²&quot;"/>
    <numFmt numFmtId="234" formatCode="#,##0.0000&quot; t/m²&quot;"/>
    <numFmt numFmtId="235" formatCode="#,##0.00&quot; t&quot;"/>
    <numFmt numFmtId="236" formatCode="&quot;Espessura do gabião colchão = &quot;#,##0.00&quot; m&quot;"/>
    <numFmt numFmtId="237" formatCode="&quot;Volume unitário do saldo conforme CPU da boca de lobo: &quot;#,##0.00&quot; m³.&quot;"/>
    <numFmt numFmtId="238" formatCode="0.0"/>
  </numFmts>
  <fonts count="13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Calibri"/>
      <family val="2"/>
    </font>
    <font>
      <sz val="10"/>
      <color theme="1"/>
      <name val="Arial"/>
      <family val="2"/>
    </font>
    <font>
      <sz val="10"/>
      <color theme="1"/>
      <name val="Calibri"/>
      <family val="2"/>
    </font>
    <font>
      <sz val="10"/>
      <color theme="1"/>
      <name val="Arial"/>
      <family val="2"/>
    </font>
    <font>
      <sz val="10"/>
      <color theme="1"/>
      <name val="Calibri"/>
      <family val="2"/>
    </font>
    <font>
      <sz val="10"/>
      <color theme="1"/>
      <name val="Arial"/>
      <family val="2"/>
    </font>
    <font>
      <sz val="10"/>
      <color theme="1"/>
      <name val="Arial"/>
      <family val="2"/>
    </font>
    <font>
      <b/>
      <sz val="14"/>
      <color theme="1"/>
      <name val="Calibri"/>
      <family val="2"/>
      <scheme val="minor"/>
    </font>
    <font>
      <b/>
      <sz val="10"/>
      <color theme="1"/>
      <name val="Arial"/>
      <family val="2"/>
    </font>
    <font>
      <sz val="10"/>
      <color theme="1"/>
      <name val="Arial"/>
      <family val="2"/>
    </font>
    <font>
      <sz val="10"/>
      <name val="Arial"/>
      <family val="2"/>
    </font>
    <font>
      <b/>
      <sz val="12"/>
      <color theme="1"/>
      <name val="Arial"/>
      <family val="2"/>
    </font>
    <font>
      <b/>
      <sz val="9"/>
      <color theme="1"/>
      <name val="Arial"/>
      <family val="2"/>
    </font>
    <font>
      <sz val="9"/>
      <color theme="1"/>
      <name val="Arial"/>
      <family val="2"/>
    </font>
    <font>
      <sz val="8"/>
      <color theme="1"/>
      <name val="Arial"/>
      <family val="2"/>
    </font>
    <font>
      <sz val="11"/>
      <color theme="1"/>
      <name val="Calibri"/>
      <family val="2"/>
      <scheme val="minor"/>
    </font>
    <font>
      <sz val="11"/>
      <color theme="1"/>
      <name val="Arial"/>
      <family val="2"/>
    </font>
    <font>
      <b/>
      <sz val="11"/>
      <color theme="1"/>
      <name val="Arial"/>
      <family val="2"/>
    </font>
    <font>
      <b/>
      <sz val="14"/>
      <color theme="1"/>
      <name val="Arial"/>
      <family val="2"/>
    </font>
    <font>
      <sz val="8"/>
      <name val="Arial"/>
      <family val="2"/>
    </font>
    <font>
      <sz val="10"/>
      <color theme="1"/>
      <name val="Calibri"/>
      <family val="2"/>
      <scheme val="minor"/>
    </font>
    <font>
      <b/>
      <sz val="10"/>
      <color theme="1"/>
      <name val="Calibri"/>
      <family val="2"/>
      <scheme val="minor"/>
    </font>
    <font>
      <b/>
      <sz val="10"/>
      <color rgb="FFFF0000"/>
      <name val="Arial"/>
      <family val="2"/>
    </font>
    <font>
      <b/>
      <sz val="10"/>
      <name val="Arial"/>
      <family val="2"/>
    </font>
    <font>
      <sz val="8"/>
      <name val="Courier New"/>
      <family val="3"/>
    </font>
    <font>
      <b/>
      <sz val="8"/>
      <name val="Courier New"/>
      <family val="3"/>
    </font>
    <font>
      <b/>
      <sz val="14"/>
      <name val="Arial"/>
      <family val="2"/>
    </font>
    <font>
      <sz val="9"/>
      <name val="Arial"/>
      <family val="2"/>
    </font>
    <font>
      <b/>
      <sz val="11"/>
      <color theme="1"/>
      <name val="Calibri"/>
      <family val="2"/>
      <scheme val="minor"/>
    </font>
    <font>
      <sz val="8"/>
      <color theme="1"/>
      <name val="Calibri"/>
      <family val="2"/>
      <scheme val="minor"/>
    </font>
    <font>
      <b/>
      <sz val="11"/>
      <color rgb="FFFF0000"/>
      <name val="Calibri"/>
      <family val="2"/>
      <scheme val="minor"/>
    </font>
    <font>
      <b/>
      <sz val="8"/>
      <color theme="1"/>
      <name val="Arial"/>
      <family val="2"/>
    </font>
    <font>
      <sz val="10"/>
      <color rgb="FF000000"/>
      <name val="Times New Roman"/>
      <family val="1"/>
    </font>
    <font>
      <b/>
      <sz val="9"/>
      <name val="Arial"/>
      <family val="2"/>
    </font>
    <font>
      <b/>
      <sz val="8"/>
      <color rgb="FFFF0000"/>
      <name val="Arial"/>
      <family val="2"/>
    </font>
    <font>
      <sz val="8"/>
      <name val="Calibri"/>
      <family val="2"/>
      <scheme val="minor"/>
    </font>
    <font>
      <b/>
      <sz val="12"/>
      <name val="Arial"/>
      <family val="2"/>
    </font>
    <font>
      <sz val="12"/>
      <color indexed="24"/>
      <name val="Arial"/>
      <family val="2"/>
    </font>
    <font>
      <b/>
      <sz val="9"/>
      <color rgb="FFFF0000"/>
      <name val="Arial"/>
      <family val="2"/>
    </font>
    <font>
      <b/>
      <sz val="11"/>
      <color rgb="FFFF0000"/>
      <name val="Arial"/>
      <family val="2"/>
    </font>
    <font>
      <b/>
      <sz val="8"/>
      <name val="Arial"/>
      <family val="2"/>
    </font>
    <font>
      <b/>
      <sz val="10"/>
      <color indexed="8"/>
      <name val="Arial"/>
      <family val="2"/>
    </font>
    <font>
      <sz val="10"/>
      <color rgb="FF000000"/>
      <name val="Times New Roman"/>
      <family val="1"/>
    </font>
    <font>
      <i/>
      <sz val="10"/>
      <color theme="1"/>
      <name val="Arial"/>
      <family val="2"/>
    </font>
    <font>
      <b/>
      <sz val="10"/>
      <name val="Calibri"/>
      <family val="2"/>
      <scheme val="minor"/>
    </font>
    <font>
      <b/>
      <sz val="11"/>
      <name val="Calibri"/>
      <family val="2"/>
      <scheme val="minor"/>
    </font>
    <font>
      <sz val="9"/>
      <color theme="1"/>
      <name val="Calibri"/>
      <family val="2"/>
      <scheme val="minor"/>
    </font>
    <font>
      <b/>
      <sz val="9"/>
      <name val="Calibri"/>
      <family val="2"/>
      <scheme val="minor"/>
    </font>
    <font>
      <sz val="11"/>
      <name val="Arial"/>
      <family val="2"/>
    </font>
    <font>
      <sz val="9"/>
      <color theme="0"/>
      <name val="Arial"/>
      <family val="2"/>
    </font>
    <font>
      <sz val="28"/>
      <color theme="1"/>
      <name val="Arial"/>
      <family val="2"/>
    </font>
    <font>
      <u/>
      <sz val="9"/>
      <color theme="1"/>
      <name val="Arial"/>
      <family val="2"/>
    </font>
    <font>
      <sz val="11"/>
      <color rgb="FF000000"/>
      <name val="Calibri"/>
      <family val="2"/>
      <scheme val="minor"/>
    </font>
    <font>
      <b/>
      <sz val="11"/>
      <color indexed="8"/>
      <name val="Arial"/>
      <family val="2"/>
    </font>
    <font>
      <b/>
      <sz val="11"/>
      <color theme="0"/>
      <name val="Calibri"/>
      <family val="2"/>
      <scheme val="minor"/>
    </font>
    <font>
      <b/>
      <sz val="9"/>
      <color indexed="8"/>
      <name val="Arial"/>
      <family val="2"/>
    </font>
    <font>
      <sz val="9"/>
      <color indexed="8"/>
      <name val="Arial"/>
      <family val="2"/>
    </font>
    <font>
      <b/>
      <sz val="9"/>
      <color rgb="FF000000"/>
      <name val="Arial"/>
      <family val="2"/>
    </font>
    <font>
      <b/>
      <sz val="9"/>
      <color rgb="FF000000"/>
      <name val="Calibri"/>
      <family val="2"/>
      <scheme val="minor"/>
    </font>
    <font>
      <sz val="9"/>
      <color rgb="FF000000"/>
      <name val="Calibri"/>
      <family val="2"/>
      <scheme val="minor"/>
    </font>
    <font>
      <b/>
      <vertAlign val="subscript"/>
      <sz val="11"/>
      <color theme="0"/>
      <name val="Calibri"/>
      <family val="2"/>
      <scheme val="minor"/>
    </font>
    <font>
      <b/>
      <sz val="8"/>
      <color indexed="8"/>
      <name val="Arial"/>
      <family val="2"/>
    </font>
    <font>
      <sz val="10"/>
      <color rgb="FF0070C0"/>
      <name val="Calibri"/>
      <family val="2"/>
      <scheme val="minor"/>
    </font>
    <font>
      <sz val="10"/>
      <color indexed="8"/>
      <name val="Arial"/>
      <family val="2"/>
    </font>
    <font>
      <sz val="8"/>
      <color theme="9" tint="-0.499984740745262"/>
      <name val="Arial"/>
      <family val="2"/>
    </font>
    <font>
      <sz val="11"/>
      <name val="Calibri"/>
      <family val="2"/>
      <scheme val="minor"/>
    </font>
    <font>
      <sz val="11"/>
      <color rgb="FFFF0000"/>
      <name val="Calibri"/>
      <family val="2"/>
      <scheme val="minor"/>
    </font>
    <font>
      <b/>
      <sz val="10"/>
      <color theme="0"/>
      <name val="Arial"/>
      <family val="2"/>
    </font>
    <font>
      <b/>
      <sz val="18"/>
      <color theme="1"/>
      <name val="Calibri"/>
      <family val="2"/>
      <scheme val="minor"/>
    </font>
    <font>
      <sz val="14"/>
      <color theme="1"/>
      <name val="Calibri"/>
      <family val="2"/>
      <scheme val="minor"/>
    </font>
    <font>
      <b/>
      <sz val="12"/>
      <color rgb="FFFF0000"/>
      <name val="Calibri"/>
      <family val="2"/>
      <scheme val="minor"/>
    </font>
    <font>
      <b/>
      <sz val="14"/>
      <color rgb="FFFF0000"/>
      <name val="Calibri"/>
      <family val="2"/>
      <scheme val="minor"/>
    </font>
    <font>
      <sz val="10"/>
      <color theme="3" tint="0.39997558519241921"/>
      <name val="Arial"/>
      <family val="2"/>
    </font>
    <font>
      <sz val="10"/>
      <name val="Calibri"/>
      <family val="2"/>
      <scheme val="minor"/>
    </font>
    <font>
      <b/>
      <sz val="9"/>
      <color theme="1"/>
      <name val="Calibri"/>
      <family val="2"/>
      <scheme val="minor"/>
    </font>
    <font>
      <b/>
      <u/>
      <sz val="10"/>
      <color theme="1"/>
      <name val="Calibri"/>
      <family val="2"/>
      <scheme val="minor"/>
    </font>
    <font>
      <b/>
      <u/>
      <sz val="9"/>
      <color theme="1"/>
      <name val="Calibri"/>
      <family val="2"/>
      <scheme val="minor"/>
    </font>
    <font>
      <b/>
      <sz val="10"/>
      <color rgb="FFFF0000"/>
      <name val="Calibri"/>
      <family val="2"/>
      <scheme val="minor"/>
    </font>
    <font>
      <sz val="10"/>
      <color rgb="FFFF0000"/>
      <name val="Calibri"/>
      <family val="2"/>
      <scheme val="minor"/>
    </font>
    <font>
      <b/>
      <sz val="8"/>
      <color rgb="FFFF0000"/>
      <name val="Courier New"/>
      <family val="3"/>
    </font>
    <font>
      <sz val="8"/>
      <color rgb="FFFF0000"/>
      <name val="Arial"/>
      <family val="2"/>
    </font>
    <font>
      <b/>
      <sz val="8"/>
      <color theme="1"/>
      <name val="Calibri"/>
      <family val="2"/>
      <scheme val="minor"/>
    </font>
    <font>
      <sz val="7"/>
      <name val="Calibri"/>
      <family val="2"/>
    </font>
    <font>
      <b/>
      <sz val="11"/>
      <name val="Times New Roman"/>
      <family val="1"/>
    </font>
    <font>
      <vertAlign val="superscript"/>
      <sz val="10"/>
      <name val="Calibri"/>
      <family val="2"/>
      <scheme val="minor"/>
    </font>
    <font>
      <b/>
      <sz val="9"/>
      <color indexed="8"/>
      <name val="Calibri"/>
      <family val="2"/>
      <scheme val="minor"/>
    </font>
    <font>
      <sz val="9"/>
      <name val="Calibri"/>
      <family val="2"/>
      <scheme val="minor"/>
    </font>
    <font>
      <sz val="9"/>
      <color indexed="8"/>
      <name val="Calibri"/>
      <family val="2"/>
      <scheme val="minor"/>
    </font>
    <font>
      <sz val="36"/>
      <name val="Arial Black"/>
      <family val="2"/>
    </font>
    <font>
      <b/>
      <sz val="12"/>
      <color theme="1"/>
      <name val="Calibri"/>
      <family val="2"/>
      <scheme val="minor"/>
    </font>
    <font>
      <sz val="9"/>
      <color theme="0"/>
      <name val="Calibri"/>
      <family val="2"/>
      <scheme val="minor"/>
    </font>
    <font>
      <b/>
      <sz val="14"/>
      <color theme="0"/>
      <name val="Calibri"/>
      <family val="2"/>
      <scheme val="minor"/>
    </font>
    <font>
      <b/>
      <sz val="12"/>
      <color theme="0"/>
      <name val="Calibri"/>
      <family val="2"/>
      <scheme val="minor"/>
    </font>
    <font>
      <b/>
      <sz val="9"/>
      <color theme="0"/>
      <name val="Calibri"/>
      <family val="2"/>
      <scheme val="minor"/>
    </font>
    <font>
      <sz val="8"/>
      <color theme="0"/>
      <name val="Calibri"/>
      <family val="2"/>
      <scheme val="minor"/>
    </font>
    <font>
      <b/>
      <sz val="8"/>
      <color theme="0"/>
      <name val="Calibri"/>
      <family val="2"/>
      <scheme val="minor"/>
    </font>
    <font>
      <sz val="11"/>
      <color theme="1"/>
      <name val="Calibri"/>
      <family val="2"/>
    </font>
    <font>
      <i/>
      <sz val="11"/>
      <color theme="1"/>
      <name val="Calibri"/>
      <family val="2"/>
      <scheme val="minor"/>
    </font>
    <font>
      <sz val="18"/>
      <color theme="1"/>
      <name val="Calibri"/>
      <family val="2"/>
      <scheme val="minor"/>
    </font>
    <font>
      <b/>
      <sz val="13"/>
      <color theme="1"/>
      <name val="Arial"/>
      <family val="2"/>
    </font>
    <font>
      <sz val="9"/>
      <color indexed="81"/>
      <name val="Segoe UI"/>
      <family val="2"/>
    </font>
    <font>
      <b/>
      <sz val="9"/>
      <color indexed="81"/>
      <name val="Segoe UI"/>
      <family val="2"/>
    </font>
    <font>
      <b/>
      <u/>
      <sz val="8"/>
      <color theme="1"/>
      <name val="Arial"/>
      <family val="2"/>
    </font>
    <font>
      <sz val="8"/>
      <name val="Arial"/>
      <family val="2"/>
    </font>
    <font>
      <b/>
      <sz val="8"/>
      <name val="Calibri"/>
      <family val="2"/>
      <scheme val="minor"/>
    </font>
    <font>
      <sz val="18"/>
      <color rgb="FFFFFF00"/>
      <name val="Calibri"/>
      <family val="2"/>
      <scheme val="minor"/>
    </font>
    <font>
      <b/>
      <sz val="7"/>
      <color rgb="FFFF0000"/>
      <name val="Arial"/>
      <family val="2"/>
    </font>
    <font>
      <sz val="10"/>
      <color rgb="FF00B050"/>
      <name val="Arial"/>
      <family val="2"/>
    </font>
    <font>
      <sz val="8"/>
      <color rgb="FF00B050"/>
      <name val="Arial"/>
      <family val="2"/>
    </font>
    <font>
      <sz val="10"/>
      <color rgb="FF0070C0"/>
      <name val="Arial"/>
      <family val="2"/>
    </font>
    <font>
      <sz val="8"/>
      <color rgb="FF0070C0"/>
      <name val="Arial"/>
      <family val="2"/>
    </font>
    <font>
      <sz val="10"/>
      <color theme="5"/>
      <name val="Arial"/>
      <family val="2"/>
    </font>
    <font>
      <sz val="8"/>
      <color theme="5"/>
      <name val="Arial"/>
      <family val="2"/>
    </font>
    <font>
      <b/>
      <sz val="10"/>
      <color rgb="FF00B050"/>
      <name val="Arial"/>
      <family val="2"/>
    </font>
    <font>
      <b/>
      <sz val="8"/>
      <color rgb="FF00B050"/>
      <name val="Arial"/>
      <family val="2"/>
    </font>
    <font>
      <b/>
      <strike/>
      <sz val="8"/>
      <color theme="1"/>
      <name val="Calibri"/>
      <family val="2"/>
      <scheme val="minor"/>
    </font>
    <font>
      <strike/>
      <sz val="8"/>
      <color theme="1"/>
      <name val="Calibri"/>
      <family val="2"/>
      <scheme val="minor"/>
    </font>
    <font>
      <sz val="9"/>
      <color rgb="FFFF0000"/>
      <name val="Arial"/>
      <family val="2"/>
    </font>
    <font>
      <b/>
      <sz val="6"/>
      <color rgb="FFFF0000"/>
      <name val="Arial"/>
      <family val="2"/>
    </font>
    <font>
      <sz val="8"/>
      <color rgb="FFFF0000"/>
      <name val="Calibri"/>
      <family val="2"/>
      <scheme val="minor"/>
    </font>
    <font>
      <sz val="11"/>
      <color rgb="FF3F3F76"/>
      <name val="Calibri"/>
      <family val="2"/>
      <scheme val="minor"/>
    </font>
    <font>
      <b/>
      <sz val="11"/>
      <color rgb="FFFA7D00"/>
      <name val="Calibri"/>
      <family val="2"/>
      <scheme val="minor"/>
    </font>
    <font>
      <b/>
      <sz val="8"/>
      <color rgb="FFFF0000"/>
      <name val="Century"/>
      <family val="1"/>
    </font>
    <font>
      <sz val="9"/>
      <color theme="1"/>
      <name val="Times New Roman"/>
      <family val="1"/>
    </font>
    <font>
      <b/>
      <sz val="9"/>
      <color theme="1"/>
      <name val="Times New Roman"/>
      <family val="1"/>
    </font>
    <font>
      <sz val="7"/>
      <name val="Arial"/>
      <family val="2"/>
    </font>
    <font>
      <u/>
      <sz val="9"/>
      <color theme="1"/>
      <name val="Times New Roman"/>
      <family val="1"/>
    </font>
    <font>
      <sz val="11"/>
      <color rgb="FF00B0F0"/>
      <name val="Calibri"/>
      <family val="2"/>
      <scheme val="minor"/>
    </font>
    <font>
      <sz val="6"/>
      <name val="Arial"/>
      <family val="2"/>
    </font>
  </fonts>
  <fills count="49">
    <fill>
      <patternFill patternType="none"/>
    </fill>
    <fill>
      <patternFill patternType="gray125"/>
    </fill>
    <fill>
      <patternFill patternType="solid">
        <fgColor theme="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6" tint="0.59999389629810485"/>
        <bgColor indexed="64"/>
      </patternFill>
    </fill>
    <fill>
      <patternFill patternType="solid">
        <fgColor theme="8"/>
        <bgColor indexed="64"/>
      </patternFill>
    </fill>
    <fill>
      <patternFill patternType="solid">
        <fgColor theme="6" tint="0.39997558519241921"/>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rgb="FF0070C0"/>
        <bgColor indexed="64"/>
      </patternFill>
    </fill>
    <fill>
      <patternFill patternType="solid">
        <fgColor theme="3" tint="0.39997558519241921"/>
        <bgColor indexed="64"/>
      </patternFill>
    </fill>
    <fill>
      <patternFill patternType="solid">
        <fgColor theme="7" tint="-0.24994659260841701"/>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theme="7" tint="0.39994506668294322"/>
        <bgColor indexed="64"/>
      </patternFill>
    </fill>
    <fill>
      <patternFill patternType="solid">
        <fgColor theme="9" tint="0.79998168889431442"/>
        <bgColor indexed="64"/>
      </patternFill>
    </fill>
    <fill>
      <patternFill patternType="solid">
        <fgColor rgb="FFFFCCFF"/>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59996337778862885"/>
        <bgColor indexed="64"/>
      </patternFill>
    </fill>
    <fill>
      <patternFill patternType="solid">
        <fgColor theme="0" tint="-0.14996795556505021"/>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rgb="FF00B050"/>
        <bgColor indexed="64"/>
      </patternFill>
    </fill>
    <fill>
      <patternFill patternType="solid">
        <fgColor rgb="FFBCD6ED"/>
        <bgColor indexed="64"/>
      </patternFill>
    </fill>
    <fill>
      <patternFill patternType="solid">
        <fgColor rgb="FFD9D9D9"/>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rgb="FFFFCC99"/>
      </patternFill>
    </fill>
    <fill>
      <patternFill patternType="solid">
        <fgColor rgb="FFF2F2F2"/>
      </patternFill>
    </fill>
    <fill>
      <patternFill patternType="solid">
        <fgColor rgb="FFA5A5A5"/>
      </patternFill>
    </fill>
    <fill>
      <patternFill patternType="solid">
        <fgColor rgb="FF00B0F0"/>
        <bgColor indexed="64"/>
      </patternFill>
    </fill>
    <fill>
      <patternFill patternType="solid">
        <fgColor theme="4"/>
        <bgColor indexed="64"/>
      </patternFill>
    </fill>
    <fill>
      <patternFill patternType="solid">
        <fgColor theme="8" tint="-0.249977111117893"/>
        <bgColor indexed="64"/>
      </patternFill>
    </fill>
  </fills>
  <borders count="25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top/>
      <bottom/>
      <diagonal/>
    </border>
    <border>
      <left/>
      <right style="medium">
        <color auto="1"/>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auto="1"/>
      </right>
      <top style="hair">
        <color indexed="64"/>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hair">
        <color auto="1"/>
      </top>
      <bottom style="hair">
        <color auto="1"/>
      </bottom>
      <diagonal/>
    </border>
    <border>
      <left/>
      <right style="thin">
        <color auto="1"/>
      </right>
      <top style="thin">
        <color auto="1"/>
      </top>
      <bottom style="hair">
        <color auto="1"/>
      </bottom>
      <diagonal/>
    </border>
    <border>
      <left/>
      <right/>
      <top style="thin">
        <color auto="1"/>
      </top>
      <bottom style="hair">
        <color auto="1"/>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diagonal/>
    </border>
    <border>
      <left style="hair">
        <color indexed="64"/>
      </left>
      <right/>
      <top style="hair">
        <color indexed="64"/>
      </top>
      <bottom style="hair">
        <color indexed="64"/>
      </bottom>
      <diagonal/>
    </border>
    <border>
      <left style="thin">
        <color indexed="64"/>
      </left>
      <right/>
      <top style="medium">
        <color indexed="64"/>
      </top>
      <bottom style="medium">
        <color indexed="64"/>
      </bottom>
      <diagonal/>
    </border>
    <border>
      <left/>
      <right style="hair">
        <color auto="1"/>
      </right>
      <top/>
      <bottom style="hair">
        <color auto="1"/>
      </bottom>
      <diagonal/>
    </border>
    <border>
      <left style="hair">
        <color auto="1"/>
      </left>
      <right style="hair">
        <color auto="1"/>
      </right>
      <top style="medium">
        <color indexed="64"/>
      </top>
      <bottom style="hair">
        <color auto="1"/>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hair">
        <color indexed="64"/>
      </top>
      <bottom style="thin">
        <color auto="1"/>
      </bottom>
      <diagonal/>
    </border>
    <border>
      <left/>
      <right style="thin">
        <color auto="1"/>
      </right>
      <top style="hair">
        <color indexed="64"/>
      </top>
      <bottom style="thin">
        <color auto="1"/>
      </bottom>
      <diagonal/>
    </border>
    <border>
      <left style="thin">
        <color auto="1"/>
      </left>
      <right/>
      <top/>
      <bottom style="hair">
        <color auto="1"/>
      </bottom>
      <diagonal/>
    </border>
    <border>
      <left/>
      <right style="thin">
        <color auto="1"/>
      </right>
      <top/>
      <bottom style="hair">
        <color auto="1"/>
      </bottom>
      <diagonal/>
    </border>
    <border>
      <left style="medium">
        <color auto="1"/>
      </left>
      <right style="hair">
        <color auto="1"/>
      </right>
      <top style="medium">
        <color auto="1"/>
      </top>
      <bottom style="hair">
        <color auto="1"/>
      </bottom>
      <diagonal/>
    </border>
    <border>
      <left style="hair">
        <color auto="1"/>
      </left>
      <right style="medium">
        <color auto="1"/>
      </right>
      <top style="hair">
        <color auto="1"/>
      </top>
      <bottom style="thin">
        <color auto="1"/>
      </bottom>
      <diagonal/>
    </border>
    <border>
      <left style="hair">
        <color auto="1"/>
      </left>
      <right style="medium">
        <color auto="1"/>
      </right>
      <top/>
      <bottom style="hair">
        <color auto="1"/>
      </bottom>
      <diagonal/>
    </border>
    <border>
      <left style="thin">
        <color indexed="64"/>
      </left>
      <right/>
      <top/>
      <bottom style="thin">
        <color indexed="64"/>
      </bottom>
      <diagonal/>
    </border>
    <border>
      <left style="hair">
        <color auto="1"/>
      </left>
      <right style="hair">
        <color indexed="64"/>
      </right>
      <top style="medium">
        <color auto="1"/>
      </top>
      <bottom/>
      <diagonal/>
    </border>
    <border>
      <left style="hair">
        <color auto="1"/>
      </left>
      <right style="thin">
        <color auto="1"/>
      </right>
      <top style="medium">
        <color auto="1"/>
      </top>
      <bottom/>
      <diagonal/>
    </border>
    <border>
      <left/>
      <right/>
      <top style="hair">
        <color auto="1"/>
      </top>
      <bottom style="thin">
        <color indexed="64"/>
      </bottom>
      <diagonal/>
    </border>
    <border>
      <left style="hair">
        <color auto="1"/>
      </left>
      <right style="hair">
        <color auto="1"/>
      </right>
      <top/>
      <bottom/>
      <diagonal/>
    </border>
    <border>
      <left style="hair">
        <color auto="1"/>
      </left>
      <right/>
      <top style="medium">
        <color auto="1"/>
      </top>
      <bottom style="hair">
        <color auto="1"/>
      </bottom>
      <diagonal/>
    </border>
    <border>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medium">
        <color auto="1"/>
      </bottom>
      <diagonal/>
    </border>
    <border>
      <left style="hair">
        <color auto="1"/>
      </left>
      <right/>
      <top style="hair">
        <color auto="1"/>
      </top>
      <bottom style="medium">
        <color auto="1"/>
      </bottom>
      <diagonal/>
    </border>
    <border>
      <left style="hair">
        <color indexed="64"/>
      </left>
      <right style="hair">
        <color indexed="64"/>
      </right>
      <top style="hair">
        <color indexed="64"/>
      </top>
      <bottom style="medium">
        <color auto="1"/>
      </bottom>
      <diagonal/>
    </border>
    <border>
      <left style="hair">
        <color indexed="64"/>
      </left>
      <right style="thin">
        <color indexed="64"/>
      </right>
      <top/>
      <bottom style="medium">
        <color auto="1"/>
      </bottom>
      <diagonal/>
    </border>
    <border>
      <left/>
      <right style="hair">
        <color indexed="64"/>
      </right>
      <top style="hair">
        <color indexed="64"/>
      </top>
      <bottom style="medium">
        <color auto="1"/>
      </bottom>
      <diagonal/>
    </border>
    <border>
      <left style="hair">
        <color auto="1"/>
      </left>
      <right style="medium">
        <color auto="1"/>
      </right>
      <top style="hair">
        <color auto="1"/>
      </top>
      <bottom style="medium">
        <color auto="1"/>
      </bottom>
      <diagonal/>
    </border>
    <border>
      <left style="medium">
        <color auto="1"/>
      </left>
      <right style="hair">
        <color auto="1"/>
      </right>
      <top style="medium">
        <color auto="1"/>
      </top>
      <bottom/>
      <diagonal/>
    </border>
    <border>
      <left/>
      <right style="hair">
        <color auto="1"/>
      </right>
      <top style="medium">
        <color auto="1"/>
      </top>
      <bottom/>
      <diagonal/>
    </border>
    <border>
      <left style="hair">
        <color auto="1"/>
      </left>
      <right style="medium">
        <color auto="1"/>
      </right>
      <top style="medium">
        <color auto="1"/>
      </top>
      <bottom/>
      <diagonal/>
    </border>
    <border>
      <left style="medium">
        <color auto="1"/>
      </left>
      <right style="hair">
        <color auto="1"/>
      </right>
      <top/>
      <bottom/>
      <diagonal/>
    </border>
    <border>
      <left/>
      <right style="hair">
        <color auto="1"/>
      </right>
      <top/>
      <bottom/>
      <diagonal/>
    </border>
    <border>
      <left style="hair">
        <color auto="1"/>
      </left>
      <right style="medium">
        <color auto="1"/>
      </right>
      <top/>
      <bottom/>
      <diagonal/>
    </border>
    <border>
      <left style="medium">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medium">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right style="hair">
        <color indexed="64"/>
      </right>
      <top style="double">
        <color indexed="64"/>
      </top>
      <bottom/>
      <diagonal/>
    </border>
    <border>
      <left style="hair">
        <color auto="1"/>
      </left>
      <right style="medium">
        <color auto="1"/>
      </right>
      <top style="double">
        <color indexed="64"/>
      </top>
      <bottom/>
      <diagonal/>
    </border>
    <border>
      <left style="thin">
        <color indexed="64"/>
      </left>
      <right style="hair">
        <color indexed="64"/>
      </right>
      <top style="medium">
        <color indexed="64"/>
      </top>
      <bottom style="hair">
        <color indexed="64"/>
      </bottom>
      <diagonal/>
    </border>
    <border>
      <left/>
      <right style="hair">
        <color auto="1"/>
      </right>
      <top/>
      <bottom style="medium">
        <color auto="1"/>
      </bottom>
      <diagonal/>
    </border>
    <border>
      <left style="hair">
        <color indexed="64"/>
      </left>
      <right style="hair">
        <color indexed="64"/>
      </right>
      <top/>
      <bottom style="medium">
        <color indexed="64"/>
      </bottom>
      <diagonal/>
    </border>
    <border>
      <left style="thin">
        <color indexed="64"/>
      </left>
      <right style="hair">
        <color indexed="64"/>
      </right>
      <top style="hair">
        <color auto="1"/>
      </top>
      <bottom style="medium">
        <color indexed="64"/>
      </bottom>
      <diagonal/>
    </border>
    <border>
      <left/>
      <right style="hair">
        <color indexed="64"/>
      </right>
      <top style="hair">
        <color indexed="64"/>
      </top>
      <bottom style="thin">
        <color auto="1"/>
      </bottom>
      <diagonal/>
    </border>
    <border>
      <left/>
      <right/>
      <top style="medium">
        <color auto="1"/>
      </top>
      <bottom style="hair">
        <color auto="1"/>
      </bottom>
      <diagonal/>
    </border>
    <border>
      <left/>
      <right style="hair">
        <color auto="1"/>
      </right>
      <top style="thin">
        <color auto="1"/>
      </top>
      <bottom style="hair">
        <color auto="1"/>
      </bottom>
      <diagonal/>
    </border>
    <border>
      <left/>
      <right/>
      <top style="hair">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medium">
        <color indexed="64"/>
      </left>
      <right/>
      <top style="medium">
        <color indexed="64"/>
      </top>
      <bottom style="hair">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auto="1"/>
      </right>
      <top style="medium">
        <color auto="1"/>
      </top>
      <bottom style="hair">
        <color auto="1"/>
      </bottom>
      <diagonal/>
    </border>
    <border>
      <left/>
      <right style="medium">
        <color auto="1"/>
      </right>
      <top style="hair">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hair">
        <color indexed="64"/>
      </left>
      <right style="thin">
        <color indexed="64"/>
      </right>
      <top style="hair">
        <color indexed="64"/>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bottom/>
      <diagonal/>
    </border>
    <border>
      <left/>
      <right style="thin">
        <color auto="1"/>
      </right>
      <top/>
      <bottom/>
      <diagonal/>
    </border>
    <border>
      <left/>
      <right style="thin">
        <color indexed="64"/>
      </right>
      <top/>
      <bottom style="thin">
        <color indexed="64"/>
      </bottom>
      <diagonal/>
    </border>
    <border>
      <left style="thin">
        <color auto="1"/>
      </left>
      <right/>
      <top style="thin">
        <color auto="1"/>
      </top>
      <bottom style="hair">
        <color auto="1"/>
      </bottom>
      <diagonal/>
    </border>
    <border>
      <left style="medium">
        <color auto="1"/>
      </left>
      <right style="thin">
        <color auto="1"/>
      </right>
      <top/>
      <bottom/>
      <diagonal/>
    </border>
    <border>
      <left style="hair">
        <color auto="1"/>
      </left>
      <right style="thin">
        <color auto="1"/>
      </right>
      <top style="medium">
        <color indexed="64"/>
      </top>
      <bottom style="hair">
        <color auto="1"/>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right style="medium">
        <color auto="1"/>
      </right>
      <top/>
      <bottom style="thin">
        <color auto="1"/>
      </bottom>
      <diagonal/>
    </border>
    <border>
      <left style="thin">
        <color indexed="64"/>
      </left>
      <right style="thin">
        <color indexed="64"/>
      </right>
      <top/>
      <bottom style="medium">
        <color indexed="64"/>
      </bottom>
      <diagonal/>
    </border>
    <border>
      <left style="thin">
        <color indexed="64"/>
      </left>
      <right style="hair">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style="hair">
        <color indexed="64"/>
      </top>
      <bottom/>
      <diagonal/>
    </border>
    <border>
      <left/>
      <right style="medium">
        <color auto="1"/>
      </right>
      <top style="hair">
        <color indexed="64"/>
      </top>
      <bottom/>
      <diagonal/>
    </border>
    <border>
      <left style="thin">
        <color auto="1"/>
      </left>
      <right style="medium">
        <color auto="1"/>
      </right>
      <top style="medium">
        <color auto="1"/>
      </top>
      <bottom style="hair">
        <color auto="1"/>
      </bottom>
      <diagonal/>
    </border>
    <border>
      <left style="thin">
        <color auto="1"/>
      </left>
      <right style="medium">
        <color auto="1"/>
      </right>
      <top style="hair">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right/>
      <top/>
      <bottom style="thick">
        <color indexed="64"/>
      </bottom>
      <diagonal/>
    </border>
    <border>
      <left/>
      <right style="thick">
        <color indexed="64"/>
      </right>
      <top style="medium">
        <color indexed="64"/>
      </top>
      <bottom style="thick">
        <color indexed="64"/>
      </bottom>
      <diagonal/>
    </border>
    <border>
      <left style="thick">
        <color indexed="64"/>
      </left>
      <right style="thin">
        <color indexed="64"/>
      </right>
      <top style="medium">
        <color indexed="64"/>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medium">
        <color indexed="64"/>
      </right>
      <top style="thick">
        <color indexed="64"/>
      </top>
      <bottom style="medium">
        <color indexed="64"/>
      </bottom>
      <diagonal/>
    </border>
    <border>
      <left/>
      <right style="thick">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right style="thick">
        <color indexed="64"/>
      </right>
      <top/>
      <bottom/>
      <diagonal/>
    </border>
    <border>
      <left style="thick">
        <color indexed="64"/>
      </left>
      <right/>
      <top/>
      <bottom/>
      <diagonal/>
    </border>
    <border>
      <left style="thick">
        <color indexed="64"/>
      </left>
      <right style="thick">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
      <left style="thick">
        <color indexed="64"/>
      </left>
      <right style="medium">
        <color indexed="64"/>
      </right>
      <top style="thin">
        <color indexed="64"/>
      </top>
      <bottom style="thick">
        <color indexed="64"/>
      </bottom>
      <diagonal/>
    </border>
    <border>
      <left style="thick">
        <color indexed="64"/>
      </left>
      <right style="thick">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style="medium">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top style="thick">
        <color indexed="64"/>
      </top>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auto="1"/>
      </left>
      <right style="medium">
        <color auto="1"/>
      </right>
      <top/>
      <bottom/>
      <diagonal/>
    </border>
    <border>
      <left style="medium">
        <color indexed="64"/>
      </left>
      <right style="thick">
        <color indexed="64"/>
      </right>
      <top style="medium">
        <color indexed="64"/>
      </top>
      <bottom/>
      <diagonal/>
    </border>
    <border>
      <left style="medium">
        <color indexed="64"/>
      </left>
      <right style="thick">
        <color indexed="64"/>
      </right>
      <top style="medium">
        <color indexed="64"/>
      </top>
      <bottom style="medium">
        <color indexed="64"/>
      </bottom>
      <diagonal/>
    </border>
    <border>
      <left style="thick">
        <color indexed="64"/>
      </left>
      <right style="medium">
        <color auto="1"/>
      </right>
      <top/>
      <bottom/>
      <diagonal/>
    </border>
    <border>
      <left style="thick">
        <color indexed="64"/>
      </left>
      <right style="medium">
        <color indexed="64"/>
      </right>
      <top style="medium">
        <color indexed="64"/>
      </top>
      <bottom/>
      <diagonal/>
    </border>
    <border>
      <left/>
      <right style="thick">
        <color indexed="64"/>
      </right>
      <top/>
      <bottom style="medium">
        <color indexed="64"/>
      </bottom>
      <diagonal/>
    </border>
    <border>
      <left style="thick">
        <color indexed="64"/>
      </left>
      <right/>
      <top/>
      <bottom style="medium">
        <color indexed="64"/>
      </bottom>
      <diagonal/>
    </border>
    <border>
      <left style="medium">
        <color indexed="64"/>
      </left>
      <right style="medium">
        <color indexed="64"/>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style="medium">
        <color indexed="64"/>
      </top>
      <bottom style="thick">
        <color indexed="64"/>
      </bottom>
      <diagonal/>
    </border>
    <border>
      <left style="thick">
        <color indexed="64"/>
      </left>
      <right style="medium">
        <color indexed="64"/>
      </right>
      <top/>
      <bottom style="medium">
        <color indexed="64"/>
      </bottom>
      <diagonal/>
    </border>
    <border>
      <left style="thin">
        <color auto="1"/>
      </left>
      <right/>
      <top style="hair">
        <color auto="1"/>
      </top>
      <bottom/>
      <diagonal/>
    </border>
    <border>
      <left/>
      <right style="hair">
        <color auto="1"/>
      </right>
      <top style="hair">
        <color auto="1"/>
      </top>
      <bottom/>
      <diagonal/>
    </border>
    <border>
      <left/>
      <right style="thin">
        <color auto="1"/>
      </right>
      <top style="hair">
        <color auto="1"/>
      </top>
      <bottom/>
      <diagonal/>
    </border>
    <border>
      <left style="hair">
        <color auto="1"/>
      </left>
      <right/>
      <top/>
      <bottom/>
      <diagonal/>
    </border>
    <border>
      <left style="medium">
        <color indexed="64"/>
      </left>
      <right style="dashed">
        <color indexed="64"/>
      </right>
      <top/>
      <bottom/>
      <diagonal/>
    </border>
    <border>
      <left style="dashed">
        <color indexed="64"/>
      </left>
      <right/>
      <top/>
      <bottom style="dashed">
        <color indexed="64"/>
      </bottom>
      <diagonal/>
    </border>
    <border>
      <left style="medium">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dashed">
        <color indexed="64"/>
      </left>
      <right style="dashed">
        <color indexed="64"/>
      </right>
      <top/>
      <bottom/>
      <diagonal/>
    </border>
    <border>
      <left style="dashed">
        <color indexed="64"/>
      </left>
      <right style="medium">
        <color indexed="64"/>
      </right>
      <top/>
      <bottom/>
      <diagonal/>
    </border>
    <border>
      <left style="dashed">
        <color indexed="64"/>
      </left>
      <right/>
      <top style="dashed">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right style="dashed">
        <color indexed="64"/>
      </right>
      <top style="dashed">
        <color indexed="64"/>
      </top>
      <bottom style="medium">
        <color indexed="64"/>
      </bottom>
      <diagonal/>
    </border>
    <border>
      <left style="thick">
        <color indexed="64"/>
      </left>
      <right style="medium">
        <color indexed="64"/>
      </right>
      <top style="thin">
        <color indexed="64"/>
      </top>
      <bottom/>
      <diagonal/>
    </border>
    <border>
      <left style="medium">
        <color indexed="64"/>
      </left>
      <right style="thick">
        <color indexed="64"/>
      </right>
      <top style="thin">
        <color indexed="64"/>
      </top>
      <bottom/>
      <diagonal/>
    </border>
    <border>
      <left style="thick">
        <color indexed="64"/>
      </left>
      <right style="thick">
        <color indexed="64"/>
      </right>
      <top style="thin">
        <color indexed="64"/>
      </top>
      <bottom/>
      <diagonal/>
    </border>
    <border>
      <left/>
      <right style="medium">
        <color indexed="64"/>
      </right>
      <top/>
      <bottom style="dashed">
        <color indexed="64"/>
      </bottom>
      <diagonal/>
    </border>
    <border>
      <left/>
      <right/>
      <top/>
      <bottom style="dashed">
        <color indexed="64"/>
      </bottom>
      <diagonal/>
    </border>
    <border>
      <left style="medium">
        <color indexed="64"/>
      </left>
      <right/>
      <top/>
      <bottom style="dashed">
        <color indexed="64"/>
      </bottom>
      <diagonal/>
    </border>
    <border>
      <left/>
      <right style="dashed">
        <color indexed="64"/>
      </right>
      <top/>
      <bottom style="dashed">
        <color indexed="64"/>
      </bottom>
      <diagonal/>
    </border>
    <border>
      <left style="medium">
        <color indexed="64"/>
      </left>
      <right style="medium">
        <color indexed="64"/>
      </right>
      <top style="dashed">
        <color indexed="64"/>
      </top>
      <bottom style="medium">
        <color indexed="64"/>
      </bottom>
      <diagonal/>
    </border>
    <border>
      <left style="medium">
        <color indexed="64"/>
      </left>
      <right style="medium">
        <color indexed="64"/>
      </right>
      <top style="dashed">
        <color indexed="64"/>
      </top>
      <bottom style="dashed">
        <color indexed="64"/>
      </bottom>
      <diagonal/>
    </border>
    <border>
      <left style="dashed">
        <color indexed="64"/>
      </left>
      <right style="medium">
        <color indexed="64"/>
      </right>
      <top style="medium">
        <color indexed="64"/>
      </top>
      <bottom/>
      <diagonal/>
    </border>
    <border>
      <left style="dashed">
        <color indexed="64"/>
      </left>
      <right style="dashed">
        <color indexed="64"/>
      </right>
      <top style="medium">
        <color indexed="64"/>
      </top>
      <bottom style="dashed">
        <color indexed="64"/>
      </bottom>
      <diagonal/>
    </border>
    <border>
      <left style="medium">
        <color indexed="64"/>
      </left>
      <right style="dashed">
        <color indexed="64"/>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right style="medium">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hair">
        <color indexed="64"/>
      </left>
      <right/>
      <top style="hair">
        <color indexed="64"/>
      </top>
      <bottom/>
      <diagonal/>
    </border>
    <border>
      <left style="hair">
        <color indexed="64"/>
      </left>
      <right/>
      <top/>
      <bottom style="thin">
        <color auto="1"/>
      </bottom>
      <diagonal/>
    </border>
    <border>
      <left style="dashed">
        <color indexed="64"/>
      </left>
      <right style="dashed">
        <color indexed="64"/>
      </right>
      <top style="medium">
        <color indexed="64"/>
      </top>
      <bottom/>
      <diagonal/>
    </border>
    <border>
      <left style="dashed">
        <color indexed="64"/>
      </left>
      <right style="dashed">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rgb="FF7F7F7F"/>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rgb="FF7F7F7F"/>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double">
        <color rgb="FF3F3F3F"/>
      </top>
      <bottom style="double">
        <color rgb="FF3F3F3F"/>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rgb="FF7F7F7F"/>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dashed">
        <color indexed="64"/>
      </right>
      <top/>
      <bottom style="medium">
        <color indexed="64"/>
      </bottom>
      <diagonal/>
    </border>
    <border>
      <left style="medium">
        <color indexed="64"/>
      </left>
      <right style="medium">
        <color indexed="64"/>
      </right>
      <top style="thin">
        <color rgb="FF7F7F7F"/>
      </top>
      <bottom style="thin">
        <color rgb="FF7F7F7F"/>
      </bottom>
      <diagonal/>
    </border>
    <border>
      <left style="medium">
        <color indexed="64"/>
      </left>
      <right style="medium">
        <color indexed="64"/>
      </right>
      <top/>
      <bottom style="dashed">
        <color indexed="64"/>
      </bottom>
      <diagonal/>
    </border>
    <border>
      <left/>
      <right style="dashed">
        <color indexed="64"/>
      </right>
      <top style="medium">
        <color indexed="64"/>
      </top>
      <bottom style="dashed">
        <color indexed="64"/>
      </bottom>
      <diagonal/>
    </border>
    <border>
      <left style="dashed">
        <color indexed="64"/>
      </left>
      <right/>
      <top style="medium">
        <color indexed="64"/>
      </top>
      <bottom style="dashed">
        <color indexed="64"/>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dashed">
        <color indexed="64"/>
      </right>
      <top/>
      <bottom style="thin">
        <color indexed="64"/>
      </bottom>
      <diagonal/>
    </border>
  </borders>
  <cellStyleXfs count="33">
    <xf numFmtId="0" fontId="0" fillId="0" borderId="0"/>
    <xf numFmtId="165" fontId="19" fillId="0" borderId="0"/>
    <xf numFmtId="0" fontId="20" fillId="0" borderId="0"/>
    <xf numFmtId="0" fontId="25" fillId="0" borderId="0"/>
    <xf numFmtId="0" fontId="20" fillId="0" borderId="0"/>
    <xf numFmtId="43" fontId="25" fillId="0" borderId="0" applyFont="0" applyFill="0" applyBorder="0" applyAlignment="0" applyProtection="0"/>
    <xf numFmtId="0" fontId="29" fillId="0" borderId="0"/>
    <xf numFmtId="167" fontId="29" fillId="0" borderId="0" applyFont="0" applyFill="0" applyBorder="0" applyAlignment="0" applyProtection="0"/>
    <xf numFmtId="0" fontId="25" fillId="0" borderId="0"/>
    <xf numFmtId="9" fontId="25" fillId="0" borderId="0" applyFont="0" applyFill="0" applyBorder="0" applyAlignment="0" applyProtection="0"/>
    <xf numFmtId="0" fontId="20" fillId="0" borderId="0"/>
    <xf numFmtId="9" fontId="25" fillId="0" borderId="0" applyFont="0" applyFill="0" applyBorder="0" applyAlignment="0" applyProtection="0"/>
    <xf numFmtId="0" fontId="42" fillId="0" borderId="0"/>
    <xf numFmtId="0" fontId="42" fillId="0" borderId="0"/>
    <xf numFmtId="0" fontId="20" fillId="0" borderId="0"/>
    <xf numFmtId="4" fontId="47" fillId="0" borderId="0">
      <alignment vertical="center" wrapText="1"/>
      <protection locked="0"/>
    </xf>
    <xf numFmtId="167" fontId="20" fillId="0" borderId="0" applyFont="0" applyFill="0" applyBorder="0" applyAlignment="0" applyProtection="0"/>
    <xf numFmtId="44" fontId="25" fillId="0" borderId="0" applyFont="0" applyFill="0" applyBorder="0" applyAlignment="0" applyProtection="0"/>
    <xf numFmtId="165" fontId="15" fillId="0" borderId="0"/>
    <xf numFmtId="165" fontId="15" fillId="0" borderId="0"/>
    <xf numFmtId="0" fontId="14" fillId="0" borderId="0"/>
    <xf numFmtId="0" fontId="12" fillId="0" borderId="0"/>
    <xf numFmtId="0" fontId="10" fillId="0" borderId="0"/>
    <xf numFmtId="0" fontId="9" fillId="0" borderId="0"/>
    <xf numFmtId="0" fontId="52" fillId="0" borderId="0"/>
    <xf numFmtId="0" fontId="25" fillId="0" borderId="0"/>
    <xf numFmtId="0" fontId="62" fillId="0" borderId="0"/>
    <xf numFmtId="43" fontId="25" fillId="0" borderId="0" applyFont="0" applyFill="0" applyBorder="0" applyAlignment="0" applyProtection="0"/>
    <xf numFmtId="165" fontId="3" fillId="0" borderId="0"/>
    <xf numFmtId="0" fontId="113" fillId="0" borderId="0"/>
    <xf numFmtId="0" fontId="130" fillId="43" borderId="225" applyNumberFormat="0" applyAlignment="0" applyProtection="0"/>
    <xf numFmtId="0" fontId="131" fillId="44" borderId="225" applyNumberFormat="0" applyAlignment="0" applyProtection="0"/>
    <xf numFmtId="0" fontId="64" fillId="45" borderId="226" applyNumberFormat="0" applyAlignment="0" applyProtection="0"/>
  </cellStyleXfs>
  <cellXfs count="2279">
    <xf numFmtId="0" fontId="0" fillId="0" borderId="0" xfId="0"/>
    <xf numFmtId="0" fontId="17" fillId="0" borderId="0" xfId="0" applyFont="1"/>
    <xf numFmtId="4" fontId="19" fillId="0" borderId="0" xfId="1" applyNumberFormat="1" applyAlignment="1">
      <alignment vertical="center" wrapText="1"/>
    </xf>
    <xf numFmtId="0" fontId="19" fillId="0" borderId="0" xfId="1" applyNumberFormat="1" applyAlignment="1">
      <alignment vertical="center" wrapText="1"/>
    </xf>
    <xf numFmtId="0" fontId="19" fillId="0" borderId="0" xfId="1" applyNumberFormat="1" applyAlignment="1">
      <alignment horizontal="center" vertical="center" wrapText="1"/>
    </xf>
    <xf numFmtId="4" fontId="20" fillId="0" borderId="1" xfId="1" applyNumberFormat="1" applyFont="1" applyBorder="1" applyAlignment="1">
      <alignment vertical="center"/>
    </xf>
    <xf numFmtId="4" fontId="19" fillId="0" borderId="4" xfId="0" applyNumberFormat="1" applyFont="1" applyBorder="1" applyAlignment="1">
      <alignment horizontal="center" vertical="center"/>
    </xf>
    <xf numFmtId="0" fontId="21" fillId="2" borderId="5" xfId="0" applyFont="1" applyFill="1" applyBorder="1" applyAlignment="1">
      <alignment horizontal="centerContinuous" vertical="center"/>
    </xf>
    <xf numFmtId="0" fontId="22" fillId="2" borderId="6" xfId="0" applyFont="1" applyFill="1" applyBorder="1" applyAlignment="1">
      <alignment horizontal="centerContinuous" vertical="center"/>
    </xf>
    <xf numFmtId="4" fontId="22" fillId="2" borderId="6" xfId="0" applyNumberFormat="1" applyFont="1" applyFill="1" applyBorder="1" applyAlignment="1">
      <alignment horizontal="centerContinuous" vertical="center"/>
    </xf>
    <xf numFmtId="0" fontId="22" fillId="2" borderId="7" xfId="0" applyFont="1" applyFill="1" applyBorder="1" applyAlignment="1">
      <alignment horizontal="centerContinuous" vertical="center"/>
    </xf>
    <xf numFmtId="0" fontId="23" fillId="0" borderId="0" xfId="0" applyFont="1" applyAlignment="1">
      <alignment vertical="center"/>
    </xf>
    <xf numFmtId="0" fontId="21" fillId="2" borderId="8" xfId="0" applyFont="1" applyFill="1" applyBorder="1" applyAlignment="1">
      <alignment horizontal="centerContinuous" vertical="center"/>
    </xf>
    <xf numFmtId="0" fontId="22" fillId="2" borderId="9" xfId="0" applyFont="1" applyFill="1" applyBorder="1" applyAlignment="1">
      <alignment horizontal="right" vertical="center"/>
    </xf>
    <xf numFmtId="4" fontId="22" fillId="2" borderId="9" xfId="0" applyNumberFormat="1" applyFont="1" applyFill="1" applyBorder="1" applyAlignment="1">
      <alignment horizontal="centerContinuous" vertical="center"/>
    </xf>
    <xf numFmtId="0" fontId="22" fillId="2" borderId="9" xfId="0" applyFont="1" applyFill="1" applyBorder="1" applyAlignment="1">
      <alignment horizontal="centerContinuous" vertical="center"/>
    </xf>
    <xf numFmtId="0" fontId="23" fillId="0" borderId="11" xfId="0" applyFont="1" applyBorder="1" applyAlignment="1">
      <alignment vertical="center"/>
    </xf>
    <xf numFmtId="4" fontId="23" fillId="0" borderId="0" xfId="0" applyNumberFormat="1" applyFont="1" applyAlignment="1">
      <alignment vertical="center"/>
    </xf>
    <xf numFmtId="0" fontId="23" fillId="0" borderId="12" xfId="0" applyFont="1" applyBorder="1" applyAlignment="1">
      <alignment vertical="center"/>
    </xf>
    <xf numFmtId="0" fontId="23" fillId="0" borderId="11" xfId="0" applyFont="1" applyBorder="1" applyAlignment="1">
      <alignment horizontal="center" vertical="center"/>
    </xf>
    <xf numFmtId="0" fontId="23" fillId="2" borderId="0" xfId="0" applyFont="1" applyFill="1" applyAlignment="1">
      <alignment horizontal="center" vertical="center"/>
    </xf>
    <xf numFmtId="4" fontId="22" fillId="2" borderId="14" xfId="0" applyNumberFormat="1" applyFont="1" applyFill="1" applyBorder="1" applyAlignment="1">
      <alignment horizontal="centerContinuous" vertical="center"/>
    </xf>
    <xf numFmtId="4" fontId="22" fillId="2" borderId="15" xfId="0" applyNumberFormat="1" applyFont="1" applyFill="1" applyBorder="1" applyAlignment="1">
      <alignment horizontal="centerContinuous" vertical="center"/>
    </xf>
    <xf numFmtId="0" fontId="23" fillId="0" borderId="12" xfId="0" applyFont="1" applyBorder="1" applyAlignment="1">
      <alignment horizontal="center" vertical="center"/>
    </xf>
    <xf numFmtId="0" fontId="23" fillId="0" borderId="0" xfId="0" applyFont="1" applyAlignment="1">
      <alignment horizontal="center" vertical="center"/>
    </xf>
    <xf numFmtId="4" fontId="22" fillId="2" borderId="17" xfId="0" applyNumberFormat="1" applyFont="1" applyFill="1" applyBorder="1" applyAlignment="1">
      <alignment horizontal="centerContinuous" vertical="center"/>
    </xf>
    <xf numFmtId="4" fontId="22" fillId="2" borderId="18" xfId="0" applyNumberFormat="1" applyFont="1" applyFill="1" applyBorder="1" applyAlignment="1">
      <alignment horizontal="centerContinuous" vertical="center"/>
    </xf>
    <xf numFmtId="0" fontId="23" fillId="0" borderId="11" xfId="0" applyFont="1" applyBorder="1" applyAlignment="1">
      <alignment vertical="center" wrapText="1"/>
    </xf>
    <xf numFmtId="0" fontId="23" fillId="0" borderId="0" xfId="0" applyFont="1" applyAlignment="1">
      <alignment vertical="center" wrapText="1"/>
    </xf>
    <xf numFmtId="0" fontId="23" fillId="0" borderId="12" xfId="0" applyFont="1" applyBorder="1" applyAlignment="1">
      <alignment vertical="center" wrapText="1"/>
    </xf>
    <xf numFmtId="0" fontId="24" fillId="0" borderId="20" xfId="0" applyFont="1" applyBorder="1" applyAlignment="1">
      <alignment vertical="center" wrapText="1"/>
    </xf>
    <xf numFmtId="0" fontId="23" fillId="0" borderId="22" xfId="0" applyFont="1" applyBorder="1" applyAlignment="1">
      <alignment horizontal="center" vertical="center" wrapText="1"/>
    </xf>
    <xf numFmtId="43" fontId="23" fillId="0" borderId="23" xfId="0" applyNumberFormat="1" applyFont="1" applyBorder="1" applyAlignment="1">
      <alignment vertical="center" wrapText="1"/>
    </xf>
    <xf numFmtId="43" fontId="23" fillId="3" borderId="24" xfId="0" applyNumberFormat="1" applyFont="1" applyFill="1" applyBorder="1" applyAlignment="1">
      <alignment vertical="center" wrapText="1"/>
    </xf>
    <xf numFmtId="0" fontId="24" fillId="0" borderId="23" xfId="0" applyFont="1" applyBorder="1" applyAlignment="1">
      <alignment horizontal="center" vertical="center" wrapText="1"/>
    </xf>
    <xf numFmtId="0" fontId="23" fillId="0" borderId="25" xfId="0" applyFont="1" applyBorder="1" applyAlignment="1">
      <alignment vertical="center"/>
    </xf>
    <xf numFmtId="0" fontId="23" fillId="0" borderId="26" xfId="0" applyFont="1" applyBorder="1" applyAlignment="1">
      <alignment vertical="center"/>
    </xf>
    <xf numFmtId="4" fontId="23" fillId="0" borderId="26" xfId="0" applyNumberFormat="1" applyFont="1" applyBorder="1" applyAlignment="1">
      <alignment vertical="center"/>
    </xf>
    <xf numFmtId="0" fontId="23" fillId="0" borderId="27" xfId="0" applyFont="1" applyBorder="1" applyAlignment="1">
      <alignment vertical="center"/>
    </xf>
    <xf numFmtId="4" fontId="22" fillId="2" borderId="9" xfId="0" applyNumberFormat="1" applyFont="1" applyFill="1" applyBorder="1" applyAlignment="1">
      <alignment vertical="center"/>
    </xf>
    <xf numFmtId="0" fontId="19" fillId="0" borderId="0" xfId="1" applyNumberFormat="1" applyAlignment="1">
      <alignment vertical="center"/>
    </xf>
    <xf numFmtId="0" fontId="26" fillId="0" borderId="0" xfId="1" applyNumberFormat="1" applyFont="1" applyAlignment="1">
      <alignment vertical="center"/>
    </xf>
    <xf numFmtId="43" fontId="26" fillId="0" borderId="0" xfId="5" applyFont="1" applyAlignment="1">
      <alignment horizontal="centerContinuous" vertical="center"/>
    </xf>
    <xf numFmtId="0" fontId="21" fillId="0" borderId="0" xfId="0" applyFont="1" applyAlignment="1">
      <alignment vertical="center" wrapText="1"/>
    </xf>
    <xf numFmtId="0" fontId="23" fillId="0" borderId="23" xfId="1" applyNumberFormat="1" applyFont="1" applyBorder="1" applyAlignment="1">
      <alignment horizontal="center" vertical="center" wrapText="1"/>
    </xf>
    <xf numFmtId="0" fontId="0" fillId="0" borderId="0" xfId="0" applyAlignment="1">
      <alignment vertical="center"/>
    </xf>
    <xf numFmtId="0" fontId="30" fillId="0" borderId="0" xfId="0" applyFont="1" applyAlignment="1">
      <alignment vertical="center"/>
    </xf>
    <xf numFmtId="168" fontId="0" fillId="0" borderId="0" xfId="0" applyNumberFormat="1" applyAlignment="1">
      <alignment horizontal="center" vertical="center"/>
    </xf>
    <xf numFmtId="0" fontId="29" fillId="0" borderId="0" xfId="2" applyFont="1" applyAlignment="1">
      <alignment vertical="center"/>
    </xf>
    <xf numFmtId="4" fontId="29" fillId="0" borderId="0" xfId="2" applyNumberFormat="1" applyFont="1" applyAlignment="1">
      <alignment vertical="center"/>
    </xf>
    <xf numFmtId="0" fontId="29" fillId="0" borderId="0" xfId="2" applyFont="1" applyAlignment="1">
      <alignment horizontal="center" vertical="center"/>
    </xf>
    <xf numFmtId="0" fontId="29" fillId="0" borderId="0" xfId="2" applyFont="1" applyAlignment="1">
      <alignment vertical="center" wrapText="1"/>
    </xf>
    <xf numFmtId="0" fontId="34" fillId="0" borderId="0" xfId="2" applyFont="1" applyAlignment="1">
      <alignment vertical="center"/>
    </xf>
    <xf numFmtId="169" fontId="29" fillId="0" borderId="0" xfId="2" applyNumberFormat="1" applyFont="1" applyAlignment="1">
      <alignment vertical="center"/>
    </xf>
    <xf numFmtId="0" fontId="0" fillId="0" borderId="0" xfId="0" applyAlignment="1">
      <alignment horizontal="right"/>
    </xf>
    <xf numFmtId="0" fontId="35" fillId="3" borderId="4" xfId="2" applyFont="1" applyFill="1" applyBorder="1" applyAlignment="1">
      <alignment horizontal="center" vertical="center" wrapText="1"/>
    </xf>
    <xf numFmtId="0" fontId="35" fillId="3" borderId="4" xfId="2" applyFont="1" applyFill="1" applyBorder="1" applyAlignment="1">
      <alignment horizontal="left" vertical="center" wrapText="1"/>
    </xf>
    <xf numFmtId="169" fontId="35" fillId="3" borderId="4" xfId="2" applyNumberFormat="1" applyFont="1" applyFill="1" applyBorder="1" applyAlignment="1">
      <alignment vertical="center" wrapText="1"/>
    </xf>
    <xf numFmtId="4" fontId="35" fillId="3" borderId="4" xfId="2" applyNumberFormat="1" applyFont="1" applyFill="1" applyBorder="1" applyAlignment="1">
      <alignment horizontal="right" vertical="center" wrapText="1"/>
    </xf>
    <xf numFmtId="0" fontId="34" fillId="0" borderId="4" xfId="2" applyFont="1" applyBorder="1" applyAlignment="1">
      <alignment horizontal="center" vertical="center" wrapText="1"/>
    </xf>
    <xf numFmtId="0" fontId="34" fillId="0" borderId="4" xfId="2" applyFont="1" applyBorder="1" applyAlignment="1">
      <alignment horizontal="left" vertical="center" wrapText="1"/>
    </xf>
    <xf numFmtId="169" fontId="34" fillId="0" borderId="4" xfId="2" applyNumberFormat="1" applyFont="1" applyBorder="1" applyAlignment="1">
      <alignment vertical="center" wrapText="1"/>
    </xf>
    <xf numFmtId="4" fontId="34" fillId="0" borderId="4" xfId="2" applyNumberFormat="1" applyFont="1" applyBorder="1" applyAlignment="1">
      <alignment horizontal="right" vertical="center" wrapText="1"/>
    </xf>
    <xf numFmtId="0" fontId="35" fillId="4" borderId="4" xfId="2" applyFont="1" applyFill="1" applyBorder="1" applyAlignment="1">
      <alignment horizontal="center" vertical="center" wrapText="1"/>
    </xf>
    <xf numFmtId="169" fontId="35" fillId="4" borderId="4" xfId="2" applyNumberFormat="1" applyFont="1" applyFill="1" applyBorder="1" applyAlignment="1">
      <alignment horizontal="center" vertical="center" wrapText="1"/>
    </xf>
    <xf numFmtId="4" fontId="35" fillId="4" borderId="4" xfId="2" applyNumberFormat="1" applyFont="1" applyFill="1" applyBorder="1" applyAlignment="1">
      <alignment horizontal="center" vertical="center" wrapText="1"/>
    </xf>
    <xf numFmtId="0" fontId="35" fillId="0" borderId="0" xfId="2" applyFont="1" applyAlignment="1">
      <alignment vertical="center"/>
    </xf>
    <xf numFmtId="0" fontId="36" fillId="0" borderId="0" xfId="10" applyFont="1" applyAlignment="1">
      <alignment vertical="center"/>
    </xf>
    <xf numFmtId="0" fontId="36" fillId="0" borderId="0" xfId="10" applyFont="1" applyAlignment="1">
      <alignment horizontal="center" vertical="center"/>
    </xf>
    <xf numFmtId="4" fontId="36" fillId="0" borderId="0" xfId="10" applyNumberFormat="1" applyFont="1" applyAlignment="1">
      <alignment vertical="center"/>
    </xf>
    <xf numFmtId="0" fontId="20" fillId="0" borderId="0" xfId="10" applyAlignment="1">
      <alignment vertical="center"/>
    </xf>
    <xf numFmtId="0" fontId="20" fillId="0" borderId="0" xfId="10" applyAlignment="1">
      <alignment horizontal="center" vertical="center"/>
    </xf>
    <xf numFmtId="4" fontId="20" fillId="0" borderId="0" xfId="10" applyNumberFormat="1" applyAlignment="1">
      <alignment vertical="center"/>
    </xf>
    <xf numFmtId="0" fontId="33" fillId="0" borderId="0" xfId="10" applyFont="1" applyAlignment="1">
      <alignment horizontal="center" vertical="center" wrapText="1"/>
    </xf>
    <xf numFmtId="0" fontId="37" fillId="0" borderId="0" xfId="10" applyFont="1" applyAlignment="1">
      <alignment vertical="center" wrapText="1"/>
    </xf>
    <xf numFmtId="0" fontId="19" fillId="0" borderId="9" xfId="1" applyNumberFormat="1" applyBorder="1" applyAlignment="1">
      <alignment vertical="center"/>
    </xf>
    <xf numFmtId="171" fontId="19" fillId="0" borderId="9" xfId="1" applyNumberFormat="1" applyBorder="1" applyAlignment="1">
      <alignment horizontal="right" vertical="center"/>
    </xf>
    <xf numFmtId="0" fontId="19" fillId="0" borderId="9" xfId="1" applyNumberFormat="1" applyBorder="1" applyAlignment="1">
      <alignment horizontal="right" vertical="center"/>
    </xf>
    <xf numFmtId="0" fontId="19" fillId="0" borderId="0" xfId="1" applyNumberFormat="1" applyAlignment="1">
      <alignment horizontal="centerContinuous" vertical="center"/>
    </xf>
    <xf numFmtId="171" fontId="19" fillId="0" borderId="0" xfId="1" applyNumberFormat="1" applyAlignment="1">
      <alignment horizontal="centerContinuous" vertical="center"/>
    </xf>
    <xf numFmtId="4" fontId="0" fillId="0" borderId="0" xfId="0" applyNumberFormat="1" applyAlignment="1">
      <alignment vertical="center"/>
    </xf>
    <xf numFmtId="0" fontId="39" fillId="0" borderId="0" xfId="0" applyFont="1" applyAlignment="1">
      <alignment horizontal="right" vertical="center"/>
    </xf>
    <xf numFmtId="0" fontId="38" fillId="0" borderId="0" xfId="0" applyFont="1" applyAlignment="1">
      <alignment vertical="center"/>
    </xf>
    <xf numFmtId="0" fontId="38" fillId="0" borderId="1" xfId="0" applyFont="1" applyBorder="1" applyAlignment="1">
      <alignment vertical="center"/>
    </xf>
    <xf numFmtId="0" fontId="38" fillId="0" borderId="2" xfId="0" applyFont="1" applyBorder="1" applyAlignment="1">
      <alignment vertical="center"/>
    </xf>
    <xf numFmtId="4" fontId="38" fillId="0" borderId="2" xfId="0" applyNumberFormat="1" applyFont="1" applyBorder="1" applyAlignment="1">
      <alignment vertical="center"/>
    </xf>
    <xf numFmtId="0" fontId="0" fillId="0" borderId="0" xfId="0" applyAlignment="1">
      <alignment horizontal="center" vertical="center"/>
    </xf>
    <xf numFmtId="172" fontId="0" fillId="0" borderId="0" xfId="11" applyNumberFormat="1" applyFont="1" applyAlignment="1">
      <alignment vertical="center"/>
    </xf>
    <xf numFmtId="0" fontId="0" fillId="0" borderId="0" xfId="0" applyAlignment="1">
      <alignment vertical="center" wrapText="1"/>
    </xf>
    <xf numFmtId="0" fontId="38" fillId="0" borderId="44" xfId="0" applyFont="1" applyBorder="1" applyAlignment="1">
      <alignment horizontal="center" vertical="center" wrapText="1"/>
    </xf>
    <xf numFmtId="0" fontId="38" fillId="0" borderId="43" xfId="0" applyFont="1" applyBorder="1" applyAlignment="1">
      <alignment horizontal="center" vertical="center" wrapText="1"/>
    </xf>
    <xf numFmtId="4" fontId="38" fillId="0" borderId="43" xfId="0" applyNumberFormat="1" applyFont="1" applyBorder="1" applyAlignment="1">
      <alignment horizontal="center" vertical="center" wrapText="1"/>
    </xf>
    <xf numFmtId="172" fontId="38" fillId="0" borderId="43" xfId="11" applyNumberFormat="1" applyFont="1" applyBorder="1" applyAlignment="1">
      <alignment horizontal="center" vertical="center" wrapText="1"/>
    </xf>
    <xf numFmtId="172" fontId="38" fillId="0" borderId="42" xfId="11" applyNumberFormat="1" applyFont="1" applyBorder="1" applyAlignment="1">
      <alignment horizontal="center" vertical="center" wrapText="1"/>
    </xf>
    <xf numFmtId="0" fontId="17" fillId="0" borderId="0" xfId="0" applyFont="1" applyAlignment="1">
      <alignment horizontal="centerContinuous" vertical="center"/>
    </xf>
    <xf numFmtId="4" fontId="17" fillId="0" borderId="0" xfId="0" applyNumberFormat="1" applyFont="1" applyAlignment="1">
      <alignment horizontal="centerContinuous" vertical="center"/>
    </xf>
    <xf numFmtId="172" fontId="17" fillId="0" borderId="0" xfId="11" applyNumberFormat="1" applyFont="1" applyAlignment="1">
      <alignment horizontal="centerContinuous" vertical="center"/>
    </xf>
    <xf numFmtId="172" fontId="0" fillId="0" borderId="0" xfId="11" applyNumberFormat="1" applyFont="1" applyAlignment="1">
      <alignment horizontal="right" vertical="center"/>
    </xf>
    <xf numFmtId="173" fontId="0" fillId="0" borderId="0" xfId="11" applyNumberFormat="1" applyFont="1" applyAlignment="1">
      <alignment horizontal="right" vertical="center"/>
    </xf>
    <xf numFmtId="0" fontId="38" fillId="0" borderId="2" xfId="0" applyFont="1" applyBorder="1" applyAlignment="1">
      <alignment horizontal="center" vertical="center"/>
    </xf>
    <xf numFmtId="4" fontId="38" fillId="0" borderId="50" xfId="0" applyNumberFormat="1" applyFont="1" applyBorder="1" applyAlignment="1">
      <alignment horizontal="right" vertical="center"/>
    </xf>
    <xf numFmtId="4" fontId="38" fillId="0" borderId="43" xfId="0" applyNumberFormat="1" applyFont="1" applyBorder="1" applyAlignment="1">
      <alignment vertical="center"/>
    </xf>
    <xf numFmtId="172" fontId="38" fillId="0" borderId="51" xfId="11" applyNumberFormat="1" applyFont="1" applyBorder="1" applyAlignment="1">
      <alignment vertical="center"/>
    </xf>
    <xf numFmtId="172" fontId="38" fillId="0" borderId="3" xfId="11" applyNumberFormat="1" applyFont="1" applyBorder="1" applyAlignment="1">
      <alignment vertical="center"/>
    </xf>
    <xf numFmtId="0" fontId="0" fillId="0" borderId="36" xfId="0" applyBorder="1" applyAlignment="1">
      <alignment vertical="center"/>
    </xf>
    <xf numFmtId="4" fontId="0" fillId="0" borderId="33" xfId="0" applyNumberFormat="1" applyBorder="1" applyAlignment="1">
      <alignment horizontal="center" vertical="center"/>
    </xf>
    <xf numFmtId="0" fontId="0" fillId="0" borderId="52" xfId="0" applyBorder="1" applyAlignment="1">
      <alignment vertical="center"/>
    </xf>
    <xf numFmtId="0" fontId="0" fillId="0" borderId="54" xfId="0" applyBorder="1" applyAlignment="1">
      <alignment vertical="center"/>
    </xf>
    <xf numFmtId="4" fontId="0" fillId="0" borderId="55" xfId="0" applyNumberFormat="1" applyBorder="1" applyAlignment="1">
      <alignment horizontal="center" vertical="center"/>
    </xf>
    <xf numFmtId="4" fontId="38" fillId="0" borderId="3" xfId="0" applyNumberFormat="1" applyFont="1" applyBorder="1" applyAlignment="1">
      <alignment vertical="center"/>
    </xf>
    <xf numFmtId="4" fontId="0" fillId="0" borderId="53" xfId="0" applyNumberFormat="1" applyBorder="1" applyAlignment="1">
      <alignment horizontal="center" vertical="center"/>
    </xf>
    <xf numFmtId="4" fontId="0" fillId="0" borderId="0" xfId="0" applyNumberFormat="1" applyAlignment="1">
      <alignment horizontal="right" vertical="center"/>
    </xf>
    <xf numFmtId="172" fontId="38" fillId="0" borderId="0" xfId="11" applyNumberFormat="1" applyFont="1" applyAlignment="1">
      <alignment horizontal="right" vertical="center"/>
    </xf>
    <xf numFmtId="0" fontId="40" fillId="0" borderId="0" xfId="0" applyFont="1" applyAlignment="1">
      <alignment vertical="center"/>
    </xf>
    <xf numFmtId="0" fontId="40" fillId="0" borderId="0" xfId="0" applyFont="1" applyAlignment="1">
      <alignment horizontal="right"/>
    </xf>
    <xf numFmtId="1" fontId="19" fillId="0" borderId="0" xfId="1" applyNumberFormat="1" applyAlignment="1">
      <alignment vertical="center" wrapText="1"/>
    </xf>
    <xf numFmtId="0" fontId="19" fillId="0" borderId="1" xfId="1" applyNumberFormat="1" applyBorder="1" applyAlignment="1">
      <alignment vertical="center" wrapText="1"/>
    </xf>
    <xf numFmtId="1" fontId="19" fillId="0" borderId="2" xfId="1" applyNumberFormat="1" applyBorder="1" applyAlignment="1">
      <alignment vertical="center" wrapText="1"/>
    </xf>
    <xf numFmtId="0" fontId="19" fillId="0" borderId="2" xfId="1" applyNumberFormat="1" applyBorder="1" applyAlignment="1">
      <alignment vertical="center" wrapText="1"/>
    </xf>
    <xf numFmtId="0" fontId="19" fillId="0" borderId="2" xfId="1" applyNumberFormat="1" applyBorder="1" applyAlignment="1">
      <alignment horizontal="center" vertical="center" wrapText="1"/>
    </xf>
    <xf numFmtId="4" fontId="19" fillId="0" borderId="2" xfId="1" applyNumberFormat="1" applyBorder="1" applyAlignment="1">
      <alignment vertical="center" wrapText="1"/>
    </xf>
    <xf numFmtId="4" fontId="18" fillId="0" borderId="3" xfId="1" applyNumberFormat="1" applyFont="1" applyBorder="1" applyAlignment="1">
      <alignment horizontal="right" vertical="center"/>
    </xf>
    <xf numFmtId="0" fontId="0" fillId="0" borderId="0" xfId="0" applyAlignment="1">
      <alignment horizontal="right" vertical="center"/>
    </xf>
    <xf numFmtId="0" fontId="23" fillId="0" borderId="0" xfId="1" applyNumberFormat="1" applyFont="1" applyAlignment="1">
      <alignment vertical="center"/>
    </xf>
    <xf numFmtId="0" fontId="32" fillId="0" borderId="0" xfId="10" applyFont="1" applyAlignment="1">
      <alignment horizontal="left" vertical="center"/>
    </xf>
    <xf numFmtId="4" fontId="21" fillId="0" borderId="0" xfId="0" applyNumberFormat="1" applyFont="1" applyAlignment="1">
      <alignment vertical="center" wrapText="1"/>
    </xf>
    <xf numFmtId="4" fontId="26" fillId="0" borderId="0" xfId="5" applyNumberFormat="1" applyFont="1" applyAlignment="1">
      <alignment vertical="center"/>
    </xf>
    <xf numFmtId="4" fontId="18" fillId="0" borderId="0" xfId="0" applyNumberFormat="1" applyFont="1" applyAlignment="1">
      <alignment vertical="center"/>
    </xf>
    <xf numFmtId="4" fontId="18" fillId="0" borderId="4" xfId="0" applyNumberFormat="1" applyFont="1" applyBorder="1" applyAlignment="1">
      <alignment vertical="center"/>
    </xf>
    <xf numFmtId="1" fontId="27" fillId="0" borderId="0" xfId="1" applyNumberFormat="1" applyFont="1" applyAlignment="1">
      <alignment vertical="center"/>
    </xf>
    <xf numFmtId="1" fontId="28" fillId="0" borderId="0" xfId="1" applyNumberFormat="1" applyFont="1" applyAlignment="1">
      <alignment vertical="center"/>
    </xf>
    <xf numFmtId="175" fontId="30" fillId="0" borderId="0" xfId="0" applyNumberFormat="1" applyFont="1" applyAlignment="1">
      <alignment vertical="center"/>
    </xf>
    <xf numFmtId="0" fontId="24" fillId="0" borderId="23" xfId="0" applyFont="1" applyFill="1" applyBorder="1" applyAlignment="1">
      <alignment horizontal="center" vertical="center" wrapText="1"/>
    </xf>
    <xf numFmtId="0" fontId="38" fillId="0" borderId="0" xfId="0" applyFont="1" applyAlignment="1">
      <alignment horizontal="center" vertical="center"/>
    </xf>
    <xf numFmtId="0" fontId="38" fillId="0" borderId="6" xfId="0" applyFont="1" applyBorder="1" applyAlignment="1">
      <alignment vertical="center"/>
    </xf>
    <xf numFmtId="0" fontId="38" fillId="0" borderId="6" xfId="0" applyFont="1" applyBorder="1" applyAlignment="1">
      <alignment horizontal="center" vertical="center"/>
    </xf>
    <xf numFmtId="0" fontId="21" fillId="0" borderId="0" xfId="0" applyFont="1" applyAlignment="1">
      <alignment horizontal="center" vertical="center" wrapText="1"/>
    </xf>
    <xf numFmtId="0" fontId="26" fillId="0" borderId="0" xfId="19" applyNumberFormat="1" applyFont="1" applyAlignment="1">
      <alignment vertical="center"/>
    </xf>
    <xf numFmtId="43" fontId="49" fillId="0" borderId="0" xfId="5" applyFont="1" applyAlignment="1">
      <alignment horizontal="centerContinuous" vertical="center"/>
    </xf>
    <xf numFmtId="4" fontId="15" fillId="0" borderId="0" xfId="19" applyNumberFormat="1" applyAlignment="1">
      <alignment horizontal="right" vertical="center"/>
    </xf>
    <xf numFmtId="0" fontId="15" fillId="0" borderId="0" xfId="19" applyNumberFormat="1" applyAlignment="1">
      <alignment horizontal="center" vertical="center" wrapText="1"/>
    </xf>
    <xf numFmtId="0" fontId="15" fillId="0" borderId="0" xfId="19" applyNumberFormat="1" applyAlignment="1">
      <alignment vertical="center" wrapText="1"/>
    </xf>
    <xf numFmtId="0" fontId="15" fillId="0" borderId="0" xfId="19" applyNumberFormat="1" applyAlignment="1">
      <alignment vertical="center"/>
    </xf>
    <xf numFmtId="1" fontId="15" fillId="0" borderId="0" xfId="19" applyNumberFormat="1" applyAlignment="1">
      <alignment vertical="center" wrapText="1"/>
    </xf>
    <xf numFmtId="4" fontId="15" fillId="0" borderId="0" xfId="19" applyNumberFormat="1" applyAlignment="1">
      <alignment vertical="center" wrapText="1"/>
    </xf>
    <xf numFmtId="0" fontId="15" fillId="0" borderId="1" xfId="19" applyNumberFormat="1" applyBorder="1" applyAlignment="1">
      <alignment vertical="center" wrapText="1"/>
    </xf>
    <xf numFmtId="1" fontId="15" fillId="0" borderId="2" xfId="19" applyNumberFormat="1" applyBorder="1" applyAlignment="1">
      <alignment vertical="center" wrapText="1"/>
    </xf>
    <xf numFmtId="0" fontId="15" fillId="0" borderId="2" xfId="19" applyNumberFormat="1" applyBorder="1" applyAlignment="1">
      <alignment vertical="center" wrapText="1"/>
    </xf>
    <xf numFmtId="0" fontId="15" fillId="0" borderId="2" xfId="19" applyNumberFormat="1" applyBorder="1" applyAlignment="1">
      <alignment horizontal="center" vertical="center" wrapText="1"/>
    </xf>
    <xf numFmtId="4" fontId="15" fillId="0" borderId="2" xfId="19" applyNumberFormat="1" applyBorder="1" applyAlignment="1">
      <alignment vertical="center" wrapText="1"/>
    </xf>
    <xf numFmtId="4" fontId="18" fillId="0" borderId="44" xfId="19" applyNumberFormat="1" applyFont="1" applyBorder="1" applyAlignment="1">
      <alignment vertical="center" wrapText="1"/>
    </xf>
    <xf numFmtId="4" fontId="18" fillId="0" borderId="43" xfId="19" applyNumberFormat="1" applyFont="1" applyBorder="1" applyAlignment="1">
      <alignment vertical="center" wrapText="1"/>
    </xf>
    <xf numFmtId="4" fontId="18" fillId="0" borderId="42" xfId="19" applyNumberFormat="1" applyFont="1" applyBorder="1" applyAlignment="1">
      <alignment vertical="center" wrapText="1"/>
    </xf>
    <xf numFmtId="4" fontId="18" fillId="0" borderId="0" xfId="19" applyNumberFormat="1" applyFont="1" applyAlignment="1">
      <alignment vertical="center" wrapText="1"/>
    </xf>
    <xf numFmtId="0" fontId="32" fillId="0" borderId="0" xfId="19" applyNumberFormat="1" applyFont="1" applyAlignment="1">
      <alignment vertical="center" wrapText="1"/>
    </xf>
    <xf numFmtId="0" fontId="15" fillId="0" borderId="0" xfId="19" applyNumberFormat="1" applyAlignment="1">
      <alignment horizontal="right" vertical="center"/>
    </xf>
    <xf numFmtId="0" fontId="24" fillId="0" borderId="20" xfId="0" applyFont="1" applyFill="1" applyBorder="1" applyAlignment="1">
      <alignment vertical="center" wrapText="1"/>
    </xf>
    <xf numFmtId="43" fontId="23" fillId="0" borderId="23" xfId="0" applyNumberFormat="1" applyFont="1" applyFill="1" applyBorder="1" applyAlignment="1">
      <alignment vertical="center" wrapText="1"/>
    </xf>
    <xf numFmtId="4" fontId="36" fillId="0" borderId="0" xfId="10" applyNumberFormat="1" applyFont="1" applyAlignment="1">
      <alignment vertical="center" shrinkToFit="1"/>
    </xf>
    <xf numFmtId="0" fontId="28" fillId="0" borderId="0" xfId="19" applyNumberFormat="1" applyFont="1" applyAlignment="1">
      <alignment horizontal="centerContinuous" vertical="center"/>
    </xf>
    <xf numFmtId="0" fontId="24" fillId="0" borderId="0" xfId="19" applyNumberFormat="1" applyFont="1" applyAlignment="1">
      <alignment horizontal="right" vertical="center"/>
    </xf>
    <xf numFmtId="0" fontId="41" fillId="0" borderId="0" xfId="19" applyNumberFormat="1" applyFont="1" applyAlignment="1">
      <alignment vertical="center"/>
    </xf>
    <xf numFmtId="0" fontId="27" fillId="0" borderId="0" xfId="19" applyNumberFormat="1" applyFont="1" applyAlignment="1">
      <alignment vertical="center"/>
    </xf>
    <xf numFmtId="14" fontId="24" fillId="0" borderId="0" xfId="19" applyNumberFormat="1" applyFont="1" applyAlignment="1">
      <alignment horizontal="right" vertical="center" wrapText="1"/>
    </xf>
    <xf numFmtId="0" fontId="46" fillId="0" borderId="0" xfId="19" applyNumberFormat="1" applyFont="1" applyAlignment="1">
      <alignment vertical="center"/>
    </xf>
    <xf numFmtId="0" fontId="25" fillId="0" borderId="0" xfId="0" applyFont="1" applyAlignment="1">
      <alignment vertical="center"/>
    </xf>
    <xf numFmtId="0" fontId="15" fillId="0" borderId="26" xfId="19" applyNumberFormat="1" applyBorder="1" applyAlignment="1">
      <alignment horizontal="right" vertical="center"/>
    </xf>
    <xf numFmtId="0" fontId="18" fillId="6" borderId="65" xfId="19" applyNumberFormat="1" applyFont="1" applyFill="1" applyBorder="1" applyAlignment="1">
      <alignment horizontal="centerContinuous" vertical="center"/>
    </xf>
    <xf numFmtId="0" fontId="18" fillId="6" borderId="49" xfId="19" applyNumberFormat="1" applyFont="1" applyFill="1" applyBorder="1" applyAlignment="1">
      <alignment horizontal="centerContinuous" vertical="center"/>
    </xf>
    <xf numFmtId="0" fontId="18" fillId="6" borderId="66" xfId="19" applyNumberFormat="1" applyFont="1" applyFill="1" applyBorder="1" applyAlignment="1">
      <alignment horizontal="centerContinuous" vertical="center"/>
    </xf>
    <xf numFmtId="0" fontId="18" fillId="0" borderId="0" xfId="19" applyNumberFormat="1" applyFont="1" applyAlignment="1">
      <alignment vertical="center"/>
    </xf>
    <xf numFmtId="0" fontId="24" fillId="0" borderId="73" xfId="19" applyNumberFormat="1" applyFont="1" applyBorder="1" applyAlignment="1">
      <alignment vertical="center"/>
    </xf>
    <xf numFmtId="181" fontId="24" fillId="0" borderId="60" xfId="19" applyNumberFormat="1" applyFont="1" applyBorder="1" applyAlignment="1">
      <alignment vertical="center"/>
    </xf>
    <xf numFmtId="172" fontId="24" fillId="0" borderId="61" xfId="11" applyNumberFormat="1" applyFont="1" applyBorder="1" applyAlignment="1">
      <alignment vertical="center"/>
    </xf>
    <xf numFmtId="0" fontId="24" fillId="0" borderId="76" xfId="19" applyNumberFormat="1" applyFont="1" applyBorder="1" applyAlignment="1">
      <alignment vertical="center"/>
    </xf>
    <xf numFmtId="181" fontId="24" fillId="0" borderId="63" xfId="19" applyNumberFormat="1" applyFont="1" applyBorder="1" applyAlignment="1">
      <alignment vertical="center"/>
    </xf>
    <xf numFmtId="0" fontId="24" fillId="0" borderId="77" xfId="19" applyNumberFormat="1" applyFont="1" applyBorder="1" applyAlignment="1">
      <alignment vertical="center"/>
    </xf>
    <xf numFmtId="0" fontId="24" fillId="0" borderId="63" xfId="19" applyNumberFormat="1" applyFont="1" applyBorder="1" applyAlignment="1">
      <alignment vertical="center"/>
    </xf>
    <xf numFmtId="0" fontId="24" fillId="0" borderId="78" xfId="19" applyNumberFormat="1" applyFont="1" applyBorder="1" applyAlignment="1">
      <alignment vertical="center"/>
    </xf>
    <xf numFmtId="0" fontId="24" fillId="0" borderId="79" xfId="19" applyNumberFormat="1" applyFont="1" applyBorder="1" applyAlignment="1">
      <alignment vertical="center"/>
    </xf>
    <xf numFmtId="181" fontId="24" fillId="0" borderId="80" xfId="19" applyNumberFormat="1" applyFont="1" applyBorder="1" applyAlignment="1">
      <alignment vertical="center"/>
    </xf>
    <xf numFmtId="181" fontId="24" fillId="0" borderId="77" xfId="19" applyNumberFormat="1" applyFont="1" applyBorder="1" applyAlignment="1">
      <alignment vertical="center"/>
    </xf>
    <xf numFmtId="181" fontId="24" fillId="0" borderId="78" xfId="19" applyNumberFormat="1" applyFont="1" applyBorder="1" applyAlignment="1">
      <alignment vertical="center"/>
    </xf>
    <xf numFmtId="0" fontId="24" fillId="0" borderId="82" xfId="19" applyNumberFormat="1" applyFont="1" applyBorder="1" applyAlignment="1">
      <alignment vertical="center"/>
    </xf>
    <xf numFmtId="181" fontId="24" fillId="0" borderId="83" xfId="19" applyNumberFormat="1" applyFont="1" applyBorder="1" applyAlignment="1">
      <alignment vertical="center"/>
    </xf>
    <xf numFmtId="171" fontId="15" fillId="0" borderId="9" xfId="19" applyNumberFormat="1" applyBorder="1" applyAlignment="1">
      <alignment horizontal="right" vertical="center"/>
    </xf>
    <xf numFmtId="171" fontId="15" fillId="0" borderId="0" xfId="19" applyNumberFormat="1" applyAlignment="1">
      <alignment horizontal="right" vertical="center"/>
    </xf>
    <xf numFmtId="0" fontId="15" fillId="0" borderId="0" xfId="19" applyNumberFormat="1" applyAlignment="1">
      <alignment horizontal="centerContinuous" vertical="center"/>
    </xf>
    <xf numFmtId="171" fontId="15" fillId="0" borderId="0" xfId="19" applyNumberFormat="1" applyAlignment="1">
      <alignment horizontal="centerContinuous" vertical="center"/>
    </xf>
    <xf numFmtId="171" fontId="15" fillId="0" borderId="0" xfId="19" applyNumberFormat="1" applyAlignment="1">
      <alignment vertical="center"/>
    </xf>
    <xf numFmtId="171" fontId="15" fillId="0" borderId="0" xfId="19" applyNumberFormat="1" applyAlignment="1">
      <alignment horizontal="center" vertical="center"/>
    </xf>
    <xf numFmtId="4" fontId="0" fillId="0" borderId="40" xfId="0" applyNumberFormat="1" applyBorder="1" applyAlignment="1">
      <alignment horizontal="centerContinuous" vertical="center"/>
    </xf>
    <xf numFmtId="0" fontId="15" fillId="0" borderId="40" xfId="19" applyNumberFormat="1" applyBorder="1" applyAlignment="1">
      <alignment horizontal="centerContinuous" vertical="center"/>
    </xf>
    <xf numFmtId="172" fontId="0" fillId="0" borderId="40" xfId="11" applyNumberFormat="1" applyFont="1" applyBorder="1" applyAlignment="1">
      <alignment horizontal="centerContinuous" vertical="center"/>
    </xf>
    <xf numFmtId="4" fontId="0" fillId="0" borderId="0" xfId="0" applyNumberFormat="1" applyAlignment="1">
      <alignment horizontal="centerContinuous" vertical="center"/>
    </xf>
    <xf numFmtId="0" fontId="23" fillId="0" borderId="0" xfId="19" applyNumberFormat="1" applyFont="1" applyAlignment="1">
      <alignment horizontal="centerContinuous" vertical="center"/>
    </xf>
    <xf numFmtId="172" fontId="0" fillId="0" borderId="0" xfId="11" applyNumberFormat="1" applyFont="1" applyAlignment="1">
      <alignment horizontal="centerContinuous" vertical="center"/>
    </xf>
    <xf numFmtId="180" fontId="41" fillId="6" borderId="71" xfId="19" applyNumberFormat="1" applyFont="1" applyFill="1" applyBorder="1" applyAlignment="1">
      <alignment horizontal="center" vertical="center"/>
    </xf>
    <xf numFmtId="180" fontId="41" fillId="6" borderId="69" xfId="19" applyNumberFormat="1" applyFont="1" applyFill="1" applyBorder="1" applyAlignment="1">
      <alignment horizontal="center" vertical="center"/>
    </xf>
    <xf numFmtId="180" fontId="41" fillId="6" borderId="72" xfId="19" applyNumberFormat="1" applyFont="1" applyFill="1" applyBorder="1" applyAlignment="1">
      <alignment horizontal="center" vertical="center"/>
    </xf>
    <xf numFmtId="0" fontId="24" fillId="0" borderId="0" xfId="19" applyNumberFormat="1" applyFont="1" applyAlignment="1">
      <alignment vertical="center" wrapText="1"/>
    </xf>
    <xf numFmtId="0" fontId="24" fillId="0" borderId="0" xfId="19" applyNumberFormat="1" applyFont="1" applyAlignment="1">
      <alignment vertical="center"/>
    </xf>
    <xf numFmtId="10" fontId="24" fillId="0" borderId="0" xfId="11" applyNumberFormat="1" applyFont="1" applyAlignment="1">
      <alignment vertical="center"/>
    </xf>
    <xf numFmtId="181" fontId="24" fillId="0" borderId="0" xfId="19" applyNumberFormat="1" applyFont="1" applyAlignment="1">
      <alignment vertical="center"/>
    </xf>
    <xf numFmtId="4" fontId="0" fillId="0" borderId="0" xfId="0" applyNumberFormat="1" applyFill="1" applyAlignment="1">
      <alignment horizontal="right" vertical="center"/>
    </xf>
    <xf numFmtId="0" fontId="21" fillId="2" borderId="6" xfId="0" applyFont="1" applyFill="1" applyBorder="1" applyAlignment="1">
      <alignment horizontal="centerContinuous" vertical="center"/>
    </xf>
    <xf numFmtId="0" fontId="21" fillId="2" borderId="9" xfId="0" applyFont="1" applyFill="1" applyBorder="1" applyAlignment="1">
      <alignment horizontal="centerContinuous" vertical="center"/>
    </xf>
    <xf numFmtId="0" fontId="23" fillId="0" borderId="0" xfId="0" applyFont="1" applyBorder="1" applyAlignment="1">
      <alignment vertical="center"/>
    </xf>
    <xf numFmtId="0" fontId="23" fillId="0" borderId="48"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13" xfId="0" applyFont="1" applyBorder="1" applyAlignment="1">
      <alignment horizontal="center" vertical="center" wrapText="1"/>
    </xf>
    <xf numFmtId="0" fontId="24" fillId="0" borderId="22" xfId="0" applyFont="1" applyBorder="1" applyAlignment="1">
      <alignment horizontal="center" vertical="center" wrapText="1"/>
    </xf>
    <xf numFmtId="0" fontId="39" fillId="0" borderId="22" xfId="0" applyFont="1" applyBorder="1" applyAlignment="1">
      <alignment horizontal="center" vertical="center" wrapText="1"/>
    </xf>
    <xf numFmtId="4" fontId="48" fillId="0" borderId="26" xfId="0" applyNumberFormat="1" applyFont="1" applyBorder="1" applyAlignment="1">
      <alignment horizontal="right" vertical="center"/>
    </xf>
    <xf numFmtId="1" fontId="23" fillId="0" borderId="23" xfId="1" applyNumberFormat="1" applyFont="1" applyFill="1" applyBorder="1" applyAlignment="1">
      <alignment horizontal="center" vertical="center" wrapText="1"/>
    </xf>
    <xf numFmtId="0" fontId="13" fillId="0" borderId="0" xfId="1" applyNumberFormat="1" applyFont="1" applyAlignment="1">
      <alignment horizontal="center" vertical="center" wrapText="1"/>
    </xf>
    <xf numFmtId="0" fontId="37" fillId="0" borderId="1" xfId="10" applyFont="1" applyBorder="1" applyAlignment="1">
      <alignment horizontal="center" vertical="center" wrapText="1"/>
    </xf>
    <xf numFmtId="0" fontId="37" fillId="0" borderId="2" xfId="10" applyFont="1" applyBorder="1" applyAlignment="1">
      <alignment horizontal="center" vertical="center" wrapText="1"/>
    </xf>
    <xf numFmtId="4" fontId="37" fillId="0" borderId="2" xfId="10" applyNumberFormat="1" applyFont="1" applyBorder="1" applyAlignment="1">
      <alignment horizontal="right" vertical="center" wrapText="1"/>
    </xf>
    <xf numFmtId="4" fontId="37" fillId="0" borderId="2" xfId="10" applyNumberFormat="1" applyFont="1" applyBorder="1" applyAlignment="1">
      <alignment horizontal="center" vertical="center" wrapText="1"/>
    </xf>
    <xf numFmtId="4" fontId="37" fillId="0" borderId="3" xfId="10" applyNumberFormat="1" applyFont="1" applyBorder="1" applyAlignment="1">
      <alignment horizontal="center" vertical="center" wrapText="1"/>
    </xf>
    <xf numFmtId="0" fontId="43" fillId="0" borderId="2" xfId="10" applyFont="1" applyBorder="1" applyAlignment="1">
      <alignment vertical="center" wrapText="1"/>
    </xf>
    <xf numFmtId="4" fontId="18" fillId="0" borderId="0" xfId="0" applyNumberFormat="1" applyFont="1" applyBorder="1" applyAlignment="1">
      <alignment vertical="center"/>
    </xf>
    <xf numFmtId="172" fontId="0" fillId="0" borderId="0" xfId="11" applyNumberFormat="1" applyFont="1" applyBorder="1" applyAlignment="1">
      <alignment horizontal="centerContinuous" vertical="center"/>
    </xf>
    <xf numFmtId="0" fontId="13" fillId="0" borderId="0" xfId="19" applyNumberFormat="1" applyFont="1" applyAlignment="1">
      <alignment vertical="center" wrapText="1"/>
    </xf>
    <xf numFmtId="184" fontId="19" fillId="0" borderId="3" xfId="0" applyNumberFormat="1" applyFont="1" applyBorder="1" applyAlignment="1">
      <alignment vertical="center"/>
    </xf>
    <xf numFmtId="172" fontId="0" fillId="0" borderId="0" xfId="11" applyNumberFormat="1" applyFont="1" applyBorder="1" applyAlignment="1">
      <alignment vertical="center"/>
    </xf>
    <xf numFmtId="43" fontId="49" fillId="0" borderId="0" xfId="5" applyFont="1" applyAlignment="1">
      <alignment vertical="center"/>
    </xf>
    <xf numFmtId="182" fontId="26" fillId="0" borderId="0" xfId="5" applyNumberFormat="1" applyFont="1" applyAlignment="1">
      <alignment horizontal="center" vertical="center"/>
    </xf>
    <xf numFmtId="164" fontId="0" fillId="0" borderId="0" xfId="0" applyNumberFormat="1"/>
    <xf numFmtId="0" fontId="28" fillId="0" borderId="0" xfId="0" applyFont="1" applyAlignment="1">
      <alignment horizontal="centerContinuous" vertical="center"/>
    </xf>
    <xf numFmtId="4" fontId="21" fillId="0" borderId="0" xfId="0" applyNumberFormat="1" applyFont="1" applyAlignment="1">
      <alignment horizontal="centerContinuous" vertical="center"/>
    </xf>
    <xf numFmtId="0" fontId="38" fillId="0" borderId="0" xfId="0" applyFont="1" applyAlignment="1">
      <alignment vertical="center"/>
    </xf>
    <xf numFmtId="0" fontId="0" fillId="0" borderId="0" xfId="0" applyAlignment="1">
      <alignment vertical="center"/>
    </xf>
    <xf numFmtId="4" fontId="0" fillId="0" borderId="0" xfId="0" applyNumberFormat="1" applyAlignment="1">
      <alignment vertical="center"/>
    </xf>
    <xf numFmtId="0" fontId="0" fillId="0" borderId="0" xfId="0" applyAlignment="1">
      <alignment horizontal="center" vertical="center"/>
    </xf>
    <xf numFmtId="4" fontId="29" fillId="0" borderId="2" xfId="10" applyNumberFormat="1" applyFont="1" applyBorder="1" applyAlignment="1">
      <alignment horizontal="center" vertical="center" wrapText="1"/>
    </xf>
    <xf numFmtId="4" fontId="29" fillId="0" borderId="3" xfId="10" applyNumberFormat="1" applyFont="1" applyBorder="1" applyAlignment="1">
      <alignment horizontal="center" vertical="center" wrapText="1"/>
    </xf>
    <xf numFmtId="0" fontId="29" fillId="0" borderId="2" xfId="10" applyFont="1" applyBorder="1" applyAlignment="1">
      <alignment horizontal="center" vertical="center" wrapText="1"/>
    </xf>
    <xf numFmtId="0" fontId="29" fillId="0" borderId="1" xfId="10" applyFont="1" applyBorder="1" applyAlignment="1">
      <alignment horizontal="center" vertical="center" wrapText="1"/>
    </xf>
    <xf numFmtId="4" fontId="29" fillId="0" borderId="2" xfId="10" applyNumberFormat="1" applyFont="1" applyBorder="1" applyAlignment="1">
      <alignment horizontal="right" vertical="center" wrapText="1"/>
    </xf>
    <xf numFmtId="0" fontId="50" fillId="0" borderId="2" xfId="10" applyFont="1" applyBorder="1" applyAlignment="1">
      <alignment vertical="center" wrapText="1"/>
    </xf>
    <xf numFmtId="0" fontId="50" fillId="4" borderId="29" xfId="10" applyFont="1" applyFill="1" applyBorder="1" applyAlignment="1">
      <alignment horizontal="center" vertical="center" wrapText="1"/>
    </xf>
    <xf numFmtId="4" fontId="50" fillId="4" borderId="29" xfId="10" applyNumberFormat="1" applyFont="1" applyFill="1" applyBorder="1" applyAlignment="1">
      <alignment horizontal="center" vertical="center" wrapText="1"/>
    </xf>
    <xf numFmtId="4" fontId="50" fillId="4" borderId="41" xfId="10" applyNumberFormat="1" applyFont="1" applyFill="1" applyBorder="1" applyAlignment="1">
      <alignment horizontal="centerContinuous" vertical="center" wrapText="1"/>
    </xf>
    <xf numFmtId="4" fontId="50" fillId="4" borderId="40" xfId="10" applyNumberFormat="1" applyFont="1" applyFill="1" applyBorder="1" applyAlignment="1">
      <alignment horizontal="centerContinuous" vertical="center" wrapText="1"/>
    </xf>
    <xf numFmtId="4" fontId="50" fillId="4" borderId="39" xfId="10" applyNumberFormat="1" applyFont="1" applyFill="1" applyBorder="1" applyAlignment="1">
      <alignment horizontal="centerContinuous" vertical="center" wrapText="1"/>
    </xf>
    <xf numFmtId="4" fontId="20" fillId="0" borderId="0" xfId="10" applyNumberFormat="1" applyAlignment="1">
      <alignment horizontal="right" vertical="center"/>
    </xf>
    <xf numFmtId="0" fontId="34" fillId="0" borderId="4" xfId="2" applyFont="1" applyFill="1" applyBorder="1" applyAlignment="1">
      <alignment horizontal="center" vertical="center" wrapText="1"/>
    </xf>
    <xf numFmtId="4" fontId="29" fillId="3" borderId="13" xfId="10" applyNumberFormat="1" applyFont="1" applyFill="1" applyBorder="1" applyAlignment="1">
      <alignment vertical="center" wrapText="1"/>
    </xf>
    <xf numFmtId="4" fontId="29" fillId="3" borderId="97" xfId="10" applyNumberFormat="1" applyFont="1" applyFill="1" applyBorder="1" applyAlignment="1">
      <alignment horizontal="center" vertical="center" wrapText="1"/>
    </xf>
    <xf numFmtId="4" fontId="29" fillId="3" borderId="37" xfId="10" applyNumberFormat="1" applyFont="1" applyFill="1" applyBorder="1" applyAlignment="1">
      <alignment horizontal="center" vertical="center" wrapText="1"/>
    </xf>
    <xf numFmtId="4" fontId="29" fillId="3" borderId="93" xfId="10" applyNumberFormat="1" applyFont="1" applyFill="1" applyBorder="1" applyAlignment="1">
      <alignment vertical="center" wrapText="1"/>
    </xf>
    <xf numFmtId="4" fontId="29" fillId="3" borderId="22" xfId="10" applyNumberFormat="1" applyFont="1" applyFill="1" applyBorder="1" applyAlignment="1">
      <alignment vertical="center" wrapText="1"/>
    </xf>
    <xf numFmtId="4" fontId="29" fillId="3" borderId="16" xfId="10" applyNumberFormat="1" applyFont="1" applyFill="1" applyBorder="1" applyAlignment="1">
      <alignment vertical="center" wrapText="1"/>
    </xf>
    <xf numFmtId="4" fontId="44" fillId="0" borderId="0" xfId="2" applyNumberFormat="1" applyFont="1" applyAlignment="1">
      <alignment horizontal="left" vertical="center"/>
    </xf>
    <xf numFmtId="0" fontId="0" fillId="0" borderId="0" xfId="0" applyAlignment="1">
      <alignment horizontal="left" vertical="center"/>
    </xf>
    <xf numFmtId="0" fontId="24" fillId="0" borderId="77" xfId="19" applyNumberFormat="1" applyFont="1" applyFill="1" applyBorder="1" applyAlignment="1">
      <alignment vertical="center"/>
    </xf>
    <xf numFmtId="0" fontId="24" fillId="0" borderId="9" xfId="1" applyNumberFormat="1" applyFont="1" applyBorder="1" applyAlignment="1">
      <alignment vertical="center"/>
    </xf>
    <xf numFmtId="171" fontId="24" fillId="0" borderId="9" xfId="1" applyNumberFormat="1" applyFont="1" applyBorder="1" applyAlignment="1">
      <alignment horizontal="right" vertical="center"/>
    </xf>
    <xf numFmtId="0" fontId="24" fillId="0" borderId="9" xfId="1" applyNumberFormat="1" applyFont="1" applyBorder="1" applyAlignment="1">
      <alignment horizontal="right" vertical="center"/>
    </xf>
    <xf numFmtId="0" fontId="24" fillId="0" borderId="0" xfId="1" applyNumberFormat="1" applyFont="1" applyAlignment="1">
      <alignment horizontal="centerContinuous" vertical="center"/>
    </xf>
    <xf numFmtId="171" fontId="24" fillId="0" borderId="0" xfId="1" applyNumberFormat="1" applyFont="1" applyAlignment="1">
      <alignment horizontal="centerContinuous" vertical="center"/>
    </xf>
    <xf numFmtId="177" fontId="41" fillId="0" borderId="87" xfId="11" applyNumberFormat="1" applyFont="1" applyBorder="1" applyAlignment="1">
      <alignment vertical="center"/>
    </xf>
    <xf numFmtId="177" fontId="41" fillId="0" borderId="49" xfId="11" applyNumberFormat="1" applyFont="1" applyBorder="1" applyAlignment="1">
      <alignment vertical="center"/>
    </xf>
    <xf numFmtId="177" fontId="41" fillId="0" borderId="66" xfId="11" applyNumberFormat="1" applyFont="1" applyBorder="1" applyAlignment="1">
      <alignment vertical="center"/>
    </xf>
    <xf numFmtId="177" fontId="41" fillId="0" borderId="16" xfId="11" applyNumberFormat="1" applyFont="1" applyBorder="1" applyAlignment="1">
      <alignment vertical="center"/>
    </xf>
    <xf numFmtId="177" fontId="41" fillId="0" borderId="17" xfId="11" applyNumberFormat="1" applyFont="1" applyBorder="1" applyAlignment="1">
      <alignment vertical="center"/>
    </xf>
    <xf numFmtId="177" fontId="41" fillId="0" borderId="57" xfId="11" applyNumberFormat="1" applyFont="1" applyBorder="1" applyAlignment="1">
      <alignment vertical="center"/>
    </xf>
    <xf numFmtId="177" fontId="24" fillId="0" borderId="45" xfId="11" applyNumberFormat="1" applyFont="1" applyBorder="1" applyAlignment="1">
      <alignment vertical="center"/>
    </xf>
    <xf numFmtId="177" fontId="24" fillId="0" borderId="81" xfId="11" applyNumberFormat="1" applyFont="1" applyBorder="1" applyAlignment="1">
      <alignment vertical="center"/>
    </xf>
    <xf numFmtId="177" fontId="24" fillId="0" borderId="84" xfId="11" applyNumberFormat="1" applyFont="1" applyBorder="1" applyAlignment="1">
      <alignment vertical="center"/>
    </xf>
    <xf numFmtId="177" fontId="24" fillId="0" borderId="85" xfId="11" applyNumberFormat="1" applyFont="1" applyBorder="1" applyAlignment="1">
      <alignment vertical="center"/>
    </xf>
    <xf numFmtId="177" fontId="24" fillId="0" borderId="83" xfId="11" applyNumberFormat="1" applyFont="1" applyBorder="1" applyAlignment="1">
      <alignment vertical="center"/>
    </xf>
    <xf numFmtId="177" fontId="24" fillId="0" borderId="86" xfId="11" applyNumberFormat="1" applyFont="1" applyBorder="1" applyAlignment="1">
      <alignment vertical="center"/>
    </xf>
    <xf numFmtId="177" fontId="24" fillId="0" borderId="74" xfId="11" applyNumberFormat="1" applyFont="1" applyBorder="1" applyAlignment="1">
      <alignment vertical="center"/>
    </xf>
    <xf numFmtId="177" fontId="24" fillId="0" borderId="60" xfId="11" applyNumberFormat="1" applyFont="1" applyBorder="1" applyAlignment="1">
      <alignment vertical="center"/>
    </xf>
    <xf numFmtId="177" fontId="24" fillId="0" borderId="75" xfId="11" applyNumberFormat="1" applyFont="1" applyBorder="1" applyAlignment="1">
      <alignment vertical="center"/>
    </xf>
    <xf numFmtId="4" fontId="30" fillId="0" borderId="0" xfId="0" applyNumberFormat="1" applyFont="1" applyAlignment="1">
      <alignment horizontal="center" vertical="center"/>
    </xf>
    <xf numFmtId="4" fontId="11" fillId="0" borderId="0" xfId="1" applyNumberFormat="1" applyFont="1" applyAlignment="1">
      <alignment horizontal="right" vertical="center"/>
    </xf>
    <xf numFmtId="169" fontId="34" fillId="0" borderId="4" xfId="2" applyNumberFormat="1" applyFont="1" applyFill="1" applyBorder="1" applyAlignment="1">
      <alignment vertical="center" wrapText="1"/>
    </xf>
    <xf numFmtId="0" fontId="0" fillId="0" borderId="0" xfId="0" applyBorder="1" applyAlignment="1">
      <alignment vertical="center"/>
    </xf>
    <xf numFmtId="4" fontId="51" fillId="0" borderId="0" xfId="5" applyNumberFormat="1" applyFont="1" applyAlignment="1">
      <alignment horizontal="right" vertical="center"/>
    </xf>
    <xf numFmtId="0" fontId="19" fillId="0" borderId="0" xfId="1" applyNumberFormat="1" applyBorder="1" applyAlignment="1">
      <alignment vertical="center" wrapText="1"/>
    </xf>
    <xf numFmtId="0" fontId="19" fillId="0" borderId="0" xfId="1" applyNumberFormat="1" applyBorder="1" applyAlignment="1">
      <alignment horizontal="center" vertical="center" wrapText="1"/>
    </xf>
    <xf numFmtId="0" fontId="29" fillId="0" borderId="0" xfId="2" applyFont="1" applyAlignment="1">
      <alignment horizontal="centerContinuous" vertical="center"/>
    </xf>
    <xf numFmtId="0" fontId="29" fillId="0" borderId="0" xfId="2" applyFont="1" applyAlignment="1">
      <alignment horizontal="center" vertical="center" wrapText="1"/>
    </xf>
    <xf numFmtId="4" fontId="32" fillId="0" borderId="0" xfId="10" applyNumberFormat="1" applyFont="1" applyAlignment="1">
      <alignment vertical="center"/>
    </xf>
    <xf numFmtId="164" fontId="36" fillId="0" borderId="0" xfId="10" applyNumberFormat="1" applyFont="1" applyAlignment="1">
      <alignment vertical="center"/>
    </xf>
    <xf numFmtId="164" fontId="29" fillId="0" borderId="0" xfId="2" applyNumberFormat="1" applyFont="1" applyAlignment="1">
      <alignment vertical="center"/>
    </xf>
    <xf numFmtId="164" fontId="21" fillId="0" borderId="0" xfId="0" applyNumberFormat="1" applyFont="1" applyAlignment="1">
      <alignment vertical="center" wrapText="1"/>
    </xf>
    <xf numFmtId="164" fontId="26" fillId="0" borderId="0" xfId="19" applyNumberFormat="1" applyFont="1" applyAlignment="1">
      <alignment vertical="center"/>
    </xf>
    <xf numFmtId="0" fontId="37" fillId="0" borderId="23" xfId="1" applyNumberFormat="1" applyFont="1" applyBorder="1" applyAlignment="1">
      <alignment horizontal="center" vertical="center" wrapText="1"/>
    </xf>
    <xf numFmtId="0" fontId="20" fillId="0" borderId="0" xfId="1" applyNumberFormat="1" applyFont="1" applyAlignment="1">
      <alignment vertical="center"/>
    </xf>
    <xf numFmtId="0" fontId="20" fillId="0" borderId="0" xfId="1" applyNumberFormat="1" applyFont="1" applyAlignment="1">
      <alignment vertical="center" wrapText="1"/>
    </xf>
    <xf numFmtId="0" fontId="38" fillId="0" borderId="0" xfId="0" applyFont="1" applyFill="1" applyAlignment="1">
      <alignment vertical="center"/>
    </xf>
    <xf numFmtId="186" fontId="0" fillId="0" borderId="0" xfId="0" applyNumberFormat="1" applyAlignment="1">
      <alignment horizontal="center" vertical="center"/>
    </xf>
    <xf numFmtId="0" fontId="19" fillId="0" borderId="0" xfId="1" applyNumberFormat="1" applyBorder="1" applyAlignment="1">
      <alignment horizontal="right" vertical="center"/>
    </xf>
    <xf numFmtId="4" fontId="34" fillId="0" borderId="4" xfId="2" applyNumberFormat="1" applyFont="1" applyBorder="1" applyAlignment="1">
      <alignment horizontal="center" vertical="center" wrapText="1"/>
    </xf>
    <xf numFmtId="4" fontId="15" fillId="0" borderId="0" xfId="19" applyNumberFormat="1" applyBorder="1" applyAlignment="1">
      <alignment vertical="center" wrapText="1"/>
    </xf>
    <xf numFmtId="4" fontId="38" fillId="7" borderId="0" xfId="0" applyNumberFormat="1" applyFont="1" applyFill="1" applyAlignment="1">
      <alignment horizontal="centerContinuous" vertical="center"/>
    </xf>
    <xf numFmtId="175" fontId="0" fillId="7" borderId="0" xfId="0" applyNumberFormat="1" applyFill="1" applyAlignment="1">
      <alignment horizontal="centerContinuous" vertical="center"/>
    </xf>
    <xf numFmtId="4" fontId="19" fillId="0" borderId="4" xfId="0" applyNumberFormat="1" applyFont="1" applyFill="1" applyBorder="1" applyAlignment="1">
      <alignment horizontal="center" vertical="center"/>
    </xf>
    <xf numFmtId="184" fontId="19" fillId="0" borderId="3" xfId="0" applyNumberFormat="1" applyFont="1" applyFill="1" applyBorder="1" applyAlignment="1">
      <alignment vertical="center"/>
    </xf>
    <xf numFmtId="4" fontId="18" fillId="0" borderId="1" xfId="0" applyNumberFormat="1" applyFont="1" applyBorder="1" applyAlignment="1">
      <alignment horizontal="center" vertical="center"/>
    </xf>
    <xf numFmtId="4" fontId="18" fillId="0" borderId="2" xfId="0" applyNumberFormat="1" applyFont="1" applyBorder="1" applyAlignment="1">
      <alignment horizontal="center" vertical="center"/>
    </xf>
    <xf numFmtId="4" fontId="18" fillId="0" borderId="3" xfId="0" applyNumberFormat="1" applyFont="1" applyBorder="1" applyAlignment="1">
      <alignment horizontal="center" vertical="center"/>
    </xf>
    <xf numFmtId="4" fontId="8" fillId="0" borderId="1" xfId="0" applyNumberFormat="1" applyFont="1" applyBorder="1" applyAlignment="1">
      <alignment vertical="center"/>
    </xf>
    <xf numFmtId="0" fontId="8" fillId="0" borderId="0" xfId="1" applyNumberFormat="1" applyFont="1" applyAlignment="1">
      <alignment vertical="center"/>
    </xf>
    <xf numFmtId="4" fontId="8" fillId="0" borderId="1" xfId="0" applyNumberFormat="1" applyFont="1" applyFill="1" applyBorder="1" applyAlignment="1">
      <alignment vertical="center"/>
    </xf>
    <xf numFmtId="4" fontId="8" fillId="0" borderId="4" xfId="0" applyNumberFormat="1" applyFont="1" applyFill="1" applyBorder="1" applyAlignment="1">
      <alignment horizontal="center" vertical="center"/>
    </xf>
    <xf numFmtId="4" fontId="16" fillId="0" borderId="4" xfId="0" applyNumberFormat="1" applyFont="1" applyFill="1" applyBorder="1" applyAlignment="1">
      <alignment horizontal="center" vertical="center"/>
    </xf>
    <xf numFmtId="0" fontId="7" fillId="0" borderId="0" xfId="1" applyNumberFormat="1" applyFont="1" applyAlignment="1">
      <alignment vertical="center"/>
    </xf>
    <xf numFmtId="4" fontId="7" fillId="0" borderId="1" xfId="0" applyNumberFormat="1" applyFont="1" applyBorder="1" applyAlignment="1">
      <alignment vertical="center"/>
    </xf>
    <xf numFmtId="4" fontId="0" fillId="0" borderId="0" xfId="0" applyNumberFormat="1" applyAlignment="1">
      <alignment shrinkToFit="1"/>
    </xf>
    <xf numFmtId="4" fontId="6" fillId="0" borderId="1" xfId="0" applyNumberFormat="1" applyFont="1" applyFill="1" applyBorder="1" applyAlignment="1">
      <alignment vertical="center"/>
    </xf>
    <xf numFmtId="0" fontId="38" fillId="0" borderId="5" xfId="0" applyFont="1" applyBorder="1" applyAlignment="1">
      <alignment vertical="center"/>
    </xf>
    <xf numFmtId="0" fontId="0" fillId="0" borderId="6" xfId="0" applyBorder="1" applyAlignment="1">
      <alignment vertical="center"/>
    </xf>
    <xf numFmtId="0" fontId="0" fillId="0" borderId="6" xfId="0" applyBorder="1" applyAlignment="1">
      <alignment horizontal="center" vertical="center"/>
    </xf>
    <xf numFmtId="4" fontId="0" fillId="0" borderId="6" xfId="0" applyNumberFormat="1" applyBorder="1" applyAlignment="1">
      <alignment vertical="center"/>
    </xf>
    <xf numFmtId="4" fontId="0" fillId="0" borderId="7" xfId="0" applyNumberFormat="1" applyBorder="1" applyAlignment="1">
      <alignment vertical="center"/>
    </xf>
    <xf numFmtId="0" fontId="0" fillId="0" borderId="11" xfId="0" applyBorder="1" applyAlignment="1">
      <alignment horizontal="center"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12" xfId="0" applyNumberFormat="1" applyBorder="1" applyAlignment="1">
      <alignment vertical="center"/>
    </xf>
    <xf numFmtId="0" fontId="38" fillId="0" borderId="25" xfId="0" applyFont="1" applyBorder="1" applyAlignment="1">
      <alignment horizontal="center" vertical="center"/>
    </xf>
    <xf numFmtId="0" fontId="38" fillId="0" borderId="26" xfId="0" applyFont="1" applyBorder="1" applyAlignment="1">
      <alignment vertical="center"/>
    </xf>
    <xf numFmtId="0" fontId="38" fillId="0" borderId="26" xfId="0" applyFont="1" applyBorder="1" applyAlignment="1">
      <alignment horizontal="center" vertical="center"/>
    </xf>
    <xf numFmtId="4" fontId="38" fillId="0" borderId="26" xfId="0" applyNumberFormat="1" applyFont="1" applyBorder="1" applyAlignment="1">
      <alignment vertical="center"/>
    </xf>
    <xf numFmtId="4" fontId="38" fillId="0" borderId="26" xfId="0" applyNumberFormat="1" applyFont="1" applyBorder="1" applyAlignment="1">
      <alignment horizontal="right" vertical="center"/>
    </xf>
    <xf numFmtId="4" fontId="38" fillId="0" borderId="27" xfId="0" applyNumberFormat="1" applyFont="1" applyBorder="1" applyAlignment="1">
      <alignment vertical="center"/>
    </xf>
    <xf numFmtId="4" fontId="0" fillId="0" borderId="0" xfId="0" applyNumberFormat="1" applyFill="1" applyAlignment="1">
      <alignment vertical="center"/>
    </xf>
    <xf numFmtId="4" fontId="6" fillId="0" borderId="1" xfId="0" applyNumberFormat="1" applyFont="1" applyBorder="1" applyAlignment="1">
      <alignment vertical="center"/>
    </xf>
    <xf numFmtId="164" fontId="20" fillId="0" borderId="0" xfId="10" applyNumberFormat="1" applyAlignment="1">
      <alignment vertical="center"/>
    </xf>
    <xf numFmtId="0" fontId="0" fillId="0" borderId="0" xfId="0" applyAlignment="1">
      <alignment horizontal="center" vertical="center"/>
    </xf>
    <xf numFmtId="4" fontId="29" fillId="0" borderId="0" xfId="2" applyNumberFormat="1" applyFont="1" applyAlignment="1">
      <alignment horizontal="center" vertical="center" wrapText="1"/>
    </xf>
    <xf numFmtId="4" fontId="29" fillId="0" borderId="13" xfId="10" applyNumberFormat="1" applyFont="1" applyFill="1" applyBorder="1" applyAlignment="1">
      <alignment vertical="center" wrapText="1"/>
    </xf>
    <xf numFmtId="4" fontId="29" fillId="0" borderId="97" xfId="10" applyNumberFormat="1" applyFont="1" applyFill="1" applyBorder="1" applyAlignment="1">
      <alignment horizontal="center" vertical="center" wrapText="1"/>
    </xf>
    <xf numFmtId="4" fontId="29" fillId="0" borderId="38" xfId="10" applyNumberFormat="1" applyFont="1" applyFill="1" applyBorder="1" applyAlignment="1">
      <alignment horizontal="center" vertical="center" wrapText="1"/>
    </xf>
    <xf numFmtId="4" fontId="29" fillId="0" borderId="37" xfId="10" applyNumberFormat="1" applyFont="1" applyFill="1" applyBorder="1" applyAlignment="1">
      <alignment horizontal="center" vertical="center" wrapText="1"/>
    </xf>
    <xf numFmtId="4" fontId="29" fillId="0" borderId="22" xfId="10" applyNumberFormat="1" applyFont="1" applyFill="1" applyBorder="1" applyAlignment="1">
      <alignment vertical="center" wrapText="1"/>
    </xf>
    <xf numFmtId="4" fontId="29" fillId="0" borderId="16" xfId="10" applyNumberFormat="1" applyFont="1" applyFill="1" applyBorder="1" applyAlignment="1">
      <alignment vertical="center" wrapText="1"/>
    </xf>
    <xf numFmtId="0" fontId="38" fillId="0" borderId="1" xfId="0" applyFont="1" applyFill="1" applyBorder="1" applyAlignment="1">
      <alignment horizontal="center" vertical="center"/>
    </xf>
    <xf numFmtId="0" fontId="0" fillId="0" borderId="0" xfId="0" applyFill="1" applyAlignment="1">
      <alignment horizontal="center" vertical="center"/>
    </xf>
    <xf numFmtId="4" fontId="38" fillId="0" borderId="6" xfId="0" applyNumberFormat="1" applyFont="1" applyBorder="1" applyAlignment="1">
      <alignment horizontal="center" vertical="center"/>
    </xf>
    <xf numFmtId="4" fontId="38" fillId="0" borderId="7" xfId="0" applyNumberFormat="1"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vertical="center"/>
    </xf>
    <xf numFmtId="0" fontId="0" fillId="0" borderId="26" xfId="0" applyBorder="1" applyAlignment="1">
      <alignment horizontal="center" vertical="center"/>
    </xf>
    <xf numFmtId="4" fontId="0" fillId="0" borderId="0" xfId="0" applyNumberFormat="1" applyBorder="1" applyAlignment="1">
      <alignment horizontal="center" vertical="center"/>
    </xf>
    <xf numFmtId="4" fontId="0" fillId="0" borderId="12" xfId="0" applyNumberFormat="1" applyBorder="1" applyAlignment="1">
      <alignment horizontal="center" vertical="center"/>
    </xf>
    <xf numFmtId="4" fontId="0" fillId="0" borderId="26" xfId="0" applyNumberFormat="1" applyBorder="1" applyAlignment="1">
      <alignment horizontal="center" vertical="center"/>
    </xf>
    <xf numFmtId="4" fontId="0" fillId="0" borderId="27" xfId="0" applyNumberFormat="1" applyBorder="1" applyAlignment="1">
      <alignment horizontal="center" vertical="center"/>
    </xf>
    <xf numFmtId="4" fontId="30" fillId="0" borderId="40" xfId="0" applyNumberFormat="1" applyFont="1" applyBorder="1" applyAlignment="1">
      <alignment horizontal="centerContinuous" vertical="center"/>
    </xf>
    <xf numFmtId="4" fontId="56" fillId="0" borderId="40" xfId="0" applyNumberFormat="1" applyFont="1" applyBorder="1" applyAlignment="1">
      <alignment horizontal="centerContinuous" vertical="center"/>
    </xf>
    <xf numFmtId="0" fontId="23" fillId="0" borderId="40" xfId="19" applyNumberFormat="1" applyFont="1" applyBorder="1" applyAlignment="1">
      <alignment horizontal="centerContinuous" vertical="center"/>
    </xf>
    <xf numFmtId="4" fontId="56" fillId="0" borderId="0" xfId="0" applyNumberFormat="1" applyFont="1" applyAlignment="1">
      <alignment horizontal="centerContinuous" vertical="center"/>
    </xf>
    <xf numFmtId="172" fontId="30" fillId="0" borderId="0" xfId="11" applyNumberFormat="1" applyFont="1" applyBorder="1" applyAlignment="1">
      <alignment horizontal="centerContinuous" vertical="center"/>
    </xf>
    <xf numFmtId="172" fontId="30" fillId="0" borderId="40" xfId="11" applyNumberFormat="1" applyFont="1" applyBorder="1" applyAlignment="1">
      <alignment horizontal="centerContinuous" vertical="center"/>
    </xf>
    <xf numFmtId="4" fontId="30" fillId="0" borderId="0" xfId="0" applyNumberFormat="1" applyFont="1" applyBorder="1" applyAlignment="1">
      <alignment horizontal="centerContinuous" vertical="center"/>
    </xf>
    <xf numFmtId="0" fontId="30" fillId="0" borderId="0" xfId="0" applyFont="1" applyAlignment="1">
      <alignment vertical="center" wrapText="1"/>
    </xf>
    <xf numFmtId="0" fontId="24" fillId="0" borderId="0" xfId="1" applyNumberFormat="1" applyFont="1" applyAlignment="1">
      <alignment vertical="center"/>
    </xf>
    <xf numFmtId="0" fontId="29" fillId="0" borderId="0" xfId="1" applyNumberFormat="1" applyFont="1" applyAlignment="1">
      <alignment vertical="center"/>
    </xf>
    <xf numFmtId="4" fontId="30" fillId="0" borderId="0" xfId="0" applyNumberFormat="1" applyFont="1" applyAlignment="1">
      <alignment vertical="center"/>
    </xf>
    <xf numFmtId="164" fontId="30" fillId="0" borderId="0" xfId="0" applyNumberFormat="1" applyFont="1" applyAlignment="1">
      <alignment vertical="center"/>
    </xf>
    <xf numFmtId="4" fontId="30" fillId="0" borderId="0" xfId="0" applyNumberFormat="1" applyFont="1" applyFill="1" applyAlignment="1">
      <alignment horizontal="center" vertical="center"/>
    </xf>
    <xf numFmtId="1" fontId="30" fillId="0" borderId="0" xfId="0" applyNumberFormat="1" applyFont="1" applyFill="1" applyAlignment="1">
      <alignment vertical="center" wrapText="1"/>
    </xf>
    <xf numFmtId="0" fontId="30" fillId="0" borderId="0" xfId="0" applyFont="1" applyFill="1" applyAlignment="1">
      <alignment vertical="center" wrapText="1"/>
    </xf>
    <xf numFmtId="0" fontId="30" fillId="0" borderId="0" xfId="0" applyFont="1" applyAlignment="1">
      <alignment vertical="center" wrapText="1"/>
    </xf>
    <xf numFmtId="0" fontId="23" fillId="0" borderId="23" xfId="1" applyNumberFormat="1" applyFont="1" applyFill="1" applyBorder="1" applyAlignment="1">
      <alignment horizontal="center" vertical="center" wrapText="1"/>
    </xf>
    <xf numFmtId="0" fontId="19" fillId="0" borderId="0" xfId="1" applyNumberFormat="1" applyFill="1" applyAlignment="1">
      <alignment vertical="center" wrapText="1"/>
    </xf>
    <xf numFmtId="4" fontId="30" fillId="0" borderId="4" xfId="0" applyNumberFormat="1" applyFont="1" applyBorder="1" applyAlignment="1">
      <alignment horizontal="centerContinuous" vertical="center"/>
    </xf>
    <xf numFmtId="0" fontId="35" fillId="4" borderId="1" xfId="2" applyFont="1" applyFill="1" applyBorder="1" applyAlignment="1">
      <alignment horizontal="center" vertical="center" wrapText="1"/>
    </xf>
    <xf numFmtId="0" fontId="29" fillId="0" borderId="4" xfId="2" applyFont="1" applyBorder="1" applyAlignment="1">
      <alignment horizontal="center" vertical="center"/>
    </xf>
    <xf numFmtId="0" fontId="29" fillId="0" borderId="4" xfId="2" applyFont="1" applyBorder="1" applyAlignment="1">
      <alignment horizontal="centerContinuous" vertical="center"/>
    </xf>
    <xf numFmtId="0" fontId="54" fillId="0" borderId="4" xfId="0" applyFont="1" applyBorder="1" applyAlignment="1">
      <alignment horizontal="centerContinuous" vertical="center"/>
    </xf>
    <xf numFmtId="169" fontId="57" fillId="0" borderId="4" xfId="0" applyNumberFormat="1" applyFont="1" applyBorder="1" applyAlignment="1">
      <alignment horizontal="center" vertical="center" wrapText="1"/>
    </xf>
    <xf numFmtId="169" fontId="29" fillId="0" borderId="0" xfId="2" applyNumberFormat="1" applyFont="1" applyAlignment="1">
      <alignment horizontal="center" vertical="center"/>
    </xf>
    <xf numFmtId="169" fontId="29" fillId="0" borderId="0" xfId="2" applyNumberFormat="1" applyFont="1" applyAlignment="1">
      <alignment horizontal="center" vertical="center" wrapText="1"/>
    </xf>
    <xf numFmtId="0" fontId="29" fillId="0" borderId="0" xfId="2" applyNumberFormat="1" applyFont="1" applyAlignment="1">
      <alignment horizontal="center" vertical="center"/>
    </xf>
    <xf numFmtId="0" fontId="57" fillId="0" borderId="4" xfId="0" applyNumberFormat="1" applyFont="1" applyBorder="1" applyAlignment="1">
      <alignment horizontal="center" vertical="center" wrapText="1"/>
    </xf>
    <xf numFmtId="0" fontId="29" fillId="0" borderId="0" xfId="2" applyNumberFormat="1" applyFont="1" applyAlignment="1">
      <alignment horizontal="center" vertical="center" wrapText="1"/>
    </xf>
    <xf numFmtId="4" fontId="30" fillId="0" borderId="4" xfId="0" applyNumberFormat="1" applyFont="1" applyFill="1" applyBorder="1" applyAlignment="1">
      <alignment horizontal="centerContinuous" vertical="center"/>
    </xf>
    <xf numFmtId="0" fontId="23" fillId="0" borderId="0" xfId="19" applyNumberFormat="1" applyFont="1" applyBorder="1" applyAlignment="1">
      <alignment horizontal="centerContinuous" vertical="center"/>
    </xf>
    <xf numFmtId="0" fontId="35" fillId="0" borderId="4" xfId="2" applyFont="1" applyBorder="1" applyAlignment="1">
      <alignment horizontal="center" vertical="center" wrapText="1"/>
    </xf>
    <xf numFmtId="164" fontId="54" fillId="0" borderId="28" xfId="0" applyNumberFormat="1" applyFont="1" applyFill="1" applyBorder="1" applyAlignment="1">
      <alignment vertical="center"/>
    </xf>
    <xf numFmtId="0" fontId="38" fillId="0" borderId="32" xfId="0" applyFont="1" applyBorder="1" applyAlignment="1">
      <alignment horizontal="center" vertical="center" wrapText="1"/>
    </xf>
    <xf numFmtId="0" fontId="38" fillId="0" borderId="47" xfId="0" applyFont="1" applyBorder="1" applyAlignment="1">
      <alignment horizontal="center" vertical="center" wrapText="1"/>
    </xf>
    <xf numFmtId="4" fontId="38" fillId="0" borderId="31" xfId="0" applyNumberFormat="1" applyFont="1" applyBorder="1" applyAlignment="1">
      <alignment horizontal="center" vertical="center" wrapText="1"/>
    </xf>
    <xf numFmtId="4" fontId="38" fillId="0" borderId="95" xfId="0" applyNumberFormat="1" applyFont="1" applyBorder="1" applyAlignment="1">
      <alignment horizontal="center" vertical="center" wrapText="1"/>
    </xf>
    <xf numFmtId="4" fontId="38" fillId="0" borderId="32" xfId="0" applyNumberFormat="1" applyFont="1" applyBorder="1" applyAlignment="1">
      <alignment horizontal="center" vertical="center" wrapText="1"/>
    </xf>
    <xf numFmtId="164" fontId="54" fillId="0" borderId="111" xfId="0" applyNumberFormat="1" applyFont="1" applyFill="1" applyBorder="1" applyAlignment="1">
      <alignment vertical="center"/>
    </xf>
    <xf numFmtId="164" fontId="54" fillId="0" borderId="112" xfId="0" applyNumberFormat="1" applyFont="1" applyFill="1" applyBorder="1" applyAlignment="1">
      <alignment vertical="center"/>
    </xf>
    <xf numFmtId="0" fontId="30" fillId="0" borderId="0" xfId="0" applyFont="1" applyAlignment="1">
      <alignment horizontal="center" vertical="center"/>
    </xf>
    <xf numFmtId="4" fontId="26" fillId="0" borderId="0" xfId="1" applyNumberFormat="1" applyFont="1" applyAlignment="1">
      <alignment vertical="center"/>
    </xf>
    <xf numFmtId="0" fontId="34" fillId="0" borderId="4" xfId="2" applyFont="1" applyFill="1" applyBorder="1" applyAlignment="1">
      <alignment horizontal="left" vertical="center" wrapText="1"/>
    </xf>
    <xf numFmtId="4" fontId="34" fillId="0" borderId="4" xfId="2" applyNumberFormat="1" applyFont="1" applyFill="1" applyBorder="1" applyAlignment="1">
      <alignment horizontal="right" vertical="center" wrapText="1"/>
    </xf>
    <xf numFmtId="4" fontId="34" fillId="0" borderId="4" xfId="2" applyNumberFormat="1" applyFont="1" applyFill="1" applyBorder="1" applyAlignment="1">
      <alignment horizontal="center" vertical="center" wrapText="1"/>
    </xf>
    <xf numFmtId="164" fontId="54" fillId="0" borderId="4" xfId="0" applyNumberFormat="1" applyFont="1" applyFill="1" applyBorder="1" applyAlignment="1">
      <alignment vertical="center"/>
    </xf>
    <xf numFmtId="164" fontId="54" fillId="0" borderId="107" xfId="0" applyNumberFormat="1" applyFont="1" applyFill="1" applyBorder="1" applyAlignment="1">
      <alignment vertical="center"/>
    </xf>
    <xf numFmtId="164" fontId="54" fillId="0" borderId="108" xfId="0" applyNumberFormat="1" applyFont="1" applyFill="1" applyBorder="1" applyAlignment="1">
      <alignment vertical="center"/>
    </xf>
    <xf numFmtId="189" fontId="0" fillId="0" borderId="0" xfId="11" applyNumberFormat="1" applyFont="1" applyAlignment="1">
      <alignment vertical="center"/>
    </xf>
    <xf numFmtId="0" fontId="26" fillId="0" borderId="0" xfId="0" applyFont="1" applyAlignment="1">
      <alignment vertical="center"/>
    </xf>
    <xf numFmtId="10" fontId="18" fillId="0" borderId="0" xfId="19" applyNumberFormat="1" applyFont="1" applyAlignment="1">
      <alignment horizontal="center" vertical="center" wrapText="1"/>
    </xf>
    <xf numFmtId="10" fontId="15" fillId="0" borderId="0" xfId="19" applyNumberFormat="1" applyBorder="1" applyAlignment="1">
      <alignment horizontal="center" vertical="center" wrapText="1"/>
    </xf>
    <xf numFmtId="10" fontId="30" fillId="0" borderId="40" xfId="0" applyNumberFormat="1" applyFont="1" applyBorder="1" applyAlignment="1">
      <alignment horizontal="center" vertical="center"/>
    </xf>
    <xf numFmtId="10" fontId="30" fillId="0" borderId="0" xfId="0" applyNumberFormat="1" applyFont="1" applyBorder="1" applyAlignment="1">
      <alignment horizontal="center" vertical="center"/>
    </xf>
    <xf numFmtId="10" fontId="18" fillId="0" borderId="3" xfId="1" applyNumberFormat="1" applyFont="1" applyBorder="1" applyAlignment="1">
      <alignment horizontal="center" vertical="center"/>
    </xf>
    <xf numFmtId="10" fontId="11" fillId="0" borderId="0" xfId="1" applyNumberFormat="1" applyFont="1" applyAlignment="1">
      <alignment horizontal="center" vertical="center"/>
    </xf>
    <xf numFmtId="10" fontId="15" fillId="0" borderId="0" xfId="19" applyNumberFormat="1" applyAlignment="1">
      <alignment horizontal="center" vertical="center" wrapText="1"/>
    </xf>
    <xf numFmtId="10" fontId="19" fillId="0" borderId="0" xfId="1" applyNumberFormat="1" applyAlignment="1">
      <alignment horizontal="center" vertical="center" wrapText="1"/>
    </xf>
    <xf numFmtId="164" fontId="55" fillId="0" borderId="28" xfId="0" applyNumberFormat="1" applyFont="1" applyFill="1" applyBorder="1" applyAlignment="1">
      <alignment vertical="center"/>
    </xf>
    <xf numFmtId="1" fontId="38" fillId="0" borderId="59" xfId="0" applyNumberFormat="1" applyFont="1" applyFill="1" applyBorder="1" applyAlignment="1">
      <alignment vertical="center" wrapText="1"/>
    </xf>
    <xf numFmtId="170" fontId="38" fillId="0" borderId="111" xfId="0" applyNumberFormat="1" applyFont="1" applyFill="1" applyBorder="1" applyAlignment="1">
      <alignment vertical="center"/>
    </xf>
    <xf numFmtId="170" fontId="38" fillId="0" borderId="107" xfId="0" applyNumberFormat="1" applyFont="1" applyFill="1" applyBorder="1" applyAlignment="1">
      <alignment vertical="center"/>
    </xf>
    <xf numFmtId="172" fontId="38" fillId="0" borderId="112" xfId="11" applyNumberFormat="1" applyFont="1" applyFill="1" applyBorder="1" applyAlignment="1">
      <alignment vertical="center"/>
    </xf>
    <xf numFmtId="172" fontId="55" fillId="0" borderId="108" xfId="11" applyNumberFormat="1" applyFont="1" applyFill="1" applyBorder="1" applyAlignment="1">
      <alignment vertical="center"/>
    </xf>
    <xf numFmtId="0" fontId="26" fillId="8" borderId="0" xfId="0" applyFont="1" applyFill="1"/>
    <xf numFmtId="0" fontId="26" fillId="0" borderId="0" xfId="0" applyFont="1"/>
    <xf numFmtId="0" fontId="24" fillId="0" borderId="0" xfId="0" applyFont="1"/>
    <xf numFmtId="0" fontId="27" fillId="8" borderId="0" xfId="0" applyFont="1" applyFill="1" applyAlignment="1">
      <alignment vertical="center"/>
    </xf>
    <xf numFmtId="0" fontId="59" fillId="8" borderId="0" xfId="0" applyFont="1" applyFill="1" applyAlignment="1" applyProtection="1">
      <alignment horizontal="center" vertical="center"/>
      <protection locked="0"/>
    </xf>
    <xf numFmtId="0" fontId="18" fillId="3" borderId="119" xfId="0" applyFont="1" applyFill="1" applyBorder="1" applyAlignment="1">
      <alignment horizontal="center" vertical="center"/>
    </xf>
    <xf numFmtId="0" fontId="18" fillId="3" borderId="121" xfId="0" applyFont="1" applyFill="1" applyBorder="1" applyAlignment="1">
      <alignment horizontal="center" vertical="center"/>
    </xf>
    <xf numFmtId="10" fontId="5" fillId="0" borderId="122" xfId="11" applyNumberFormat="1" applyFont="1" applyFill="1" applyBorder="1" applyAlignment="1">
      <alignment horizontal="center" vertical="center"/>
    </xf>
    <xf numFmtId="10" fontId="18" fillId="0" borderId="126" xfId="0" applyNumberFormat="1" applyFont="1" applyBorder="1" applyAlignment="1">
      <alignment horizontal="center" vertical="center"/>
    </xf>
    <xf numFmtId="10" fontId="5" fillId="0" borderId="110" xfId="11" applyNumberFormat="1" applyFont="1" applyFill="1" applyBorder="1" applyAlignment="1">
      <alignment horizontal="center" vertical="center"/>
    </xf>
    <xf numFmtId="10" fontId="5" fillId="0" borderId="112" xfId="11" applyNumberFormat="1" applyFont="1" applyFill="1" applyBorder="1" applyAlignment="1">
      <alignment horizontal="center" vertical="center"/>
    </xf>
    <xf numFmtId="0" fontId="5" fillId="0" borderId="107" xfId="0" applyFont="1" applyBorder="1" applyAlignment="1">
      <alignment horizontal="center" vertical="center"/>
    </xf>
    <xf numFmtId="10" fontId="18" fillId="3" borderId="130" xfId="11" applyNumberFormat="1" applyFont="1" applyFill="1" applyBorder="1" applyAlignment="1">
      <alignment horizontal="center" vertical="center"/>
    </xf>
    <xf numFmtId="0" fontId="26" fillId="8" borderId="0" xfId="0" applyFont="1" applyFill="1" applyAlignment="1">
      <alignment vertical="center"/>
    </xf>
    <xf numFmtId="0" fontId="61" fillId="8" borderId="0" xfId="0" applyFont="1" applyFill="1" applyAlignment="1">
      <alignment horizontal="center"/>
    </xf>
    <xf numFmtId="0" fontId="23" fillId="8" borderId="0" xfId="0" applyFont="1" applyFill="1" applyAlignment="1">
      <alignment horizontal="center" vertical="top"/>
    </xf>
    <xf numFmtId="0" fontId="23" fillId="8" borderId="0" xfId="0" applyFont="1" applyFill="1" applyAlignment="1">
      <alignment horizontal="center" vertical="center"/>
    </xf>
    <xf numFmtId="0" fontId="26" fillId="8" borderId="0" xfId="0" applyFont="1" applyFill="1" applyAlignment="1">
      <alignment horizontal="left"/>
    </xf>
    <xf numFmtId="0" fontId="23" fillId="8" borderId="0" xfId="0" applyFont="1" applyFill="1" applyAlignment="1">
      <alignment horizontal="left" vertical="center"/>
    </xf>
    <xf numFmtId="0" fontId="26" fillId="0" borderId="0" xfId="0" applyFont="1" applyAlignment="1">
      <alignment horizontal="left"/>
    </xf>
    <xf numFmtId="0" fontId="23" fillId="0" borderId="0" xfId="0" applyFont="1"/>
    <xf numFmtId="0" fontId="22" fillId="0" borderId="0" xfId="0" applyFont="1" applyAlignment="1">
      <alignment horizontal="center" vertical="center"/>
    </xf>
    <xf numFmtId="0" fontId="4" fillId="0" borderId="0" xfId="1" applyNumberFormat="1" applyFont="1" applyAlignment="1">
      <alignment vertical="center"/>
    </xf>
    <xf numFmtId="4" fontId="24" fillId="0" borderId="0" xfId="1" applyNumberFormat="1" applyFont="1" applyAlignment="1">
      <alignment vertical="center" wrapText="1"/>
    </xf>
    <xf numFmtId="4" fontId="24" fillId="0" borderId="22" xfId="1" applyNumberFormat="1" applyFont="1" applyBorder="1" applyAlignment="1">
      <alignment vertical="center" wrapText="1"/>
    </xf>
    <xf numFmtId="4" fontId="24" fillId="0" borderId="24" xfId="1" applyNumberFormat="1" applyFont="1" applyBorder="1" applyAlignment="1">
      <alignment vertical="center" wrapText="1"/>
    </xf>
    <xf numFmtId="4" fontId="24" fillId="0" borderId="16" xfId="1" applyNumberFormat="1" applyFont="1" applyBorder="1" applyAlignment="1">
      <alignment vertical="center" wrapText="1"/>
    </xf>
    <xf numFmtId="4" fontId="24" fillId="0" borderId="18" xfId="1" applyNumberFormat="1" applyFont="1" applyBorder="1" applyAlignment="1">
      <alignment vertical="center" wrapText="1"/>
    </xf>
    <xf numFmtId="4" fontId="41" fillId="0" borderId="16" xfId="1" applyNumberFormat="1" applyFont="1" applyBorder="1" applyAlignment="1">
      <alignment horizontal="center" vertical="center" wrapText="1"/>
    </xf>
    <xf numFmtId="4" fontId="41" fillId="0" borderId="18" xfId="1" applyNumberFormat="1" applyFont="1" applyBorder="1" applyAlignment="1">
      <alignment horizontal="center" vertical="center" wrapText="1"/>
    </xf>
    <xf numFmtId="0" fontId="21" fillId="2" borderId="11" xfId="0" applyFont="1" applyFill="1" applyBorder="1" applyAlignment="1">
      <alignment horizontal="centerContinuous" vertical="center"/>
    </xf>
    <xf numFmtId="0" fontId="21" fillId="2" borderId="0" xfId="0" applyFont="1" applyFill="1" applyBorder="1" applyAlignment="1">
      <alignment horizontal="centerContinuous" vertical="center"/>
    </xf>
    <xf numFmtId="0" fontId="22" fillId="2" borderId="0" xfId="0" applyFont="1" applyFill="1" applyBorder="1" applyAlignment="1">
      <alignment horizontal="centerContinuous" vertical="center"/>
    </xf>
    <xf numFmtId="4" fontId="22" fillId="2" borderId="0" xfId="0" applyNumberFormat="1" applyFont="1" applyFill="1" applyBorder="1" applyAlignment="1">
      <alignment horizontal="centerContinuous" vertical="center"/>
    </xf>
    <xf numFmtId="0" fontId="22" fillId="2" borderId="12" xfId="0" applyFont="1" applyFill="1" applyBorder="1" applyAlignment="1">
      <alignment horizontal="centerContinuous" vertical="center"/>
    </xf>
    <xf numFmtId="0" fontId="22" fillId="2" borderId="0" xfId="0" applyFont="1" applyFill="1" applyBorder="1" applyAlignment="1">
      <alignment horizontal="right" vertical="center"/>
    </xf>
    <xf numFmtId="4" fontId="22" fillId="2" borderId="0" xfId="0" applyNumberFormat="1" applyFont="1" applyFill="1" applyBorder="1" applyAlignment="1">
      <alignment vertical="center"/>
    </xf>
    <xf numFmtId="0" fontId="22" fillId="2" borderId="131" xfId="0" applyFont="1" applyFill="1" applyBorder="1" applyAlignment="1">
      <alignment horizontal="centerContinuous" vertical="center"/>
    </xf>
    <xf numFmtId="4" fontId="22" fillId="2" borderId="97" xfId="0" applyNumberFormat="1" applyFont="1" applyFill="1" applyBorder="1" applyAlignment="1">
      <alignment horizontal="centerContinuous" vertical="center"/>
    </xf>
    <xf numFmtId="4" fontId="22" fillId="2" borderId="98" xfId="0" applyNumberFormat="1" applyFont="1" applyFill="1" applyBorder="1" applyAlignment="1">
      <alignment horizontal="centerContinuous" vertical="center"/>
    </xf>
    <xf numFmtId="0" fontId="24" fillId="0" borderId="46" xfId="0" applyFont="1" applyBorder="1" applyAlignment="1">
      <alignment horizontal="center" vertical="center" wrapText="1"/>
    </xf>
    <xf numFmtId="4" fontId="22" fillId="2" borderId="93" xfId="0" applyNumberFormat="1" applyFont="1" applyFill="1" applyBorder="1" applyAlignment="1">
      <alignment horizontal="centerContinuous" vertical="center"/>
    </xf>
    <xf numFmtId="4" fontId="22" fillId="2" borderId="91" xfId="0" applyNumberFormat="1" applyFont="1" applyFill="1" applyBorder="1" applyAlignment="1">
      <alignment horizontal="centerContinuous" vertical="center"/>
    </xf>
    <xf numFmtId="43" fontId="23" fillId="0" borderId="35" xfId="0" applyNumberFormat="1" applyFont="1" applyBorder="1" applyAlignment="1">
      <alignment vertical="center" wrapText="1"/>
    </xf>
    <xf numFmtId="43" fontId="23" fillId="0" borderId="35" xfId="0" applyNumberFormat="1" applyFont="1" applyFill="1" applyBorder="1" applyAlignment="1">
      <alignment vertical="center" wrapText="1"/>
    </xf>
    <xf numFmtId="4" fontId="22" fillId="2" borderId="13" xfId="0" applyNumberFormat="1" applyFont="1" applyFill="1" applyBorder="1" applyAlignment="1">
      <alignment horizontal="centerContinuous" vertical="center"/>
    </xf>
    <xf numFmtId="4" fontId="22" fillId="2" borderId="16" xfId="0" applyNumberFormat="1" applyFont="1" applyFill="1" applyBorder="1" applyAlignment="1">
      <alignment horizontal="centerContinuous" vertical="center"/>
    </xf>
    <xf numFmtId="43" fontId="23" fillId="0" borderId="22" xfId="0" applyNumberFormat="1" applyFont="1" applyBorder="1" applyAlignment="1">
      <alignment vertical="center" wrapText="1"/>
    </xf>
    <xf numFmtId="4" fontId="41" fillId="0" borderId="116" xfId="1" applyNumberFormat="1" applyFont="1" applyBorder="1" applyAlignment="1">
      <alignment horizontal="centerContinuous" vertical="center"/>
    </xf>
    <xf numFmtId="4" fontId="41" fillId="0" borderId="37" xfId="1" applyNumberFormat="1" applyFont="1" applyBorder="1" applyAlignment="1">
      <alignment horizontal="centerContinuous" vertical="center"/>
    </xf>
    <xf numFmtId="4" fontId="41" fillId="0" borderId="13" xfId="1" applyNumberFormat="1" applyFont="1" applyBorder="1" applyAlignment="1">
      <alignment horizontal="centerContinuous" vertical="center"/>
    </xf>
    <xf numFmtId="4" fontId="41" fillId="0" borderId="15" xfId="1" applyNumberFormat="1" applyFont="1" applyBorder="1" applyAlignment="1">
      <alignment horizontal="centerContinuous" vertical="center"/>
    </xf>
    <xf numFmtId="166" fontId="41" fillId="0" borderId="38" xfId="1" applyNumberFormat="1" applyFont="1" applyBorder="1" applyAlignment="1">
      <alignment horizontal="centerContinuous" vertical="center"/>
    </xf>
    <xf numFmtId="166" fontId="41" fillId="0" borderId="17" xfId="1" applyNumberFormat="1" applyFont="1" applyBorder="1" applyAlignment="1">
      <alignment horizontal="center" vertical="center" wrapText="1"/>
    </xf>
    <xf numFmtId="166" fontId="24" fillId="0" borderId="0" xfId="1" applyNumberFormat="1" applyFont="1" applyAlignment="1">
      <alignment vertical="center" wrapText="1"/>
    </xf>
    <xf numFmtId="4" fontId="18" fillId="0" borderId="133" xfId="1" applyNumberFormat="1" applyFont="1" applyBorder="1" applyAlignment="1">
      <alignment horizontal="centerContinuous" vertical="center" wrapText="1"/>
    </xf>
    <xf numFmtId="4" fontId="18" fillId="0" borderId="132" xfId="1" applyNumberFormat="1" applyFont="1" applyBorder="1" applyAlignment="1">
      <alignment horizontal="center" vertical="center" wrapText="1"/>
    </xf>
    <xf numFmtId="0" fontId="23" fillId="8" borderId="0" xfId="0" applyFont="1" applyFill="1" applyAlignment="1">
      <alignment horizontal="left"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41" xfId="0" applyFont="1" applyBorder="1" applyAlignment="1">
      <alignment vertical="center"/>
    </xf>
    <xf numFmtId="0" fontId="5" fillId="0" borderId="40" xfId="0" applyFont="1" applyBorder="1" applyAlignment="1">
      <alignment vertical="center"/>
    </xf>
    <xf numFmtId="0" fontId="5" fillId="0" borderId="113" xfId="0" applyFont="1" applyBorder="1" applyAlignment="1">
      <alignment vertical="center"/>
    </xf>
    <xf numFmtId="0" fontId="5" fillId="0" borderId="0" xfId="0" applyFont="1" applyAlignment="1">
      <alignment vertical="center"/>
    </xf>
    <xf numFmtId="0" fontId="5" fillId="0" borderId="59" xfId="0" applyFont="1" applyBorder="1" applyAlignment="1">
      <alignment vertical="center"/>
    </xf>
    <xf numFmtId="0" fontId="5" fillId="0" borderId="9" xfId="0" applyFont="1" applyBorder="1" applyAlignment="1">
      <alignment vertical="center"/>
    </xf>
    <xf numFmtId="0" fontId="23" fillId="0" borderId="69" xfId="1" applyNumberFormat="1" applyFont="1" applyBorder="1" applyAlignment="1">
      <alignment horizontal="center" vertical="center" wrapText="1"/>
    </xf>
    <xf numFmtId="1" fontId="23" fillId="0" borderId="69" xfId="1" applyNumberFormat="1" applyFont="1" applyFill="1" applyBorder="1" applyAlignment="1">
      <alignment horizontal="center" vertical="center" wrapText="1"/>
    </xf>
    <xf numFmtId="187" fontId="24" fillId="0" borderId="23" xfId="1" applyNumberFormat="1" applyFont="1" applyBorder="1" applyAlignment="1">
      <alignment horizontal="center" vertical="center" wrapText="1"/>
    </xf>
    <xf numFmtId="187" fontId="24" fillId="0" borderId="17" xfId="1" applyNumberFormat="1" applyFont="1" applyBorder="1" applyAlignment="1">
      <alignment horizontal="center" vertical="center" wrapText="1"/>
    </xf>
    <xf numFmtId="0" fontId="27" fillId="0" borderId="0" xfId="0" applyFont="1" applyAlignment="1">
      <alignment horizontal="centerContinuous" vertical="center"/>
    </xf>
    <xf numFmtId="0" fontId="27" fillId="0" borderId="0" xfId="0" applyFont="1" applyAlignment="1">
      <alignment vertical="center" wrapText="1"/>
    </xf>
    <xf numFmtId="166" fontId="26" fillId="0" borderId="0" xfId="1" applyNumberFormat="1" applyFont="1" applyAlignment="1">
      <alignment vertical="center"/>
    </xf>
    <xf numFmtId="4" fontId="0" fillId="0" borderId="0" xfId="0" applyNumberFormat="1" applyBorder="1" applyAlignment="1">
      <alignment horizontal="centerContinuous" vertical="center"/>
    </xf>
    <xf numFmtId="0" fontId="16" fillId="0" borderId="0" xfId="1" applyNumberFormat="1" applyFont="1" applyBorder="1" applyAlignment="1">
      <alignment vertical="center" wrapText="1"/>
    </xf>
    <xf numFmtId="4" fontId="56" fillId="0" borderId="0" xfId="0" applyNumberFormat="1" applyFont="1" applyBorder="1" applyAlignment="1">
      <alignment horizontal="centerContinuous" vertical="center"/>
    </xf>
    <xf numFmtId="0" fontId="19" fillId="0" borderId="135" xfId="1" applyNumberFormat="1" applyBorder="1" applyAlignment="1">
      <alignment vertical="center" wrapText="1"/>
    </xf>
    <xf numFmtId="1" fontId="19" fillId="0" borderId="135" xfId="1" applyNumberFormat="1" applyBorder="1" applyAlignment="1">
      <alignment vertical="center" wrapText="1"/>
    </xf>
    <xf numFmtId="0" fontId="19" fillId="0" borderId="135" xfId="1" applyNumberFormat="1" applyBorder="1" applyAlignment="1">
      <alignment horizontal="center" vertical="center" wrapText="1"/>
    </xf>
    <xf numFmtId="4" fontId="19" fillId="0" borderId="135" xfId="1" applyNumberFormat="1" applyBorder="1" applyAlignment="1">
      <alignment vertical="center" wrapText="1"/>
    </xf>
    <xf numFmtId="10" fontId="19" fillId="0" borderId="135" xfId="1" applyNumberFormat="1" applyBorder="1" applyAlignment="1">
      <alignment horizontal="center" vertical="center" wrapText="1"/>
    </xf>
    <xf numFmtId="4" fontId="3" fillId="0" borderId="0" xfId="1" applyNumberFormat="1" applyFont="1" applyAlignment="1">
      <alignment vertical="center"/>
    </xf>
    <xf numFmtId="4" fontId="3" fillId="0" borderId="0" xfId="1" applyNumberFormat="1" applyFont="1" applyAlignment="1">
      <alignment vertical="center" wrapText="1"/>
    </xf>
    <xf numFmtId="4" fontId="18" fillId="0" borderId="44" xfId="1" applyNumberFormat="1" applyFont="1" applyBorder="1" applyAlignment="1">
      <alignment horizontal="center" vertical="center" wrapText="1"/>
    </xf>
    <xf numFmtId="4" fontId="18" fillId="0" borderId="43" xfId="1" applyNumberFormat="1" applyFont="1" applyBorder="1" applyAlignment="1">
      <alignment horizontal="center" vertical="center" wrapText="1"/>
    </xf>
    <xf numFmtId="4" fontId="18" fillId="0" borderId="42" xfId="1" applyNumberFormat="1" applyFont="1" applyBorder="1" applyAlignment="1">
      <alignment horizontal="center" vertical="center" wrapText="1"/>
    </xf>
    <xf numFmtId="4" fontId="51" fillId="0" borderId="44" xfId="1" applyNumberFormat="1" applyFont="1" applyBorder="1" applyAlignment="1">
      <alignment horizontal="center" vertical="center" wrapText="1"/>
    </xf>
    <xf numFmtId="4" fontId="51" fillId="0" borderId="43" xfId="1" applyNumberFormat="1" applyFont="1" applyBorder="1" applyAlignment="1">
      <alignment horizontal="center" vertical="center" wrapText="1"/>
    </xf>
    <xf numFmtId="4" fontId="51" fillId="0" borderId="42" xfId="1" applyNumberFormat="1" applyFont="1" applyBorder="1" applyAlignment="1">
      <alignment horizontal="center" vertical="center" wrapText="1"/>
    </xf>
    <xf numFmtId="0" fontId="38" fillId="0" borderId="100" xfId="0" applyFont="1" applyBorder="1" applyAlignment="1">
      <alignment vertical="center"/>
    </xf>
    <xf numFmtId="4" fontId="38" fillId="0" borderId="101" xfId="0" applyNumberFormat="1" applyFont="1" applyBorder="1" applyAlignment="1">
      <alignment horizontal="right" vertical="center"/>
    </xf>
    <xf numFmtId="164" fontId="55" fillId="0" borderId="31" xfId="0" applyNumberFormat="1" applyFont="1" applyBorder="1" applyAlignment="1">
      <alignment vertical="center"/>
    </xf>
    <xf numFmtId="172" fontId="55" fillId="0" borderId="95" xfId="0" applyNumberFormat="1" applyFont="1" applyBorder="1" applyAlignment="1">
      <alignment vertical="center"/>
    </xf>
    <xf numFmtId="164" fontId="55" fillId="0" borderId="32" xfId="0" applyNumberFormat="1" applyFont="1" applyBorder="1" applyAlignment="1">
      <alignment vertical="center"/>
    </xf>
    <xf numFmtId="164" fontId="55" fillId="0" borderId="95" xfId="0" applyNumberFormat="1" applyFont="1" applyBorder="1" applyAlignment="1">
      <alignment vertical="center"/>
    </xf>
    <xf numFmtId="0" fontId="23" fillId="0" borderId="92" xfId="19" applyNumberFormat="1" applyFont="1" applyBorder="1" applyAlignment="1">
      <alignment vertical="center"/>
    </xf>
    <xf numFmtId="0" fontId="23" fillId="0" borderId="64" xfId="19" applyNumberFormat="1" applyFont="1" applyBorder="1" applyAlignment="1">
      <alignment vertical="center"/>
    </xf>
    <xf numFmtId="1" fontId="23" fillId="0" borderId="92" xfId="19" applyNumberFormat="1" applyFont="1" applyBorder="1" applyAlignment="1">
      <alignment vertical="center"/>
    </xf>
    <xf numFmtId="0" fontId="66" fillId="0" borderId="64" xfId="19" applyNumberFormat="1" applyFont="1" applyBorder="1" applyAlignment="1">
      <alignment vertical="center"/>
    </xf>
    <xf numFmtId="1" fontId="66" fillId="0" borderId="92" xfId="19" applyNumberFormat="1" applyFont="1" applyBorder="1" applyAlignment="1">
      <alignment vertical="center"/>
    </xf>
    <xf numFmtId="0" fontId="23" fillId="0" borderId="94" xfId="19" applyNumberFormat="1" applyFont="1" applyBorder="1" applyAlignment="1">
      <alignment horizontal="center" vertical="center" wrapText="1"/>
    </xf>
    <xf numFmtId="1" fontId="23" fillId="0" borderId="94" xfId="19" applyNumberFormat="1" applyFont="1" applyBorder="1" applyAlignment="1">
      <alignment horizontal="center" vertical="center" wrapText="1"/>
    </xf>
    <xf numFmtId="0" fontId="66" fillId="0" borderId="94" xfId="19" applyNumberFormat="1" applyFont="1" applyBorder="1" applyAlignment="1">
      <alignment horizontal="center" vertical="center" wrapText="1"/>
    </xf>
    <xf numFmtId="1" fontId="66" fillId="0" borderId="94" xfId="19" applyNumberFormat="1" applyFont="1" applyBorder="1" applyAlignment="1">
      <alignment horizontal="center" vertical="center" wrapText="1"/>
    </xf>
    <xf numFmtId="0" fontId="23" fillId="0" borderId="0" xfId="19" applyNumberFormat="1" applyFont="1" applyBorder="1" applyAlignment="1">
      <alignment horizontal="center" vertical="center"/>
    </xf>
    <xf numFmtId="1" fontId="23" fillId="0" borderId="0" xfId="19" applyNumberFormat="1" applyFont="1" applyBorder="1" applyAlignment="1">
      <alignment horizontal="center" vertical="center"/>
    </xf>
    <xf numFmtId="0" fontId="23" fillId="0" borderId="26" xfId="19" applyNumberFormat="1" applyFont="1" applyBorder="1" applyAlignment="1">
      <alignment horizontal="center" vertical="center"/>
    </xf>
    <xf numFmtId="1" fontId="23" fillId="0" borderId="26" xfId="19" applyNumberFormat="1" applyFont="1" applyBorder="1" applyAlignment="1">
      <alignment horizontal="center" vertical="center"/>
    </xf>
    <xf numFmtId="0" fontId="66" fillId="0" borderId="0" xfId="19" applyNumberFormat="1" applyFont="1" applyBorder="1" applyAlignment="1">
      <alignment horizontal="center" vertical="center"/>
    </xf>
    <xf numFmtId="1" fontId="66" fillId="0" borderId="0" xfId="19" applyNumberFormat="1" applyFont="1" applyBorder="1" applyAlignment="1">
      <alignment horizontal="center" vertical="center"/>
    </xf>
    <xf numFmtId="0" fontId="66" fillId="0" borderId="26" xfId="19" applyNumberFormat="1" applyFont="1" applyBorder="1" applyAlignment="1">
      <alignment horizontal="center" vertical="center"/>
    </xf>
    <xf numFmtId="1" fontId="66" fillId="0" borderId="26" xfId="19" applyNumberFormat="1" applyFont="1" applyBorder="1" applyAlignment="1">
      <alignment horizontal="center" vertical="center"/>
    </xf>
    <xf numFmtId="0" fontId="24" fillId="0" borderId="23" xfId="0" applyFont="1" applyFill="1" applyBorder="1" applyAlignment="1">
      <alignment vertical="center" wrapText="1"/>
    </xf>
    <xf numFmtId="0" fontId="46" fillId="0" borderId="0" xfId="14" applyFont="1" applyAlignment="1">
      <alignment horizontal="centerContinuous" vertical="center" wrapText="1"/>
    </xf>
    <xf numFmtId="0" fontId="67" fillId="0" borderId="0" xfId="0" applyFont="1" applyAlignment="1">
      <alignment horizontal="left" vertical="center"/>
    </xf>
    <xf numFmtId="4" fontId="65" fillId="0" borderId="0" xfId="15" applyFont="1" applyProtection="1">
      <alignment vertical="center" wrapText="1"/>
    </xf>
    <xf numFmtId="0" fontId="43" fillId="0" borderId="0" xfId="0" applyFont="1" applyAlignment="1">
      <alignment horizontal="left" vertical="center"/>
    </xf>
    <xf numFmtId="4" fontId="43" fillId="0" borderId="0" xfId="15" applyFont="1">
      <alignment vertical="center" wrapText="1"/>
      <protection locked="0"/>
    </xf>
    <xf numFmtId="4" fontId="37" fillId="0" borderId="0" xfId="15" applyFont="1" applyProtection="1">
      <alignment vertical="center" wrapText="1"/>
    </xf>
    <xf numFmtId="177" fontId="43" fillId="0" borderId="0" xfId="0" applyNumberFormat="1" applyFont="1" applyAlignment="1">
      <alignment horizontal="right" vertical="center"/>
    </xf>
    <xf numFmtId="4" fontId="65" fillId="0" borderId="0" xfId="0" applyNumberFormat="1" applyFont="1" applyAlignment="1">
      <alignment horizontal="left" vertical="center"/>
    </xf>
    <xf numFmtId="177" fontId="48" fillId="0" borderId="0" xfId="11" applyNumberFormat="1" applyFont="1" applyAlignment="1">
      <alignment horizontal="right" vertical="center"/>
    </xf>
    <xf numFmtId="0" fontId="43" fillId="9" borderId="1" xfId="14" applyFont="1" applyFill="1" applyBorder="1" applyAlignment="1">
      <alignment vertical="center"/>
    </xf>
    <xf numFmtId="0" fontId="68" fillId="9" borderId="2" xfId="0" applyFont="1" applyFill="1" applyBorder="1" applyAlignment="1">
      <alignment vertical="center"/>
    </xf>
    <xf numFmtId="0" fontId="69" fillId="9" borderId="2" xfId="0" applyFont="1" applyFill="1" applyBorder="1" applyAlignment="1">
      <alignment vertical="center"/>
    </xf>
    <xf numFmtId="0" fontId="43" fillId="9" borderId="4" xfId="14" applyFont="1" applyFill="1" applyBorder="1" applyAlignment="1">
      <alignment horizontal="center" vertical="center" wrapText="1"/>
    </xf>
    <xf numFmtId="0" fontId="43" fillId="9" borderId="1" xfId="14" applyFont="1" applyFill="1" applyBorder="1" applyAlignment="1">
      <alignment horizontal="center" vertical="center" wrapText="1"/>
    </xf>
    <xf numFmtId="0" fontId="37" fillId="8" borderId="4" xfId="14" applyFont="1" applyFill="1" applyBorder="1" applyAlignment="1">
      <alignment vertical="center" wrapText="1"/>
    </xf>
    <xf numFmtId="167" fontId="37" fillId="0" borderId="4" xfId="16" applyFont="1" applyBorder="1" applyAlignment="1">
      <alignment vertical="center"/>
    </xf>
    <xf numFmtId="193" fontId="37" fillId="0" borderId="4" xfId="16" applyNumberFormat="1" applyFont="1" applyBorder="1" applyAlignment="1">
      <alignment vertical="center"/>
    </xf>
    <xf numFmtId="194" fontId="37" fillId="0" borderId="4" xfId="16" applyNumberFormat="1" applyFont="1" applyBorder="1" applyAlignment="1">
      <alignment vertical="center"/>
    </xf>
    <xf numFmtId="167" fontId="37" fillId="8" borderId="1" xfId="16" applyFont="1" applyFill="1" applyBorder="1" applyAlignment="1">
      <alignment vertical="center"/>
    </xf>
    <xf numFmtId="4" fontId="43" fillId="0" borderId="1" xfId="27" applyNumberFormat="1" applyFont="1" applyBorder="1" applyAlignment="1">
      <alignment vertical="center"/>
    </xf>
    <xf numFmtId="0" fontId="43" fillId="0" borderId="0" xfId="14" applyFont="1" applyAlignment="1">
      <alignment horizontal="left" vertical="center"/>
    </xf>
    <xf numFmtId="0" fontId="43" fillId="0" borderId="0" xfId="14" applyFont="1" applyAlignment="1">
      <alignment horizontal="right" vertical="center"/>
    </xf>
    <xf numFmtId="44" fontId="43" fillId="0" borderId="0" xfId="17" applyFont="1" applyAlignment="1">
      <alignment horizontal="center" vertical="center"/>
    </xf>
    <xf numFmtId="0" fontId="29" fillId="0" borderId="0" xfId="14" applyFont="1" applyAlignment="1">
      <alignment vertical="center"/>
    </xf>
    <xf numFmtId="0" fontId="43" fillId="0" borderId="0" xfId="0" applyFont="1" applyAlignment="1">
      <alignment vertical="center"/>
    </xf>
    <xf numFmtId="0" fontId="3" fillId="0" borderId="135" xfId="28" applyNumberFormat="1" applyBorder="1" applyAlignment="1">
      <alignment vertical="center"/>
    </xf>
    <xf numFmtId="171" fontId="3" fillId="0" borderId="135" xfId="28" applyNumberFormat="1" applyBorder="1" applyAlignment="1">
      <alignment horizontal="right" vertical="center"/>
    </xf>
    <xf numFmtId="0" fontId="3" fillId="0" borderId="135" xfId="28" applyNumberFormat="1" applyBorder="1" applyAlignment="1">
      <alignment horizontal="right" vertical="center"/>
    </xf>
    <xf numFmtId="0" fontId="3" fillId="0" borderId="0" xfId="28" applyNumberFormat="1" applyAlignment="1">
      <alignment horizontal="centerContinuous" vertical="center"/>
    </xf>
    <xf numFmtId="171" fontId="3" fillId="0" borderId="0" xfId="28" applyNumberFormat="1" applyAlignment="1">
      <alignment horizontal="centerContinuous" vertical="center"/>
    </xf>
    <xf numFmtId="0" fontId="64" fillId="10" borderId="4" xfId="0" applyFont="1" applyFill="1" applyBorder="1" applyAlignment="1">
      <alignment horizontal="center" vertical="center"/>
    </xf>
    <xf numFmtId="4" fontId="64" fillId="10" borderId="4" xfId="0" applyNumberFormat="1" applyFont="1" applyFill="1" applyBorder="1" applyAlignment="1">
      <alignment horizontal="center" vertical="center"/>
    </xf>
    <xf numFmtId="0" fontId="0" fillId="0" borderId="4" xfId="0" applyBorder="1" applyAlignment="1">
      <alignment horizontal="center" vertical="center" wrapText="1"/>
    </xf>
    <xf numFmtId="0" fontId="0" fillId="0" borderId="4" xfId="0" applyBorder="1" applyAlignment="1">
      <alignment vertical="center" wrapText="1"/>
    </xf>
    <xf numFmtId="4" fontId="0" fillId="0" borderId="4" xfId="0" applyNumberFormat="1" applyBorder="1" applyAlignment="1">
      <alignment vertical="center" wrapText="1"/>
    </xf>
    <xf numFmtId="0" fontId="0" fillId="0" borderId="1" xfId="0" applyBorder="1" applyAlignment="1">
      <alignment vertical="center"/>
    </xf>
    <xf numFmtId="0" fontId="0" fillId="0" borderId="2" xfId="0" applyBorder="1" applyAlignment="1">
      <alignment vertical="center"/>
    </xf>
    <xf numFmtId="4" fontId="0" fillId="0" borderId="2" xfId="0" applyNumberFormat="1" applyBorder="1" applyAlignment="1">
      <alignment vertical="center"/>
    </xf>
    <xf numFmtId="4" fontId="38" fillId="0" borderId="3" xfId="0" applyNumberFormat="1" applyFont="1" applyBorder="1" applyAlignment="1">
      <alignment horizontal="right" vertical="center"/>
    </xf>
    <xf numFmtId="4" fontId="38" fillId="0" borderId="4" xfId="0" applyNumberFormat="1" applyFont="1" applyBorder="1" applyAlignment="1">
      <alignment vertical="center"/>
    </xf>
    <xf numFmtId="0" fontId="37" fillId="0" borderId="4" xfId="14" applyFont="1" applyBorder="1" applyAlignment="1">
      <alignment vertical="center" wrapText="1"/>
    </xf>
    <xf numFmtId="167" fontId="37" fillId="0" borderId="4" xfId="16" applyFont="1" applyBorder="1" applyAlignment="1">
      <alignment vertical="center" wrapText="1"/>
    </xf>
    <xf numFmtId="167" fontId="37" fillId="0" borderId="1" xfId="16" applyFont="1" applyBorder="1" applyAlignment="1">
      <alignment vertical="center" wrapText="1"/>
    </xf>
    <xf numFmtId="167" fontId="37" fillId="8" borderId="4" xfId="16" applyFont="1" applyFill="1" applyBorder="1" applyAlignment="1">
      <alignment vertical="center" wrapText="1"/>
    </xf>
    <xf numFmtId="167" fontId="37" fillId="0" borderId="4" xfId="16" applyFont="1" applyBorder="1" applyAlignment="1">
      <alignment horizontal="center" vertical="center" wrapText="1"/>
    </xf>
    <xf numFmtId="167" fontId="43" fillId="0" borderId="4" xfId="16" applyFont="1" applyBorder="1" applyAlignment="1">
      <alignment vertical="center" wrapText="1"/>
    </xf>
    <xf numFmtId="195" fontId="37" fillId="8" borderId="4" xfId="16" applyNumberFormat="1" applyFont="1" applyFill="1" applyBorder="1" applyAlignment="1">
      <alignment vertical="center" wrapText="1"/>
    </xf>
    <xf numFmtId="1" fontId="37" fillId="0" borderId="23" xfId="1" applyNumberFormat="1" applyFont="1" applyFill="1" applyBorder="1" applyAlignment="1">
      <alignment horizontal="center" vertical="center" wrapText="1"/>
    </xf>
    <xf numFmtId="4" fontId="29" fillId="0" borderId="22" xfId="1" applyNumberFormat="1" applyFont="1" applyBorder="1" applyAlignment="1">
      <alignment vertical="center" wrapText="1"/>
    </xf>
    <xf numFmtId="187" fontId="29" fillId="0" borderId="23" xfId="1" applyNumberFormat="1" applyFont="1" applyBorder="1" applyAlignment="1">
      <alignment horizontal="center" vertical="center" wrapText="1"/>
    </xf>
    <xf numFmtId="4" fontId="29" fillId="0" borderId="24" xfId="1" applyNumberFormat="1" applyFont="1" applyBorder="1" applyAlignment="1">
      <alignment vertical="center" wrapText="1"/>
    </xf>
    <xf numFmtId="0" fontId="19" fillId="0" borderId="0" xfId="1" applyNumberFormat="1" applyFill="1" applyAlignment="1">
      <alignment vertical="center"/>
    </xf>
    <xf numFmtId="4" fontId="24" fillId="0" borderId="22" xfId="1" applyNumberFormat="1" applyFont="1" applyFill="1" applyBorder="1" applyAlignment="1">
      <alignment vertical="center" wrapText="1"/>
    </xf>
    <xf numFmtId="187" fontId="24" fillId="0" borderId="23" xfId="1" applyNumberFormat="1" applyFont="1" applyFill="1" applyBorder="1" applyAlignment="1">
      <alignment horizontal="center" vertical="center" wrapText="1"/>
    </xf>
    <xf numFmtId="4" fontId="24" fillId="0" borderId="24" xfId="1" applyNumberFormat="1" applyFont="1" applyFill="1" applyBorder="1" applyAlignment="1">
      <alignment vertical="center" wrapText="1"/>
    </xf>
    <xf numFmtId="0" fontId="4" fillId="0" borderId="0" xfId="1" applyNumberFormat="1" applyFont="1" applyFill="1" applyAlignment="1">
      <alignment vertical="center"/>
    </xf>
    <xf numFmtId="0" fontId="37" fillId="0" borderId="23" xfId="1" applyNumberFormat="1" applyFont="1" applyFill="1" applyBorder="1" applyAlignment="1">
      <alignment horizontal="center" vertical="center" wrapText="1"/>
    </xf>
    <xf numFmtId="0" fontId="23" fillId="0" borderId="23" xfId="1" applyNumberFormat="1" applyFont="1" applyBorder="1" applyAlignment="1">
      <alignment vertical="center" wrapText="1"/>
    </xf>
    <xf numFmtId="0" fontId="23" fillId="0" borderId="0" xfId="1" applyNumberFormat="1" applyFont="1" applyAlignment="1">
      <alignment vertical="center" wrapText="1"/>
    </xf>
    <xf numFmtId="0" fontId="23" fillId="0" borderId="22" xfId="1" applyNumberFormat="1" applyFont="1" applyBorder="1" applyAlignment="1">
      <alignment vertical="center"/>
    </xf>
    <xf numFmtId="0" fontId="23" fillId="0" borderId="46" xfId="1" applyNumberFormat="1" applyFont="1" applyFill="1" applyBorder="1" applyAlignment="1">
      <alignment horizontal="center" vertical="center" wrapText="1"/>
    </xf>
    <xf numFmtId="4" fontId="23" fillId="0" borderId="23" xfId="1" applyNumberFormat="1" applyFont="1" applyBorder="1" applyAlignment="1">
      <alignment vertical="center" wrapText="1"/>
    </xf>
    <xf numFmtId="4" fontId="23" fillId="0" borderId="46" xfId="1" applyNumberFormat="1" applyFont="1" applyBorder="1" applyAlignment="1">
      <alignment vertical="center" wrapText="1"/>
    </xf>
    <xf numFmtId="10" fontId="23" fillId="0" borderId="46" xfId="1" applyNumberFormat="1" applyFont="1" applyBorder="1" applyAlignment="1">
      <alignment horizontal="center" vertical="center" wrapText="1"/>
    </xf>
    <xf numFmtId="4" fontId="23" fillId="0" borderId="24" xfId="1" applyNumberFormat="1" applyFont="1" applyBorder="1" applyAlignment="1">
      <alignment vertical="center" wrapText="1"/>
    </xf>
    <xf numFmtId="0" fontId="37" fillId="0" borderId="23" xfId="1" applyNumberFormat="1" applyFont="1" applyBorder="1" applyAlignment="1">
      <alignment vertical="center" wrapText="1"/>
    </xf>
    <xf numFmtId="0" fontId="37" fillId="0" borderId="0" xfId="1" applyNumberFormat="1" applyFont="1" applyAlignment="1">
      <alignment vertical="center" wrapText="1"/>
    </xf>
    <xf numFmtId="0" fontId="37" fillId="0" borderId="46" xfId="1" applyNumberFormat="1" applyFont="1" applyFill="1" applyBorder="1" applyAlignment="1">
      <alignment horizontal="center" vertical="center" wrapText="1"/>
    </xf>
    <xf numFmtId="4" fontId="37" fillId="0" borderId="23" xfId="1" applyNumberFormat="1" applyFont="1" applyBorder="1" applyAlignment="1">
      <alignment vertical="center" wrapText="1"/>
    </xf>
    <xf numFmtId="4" fontId="37" fillId="0" borderId="46" xfId="1" applyNumberFormat="1" applyFont="1" applyBorder="1" applyAlignment="1">
      <alignment vertical="center" wrapText="1"/>
    </xf>
    <xf numFmtId="10" fontId="37" fillId="0" borderId="46" xfId="1" applyNumberFormat="1" applyFont="1" applyBorder="1" applyAlignment="1">
      <alignment horizontal="center" vertical="center" wrapText="1"/>
    </xf>
    <xf numFmtId="4" fontId="37" fillId="0" borderId="24" xfId="1" applyNumberFormat="1" applyFont="1" applyBorder="1" applyAlignment="1">
      <alignment vertical="center" wrapText="1"/>
    </xf>
    <xf numFmtId="0" fontId="23" fillId="0" borderId="23" xfId="1" applyNumberFormat="1" applyFont="1" applyFill="1" applyBorder="1" applyAlignment="1">
      <alignment vertical="center" wrapText="1"/>
    </xf>
    <xf numFmtId="0" fontId="23" fillId="0" borderId="0" xfId="1" applyNumberFormat="1" applyFont="1" applyFill="1" applyAlignment="1">
      <alignment vertical="center" wrapText="1"/>
    </xf>
    <xf numFmtId="0" fontId="23" fillId="0" borderId="22" xfId="1" applyNumberFormat="1" applyFont="1" applyFill="1" applyBorder="1" applyAlignment="1">
      <alignment vertical="center"/>
    </xf>
    <xf numFmtId="4" fontId="23" fillId="0" borderId="23" xfId="1" applyNumberFormat="1" applyFont="1" applyFill="1" applyBorder="1" applyAlignment="1">
      <alignment vertical="center" wrapText="1"/>
    </xf>
    <xf numFmtId="4" fontId="23" fillId="0" borderId="46" xfId="1" applyNumberFormat="1" applyFont="1" applyFill="1" applyBorder="1" applyAlignment="1">
      <alignment vertical="center" wrapText="1"/>
    </xf>
    <xf numFmtId="10" fontId="23" fillId="0" borderId="46" xfId="1" applyNumberFormat="1" applyFont="1" applyFill="1" applyBorder="1" applyAlignment="1">
      <alignment horizontal="center" vertical="center" wrapText="1"/>
    </xf>
    <xf numFmtId="4" fontId="23" fillId="0" borderId="24" xfId="1" applyNumberFormat="1" applyFont="1" applyFill="1" applyBorder="1" applyAlignment="1">
      <alignment vertical="center" wrapText="1"/>
    </xf>
    <xf numFmtId="0" fontId="23" fillId="0" borderId="90" xfId="1" applyNumberFormat="1" applyFont="1" applyBorder="1" applyAlignment="1">
      <alignment vertical="center"/>
    </xf>
    <xf numFmtId="0" fontId="23" fillId="0" borderId="69" xfId="1" applyNumberFormat="1" applyFont="1" applyBorder="1" applyAlignment="1">
      <alignment vertical="center" wrapText="1"/>
    </xf>
    <xf numFmtId="0" fontId="23" fillId="0" borderId="68" xfId="1" applyNumberFormat="1" applyFont="1" applyBorder="1" applyAlignment="1">
      <alignment horizontal="center" vertical="center" wrapText="1"/>
    </xf>
    <xf numFmtId="4" fontId="23" fillId="0" borderId="69" xfId="1" applyNumberFormat="1" applyFont="1" applyBorder="1" applyAlignment="1">
      <alignment vertical="center" wrapText="1"/>
    </xf>
    <xf numFmtId="4" fontId="23" fillId="0" borderId="68" xfId="1" applyNumberFormat="1" applyFont="1" applyBorder="1" applyAlignment="1">
      <alignment vertical="center" wrapText="1"/>
    </xf>
    <xf numFmtId="10" fontId="23" fillId="0" borderId="68" xfId="1" applyNumberFormat="1" applyFont="1" applyBorder="1" applyAlignment="1">
      <alignment horizontal="center" vertical="center" wrapText="1"/>
    </xf>
    <xf numFmtId="4" fontId="23" fillId="0" borderId="106" xfId="1" applyNumberFormat="1" applyFont="1" applyBorder="1" applyAlignment="1">
      <alignment vertical="center" wrapText="1"/>
    </xf>
    <xf numFmtId="0" fontId="22" fillId="0" borderId="6" xfId="19" applyNumberFormat="1" applyFont="1" applyBorder="1" applyAlignment="1">
      <alignment vertical="center" wrapText="1"/>
    </xf>
    <xf numFmtId="0" fontId="22" fillId="0" borderId="6" xfId="19" applyNumberFormat="1" applyFont="1" applyBorder="1" applyAlignment="1">
      <alignment horizontal="center" vertical="center" wrapText="1"/>
    </xf>
    <xf numFmtId="0" fontId="22" fillId="0" borderId="99" xfId="19" applyNumberFormat="1" applyFont="1" applyBorder="1" applyAlignment="1">
      <alignment vertical="center"/>
    </xf>
    <xf numFmtId="4" fontId="23" fillId="0" borderId="92" xfId="19" applyNumberFormat="1" applyFont="1" applyBorder="1" applyAlignment="1">
      <alignment vertical="center" wrapText="1"/>
    </xf>
    <xf numFmtId="4" fontId="23" fillId="0" borderId="92" xfId="19" applyNumberFormat="1" applyFont="1" applyBorder="1" applyAlignment="1">
      <alignment horizontal="right" vertical="center"/>
    </xf>
    <xf numFmtId="10" fontId="23" fillId="0" borderId="92" xfId="19" applyNumberFormat="1" applyFont="1" applyBorder="1" applyAlignment="1">
      <alignment horizontal="center" vertical="center"/>
    </xf>
    <xf numFmtId="4" fontId="23" fillId="0" borderId="102" xfId="19" applyNumberFormat="1" applyFont="1" applyBorder="1" applyAlignment="1">
      <alignment vertical="center" wrapText="1"/>
    </xf>
    <xf numFmtId="0" fontId="22" fillId="0" borderId="0" xfId="19" applyNumberFormat="1" applyFont="1" applyBorder="1" applyAlignment="1">
      <alignment vertical="center" wrapText="1"/>
    </xf>
    <xf numFmtId="0" fontId="22" fillId="0" borderId="0" xfId="19" applyNumberFormat="1" applyFont="1" applyBorder="1" applyAlignment="1">
      <alignment horizontal="center" vertical="center" wrapText="1"/>
    </xf>
    <xf numFmtId="0" fontId="22" fillId="0" borderId="140" xfId="19" applyNumberFormat="1" applyFont="1" applyBorder="1" applyAlignment="1">
      <alignment vertical="center"/>
    </xf>
    <xf numFmtId="0" fontId="23" fillId="0" borderId="94" xfId="19" applyNumberFormat="1" applyFont="1" applyBorder="1" applyAlignment="1">
      <alignment vertical="center" wrapText="1"/>
    </xf>
    <xf numFmtId="4" fontId="23" fillId="0" borderId="94" xfId="19" applyNumberFormat="1" applyFont="1" applyBorder="1" applyAlignment="1">
      <alignment vertical="center" wrapText="1"/>
    </xf>
    <xf numFmtId="4" fontId="23" fillId="0" borderId="94" xfId="19" applyNumberFormat="1" applyFont="1" applyBorder="1" applyAlignment="1">
      <alignment horizontal="right" vertical="center"/>
    </xf>
    <xf numFmtId="10" fontId="23" fillId="0" borderId="94" xfId="19" applyNumberFormat="1" applyFont="1" applyBorder="1" applyAlignment="1">
      <alignment horizontal="center" vertical="center"/>
    </xf>
    <xf numFmtId="4" fontId="23" fillId="0" borderId="141" xfId="19" applyNumberFormat="1" applyFont="1" applyBorder="1" applyAlignment="1">
      <alignment vertical="center" wrapText="1"/>
    </xf>
    <xf numFmtId="0" fontId="23" fillId="0" borderId="11" xfId="19" applyNumberFormat="1" applyFont="1" applyBorder="1" applyAlignment="1">
      <alignment vertical="center"/>
    </xf>
    <xf numFmtId="0" fontId="23" fillId="0" borderId="0" xfId="19" applyNumberFormat="1" applyFont="1" applyBorder="1" applyAlignment="1">
      <alignment vertical="center"/>
    </xf>
    <xf numFmtId="4" fontId="23" fillId="0" borderId="0" xfId="19" applyNumberFormat="1" applyFont="1" applyBorder="1" applyAlignment="1">
      <alignment vertical="center"/>
    </xf>
    <xf numFmtId="4" fontId="23" fillId="0" borderId="0" xfId="19" applyNumberFormat="1" applyFont="1" applyBorder="1" applyAlignment="1">
      <alignment horizontal="right" vertical="center"/>
    </xf>
    <xf numFmtId="10" fontId="23" fillId="0" borderId="0" xfId="19" applyNumberFormat="1" applyFont="1" applyBorder="1" applyAlignment="1">
      <alignment horizontal="center" vertical="center"/>
    </xf>
    <xf numFmtId="4" fontId="23" fillId="0" borderId="12" xfId="19" applyNumberFormat="1" applyFont="1" applyBorder="1" applyAlignment="1">
      <alignment vertical="center"/>
    </xf>
    <xf numFmtId="0" fontId="23" fillId="0" borderId="25" xfId="19" applyNumberFormat="1" applyFont="1" applyBorder="1" applyAlignment="1">
      <alignment vertical="center"/>
    </xf>
    <xf numFmtId="0" fontId="23" fillId="0" borderId="26" xfId="19" applyNumberFormat="1" applyFont="1" applyBorder="1" applyAlignment="1">
      <alignment vertical="center"/>
    </xf>
    <xf numFmtId="4" fontId="23" fillId="0" borderId="26" xfId="19" applyNumberFormat="1" applyFont="1" applyBorder="1" applyAlignment="1">
      <alignment vertical="center"/>
    </xf>
    <xf numFmtId="4" fontId="23" fillId="0" borderId="26" xfId="19" applyNumberFormat="1" applyFont="1" applyBorder="1" applyAlignment="1">
      <alignment horizontal="right" vertical="center"/>
    </xf>
    <xf numFmtId="10" fontId="23" fillId="0" borderId="26" xfId="19" applyNumberFormat="1" applyFont="1" applyBorder="1" applyAlignment="1">
      <alignment horizontal="center" vertical="center"/>
    </xf>
    <xf numFmtId="4" fontId="23" fillId="0" borderId="27" xfId="19" applyNumberFormat="1" applyFont="1" applyBorder="1" applyAlignment="1">
      <alignment vertical="center"/>
    </xf>
    <xf numFmtId="4" fontId="23" fillId="0" borderId="0" xfId="1" applyNumberFormat="1" applyFont="1" applyBorder="1" applyAlignment="1">
      <alignment vertical="center" wrapText="1"/>
    </xf>
    <xf numFmtId="0" fontId="23" fillId="0" borderId="0" xfId="1" applyNumberFormat="1" applyFont="1" applyBorder="1" applyAlignment="1">
      <alignment horizontal="center" vertical="center" wrapText="1"/>
    </xf>
    <xf numFmtId="1" fontId="23" fillId="0" borderId="0" xfId="1" applyNumberFormat="1" applyFont="1" applyAlignment="1">
      <alignment vertical="center" wrapText="1"/>
    </xf>
    <xf numFmtId="0" fontId="23" fillId="0" borderId="0" xfId="1" applyNumberFormat="1" applyFont="1" applyAlignment="1">
      <alignment horizontal="center" vertical="center" wrapText="1"/>
    </xf>
    <xf numFmtId="4" fontId="23" fillId="0" borderId="0" xfId="1" applyNumberFormat="1" applyFont="1" applyAlignment="1">
      <alignment vertical="center" wrapText="1"/>
    </xf>
    <xf numFmtId="4" fontId="22" fillId="0" borderId="0" xfId="1" applyNumberFormat="1" applyFont="1" applyAlignment="1">
      <alignment vertical="center" wrapText="1"/>
    </xf>
    <xf numFmtId="10" fontId="22" fillId="0" borderId="0" xfId="1" applyNumberFormat="1" applyFont="1" applyAlignment="1">
      <alignment horizontal="center" vertical="center" wrapText="1"/>
    </xf>
    <xf numFmtId="4" fontId="22" fillId="0" borderId="0" xfId="0" applyNumberFormat="1" applyFont="1" applyAlignment="1">
      <alignment vertical="center"/>
    </xf>
    <xf numFmtId="0" fontId="65" fillId="0" borderId="99" xfId="19" applyNumberFormat="1" applyFont="1" applyBorder="1" applyAlignment="1">
      <alignment vertical="center"/>
    </xf>
    <xf numFmtId="0" fontId="66" fillId="0" borderId="92" xfId="19" applyNumberFormat="1" applyFont="1" applyBorder="1" applyAlignment="1">
      <alignment vertical="center"/>
    </xf>
    <xf numFmtId="4" fontId="66" fillId="0" borderId="92" xfId="19" applyNumberFormat="1" applyFont="1" applyBorder="1" applyAlignment="1">
      <alignment vertical="center" wrapText="1"/>
    </xf>
    <xf numFmtId="4" fontId="66" fillId="0" borderId="92" xfId="19" applyNumberFormat="1" applyFont="1" applyBorder="1" applyAlignment="1">
      <alignment horizontal="right" vertical="center"/>
    </xf>
    <xf numFmtId="10" fontId="66" fillId="0" borderId="92" xfId="19" applyNumberFormat="1" applyFont="1" applyBorder="1" applyAlignment="1">
      <alignment horizontal="center" vertical="center"/>
    </xf>
    <xf numFmtId="4" fontId="66" fillId="0" borderId="102" xfId="19" applyNumberFormat="1" applyFont="1" applyBorder="1" applyAlignment="1">
      <alignment vertical="center" wrapText="1"/>
    </xf>
    <xf numFmtId="0" fontId="66" fillId="0" borderId="94" xfId="19" applyNumberFormat="1" applyFont="1" applyBorder="1" applyAlignment="1">
      <alignment vertical="center" wrapText="1"/>
    </xf>
    <xf numFmtId="4" fontId="66" fillId="0" borderId="94" xfId="19" applyNumberFormat="1" applyFont="1" applyBorder="1" applyAlignment="1">
      <alignment vertical="center" wrapText="1"/>
    </xf>
    <xf numFmtId="4" fontId="66" fillId="0" borderId="94" xfId="19" applyNumberFormat="1" applyFont="1" applyBorder="1" applyAlignment="1">
      <alignment horizontal="right" vertical="center"/>
    </xf>
    <xf numFmtId="10" fontId="66" fillId="0" borderId="94" xfId="19" applyNumberFormat="1" applyFont="1" applyBorder="1" applyAlignment="1">
      <alignment horizontal="center" vertical="center"/>
    </xf>
    <xf numFmtId="4" fontId="66" fillId="0" borderId="141" xfId="19" applyNumberFormat="1" applyFont="1" applyBorder="1" applyAlignment="1">
      <alignment vertical="center" wrapText="1"/>
    </xf>
    <xf numFmtId="0" fontId="66" fillId="0" borderId="0" xfId="19" applyNumberFormat="1" applyFont="1" applyBorder="1" applyAlignment="1">
      <alignment vertical="center"/>
    </xf>
    <xf numFmtId="4" fontId="66" fillId="0" borderId="0" xfId="19" applyNumberFormat="1" applyFont="1" applyBorder="1" applyAlignment="1">
      <alignment vertical="center"/>
    </xf>
    <xf numFmtId="4" fontId="66" fillId="0" borderId="0" xfId="19" applyNumberFormat="1" applyFont="1" applyBorder="1" applyAlignment="1">
      <alignment horizontal="right" vertical="center"/>
    </xf>
    <xf numFmtId="10" fontId="66" fillId="0" borderId="0" xfId="19" applyNumberFormat="1" applyFont="1" applyBorder="1" applyAlignment="1">
      <alignment horizontal="center" vertical="center"/>
    </xf>
    <xf numFmtId="4" fontId="66" fillId="0" borderId="12" xfId="19" applyNumberFormat="1" applyFont="1" applyBorder="1" applyAlignment="1">
      <alignment vertical="center"/>
    </xf>
    <xf numFmtId="0" fontId="66" fillId="0" borderId="26" xfId="19" applyNumberFormat="1" applyFont="1" applyBorder="1" applyAlignment="1">
      <alignment vertical="center"/>
    </xf>
    <xf numFmtId="4" fontId="66" fillId="0" borderId="26" xfId="19" applyNumberFormat="1" applyFont="1" applyBorder="1" applyAlignment="1">
      <alignment vertical="center"/>
    </xf>
    <xf numFmtId="4" fontId="66" fillId="0" borderId="26" xfId="19" applyNumberFormat="1" applyFont="1" applyBorder="1" applyAlignment="1">
      <alignment horizontal="right" vertical="center"/>
    </xf>
    <xf numFmtId="10" fontId="66" fillId="0" borderId="26" xfId="19" applyNumberFormat="1" applyFont="1" applyBorder="1" applyAlignment="1">
      <alignment horizontal="center" vertical="center"/>
    </xf>
    <xf numFmtId="4" fontId="66" fillId="0" borderId="27" xfId="19" applyNumberFormat="1" applyFont="1" applyBorder="1" applyAlignment="1">
      <alignment vertical="center"/>
    </xf>
    <xf numFmtId="0" fontId="24" fillId="0" borderId="0" xfId="1" applyNumberFormat="1" applyFont="1" applyAlignment="1">
      <alignment vertical="center" wrapText="1"/>
    </xf>
    <xf numFmtId="0" fontId="24" fillId="0" borderId="23" xfId="1" applyNumberFormat="1" applyFont="1" applyBorder="1" applyAlignment="1">
      <alignment vertical="center" wrapText="1"/>
    </xf>
    <xf numFmtId="4" fontId="24" fillId="0" borderId="23" xfId="1" applyNumberFormat="1" applyFont="1" applyBorder="1" applyAlignment="1">
      <alignment vertical="center" wrapText="1"/>
    </xf>
    <xf numFmtId="190" fontId="24" fillId="0" borderId="23" xfId="1" applyNumberFormat="1" applyFont="1" applyBorder="1" applyAlignment="1">
      <alignment horizontal="left" vertical="center" wrapText="1"/>
    </xf>
    <xf numFmtId="183" fontId="24" fillId="0" borderId="23" xfId="19" applyNumberFormat="1" applyFont="1" applyBorder="1" applyAlignment="1">
      <alignment horizontal="left" vertical="center" wrapText="1"/>
    </xf>
    <xf numFmtId="188" fontId="24" fillId="0" borderId="23" xfId="19" applyNumberFormat="1" applyFont="1" applyBorder="1" applyAlignment="1">
      <alignment horizontal="left" vertical="center" wrapText="1"/>
    </xf>
    <xf numFmtId="0" fontId="24" fillId="0" borderId="23" xfId="19" applyNumberFormat="1" applyFont="1" applyBorder="1" applyAlignment="1">
      <alignment horizontal="left" vertical="center" wrapText="1"/>
    </xf>
    <xf numFmtId="178" fontId="29" fillId="0" borderId="23" xfId="19" applyNumberFormat="1" applyFont="1" applyBorder="1" applyAlignment="1">
      <alignment horizontal="left" vertical="center" wrapText="1"/>
    </xf>
    <xf numFmtId="0" fontId="29" fillId="0" borderId="23" xfId="1" applyNumberFormat="1" applyFont="1" applyBorder="1" applyAlignment="1">
      <alignment vertical="center" wrapText="1"/>
    </xf>
    <xf numFmtId="0" fontId="29" fillId="0" borderId="0" xfId="1" applyNumberFormat="1" applyFont="1" applyAlignment="1">
      <alignment vertical="center" wrapText="1"/>
    </xf>
    <xf numFmtId="4" fontId="29" fillId="0" borderId="23" xfId="1" applyNumberFormat="1" applyFont="1" applyBorder="1" applyAlignment="1">
      <alignment vertical="center" wrapText="1"/>
    </xf>
    <xf numFmtId="0" fontId="24" fillId="0" borderId="23" xfId="1" applyNumberFormat="1" applyFont="1" applyFill="1" applyBorder="1" applyAlignment="1">
      <alignment vertical="center" wrapText="1"/>
    </xf>
    <xf numFmtId="0" fontId="24" fillId="0" borderId="0" xfId="1" applyNumberFormat="1" applyFont="1" applyFill="1" applyAlignment="1">
      <alignment vertical="center"/>
    </xf>
    <xf numFmtId="0" fontId="24" fillId="0" borderId="0" xfId="1" applyNumberFormat="1" applyFont="1" applyFill="1" applyAlignment="1">
      <alignment vertical="center" wrapText="1"/>
    </xf>
    <xf numFmtId="4" fontId="24" fillId="0" borderId="23" xfId="1" applyNumberFormat="1" applyFont="1" applyFill="1" applyBorder="1" applyAlignment="1">
      <alignment vertical="center" wrapText="1"/>
    </xf>
    <xf numFmtId="4" fontId="24" fillId="0" borderId="17" xfId="1" applyNumberFormat="1" applyFont="1" applyBorder="1" applyAlignment="1">
      <alignment vertical="center" wrapText="1"/>
    </xf>
    <xf numFmtId="0" fontId="24" fillId="0" borderId="0" xfId="1" applyNumberFormat="1" applyFont="1" applyBorder="1" applyAlignment="1">
      <alignment vertical="center" wrapText="1"/>
    </xf>
    <xf numFmtId="4" fontId="41" fillId="0" borderId="44" xfId="1" applyNumberFormat="1" applyFont="1" applyBorder="1" applyAlignment="1">
      <alignment vertical="center" wrapText="1"/>
    </xf>
    <xf numFmtId="4" fontId="41" fillId="0" borderId="43" xfId="1" applyNumberFormat="1" applyFont="1" applyBorder="1" applyAlignment="1">
      <alignment vertical="center" wrapText="1"/>
    </xf>
    <xf numFmtId="4" fontId="41" fillId="0" borderId="51" xfId="1" applyNumberFormat="1" applyFont="1" applyBorder="1" applyAlignment="1">
      <alignment vertical="center" wrapText="1"/>
    </xf>
    <xf numFmtId="4" fontId="41" fillId="0" borderId="4" xfId="1" applyNumberFormat="1" applyFont="1" applyBorder="1" applyAlignment="1">
      <alignment vertical="center" wrapText="1"/>
    </xf>
    <xf numFmtId="0" fontId="48" fillId="0" borderId="0" xfId="1" applyNumberFormat="1" applyFont="1" applyAlignment="1">
      <alignment vertical="center"/>
    </xf>
    <xf numFmtId="10" fontId="23" fillId="0" borderId="0" xfId="1" applyNumberFormat="1" applyFont="1" applyAlignment="1">
      <alignment horizontal="center" vertical="center" wrapText="1"/>
    </xf>
    <xf numFmtId="0" fontId="23" fillId="0" borderId="0" xfId="1" applyNumberFormat="1" applyFont="1" applyBorder="1" applyAlignment="1">
      <alignment vertical="center" wrapText="1"/>
    </xf>
    <xf numFmtId="1" fontId="23" fillId="0" borderId="0" xfId="1" applyNumberFormat="1" applyFont="1" applyBorder="1" applyAlignment="1">
      <alignment vertical="center" wrapText="1"/>
    </xf>
    <xf numFmtId="4" fontId="38" fillId="0" borderId="47" xfId="0" applyNumberFormat="1" applyFont="1" applyBorder="1" applyAlignment="1">
      <alignment horizontal="center" vertical="center" wrapText="1"/>
    </xf>
    <xf numFmtId="164" fontId="54" fillId="0" borderId="136" xfId="0" applyNumberFormat="1" applyFont="1" applyFill="1" applyBorder="1" applyAlignment="1">
      <alignment vertical="center"/>
    </xf>
    <xf numFmtId="164" fontId="54" fillId="0" borderId="1" xfId="0" applyNumberFormat="1" applyFont="1" applyFill="1" applyBorder="1" applyAlignment="1">
      <alignment vertical="center"/>
    </xf>
    <xf numFmtId="164" fontId="55" fillId="0" borderId="47" xfId="0" applyNumberFormat="1" applyFont="1" applyBorder="1" applyAlignment="1">
      <alignment vertical="center"/>
    </xf>
    <xf numFmtId="164" fontId="0" fillId="0" borderId="0" xfId="0" applyNumberFormat="1" applyAlignment="1">
      <alignment vertical="center"/>
    </xf>
    <xf numFmtId="164" fontId="38" fillId="0" borderId="0" xfId="0" applyNumberFormat="1" applyFont="1" applyAlignment="1">
      <alignment vertical="center"/>
    </xf>
    <xf numFmtId="176" fontId="0" fillId="0" borderId="0" xfId="0" applyNumberFormat="1" applyFill="1" applyAlignment="1">
      <alignment vertical="center"/>
    </xf>
    <xf numFmtId="4" fontId="0" fillId="0" borderId="134" xfId="0" applyNumberFormat="1" applyBorder="1" applyAlignment="1">
      <alignment vertical="center"/>
    </xf>
    <xf numFmtId="4" fontId="0" fillId="0" borderId="39" xfId="0" applyNumberFormat="1" applyBorder="1" applyAlignment="1">
      <alignment horizontal="centerContinuous" vertical="center"/>
    </xf>
    <xf numFmtId="4" fontId="39" fillId="0" borderId="4" xfId="0" applyNumberFormat="1" applyFont="1" applyBorder="1" applyAlignment="1">
      <alignment horizontal="center" vertical="center"/>
    </xf>
    <xf numFmtId="4" fontId="39" fillId="0" borderId="4" xfId="0" applyNumberFormat="1" applyFont="1" applyFill="1" applyBorder="1" applyAlignment="1">
      <alignment horizontal="center" vertical="center"/>
    </xf>
    <xf numFmtId="4" fontId="39" fillId="0" borderId="4" xfId="0" applyNumberFormat="1" applyFont="1" applyBorder="1" applyAlignment="1">
      <alignment horizontal="center" vertical="center" wrapText="1"/>
    </xf>
    <xf numFmtId="166" fontId="30" fillId="0" borderId="0" xfId="0" applyNumberFormat="1" applyFont="1" applyAlignment="1">
      <alignment horizontal="center" vertical="center"/>
    </xf>
    <xf numFmtId="166" fontId="30" fillId="0" borderId="4" xfId="0" applyNumberFormat="1" applyFont="1" applyBorder="1" applyAlignment="1">
      <alignment horizontal="centerContinuous" vertical="center"/>
    </xf>
    <xf numFmtId="166" fontId="30" fillId="0" borderId="4" xfId="0" applyNumberFormat="1" applyFont="1" applyBorder="1" applyAlignment="1">
      <alignment horizontal="center" vertical="center"/>
    </xf>
    <xf numFmtId="166" fontId="31" fillId="0" borderId="0" xfId="0" applyNumberFormat="1" applyFont="1" applyAlignment="1">
      <alignment horizontal="right" vertical="center"/>
    </xf>
    <xf numFmtId="166" fontId="30" fillId="0" borderId="0" xfId="0" applyNumberFormat="1" applyFont="1" applyAlignment="1">
      <alignment horizontal="right" vertical="center"/>
    </xf>
    <xf numFmtId="166" fontId="31" fillId="0" borderId="0" xfId="0" applyNumberFormat="1" applyFont="1" applyAlignment="1">
      <alignment horizontal="center" vertical="center" shrinkToFit="1"/>
    </xf>
    <xf numFmtId="4" fontId="30" fillId="0" borderId="0" xfId="0" applyNumberFormat="1" applyFont="1" applyAlignment="1">
      <alignment horizontal="center" vertical="center" shrinkToFit="1"/>
    </xf>
    <xf numFmtId="166" fontId="30" fillId="0" borderId="0" xfId="0" applyNumberFormat="1" applyFont="1" applyAlignment="1">
      <alignment horizontal="center" vertical="center" shrinkToFit="1"/>
    </xf>
    <xf numFmtId="172" fontId="30" fillId="0" borderId="0" xfId="11" applyNumberFormat="1" applyFont="1" applyAlignment="1">
      <alignment vertical="center"/>
    </xf>
    <xf numFmtId="1" fontId="0" fillId="0" borderId="0" xfId="0" applyNumberFormat="1" applyAlignment="1">
      <alignment horizontal="center" vertical="center" wrapText="1"/>
    </xf>
    <xf numFmtId="1" fontId="30" fillId="0" borderId="0" xfId="0" applyNumberFormat="1" applyFont="1" applyAlignment="1">
      <alignment horizontal="center" vertical="center"/>
    </xf>
    <xf numFmtId="169" fontId="29" fillId="0" borderId="0" xfId="2" applyNumberFormat="1" applyFont="1" applyAlignment="1">
      <alignment horizontal="centerContinuous" vertical="center"/>
    </xf>
    <xf numFmtId="0" fontId="29" fillId="0" borderId="0" xfId="2" applyNumberFormat="1" applyFont="1" applyAlignment="1">
      <alignment horizontal="centerContinuous" vertical="center"/>
    </xf>
    <xf numFmtId="0" fontId="29" fillId="0" borderId="4" xfId="2" applyFont="1" applyBorder="1" applyAlignment="1">
      <alignment horizontal="center" vertical="center" wrapText="1"/>
    </xf>
    <xf numFmtId="4" fontId="29" fillId="0" borderId="0" xfId="2" applyNumberFormat="1" applyFont="1" applyAlignment="1">
      <alignment horizontal="center" vertical="center"/>
    </xf>
    <xf numFmtId="4" fontId="54" fillId="0" borderId="0" xfId="0" applyNumberFormat="1" applyFont="1" applyBorder="1" applyAlignment="1">
      <alignment horizontal="centerContinuous" vertical="center"/>
    </xf>
    <xf numFmtId="4" fontId="29" fillId="0" borderId="4" xfId="2" applyNumberFormat="1" applyFont="1" applyBorder="1" applyAlignment="1">
      <alignment horizontal="center" vertical="center"/>
    </xf>
    <xf numFmtId="0" fontId="27" fillId="0" borderId="0" xfId="0" applyFont="1" applyBorder="1" applyAlignment="1">
      <alignment horizontal="centerContinuous" vertical="center"/>
    </xf>
    <xf numFmtId="10" fontId="27" fillId="7" borderId="0" xfId="0" applyNumberFormat="1" applyFont="1" applyFill="1" applyBorder="1" applyAlignment="1">
      <alignment horizontal="centerContinuous" vertical="center"/>
    </xf>
    <xf numFmtId="0" fontId="27" fillId="7" borderId="0" xfId="0" applyFont="1" applyFill="1" applyBorder="1" applyAlignment="1">
      <alignment horizontal="centerContinuous" vertical="center"/>
    </xf>
    <xf numFmtId="0" fontId="2" fillId="0" borderId="0" xfId="0" applyFont="1" applyBorder="1" applyAlignment="1">
      <alignment horizontal="right" vertical="center"/>
    </xf>
    <xf numFmtId="0" fontId="26" fillId="0" borderId="0" xfId="0" applyFont="1" applyBorder="1" applyAlignment="1">
      <alignment horizontal="centerContinuous" vertical="center"/>
    </xf>
    <xf numFmtId="10" fontId="26" fillId="0" borderId="0" xfId="0" applyNumberFormat="1" applyFont="1" applyBorder="1" applyAlignment="1">
      <alignment horizontal="centerContinuous" vertical="center"/>
    </xf>
    <xf numFmtId="0" fontId="2" fillId="0" borderId="0" xfId="0" applyFont="1" applyFill="1" applyBorder="1" applyAlignment="1">
      <alignment horizontal="right" vertical="center"/>
    </xf>
    <xf numFmtId="0" fontId="27" fillId="0" borderId="0" xfId="0" applyFont="1" applyFill="1" applyBorder="1" applyAlignment="1">
      <alignment vertical="center"/>
    </xf>
    <xf numFmtId="0" fontId="26" fillId="0" borderId="0" xfId="0" applyFont="1" applyFill="1" applyBorder="1" applyAlignment="1">
      <alignment vertical="center"/>
    </xf>
    <xf numFmtId="10" fontId="26" fillId="0" borderId="0" xfId="0" applyNumberFormat="1" applyFont="1" applyFill="1" applyBorder="1" applyAlignment="1">
      <alignment vertical="center"/>
    </xf>
    <xf numFmtId="0" fontId="26" fillId="0" borderId="0" xfId="0" applyFont="1" applyFill="1" applyBorder="1" applyAlignment="1">
      <alignment horizontal="centerContinuous" vertical="center"/>
    </xf>
    <xf numFmtId="0" fontId="26" fillId="0" borderId="0" xfId="0" applyFont="1" applyFill="1" applyBorder="1" applyAlignment="1">
      <alignment horizontal="center" vertical="center"/>
    </xf>
    <xf numFmtId="10" fontId="26" fillId="0" borderId="0" xfId="0" applyNumberFormat="1" applyFont="1" applyFill="1" applyBorder="1" applyAlignment="1">
      <alignment horizontal="centerContinuous" vertical="center"/>
    </xf>
    <xf numFmtId="0" fontId="26" fillId="0" borderId="26" xfId="0" applyFont="1" applyFill="1" applyBorder="1" applyAlignment="1">
      <alignment vertical="center"/>
    </xf>
    <xf numFmtId="10" fontId="27" fillId="0" borderId="26" xfId="0" applyNumberFormat="1" applyFont="1" applyFill="1" applyBorder="1" applyAlignment="1">
      <alignment horizontal="center" vertical="center"/>
    </xf>
    <xf numFmtId="0" fontId="73" fillId="0" borderId="0" xfId="0" applyFont="1" applyFill="1" applyBorder="1" applyAlignment="1">
      <alignment horizontal="right" vertical="center"/>
    </xf>
    <xf numFmtId="0" fontId="63" fillId="0" borderId="0" xfId="0" applyFont="1" applyFill="1" applyBorder="1" applyAlignment="1">
      <alignment vertical="center"/>
    </xf>
    <xf numFmtId="10" fontId="63" fillId="0" borderId="26" xfId="0" applyNumberFormat="1" applyFont="1" applyFill="1" applyBorder="1" applyAlignment="1">
      <alignment horizontal="center" vertical="center"/>
    </xf>
    <xf numFmtId="0" fontId="27" fillId="0" borderId="0" xfId="0" applyFont="1" applyBorder="1" applyAlignment="1">
      <alignment vertical="center"/>
    </xf>
    <xf numFmtId="4" fontId="41" fillId="0" borderId="17" xfId="19" applyNumberFormat="1" applyFont="1" applyBorder="1" applyAlignment="1">
      <alignment horizontal="center" vertical="center" wrapText="1"/>
    </xf>
    <xf numFmtId="4" fontId="41" fillId="0" borderId="18" xfId="19" applyNumberFormat="1" applyFont="1" applyBorder="1" applyAlignment="1">
      <alignment horizontal="center" vertical="center" wrapText="1"/>
    </xf>
    <xf numFmtId="4" fontId="18" fillId="0" borderId="16" xfId="19" applyNumberFormat="1" applyFont="1" applyFill="1" applyBorder="1" applyAlignment="1">
      <alignment horizontal="center" vertical="center"/>
    </xf>
    <xf numFmtId="4" fontId="41" fillId="0" borderId="91" xfId="19" applyNumberFormat="1" applyFont="1" applyBorder="1" applyAlignment="1">
      <alignment horizontal="center" vertical="center" wrapText="1"/>
    </xf>
    <xf numFmtId="4" fontId="41" fillId="0" borderId="16" xfId="19" applyNumberFormat="1" applyFont="1" applyBorder="1" applyAlignment="1">
      <alignment horizontal="center" vertical="center" wrapText="1"/>
    </xf>
    <xf numFmtId="4" fontId="41" fillId="0" borderId="38" xfId="19" applyNumberFormat="1" applyFont="1" applyBorder="1" applyAlignment="1">
      <alignment horizontal="centerContinuous" vertical="center"/>
    </xf>
    <xf numFmtId="4" fontId="41" fillId="0" borderId="37" xfId="19" applyNumberFormat="1" applyFont="1" applyBorder="1" applyAlignment="1">
      <alignment horizontal="centerContinuous" vertical="center"/>
    </xf>
    <xf numFmtId="4" fontId="41" fillId="0" borderId="116" xfId="19" applyNumberFormat="1" applyFont="1" applyBorder="1" applyAlignment="1">
      <alignment horizontal="centerContinuous" vertical="center"/>
    </xf>
    <xf numFmtId="4" fontId="18" fillId="0" borderId="60" xfId="19" applyNumberFormat="1" applyFont="1" applyBorder="1" applyAlignment="1">
      <alignment horizontal="center" vertical="center" wrapText="1"/>
    </xf>
    <xf numFmtId="4" fontId="18" fillId="0" borderId="89" xfId="19" applyNumberFormat="1" applyFont="1" applyBorder="1" applyAlignment="1">
      <alignment horizontal="center" vertical="center" wrapText="1"/>
    </xf>
    <xf numFmtId="4" fontId="18" fillId="0" borderId="116" xfId="19" applyNumberFormat="1" applyFont="1" applyFill="1" applyBorder="1" applyAlignment="1">
      <alignment horizontal="centerContinuous" vertical="center"/>
    </xf>
    <xf numFmtId="4" fontId="33" fillId="0" borderId="135" xfId="10" applyNumberFormat="1" applyFont="1" applyBorder="1" applyAlignment="1">
      <alignment horizontal="centerContinuous" vertical="center"/>
    </xf>
    <xf numFmtId="4" fontId="27" fillId="7" borderId="0" xfId="0" applyNumberFormat="1" applyFont="1" applyFill="1" applyBorder="1" applyAlignment="1">
      <alignment horizontal="right" vertical="center"/>
    </xf>
    <xf numFmtId="0" fontId="24" fillId="0" borderId="0" xfId="19" applyNumberFormat="1" applyFont="1" applyBorder="1" applyAlignment="1">
      <alignment horizontal="right" vertical="center"/>
    </xf>
    <xf numFmtId="179" fontId="24" fillId="0" borderId="0" xfId="19" applyNumberFormat="1" applyFont="1" applyBorder="1" applyAlignment="1">
      <alignment horizontal="right" vertical="center"/>
    </xf>
    <xf numFmtId="0" fontId="25" fillId="0" borderId="26" xfId="0" applyFont="1" applyBorder="1" applyAlignment="1">
      <alignment vertical="center"/>
    </xf>
    <xf numFmtId="0" fontId="39" fillId="0" borderId="26" xfId="0" applyFont="1" applyBorder="1" applyAlignment="1">
      <alignment horizontal="right" vertical="center"/>
    </xf>
    <xf numFmtId="4" fontId="23" fillId="0" borderId="68" xfId="1" applyNumberFormat="1" applyFont="1" applyFill="1" applyBorder="1" applyAlignment="1">
      <alignment vertical="center" wrapText="1"/>
    </xf>
    <xf numFmtId="2" fontId="0" fillId="8" borderId="145" xfId="0" applyNumberFormat="1" applyFill="1" applyBorder="1" applyAlignment="1">
      <alignment horizontal="center" vertical="center"/>
    </xf>
    <xf numFmtId="0" fontId="0" fillId="0" borderId="146" xfId="0" applyBorder="1"/>
    <xf numFmtId="0" fontId="0" fillId="0" borderId="147" xfId="0" applyBorder="1"/>
    <xf numFmtId="2" fontId="0" fillId="0" borderId="148" xfId="0" applyNumberFormat="1" applyBorder="1" applyAlignment="1">
      <alignment horizontal="center" vertical="center"/>
    </xf>
    <xf numFmtId="0" fontId="0" fillId="0" borderId="149" xfId="0" applyBorder="1"/>
    <xf numFmtId="2" fontId="0" fillId="0" borderId="0" xfId="0" applyNumberFormat="1"/>
    <xf numFmtId="2" fontId="0" fillId="8" borderId="150" xfId="0" applyNumberFormat="1" applyFill="1" applyBorder="1" applyAlignment="1">
      <alignment horizontal="center" vertical="center"/>
    </xf>
    <xf numFmtId="0" fontId="0" fillId="0" borderId="151" xfId="0" applyBorder="1"/>
    <xf numFmtId="2" fontId="0" fillId="0" borderId="152" xfId="0" applyNumberFormat="1" applyBorder="1" applyAlignment="1">
      <alignment horizontal="center" vertical="center"/>
    </xf>
    <xf numFmtId="0" fontId="0" fillId="0" borderId="153" xfId="0" applyBorder="1"/>
    <xf numFmtId="0" fontId="0" fillId="0" borderId="154" xfId="0" applyBorder="1"/>
    <xf numFmtId="2" fontId="0" fillId="0" borderId="0" xfId="0" applyNumberFormat="1" applyAlignment="1">
      <alignment horizontal="center" vertical="center"/>
    </xf>
    <xf numFmtId="0" fontId="0" fillId="0" borderId="155" xfId="0" applyBorder="1"/>
    <xf numFmtId="2" fontId="0" fillId="0" borderId="156" xfId="0" applyNumberFormat="1" applyBorder="1" applyAlignment="1">
      <alignment horizontal="center" vertical="center"/>
    </xf>
    <xf numFmtId="1" fontId="0" fillId="0" borderId="156" xfId="0" applyNumberFormat="1" applyBorder="1" applyAlignment="1">
      <alignment horizontal="center" vertical="center"/>
    </xf>
    <xf numFmtId="2" fontId="0" fillId="0" borderId="159" xfId="0" applyNumberFormat="1" applyBorder="1" applyAlignment="1">
      <alignment horizontal="center" vertical="center"/>
    </xf>
    <xf numFmtId="1" fontId="0" fillId="0" borderId="159" xfId="0" applyNumberFormat="1" applyBorder="1" applyAlignment="1">
      <alignment horizontal="center" vertical="center"/>
    </xf>
    <xf numFmtId="1" fontId="0" fillId="0" borderId="159" xfId="0" applyNumberFormat="1" applyBorder="1" applyAlignment="1">
      <alignment horizontal="center"/>
    </xf>
    <xf numFmtId="0" fontId="75" fillId="11" borderId="162" xfId="0" applyFont="1" applyFill="1" applyBorder="1" applyAlignment="1">
      <alignment horizontal="center" vertical="center"/>
    </xf>
    <xf numFmtId="0" fontId="0" fillId="0" borderId="144" xfId="0" applyBorder="1" applyAlignment="1">
      <alignment horizontal="center" vertical="center"/>
    </xf>
    <xf numFmtId="2" fontId="0" fillId="0" borderId="144" xfId="0" applyNumberFormat="1" applyBorder="1" applyAlignment="1">
      <alignment horizontal="center" vertical="center"/>
    </xf>
    <xf numFmtId="0" fontId="25" fillId="0" borderId="0" xfId="0" applyFont="1"/>
    <xf numFmtId="0" fontId="75" fillId="11" borderId="174" xfId="0" applyFont="1" applyFill="1" applyBorder="1" applyAlignment="1">
      <alignment horizontal="center" vertical="center"/>
    </xf>
    <xf numFmtId="0" fontId="75" fillId="11" borderId="144" xfId="0" applyFont="1" applyFill="1" applyBorder="1" applyAlignment="1">
      <alignment horizontal="center" vertical="center"/>
    </xf>
    <xf numFmtId="0" fontId="75" fillId="11" borderId="171" xfId="0" applyFont="1" applyFill="1" applyBorder="1" applyAlignment="1">
      <alignment horizontal="center" vertical="center"/>
    </xf>
    <xf numFmtId="0" fontId="0" fillId="0" borderId="165" xfId="0" applyBorder="1"/>
    <xf numFmtId="0" fontId="0" fillId="0" borderId="179" xfId="0" applyBorder="1" applyAlignment="1">
      <alignment horizontal="center" vertical="center"/>
    </xf>
    <xf numFmtId="4" fontId="23" fillId="0" borderId="24" xfId="0" applyNumberFormat="1" applyFont="1" applyFill="1" applyBorder="1" applyAlignment="1">
      <alignment horizontal="center" vertical="center" wrapText="1"/>
    </xf>
    <xf numFmtId="0" fontId="24" fillId="0" borderId="46" xfId="0" applyFont="1" applyFill="1" applyBorder="1" applyAlignment="1">
      <alignment horizontal="center" vertical="center" wrapText="1"/>
    </xf>
    <xf numFmtId="0" fontId="2" fillId="0" borderId="0" xfId="1" applyNumberFormat="1" applyFont="1" applyAlignment="1">
      <alignment vertical="center"/>
    </xf>
    <xf numFmtId="4" fontId="2" fillId="0" borderId="1" xfId="0" applyNumberFormat="1" applyFont="1" applyFill="1" applyBorder="1" applyAlignment="1">
      <alignment vertical="center"/>
    </xf>
    <xf numFmtId="199" fontId="24" fillId="0" borderId="23" xfId="1" applyNumberFormat="1" applyFont="1" applyBorder="1" applyAlignment="1">
      <alignment horizontal="center" vertical="center" wrapText="1"/>
    </xf>
    <xf numFmtId="10" fontId="56" fillId="0" borderId="40" xfId="0" applyNumberFormat="1" applyFont="1" applyBorder="1" applyAlignment="1">
      <alignment horizontal="centerContinuous" vertical="center"/>
    </xf>
    <xf numFmtId="10" fontId="56" fillId="0" borderId="0" xfId="0" applyNumberFormat="1" applyFont="1" applyAlignment="1">
      <alignment horizontal="centerContinuous" vertical="center"/>
    </xf>
    <xf numFmtId="4" fontId="71" fillId="0" borderId="44" xfId="1" applyNumberFormat="1" applyFont="1" applyBorder="1" applyAlignment="1">
      <alignment vertical="center" shrinkToFit="1"/>
    </xf>
    <xf numFmtId="4" fontId="71" fillId="0" borderId="43" xfId="1" applyNumberFormat="1" applyFont="1" applyBorder="1" applyAlignment="1">
      <alignment vertical="center" shrinkToFit="1"/>
    </xf>
    <xf numFmtId="4" fontId="71" fillId="0" borderId="51" xfId="1" applyNumberFormat="1" applyFont="1" applyBorder="1" applyAlignment="1">
      <alignment vertical="center" shrinkToFit="1"/>
    </xf>
    <xf numFmtId="4" fontId="71" fillId="0" borderId="4" xfId="1" applyNumberFormat="1" applyFont="1" applyBorder="1" applyAlignment="1">
      <alignment vertical="center" shrinkToFit="1"/>
    </xf>
    <xf numFmtId="10" fontId="27" fillId="0" borderId="0" xfId="0" applyNumberFormat="1" applyFont="1" applyFill="1" applyBorder="1" applyAlignment="1">
      <alignment horizontal="center" vertical="center"/>
    </xf>
    <xf numFmtId="191" fontId="33" fillId="0" borderId="0" xfId="10" applyNumberFormat="1" applyFont="1" applyBorder="1" applyAlignment="1">
      <alignment horizontal="right" vertical="center"/>
    </xf>
    <xf numFmtId="10" fontId="63" fillId="0" borderId="0" xfId="0" applyNumberFormat="1" applyFont="1" applyFill="1" applyBorder="1" applyAlignment="1">
      <alignment horizontal="center" vertical="center"/>
    </xf>
    <xf numFmtId="4" fontId="33" fillId="0" borderId="0" xfId="10" applyNumberFormat="1" applyFont="1" applyBorder="1" applyAlignment="1">
      <alignment horizontal="centerContinuous" vertical="center"/>
    </xf>
    <xf numFmtId="4" fontId="15" fillId="0" borderId="0" xfId="5" applyNumberFormat="1" applyFont="1" applyBorder="1" applyAlignment="1">
      <alignment horizontal="right" vertical="center"/>
    </xf>
    <xf numFmtId="4" fontId="15" fillId="0" borderId="26" xfId="5" applyNumberFormat="1" applyFont="1" applyBorder="1" applyAlignment="1">
      <alignment horizontal="right" vertical="center"/>
    </xf>
    <xf numFmtId="0" fontId="26" fillId="0" borderId="0" xfId="0" applyFont="1" applyBorder="1" applyAlignment="1">
      <alignment horizontal="right" vertical="center"/>
    </xf>
    <xf numFmtId="4" fontId="27" fillId="0" borderId="0" xfId="5" applyNumberFormat="1" applyFont="1" applyFill="1" applyBorder="1" applyAlignment="1">
      <alignment horizontal="right" vertical="center"/>
    </xf>
    <xf numFmtId="4" fontId="63" fillId="0" borderId="0" xfId="5" applyNumberFormat="1" applyFont="1" applyFill="1" applyBorder="1" applyAlignment="1">
      <alignment horizontal="right" vertical="center"/>
    </xf>
    <xf numFmtId="10" fontId="63" fillId="0" borderId="0" xfId="11" applyNumberFormat="1" applyFont="1" applyFill="1" applyBorder="1" applyAlignment="1">
      <alignment horizontal="right" vertical="center"/>
    </xf>
    <xf numFmtId="10" fontId="63" fillId="0" borderId="0" xfId="11" applyNumberFormat="1" applyFont="1" applyAlignment="1">
      <alignment horizontal="right" vertical="center"/>
    </xf>
    <xf numFmtId="4" fontId="1" fillId="0" borderId="0" xfId="5" applyNumberFormat="1" applyFont="1" applyBorder="1" applyAlignment="1">
      <alignment horizontal="right" vertical="center"/>
    </xf>
    <xf numFmtId="4" fontId="73" fillId="0" borderId="0" xfId="5" applyNumberFormat="1" applyFont="1" applyBorder="1" applyAlignment="1">
      <alignment horizontal="right" vertical="center"/>
    </xf>
    <xf numFmtId="4" fontId="24" fillId="0" borderId="22" xfId="1" applyNumberFormat="1" applyFont="1" applyBorder="1" applyAlignment="1">
      <alignment vertical="center" shrinkToFit="1"/>
    </xf>
    <xf numFmtId="4" fontId="24" fillId="0" borderId="23" xfId="1" applyNumberFormat="1" applyFont="1" applyBorder="1" applyAlignment="1">
      <alignment vertical="center" shrinkToFit="1"/>
    </xf>
    <xf numFmtId="4" fontId="24" fillId="0" borderId="24" xfId="1" applyNumberFormat="1" applyFont="1" applyBorder="1" applyAlignment="1">
      <alignment vertical="center" shrinkToFit="1"/>
    </xf>
    <xf numFmtId="202" fontId="24" fillId="0" borderId="23" xfId="1" applyNumberFormat="1" applyFont="1" applyBorder="1" applyAlignment="1">
      <alignment horizontal="left" vertical="center" wrapText="1"/>
    </xf>
    <xf numFmtId="203" fontId="24" fillId="0" borderId="23" xfId="1" applyNumberFormat="1" applyFont="1" applyBorder="1" applyAlignment="1">
      <alignment horizontal="left" vertical="center" wrapText="1"/>
    </xf>
    <xf numFmtId="4" fontId="26" fillId="0" borderId="0" xfId="19" applyNumberFormat="1" applyFont="1" applyAlignment="1">
      <alignment vertical="center"/>
    </xf>
    <xf numFmtId="4" fontId="24" fillId="0" borderId="0" xfId="19" applyNumberFormat="1" applyFont="1" applyAlignment="1">
      <alignment vertical="center"/>
    </xf>
    <xf numFmtId="0" fontId="24" fillId="0" borderId="40" xfId="19" applyNumberFormat="1" applyFont="1" applyBorder="1" applyAlignment="1">
      <alignment vertical="center"/>
    </xf>
    <xf numFmtId="0" fontId="24" fillId="0" borderId="40" xfId="19" applyNumberFormat="1" applyFont="1" applyBorder="1" applyAlignment="1">
      <alignment horizontal="right" vertical="center"/>
    </xf>
    <xf numFmtId="4" fontId="24" fillId="0" borderId="40" xfId="19" applyNumberFormat="1" applyFont="1" applyBorder="1" applyAlignment="1">
      <alignment vertical="center"/>
    </xf>
    <xf numFmtId="1" fontId="78" fillId="0" borderId="0" xfId="8" applyNumberFormat="1" applyFont="1" applyAlignment="1">
      <alignment horizontal="centerContinuous" vertical="center"/>
    </xf>
    <xf numFmtId="1" fontId="78" fillId="0" borderId="0" xfId="8" applyNumberFormat="1" applyFont="1" applyAlignment="1">
      <alignment vertical="center"/>
    </xf>
    <xf numFmtId="0" fontId="79" fillId="0" borderId="0" xfId="8" applyFont="1" applyAlignment="1">
      <alignment vertical="center"/>
    </xf>
    <xf numFmtId="196" fontId="80" fillId="0" borderId="0" xfId="8" applyNumberFormat="1" applyFont="1" applyAlignment="1">
      <alignment horizontal="centerContinuous" vertical="center"/>
    </xf>
    <xf numFmtId="0" fontId="79" fillId="0" borderId="0" xfId="8" applyFont="1" applyAlignment="1">
      <alignment horizontal="centerContinuous" vertical="center"/>
    </xf>
    <xf numFmtId="196" fontId="79" fillId="0" borderId="0" xfId="8" applyNumberFormat="1" applyFont="1" applyAlignment="1">
      <alignment horizontal="centerContinuous" vertical="center"/>
    </xf>
    <xf numFmtId="196" fontId="81" fillId="0" borderId="0" xfId="8" applyNumberFormat="1" applyFont="1" applyAlignment="1">
      <alignment vertical="center"/>
    </xf>
    <xf numFmtId="196" fontId="79" fillId="0" borderId="0" xfId="8" applyNumberFormat="1" applyFont="1" applyAlignment="1">
      <alignment vertical="center"/>
    </xf>
    <xf numFmtId="196" fontId="56" fillId="0" borderId="0" xfId="8" applyNumberFormat="1" applyFont="1" applyAlignment="1">
      <alignment vertical="center"/>
    </xf>
    <xf numFmtId="1" fontId="31" fillId="0" borderId="0" xfId="8" applyNumberFormat="1" applyFont="1" applyAlignment="1">
      <alignment horizontal="right" vertical="center"/>
    </xf>
    <xf numFmtId="1" fontId="30" fillId="0" borderId="0" xfId="8" applyNumberFormat="1" applyFont="1" applyAlignment="1">
      <alignment horizontal="right" vertical="center"/>
    </xf>
    <xf numFmtId="14" fontId="30" fillId="0" borderId="0" xfId="8" applyNumberFormat="1" applyFont="1" applyAlignment="1">
      <alignment vertical="center"/>
    </xf>
    <xf numFmtId="0" fontId="30" fillId="0" borderId="0" xfId="8" applyFont="1" applyAlignment="1">
      <alignment vertical="center"/>
    </xf>
    <xf numFmtId="196" fontId="80" fillId="0" borderId="0" xfId="8" applyNumberFormat="1" applyFont="1" applyAlignment="1">
      <alignment vertical="center"/>
    </xf>
    <xf numFmtId="196" fontId="30" fillId="0" borderId="0" xfId="8" applyNumberFormat="1" applyFont="1" applyAlignment="1">
      <alignment vertical="center"/>
    </xf>
    <xf numFmtId="1" fontId="77" fillId="12" borderId="0" xfId="8" applyNumberFormat="1" applyFont="1" applyFill="1" applyAlignment="1">
      <alignment horizontal="centerContinuous" vertical="center"/>
    </xf>
    <xf numFmtId="0" fontId="77" fillId="12" borderId="0" xfId="8" applyFont="1" applyFill="1" applyAlignment="1">
      <alignment horizontal="centerContinuous" vertical="center"/>
    </xf>
    <xf numFmtId="196" fontId="77" fillId="12" borderId="0" xfId="8" applyNumberFormat="1" applyFont="1" applyFill="1" applyAlignment="1">
      <alignment horizontal="centerContinuous" vertical="center"/>
    </xf>
    <xf numFmtId="0" fontId="1" fillId="0" borderId="0" xfId="8" applyFont="1" applyAlignment="1">
      <alignment vertical="center"/>
    </xf>
    <xf numFmtId="196" fontId="77" fillId="13" borderId="0" xfId="8" applyNumberFormat="1" applyFont="1" applyFill="1" applyAlignment="1">
      <alignment horizontal="centerContinuous" vertical="center"/>
    </xf>
    <xf numFmtId="196" fontId="77" fillId="14" borderId="0" xfId="8" applyNumberFormat="1" applyFont="1" applyFill="1" applyAlignment="1">
      <alignment horizontal="centerContinuous" vertical="center"/>
    </xf>
    <xf numFmtId="196" fontId="18" fillId="17" borderId="0" xfId="8" applyNumberFormat="1" applyFont="1" applyFill="1" applyAlignment="1">
      <alignment horizontal="centerContinuous" vertical="center"/>
    </xf>
    <xf numFmtId="196" fontId="22" fillId="16" borderId="0" xfId="8" applyNumberFormat="1" applyFont="1" applyFill="1" applyAlignment="1">
      <alignment horizontal="centerContinuous" vertical="center" wrapText="1"/>
    </xf>
    <xf numFmtId="196" fontId="22" fillId="18" borderId="0" xfId="8" applyNumberFormat="1" applyFont="1" applyFill="1" applyAlignment="1">
      <alignment horizontal="centerContinuous" vertical="center" shrinkToFit="1"/>
    </xf>
    <xf numFmtId="196" fontId="1" fillId="0" borderId="0" xfId="8" applyNumberFormat="1" applyFont="1" applyAlignment="1">
      <alignment vertical="center"/>
    </xf>
    <xf numFmtId="0" fontId="18" fillId="19" borderId="0" xfId="8" applyFont="1" applyFill="1" applyAlignment="1">
      <alignment horizontal="centerContinuous" vertical="center" shrinkToFit="1"/>
    </xf>
    <xf numFmtId="1" fontId="18" fillId="19" borderId="0" xfId="8" applyNumberFormat="1" applyFont="1" applyFill="1" applyAlignment="1">
      <alignment horizontal="centerContinuous" vertical="center" shrinkToFit="1"/>
    </xf>
    <xf numFmtId="196" fontId="18" fillId="19" borderId="0" xfId="8" applyNumberFormat="1" applyFont="1" applyFill="1" applyAlignment="1">
      <alignment horizontal="centerContinuous" vertical="center" shrinkToFit="1"/>
    </xf>
    <xf numFmtId="196" fontId="18" fillId="15" borderId="0" xfId="8" applyNumberFormat="1" applyFont="1" applyFill="1" applyAlignment="1">
      <alignment horizontal="centerContinuous" vertical="center"/>
    </xf>
    <xf numFmtId="196" fontId="18" fillId="20" borderId="0" xfId="8" applyNumberFormat="1" applyFont="1" applyFill="1" applyAlignment="1">
      <alignment horizontal="centerContinuous" vertical="center" wrapText="1"/>
    </xf>
    <xf numFmtId="196" fontId="82" fillId="17" borderId="0" xfId="8" applyNumberFormat="1" applyFont="1" applyFill="1" applyAlignment="1">
      <alignment horizontal="center" vertical="center" wrapText="1"/>
    </xf>
    <xf numFmtId="204" fontId="24" fillId="20" borderId="0" xfId="8" applyNumberFormat="1" applyFont="1" applyFill="1" applyAlignment="1">
      <alignment horizontal="center" vertical="center" shrinkToFit="1"/>
    </xf>
    <xf numFmtId="204" fontId="24" fillId="21" borderId="0" xfId="8" applyNumberFormat="1" applyFont="1" applyFill="1" applyAlignment="1">
      <alignment horizontal="center" vertical="center" shrinkToFit="1"/>
    </xf>
    <xf numFmtId="0" fontId="1" fillId="0" borderId="0" xfId="8" applyFont="1" applyAlignment="1">
      <alignment horizontal="center" vertical="center" wrapText="1"/>
    </xf>
    <xf numFmtId="206" fontId="1" fillId="20" borderId="0" xfId="8" applyNumberFormat="1" applyFont="1" applyFill="1" applyAlignment="1">
      <alignment horizontal="centerContinuous" vertical="center" shrinkToFit="1"/>
    </xf>
    <xf numFmtId="196" fontId="1" fillId="6" borderId="0" xfId="8" applyNumberFormat="1" applyFont="1" applyFill="1" applyAlignment="1">
      <alignment horizontal="centerContinuous" vertical="center" shrinkToFit="1"/>
    </xf>
    <xf numFmtId="196" fontId="1" fillId="20" borderId="0" xfId="8" applyNumberFormat="1" applyFont="1" applyFill="1" applyAlignment="1">
      <alignment horizontal="centerContinuous" vertical="center" shrinkToFit="1"/>
    </xf>
    <xf numFmtId="207" fontId="1" fillId="20" borderId="0" xfId="8" applyNumberFormat="1" applyFont="1" applyFill="1" applyAlignment="1">
      <alignment horizontal="centerContinuous" vertical="center" shrinkToFit="1"/>
    </xf>
    <xf numFmtId="208" fontId="1" fillId="20" borderId="0" xfId="8" applyNumberFormat="1" applyFont="1" applyFill="1" applyAlignment="1">
      <alignment horizontal="centerContinuous" vertical="center" shrinkToFit="1"/>
    </xf>
    <xf numFmtId="208" fontId="1" fillId="24" borderId="0" xfId="8" applyNumberFormat="1" applyFont="1" applyFill="1" applyAlignment="1">
      <alignment horizontal="centerContinuous" vertical="center" shrinkToFit="1"/>
    </xf>
    <xf numFmtId="209" fontId="18" fillId="20" borderId="0" xfId="8" applyNumberFormat="1" applyFont="1" applyFill="1" applyAlignment="1">
      <alignment horizontal="centerContinuous" vertical="center" shrinkToFit="1"/>
    </xf>
    <xf numFmtId="196" fontId="1" fillId="15" borderId="0" xfId="8" applyNumberFormat="1" applyFont="1" applyFill="1" applyAlignment="1">
      <alignment horizontal="centerContinuous" vertical="center" wrapText="1"/>
    </xf>
    <xf numFmtId="204" fontId="24" fillId="21" borderId="0" xfId="8" applyNumberFormat="1" applyFont="1" applyFill="1" applyAlignment="1">
      <alignment horizontal="center" vertical="center" wrapText="1"/>
    </xf>
    <xf numFmtId="196" fontId="1" fillId="0" borderId="0" xfId="8" applyNumberFormat="1" applyFont="1" applyAlignment="1">
      <alignment horizontal="center" vertical="center" wrapText="1"/>
    </xf>
    <xf numFmtId="196" fontId="18" fillId="19" borderId="0" xfId="8" applyNumberFormat="1" applyFont="1" applyFill="1" applyAlignment="1">
      <alignment horizontal="center" vertical="center" wrapText="1" shrinkToFit="1"/>
    </xf>
    <xf numFmtId="210" fontId="1" fillId="20" borderId="0" xfId="8" applyNumberFormat="1" applyFont="1" applyFill="1" applyAlignment="1">
      <alignment horizontal="center" vertical="center" shrinkToFit="1"/>
    </xf>
    <xf numFmtId="210" fontId="1" fillId="6" borderId="0" xfId="8" applyNumberFormat="1" applyFont="1" applyFill="1" applyAlignment="1">
      <alignment horizontal="center" vertical="center" shrinkToFit="1"/>
    </xf>
    <xf numFmtId="211" fontId="1" fillId="20" borderId="0" xfId="8" applyNumberFormat="1" applyFont="1" applyFill="1" applyAlignment="1">
      <alignment horizontal="center" vertical="center" shrinkToFit="1"/>
    </xf>
    <xf numFmtId="196" fontId="1" fillId="20" borderId="0" xfId="8" applyNumberFormat="1" applyFont="1" applyFill="1" applyAlignment="1">
      <alignment horizontal="center" vertical="center" shrinkToFit="1"/>
    </xf>
    <xf numFmtId="212" fontId="1" fillId="20" borderId="0" xfId="8" applyNumberFormat="1" applyFont="1" applyFill="1" applyAlignment="1">
      <alignment horizontal="center" vertical="center" shrinkToFit="1"/>
    </xf>
    <xf numFmtId="211" fontId="1" fillId="24" borderId="0" xfId="8" applyNumberFormat="1" applyFont="1" applyFill="1" applyAlignment="1">
      <alignment horizontal="center" vertical="center" shrinkToFit="1"/>
    </xf>
    <xf numFmtId="196" fontId="1" fillId="24" borderId="0" xfId="8" applyNumberFormat="1" applyFont="1" applyFill="1" applyAlignment="1">
      <alignment horizontal="center" vertical="center" shrinkToFit="1"/>
    </xf>
    <xf numFmtId="212" fontId="1" fillId="24" borderId="0" xfId="8" applyNumberFormat="1" applyFont="1" applyFill="1" applyAlignment="1">
      <alignment horizontal="center" vertical="center" shrinkToFit="1"/>
    </xf>
    <xf numFmtId="206" fontId="1" fillId="20" borderId="0" xfId="8" applyNumberFormat="1" applyFont="1" applyFill="1" applyAlignment="1">
      <alignment horizontal="center" vertical="center" shrinkToFit="1"/>
    </xf>
    <xf numFmtId="213" fontId="1" fillId="15" borderId="0" xfId="8" applyNumberFormat="1" applyFont="1" applyFill="1" applyAlignment="1">
      <alignment horizontal="center" vertical="center" wrapText="1"/>
    </xf>
    <xf numFmtId="214" fontId="1" fillId="15" borderId="0" xfId="8" applyNumberFormat="1" applyFont="1" applyFill="1" applyAlignment="1">
      <alignment horizontal="center" vertical="center" wrapText="1"/>
    </xf>
    <xf numFmtId="1" fontId="18" fillId="19" borderId="0" xfId="8" applyNumberFormat="1" applyFont="1" applyFill="1" applyAlignment="1">
      <alignment horizontal="center" vertical="center"/>
    </xf>
    <xf numFmtId="0" fontId="18" fillId="22" borderId="0" xfId="8" applyFont="1" applyFill="1" applyAlignment="1">
      <alignment horizontal="center" vertical="center"/>
    </xf>
    <xf numFmtId="1" fontId="18" fillId="22" borderId="0" xfId="8" applyNumberFormat="1" applyFont="1" applyFill="1" applyAlignment="1">
      <alignment horizontal="center" vertical="center"/>
    </xf>
    <xf numFmtId="196" fontId="18" fillId="22" borderId="0" xfId="8" applyNumberFormat="1" applyFont="1" applyFill="1" applyAlignment="1">
      <alignment horizontal="center" vertical="center"/>
    </xf>
    <xf numFmtId="0" fontId="18" fillId="23" borderId="0" xfId="8" applyFont="1" applyFill="1" applyAlignment="1">
      <alignment horizontal="center" vertical="center"/>
    </xf>
    <xf numFmtId="196" fontId="18" fillId="23" borderId="0" xfId="8" applyNumberFormat="1" applyFont="1" applyFill="1" applyAlignment="1">
      <alignment horizontal="center" vertical="center"/>
    </xf>
    <xf numFmtId="196" fontId="18" fillId="19" borderId="0" xfId="8" applyNumberFormat="1" applyFont="1" applyFill="1" applyAlignment="1">
      <alignment horizontal="center" vertical="center"/>
    </xf>
    <xf numFmtId="0" fontId="1" fillId="0" borderId="0" xfId="8" applyFont="1" applyAlignment="1">
      <alignment horizontal="center" vertical="center"/>
    </xf>
    <xf numFmtId="196" fontId="18" fillId="20" borderId="0" xfId="8" applyNumberFormat="1" applyFont="1" applyFill="1" applyAlignment="1">
      <alignment horizontal="center" vertical="center"/>
    </xf>
    <xf numFmtId="196" fontId="18" fillId="15" borderId="0" xfId="8" applyNumberFormat="1" applyFont="1" applyFill="1" applyAlignment="1">
      <alignment horizontal="center" vertical="center"/>
    </xf>
    <xf numFmtId="0" fontId="18" fillId="15" borderId="0" xfId="8" applyFont="1" applyFill="1" applyAlignment="1">
      <alignment horizontal="center" vertical="center"/>
    </xf>
    <xf numFmtId="196" fontId="18" fillId="9" borderId="0" xfId="8" applyNumberFormat="1" applyFont="1" applyFill="1" applyAlignment="1">
      <alignment horizontal="center" vertical="center"/>
    </xf>
    <xf numFmtId="196" fontId="18" fillId="24" borderId="0" xfId="8" applyNumberFormat="1" applyFont="1" applyFill="1" applyAlignment="1">
      <alignment horizontal="center" vertical="center"/>
    </xf>
    <xf numFmtId="196" fontId="1" fillId="15" borderId="0" xfId="8" applyNumberFormat="1" applyFont="1" applyFill="1" applyAlignment="1">
      <alignment horizontal="center" vertical="center"/>
    </xf>
    <xf numFmtId="196" fontId="1" fillId="16" borderId="0" xfId="8" applyNumberFormat="1" applyFont="1" applyFill="1" applyAlignment="1">
      <alignment horizontal="center" vertical="center"/>
    </xf>
    <xf numFmtId="196" fontId="1" fillId="20" borderId="0" xfId="8" applyNumberFormat="1" applyFont="1" applyFill="1" applyAlignment="1">
      <alignment horizontal="center" vertical="center"/>
    </xf>
    <xf numFmtId="196" fontId="1" fillId="6" borderId="0" xfId="8" applyNumberFormat="1" applyFont="1" applyFill="1" applyAlignment="1">
      <alignment horizontal="center" vertical="center"/>
    </xf>
    <xf numFmtId="196" fontId="1" fillId="24" borderId="0" xfId="8" applyNumberFormat="1" applyFont="1" applyFill="1" applyAlignment="1">
      <alignment horizontal="center" vertical="center"/>
    </xf>
    <xf numFmtId="196" fontId="1" fillId="15" borderId="0" xfId="8" applyNumberFormat="1" applyFont="1" applyFill="1" applyAlignment="1">
      <alignment horizontal="centerContinuous" vertical="center"/>
    </xf>
    <xf numFmtId="196" fontId="1" fillId="9" borderId="0" xfId="8" applyNumberFormat="1" applyFont="1" applyFill="1" applyAlignment="1">
      <alignment horizontal="center" vertical="center"/>
    </xf>
    <xf numFmtId="3" fontId="1" fillId="11" borderId="0" xfId="8" applyNumberFormat="1" applyFont="1" applyFill="1" applyAlignment="1">
      <alignment horizontal="center" vertical="center"/>
    </xf>
    <xf numFmtId="3" fontId="23" fillId="24" borderId="0" xfId="8" applyNumberFormat="1" applyFont="1" applyFill="1" applyAlignment="1">
      <alignment horizontal="center" vertical="center"/>
    </xf>
    <xf numFmtId="3" fontId="23" fillId="25" borderId="0" xfId="8" applyNumberFormat="1" applyFont="1" applyFill="1" applyAlignment="1">
      <alignment horizontal="center" vertical="center"/>
    </xf>
    <xf numFmtId="196" fontId="1" fillId="26" borderId="0" xfId="8" applyNumberFormat="1" applyFont="1" applyFill="1" applyAlignment="1">
      <alignment horizontal="center" vertical="center"/>
    </xf>
    <xf numFmtId="196" fontId="1" fillId="0" borderId="0" xfId="8" applyNumberFormat="1" applyFont="1" applyAlignment="1">
      <alignment horizontal="center" vertical="center"/>
    </xf>
    <xf numFmtId="1" fontId="1" fillId="0" borderId="0" xfId="8" applyNumberFormat="1" applyFont="1" applyAlignment="1">
      <alignment horizontal="center" vertical="center"/>
    </xf>
    <xf numFmtId="196" fontId="20" fillId="0" borderId="0" xfId="8" applyNumberFormat="1" applyFont="1" applyAlignment="1">
      <alignment vertical="center"/>
    </xf>
    <xf numFmtId="3" fontId="1" fillId="0" borderId="0" xfId="8" applyNumberFormat="1" applyFont="1" applyAlignment="1">
      <alignment horizontal="center" vertical="center"/>
    </xf>
    <xf numFmtId="3" fontId="23" fillId="0" borderId="0" xfId="8" applyNumberFormat="1" applyFont="1" applyAlignment="1">
      <alignment horizontal="center" vertical="center"/>
    </xf>
    <xf numFmtId="1" fontId="31" fillId="22" borderId="34" xfId="8" applyNumberFormat="1" applyFont="1" applyFill="1" applyBorder="1" applyAlignment="1">
      <alignment vertical="center"/>
    </xf>
    <xf numFmtId="215" fontId="30" fillId="22" borderId="34" xfId="8" applyNumberFormat="1" applyFont="1" applyFill="1" applyBorder="1" applyAlignment="1">
      <alignment horizontal="center" vertical="center"/>
    </xf>
    <xf numFmtId="1" fontId="30" fillId="22" borderId="34" xfId="8" applyNumberFormat="1" applyFont="1" applyFill="1" applyBorder="1" applyAlignment="1">
      <alignment horizontal="center" vertical="center"/>
    </xf>
    <xf numFmtId="196" fontId="30" fillId="22" borderId="34" xfId="8" applyNumberFormat="1" applyFont="1" applyFill="1" applyBorder="1" applyAlignment="1">
      <alignment vertical="center"/>
    </xf>
    <xf numFmtId="0" fontId="30" fillId="22" borderId="34" xfId="8" applyFont="1" applyFill="1" applyBorder="1" applyAlignment="1">
      <alignment vertical="center"/>
    </xf>
    <xf numFmtId="4" fontId="83" fillId="22" borderId="34" xfId="8" applyNumberFormat="1" applyFont="1" applyFill="1" applyBorder="1" applyAlignment="1">
      <alignment vertical="center"/>
    </xf>
    <xf numFmtId="0" fontId="30" fillId="0" borderId="34" xfId="8" applyFont="1" applyBorder="1" applyAlignment="1">
      <alignment vertical="center"/>
    </xf>
    <xf numFmtId="196" fontId="30" fillId="0" borderId="34" xfId="8" applyNumberFormat="1" applyFont="1" applyBorder="1" applyAlignment="1">
      <alignment vertical="center"/>
    </xf>
    <xf numFmtId="12" fontId="83" fillId="0" borderId="34" xfId="8" applyNumberFormat="1" applyFont="1" applyBorder="1" applyAlignment="1">
      <alignment horizontal="center" vertical="center"/>
    </xf>
    <xf numFmtId="196" fontId="30" fillId="0" borderId="34" xfId="8" applyNumberFormat="1" applyFont="1" applyBorder="1" applyAlignment="1">
      <alignment horizontal="center" vertical="center"/>
    </xf>
    <xf numFmtId="196" fontId="30" fillId="27" borderId="34" xfId="8" applyNumberFormat="1" applyFont="1" applyFill="1" applyBorder="1" applyAlignment="1">
      <alignment horizontal="center" vertical="center"/>
    </xf>
    <xf numFmtId="196" fontId="30" fillId="28" borderId="34" xfId="8" applyNumberFormat="1" applyFont="1" applyFill="1" applyBorder="1" applyAlignment="1">
      <alignment horizontal="center" vertical="center"/>
    </xf>
    <xf numFmtId="196" fontId="30" fillId="6" borderId="34" xfId="8" applyNumberFormat="1" applyFont="1" applyFill="1" applyBorder="1" applyAlignment="1">
      <alignment horizontal="center" vertical="center"/>
    </xf>
    <xf numFmtId="196" fontId="30" fillId="17" borderId="34" xfId="8" quotePrefix="1" applyNumberFormat="1" applyFont="1" applyFill="1" applyBorder="1" applyAlignment="1">
      <alignment horizontal="center" vertical="center"/>
    </xf>
    <xf numFmtId="196" fontId="30" fillId="28" borderId="34" xfId="8" quotePrefix="1" applyNumberFormat="1" applyFont="1" applyFill="1" applyBorder="1" applyAlignment="1">
      <alignment horizontal="center" vertical="center"/>
    </xf>
    <xf numFmtId="196" fontId="30" fillId="27" borderId="34" xfId="8" quotePrefix="1" applyNumberFormat="1" applyFont="1" applyFill="1" applyBorder="1" applyAlignment="1">
      <alignment horizontal="center" vertical="center"/>
    </xf>
    <xf numFmtId="196" fontId="30" fillId="28" borderId="34" xfId="8" applyNumberFormat="1" applyFont="1" applyFill="1" applyBorder="1" applyAlignment="1">
      <alignment vertical="center"/>
    </xf>
    <xf numFmtId="196" fontId="30" fillId="27" borderId="34" xfId="8" applyNumberFormat="1" applyFont="1" applyFill="1" applyBorder="1" applyAlignment="1">
      <alignment vertical="center"/>
    </xf>
    <xf numFmtId="3" fontId="30" fillId="27" borderId="34" xfId="8" applyNumberFormat="1" applyFont="1" applyFill="1" applyBorder="1" applyAlignment="1">
      <alignment horizontal="center" vertical="center"/>
    </xf>
    <xf numFmtId="3" fontId="56" fillId="28" borderId="34" xfId="8" applyNumberFormat="1" applyFont="1" applyFill="1" applyBorder="1" applyAlignment="1">
      <alignment horizontal="center" vertical="center"/>
    </xf>
    <xf numFmtId="3" fontId="56" fillId="29" borderId="34" xfId="8" applyNumberFormat="1" applyFont="1" applyFill="1" applyBorder="1" applyAlignment="1">
      <alignment horizontal="center" vertical="center"/>
    </xf>
    <xf numFmtId="3" fontId="30" fillId="30" borderId="34" xfId="8" applyNumberFormat="1" applyFont="1" applyFill="1" applyBorder="1" applyAlignment="1">
      <alignment horizontal="center" vertical="center"/>
    </xf>
    <xf numFmtId="3" fontId="30" fillId="28" borderId="34" xfId="8" applyNumberFormat="1" applyFont="1" applyFill="1" applyBorder="1" applyAlignment="1">
      <alignment horizontal="center" vertical="center"/>
    </xf>
    <xf numFmtId="215" fontId="30" fillId="22" borderId="34" xfId="8" applyNumberFormat="1" applyFont="1" applyFill="1" applyBorder="1" applyAlignment="1">
      <alignment horizontal="center" vertical="center" shrinkToFit="1"/>
    </xf>
    <xf numFmtId="196" fontId="30" fillId="17" borderId="34" xfId="8" applyNumberFormat="1" applyFont="1" applyFill="1" applyBorder="1" applyAlignment="1">
      <alignment vertical="center"/>
    </xf>
    <xf numFmtId="216" fontId="56" fillId="29" borderId="34" xfId="8" applyNumberFormat="1" applyFont="1" applyFill="1" applyBorder="1" applyAlignment="1">
      <alignment horizontal="center" vertical="center"/>
    </xf>
    <xf numFmtId="1" fontId="83" fillId="22" borderId="34" xfId="8" applyNumberFormat="1" applyFont="1" applyFill="1" applyBorder="1" applyAlignment="1">
      <alignment horizontal="center" vertical="center"/>
    </xf>
    <xf numFmtId="196" fontId="83" fillId="22" borderId="34" xfId="8" applyNumberFormat="1" applyFont="1" applyFill="1" applyBorder="1" applyAlignment="1">
      <alignment vertical="center"/>
    </xf>
    <xf numFmtId="215" fontId="83" fillId="22" borderId="34" xfId="8" applyNumberFormat="1" applyFont="1" applyFill="1" applyBorder="1" applyAlignment="1">
      <alignment horizontal="center" vertical="center"/>
    </xf>
    <xf numFmtId="1" fontId="54" fillId="22" borderId="34" xfId="8" applyNumberFormat="1" applyFont="1" applyFill="1" applyBorder="1" applyAlignment="1">
      <alignment horizontal="center" vertical="center"/>
    </xf>
    <xf numFmtId="1" fontId="30" fillId="0" borderId="0" xfId="8" applyNumberFormat="1" applyFont="1" applyAlignment="1">
      <alignment horizontal="center" vertical="center"/>
    </xf>
    <xf numFmtId="0" fontId="30" fillId="0" borderId="0" xfId="8" applyFont="1" applyAlignment="1">
      <alignment horizontal="center" vertical="center"/>
    </xf>
    <xf numFmtId="196" fontId="30" fillId="0" borderId="0" xfId="8" applyNumberFormat="1" applyFont="1" applyAlignment="1">
      <alignment horizontal="center" vertical="center"/>
    </xf>
    <xf numFmtId="3" fontId="30" fillId="0" borderId="0" xfId="8" applyNumberFormat="1" applyFont="1" applyAlignment="1">
      <alignment horizontal="center" vertical="center"/>
    </xf>
    <xf numFmtId="3" fontId="56" fillId="0" borderId="0" xfId="8" applyNumberFormat="1" applyFont="1" applyAlignment="1">
      <alignment horizontal="center" vertical="center"/>
    </xf>
    <xf numFmtId="1" fontId="31" fillId="0" borderId="0" xfId="8" applyNumberFormat="1" applyFont="1" applyAlignment="1">
      <alignment horizontal="center" vertical="center"/>
    </xf>
    <xf numFmtId="0" fontId="31" fillId="0" borderId="0" xfId="8" applyFont="1" applyAlignment="1">
      <alignment horizontal="center" vertical="center"/>
    </xf>
    <xf numFmtId="196" fontId="31" fillId="0" borderId="0" xfId="8" applyNumberFormat="1" applyFont="1" applyAlignment="1">
      <alignment vertical="center"/>
    </xf>
    <xf numFmtId="0" fontId="31" fillId="0" borderId="0" xfId="8" applyFont="1" applyAlignment="1">
      <alignment vertical="center"/>
    </xf>
    <xf numFmtId="196" fontId="31" fillId="0" borderId="0" xfId="8" applyNumberFormat="1" applyFont="1" applyAlignment="1">
      <alignment horizontal="right" vertical="center"/>
    </xf>
    <xf numFmtId="217" fontId="31" fillId="0" borderId="0" xfId="8" applyNumberFormat="1" applyFont="1" applyAlignment="1">
      <alignment vertical="center" shrinkToFit="1"/>
    </xf>
    <xf numFmtId="196" fontId="31" fillId="0" borderId="0" xfId="8" applyNumberFormat="1" applyFont="1" applyAlignment="1">
      <alignment horizontal="center" vertical="center"/>
    </xf>
    <xf numFmtId="3" fontId="31" fillId="0" borderId="0" xfId="8" applyNumberFormat="1" applyFont="1" applyAlignment="1">
      <alignment horizontal="center" vertical="center"/>
    </xf>
    <xf numFmtId="3" fontId="84" fillId="0" borderId="0" xfId="8" applyNumberFormat="1" applyFont="1" applyAlignment="1">
      <alignment horizontal="center" vertical="center"/>
    </xf>
    <xf numFmtId="216" fontId="31" fillId="0" borderId="0" xfId="8" applyNumberFormat="1" applyFont="1" applyAlignment="1">
      <alignment horizontal="center" vertical="center"/>
    </xf>
    <xf numFmtId="0" fontId="31" fillId="0" borderId="0" xfId="8" applyFont="1" applyAlignment="1">
      <alignment horizontal="right" vertical="center"/>
    </xf>
    <xf numFmtId="189" fontId="30" fillId="0" borderId="0" xfId="9" applyNumberFormat="1" applyFont="1" applyAlignment="1">
      <alignment horizontal="center" vertical="center"/>
    </xf>
    <xf numFmtId="3" fontId="31" fillId="0" borderId="0" xfId="8" applyNumberFormat="1" applyFont="1" applyAlignment="1">
      <alignment vertical="center"/>
    </xf>
    <xf numFmtId="196" fontId="31" fillId="0" borderId="41" xfId="8" applyNumberFormat="1" applyFont="1" applyBorder="1" applyAlignment="1">
      <alignment vertical="center"/>
    </xf>
    <xf numFmtId="196" fontId="31" fillId="0" borderId="40" xfId="8" applyNumberFormat="1" applyFont="1" applyBorder="1" applyAlignment="1">
      <alignment vertical="center"/>
    </xf>
    <xf numFmtId="196" fontId="31" fillId="0" borderId="39" xfId="8" applyNumberFormat="1" applyFont="1" applyBorder="1" applyAlignment="1">
      <alignment vertical="center"/>
    </xf>
    <xf numFmtId="196" fontId="85" fillId="0" borderId="116" xfId="8" applyNumberFormat="1" applyFont="1" applyBorder="1" applyAlignment="1">
      <alignment vertical="center"/>
    </xf>
    <xf numFmtId="196" fontId="30" fillId="0" borderId="38" xfId="8" applyNumberFormat="1" applyFont="1" applyBorder="1" applyAlignment="1">
      <alignment vertical="center"/>
    </xf>
    <xf numFmtId="196" fontId="30" fillId="0" borderId="37" xfId="8" applyNumberFormat="1" applyFont="1" applyBorder="1" applyAlignment="1">
      <alignment vertical="center"/>
    </xf>
    <xf numFmtId="196" fontId="86" fillId="0" borderId="116" xfId="8" applyNumberFormat="1" applyFont="1" applyBorder="1" applyAlignment="1">
      <alignment vertical="center"/>
    </xf>
    <xf numFmtId="196" fontId="86" fillId="0" borderId="38" xfId="8" applyNumberFormat="1" applyFont="1" applyBorder="1" applyAlignment="1">
      <alignment vertical="center"/>
    </xf>
    <xf numFmtId="196" fontId="56" fillId="0" borderId="38" xfId="8" applyNumberFormat="1" applyFont="1" applyBorder="1" applyAlignment="1">
      <alignment vertical="center"/>
    </xf>
    <xf numFmtId="196" fontId="85" fillId="0" borderId="38" xfId="8" applyNumberFormat="1" applyFont="1" applyBorder="1" applyAlignment="1">
      <alignment vertical="center"/>
    </xf>
    <xf numFmtId="196" fontId="85" fillId="0" borderId="37" xfId="8" applyNumberFormat="1" applyFont="1" applyBorder="1" applyAlignment="1">
      <alignment vertical="center"/>
    </xf>
    <xf numFmtId="196" fontId="85" fillId="0" borderId="41" xfId="8" applyNumberFormat="1" applyFont="1" applyBorder="1" applyAlignment="1">
      <alignment vertical="center"/>
    </xf>
    <xf numFmtId="196" fontId="85" fillId="0" borderId="40" xfId="8" applyNumberFormat="1" applyFont="1" applyBorder="1" applyAlignment="1">
      <alignment vertical="center"/>
    </xf>
    <xf numFmtId="196" fontId="30" fillId="0" borderId="39" xfId="8" applyNumberFormat="1" applyFont="1" applyBorder="1" applyAlignment="1">
      <alignment vertical="center"/>
    </xf>
    <xf numFmtId="196" fontId="30" fillId="0" borderId="0" xfId="8" quotePrefix="1" applyNumberFormat="1" applyFont="1" applyAlignment="1">
      <alignment vertical="center"/>
    </xf>
    <xf numFmtId="196" fontId="31" fillId="0" borderId="113" xfId="8" applyNumberFormat="1" applyFont="1" applyBorder="1" applyAlignment="1">
      <alignment vertical="center"/>
    </xf>
    <xf numFmtId="196" fontId="31" fillId="0" borderId="0" xfId="8" applyNumberFormat="1" applyFont="1" applyAlignment="1">
      <alignment horizontal="centerContinuous" vertical="center"/>
    </xf>
    <xf numFmtId="196" fontId="31" fillId="0" borderId="114" xfId="8" applyNumberFormat="1" applyFont="1" applyBorder="1" applyAlignment="1">
      <alignment horizontal="centerContinuous" vertical="center"/>
    </xf>
    <xf numFmtId="196" fontId="31" fillId="0" borderId="36" xfId="8" applyNumberFormat="1" applyFont="1" applyBorder="1" applyAlignment="1">
      <alignment horizontal="center" vertical="center" shrinkToFit="1"/>
    </xf>
    <xf numFmtId="196" fontId="31" fillId="0" borderId="34" xfId="8" applyNumberFormat="1" applyFont="1" applyBorder="1" applyAlignment="1">
      <alignment horizontal="center" vertical="center" shrinkToFit="1"/>
    </xf>
    <xf numFmtId="196" fontId="31" fillId="0" borderId="35" xfId="8" applyNumberFormat="1" applyFont="1" applyBorder="1" applyAlignment="1">
      <alignment horizontal="center" vertical="center" shrinkToFit="1"/>
    </xf>
    <xf numFmtId="196" fontId="31" fillId="0" borderId="33" xfId="8" applyNumberFormat="1" applyFont="1" applyBorder="1" applyAlignment="1">
      <alignment horizontal="center" vertical="center" shrinkToFit="1"/>
    </xf>
    <xf numFmtId="196" fontId="31" fillId="0" borderId="36" xfId="8" applyNumberFormat="1" applyFont="1" applyBorder="1" applyAlignment="1">
      <alignment horizontal="center" vertical="center"/>
    </xf>
    <xf numFmtId="196" fontId="31" fillId="0" borderId="34" xfId="8" applyNumberFormat="1" applyFont="1" applyBorder="1" applyAlignment="1">
      <alignment horizontal="center" vertical="center"/>
    </xf>
    <xf numFmtId="196" fontId="84" fillId="0" borderId="35" xfId="8" applyNumberFormat="1" applyFont="1" applyBorder="1" applyAlignment="1">
      <alignment horizontal="center" vertical="center"/>
    </xf>
    <xf numFmtId="196" fontId="84" fillId="0" borderId="34" xfId="8" applyNumberFormat="1" applyFont="1" applyBorder="1" applyAlignment="1">
      <alignment horizontal="center" vertical="center"/>
    </xf>
    <xf numFmtId="196" fontId="31" fillId="0" borderId="33" xfId="8" applyNumberFormat="1" applyFont="1" applyBorder="1" applyAlignment="1">
      <alignment vertical="center"/>
    </xf>
    <xf numFmtId="196" fontId="31" fillId="0" borderId="36" xfId="8" applyNumberFormat="1" applyFont="1" applyBorder="1" applyAlignment="1">
      <alignment vertical="center"/>
    </xf>
    <xf numFmtId="196" fontId="31" fillId="0" borderId="34" xfId="8" applyNumberFormat="1" applyFont="1" applyBorder="1" applyAlignment="1">
      <alignment vertical="center"/>
    </xf>
    <xf numFmtId="196" fontId="30" fillId="0" borderId="33" xfId="8" applyNumberFormat="1" applyFont="1" applyBorder="1" applyAlignment="1">
      <alignment vertical="center"/>
    </xf>
    <xf numFmtId="196" fontId="30" fillId="0" borderId="113" xfId="8" applyNumberFormat="1" applyFont="1" applyBorder="1" applyAlignment="1">
      <alignment vertical="center"/>
    </xf>
    <xf numFmtId="196" fontId="85" fillId="0" borderId="113" xfId="8" applyNumberFormat="1" applyFont="1" applyBorder="1" applyAlignment="1">
      <alignment vertical="center"/>
    </xf>
    <xf numFmtId="196" fontId="85" fillId="0" borderId="114" xfId="8" applyNumberFormat="1" applyFont="1" applyBorder="1" applyAlignment="1">
      <alignment vertical="center"/>
    </xf>
    <xf numFmtId="218" fontId="30" fillId="0" borderId="0" xfId="8" applyNumberFormat="1" applyFont="1" applyAlignment="1">
      <alignment horizontal="center" vertical="center"/>
    </xf>
    <xf numFmtId="168" fontId="30" fillId="0" borderId="0" xfId="8" applyNumberFormat="1" applyFont="1" applyAlignment="1">
      <alignment horizontal="center" vertical="center"/>
    </xf>
    <xf numFmtId="196" fontId="31" fillId="0" borderId="114" xfId="8" applyNumberFormat="1" applyFont="1" applyBorder="1" applyAlignment="1">
      <alignment horizontal="center" vertical="center"/>
    </xf>
    <xf numFmtId="196" fontId="30" fillId="0" borderId="36" xfId="8" applyNumberFormat="1" applyFont="1" applyBorder="1" applyAlignment="1">
      <alignment horizontal="center" vertical="center"/>
    </xf>
    <xf numFmtId="3" fontId="30" fillId="0" borderId="34" xfId="8" applyNumberFormat="1" applyFont="1" applyBorder="1" applyAlignment="1">
      <alignment horizontal="center" vertical="center"/>
    </xf>
    <xf numFmtId="196" fontId="30" fillId="0" borderId="35" xfId="8" applyNumberFormat="1" applyFont="1" applyBorder="1" applyAlignment="1">
      <alignment vertical="center"/>
    </xf>
    <xf numFmtId="3" fontId="31" fillId="0" borderId="36" xfId="8" applyNumberFormat="1" applyFont="1" applyBorder="1" applyAlignment="1">
      <alignment horizontal="center" vertical="center"/>
    </xf>
    <xf numFmtId="3" fontId="31" fillId="0" borderId="34" xfId="8" applyNumberFormat="1" applyFont="1" applyBorder="1" applyAlignment="1">
      <alignment horizontal="center" vertical="center"/>
    </xf>
    <xf numFmtId="218" fontId="56" fillId="0" borderId="35" xfId="8" applyNumberFormat="1" applyFont="1" applyBorder="1" applyAlignment="1">
      <alignment horizontal="center" vertical="center"/>
    </xf>
    <xf numFmtId="218" fontId="56" fillId="0" borderId="34" xfId="8" applyNumberFormat="1" applyFont="1" applyBorder="1" applyAlignment="1">
      <alignment horizontal="center" vertical="center"/>
    </xf>
    <xf numFmtId="218" fontId="56" fillId="0" borderId="33" xfId="8" applyNumberFormat="1" applyFont="1" applyBorder="1" applyAlignment="1">
      <alignment horizontal="center" vertical="center"/>
    </xf>
    <xf numFmtId="196" fontId="30" fillId="0" borderId="114" xfId="8" applyNumberFormat="1" applyFont="1" applyBorder="1" applyAlignment="1">
      <alignment vertical="center"/>
    </xf>
    <xf numFmtId="196" fontId="31" fillId="0" borderId="113" xfId="8" applyNumberFormat="1" applyFont="1" applyBorder="1" applyAlignment="1">
      <alignment horizontal="center" vertical="center"/>
    </xf>
    <xf numFmtId="3" fontId="31" fillId="0" borderId="113" xfId="8" applyNumberFormat="1" applyFont="1" applyBorder="1" applyAlignment="1">
      <alignment horizontal="center" vertical="center"/>
    </xf>
    <xf numFmtId="219" fontId="56" fillId="0" borderId="35" xfId="8" applyNumberFormat="1" applyFont="1" applyBorder="1" applyAlignment="1">
      <alignment horizontal="center" vertical="center"/>
    </xf>
    <xf numFmtId="219" fontId="56" fillId="0" borderId="34" xfId="8" applyNumberFormat="1" applyFont="1" applyBorder="1" applyAlignment="1">
      <alignment horizontal="center" vertical="center"/>
    </xf>
    <xf numFmtId="219" fontId="56" fillId="0" borderId="33" xfId="8" applyNumberFormat="1" applyFont="1" applyBorder="1" applyAlignment="1">
      <alignment horizontal="center" vertical="center"/>
    </xf>
    <xf numFmtId="196" fontId="31" fillId="0" borderId="52" xfId="8" applyNumberFormat="1" applyFont="1" applyBorder="1" applyAlignment="1">
      <alignment vertical="center"/>
    </xf>
    <xf numFmtId="196" fontId="31" fillId="0" borderId="62" xfId="8" applyNumberFormat="1" applyFont="1" applyBorder="1" applyAlignment="1">
      <alignment vertical="center"/>
    </xf>
    <xf numFmtId="196" fontId="30" fillId="0" borderId="62" xfId="8" applyNumberFormat="1" applyFont="1" applyBorder="1" applyAlignment="1">
      <alignment vertical="center"/>
    </xf>
    <xf numFmtId="196" fontId="30" fillId="0" borderId="53" xfId="8" applyNumberFormat="1" applyFont="1" applyBorder="1" applyAlignment="1">
      <alignment vertical="center"/>
    </xf>
    <xf numFmtId="196" fontId="30" fillId="0" borderId="136" xfId="8" applyNumberFormat="1" applyFont="1" applyBorder="1" applyAlignment="1">
      <alignment vertical="center"/>
    </xf>
    <xf numFmtId="196" fontId="30" fillId="0" borderId="135" xfId="8" applyNumberFormat="1" applyFont="1" applyBorder="1" applyAlignment="1">
      <alignment vertical="center"/>
    </xf>
    <xf numFmtId="218" fontId="31" fillId="0" borderId="0" xfId="8" applyNumberFormat="1" applyFont="1" applyAlignment="1">
      <alignment horizontal="center" vertical="center"/>
    </xf>
    <xf numFmtId="1" fontId="30" fillId="0" borderId="0" xfId="8" applyNumberFormat="1" applyFont="1" applyAlignment="1">
      <alignment vertical="center"/>
    </xf>
    <xf numFmtId="196" fontId="31" fillId="0" borderId="40" xfId="8" applyNumberFormat="1" applyFont="1" applyBorder="1" applyAlignment="1">
      <alignment horizontal="centerContinuous" vertical="center"/>
    </xf>
    <xf numFmtId="196" fontId="31" fillId="0" borderId="39" xfId="8" applyNumberFormat="1" applyFont="1" applyBorder="1" applyAlignment="1">
      <alignment horizontal="centerContinuous" vertical="center"/>
    </xf>
    <xf numFmtId="3" fontId="31" fillId="0" borderId="183" xfId="8" applyNumberFormat="1" applyFont="1" applyBorder="1" applyAlignment="1">
      <alignment horizontal="center" vertical="center"/>
    </xf>
    <xf numFmtId="3" fontId="31" fillId="0" borderId="94" xfId="8" applyNumberFormat="1" applyFont="1" applyBorder="1" applyAlignment="1">
      <alignment horizontal="center" vertical="center"/>
    </xf>
    <xf numFmtId="218" fontId="56" fillId="0" borderId="184" xfId="8" applyNumberFormat="1" applyFont="1" applyBorder="1" applyAlignment="1">
      <alignment horizontal="center" vertical="center"/>
    </xf>
    <xf numFmtId="218" fontId="56" fillId="0" borderId="94" xfId="8" applyNumberFormat="1" applyFont="1" applyBorder="1" applyAlignment="1">
      <alignment horizontal="center" vertical="center"/>
    </xf>
    <xf numFmtId="218" fontId="56" fillId="0" borderId="185" xfId="8" applyNumberFormat="1" applyFont="1" applyBorder="1" applyAlignment="1">
      <alignment horizontal="center" vertical="center"/>
    </xf>
    <xf numFmtId="3" fontId="30" fillId="0" borderId="0" xfId="8" applyNumberFormat="1" applyFont="1" applyAlignment="1">
      <alignment vertical="center"/>
    </xf>
    <xf numFmtId="196" fontId="30" fillId="0" borderId="134" xfId="8" applyNumberFormat="1" applyFont="1" applyBorder="1" applyAlignment="1">
      <alignment vertical="center"/>
    </xf>
    <xf numFmtId="3" fontId="31" fillId="0" borderId="52" xfId="8" applyNumberFormat="1" applyFont="1" applyBorder="1" applyAlignment="1">
      <alignment horizontal="center" vertical="center"/>
    </xf>
    <xf numFmtId="3" fontId="31" fillId="0" borderId="62" xfId="8" applyNumberFormat="1" applyFont="1" applyBorder="1" applyAlignment="1">
      <alignment horizontal="center" vertical="center"/>
    </xf>
    <xf numFmtId="218" fontId="56" fillId="0" borderId="91" xfId="8" applyNumberFormat="1" applyFont="1" applyBorder="1" applyAlignment="1">
      <alignment horizontal="center" vertical="center"/>
    </xf>
    <xf numFmtId="218" fontId="56" fillId="0" borderId="62" xfId="8" applyNumberFormat="1" applyFont="1" applyBorder="1" applyAlignment="1">
      <alignment horizontal="center" vertical="center"/>
    </xf>
    <xf numFmtId="218" fontId="56" fillId="0" borderId="53" xfId="8" applyNumberFormat="1" applyFont="1" applyBorder="1" applyAlignment="1">
      <alignment horizontal="center" vertical="center"/>
    </xf>
    <xf numFmtId="218" fontId="30" fillId="0" borderId="33" xfId="8" applyNumberFormat="1" applyFont="1" applyBorder="1" applyAlignment="1">
      <alignment horizontal="center" vertical="center"/>
    </xf>
    <xf numFmtId="218" fontId="30" fillId="0" borderId="185" xfId="8" applyNumberFormat="1" applyFont="1" applyBorder="1" applyAlignment="1">
      <alignment horizontal="center" vertical="center"/>
    </xf>
    <xf numFmtId="3" fontId="31" fillId="0" borderId="136" xfId="8" applyNumberFormat="1" applyFont="1" applyBorder="1" applyAlignment="1">
      <alignment horizontal="center" vertical="center"/>
    </xf>
    <xf numFmtId="218" fontId="30" fillId="0" borderId="53" xfId="8" applyNumberFormat="1" applyFont="1" applyBorder="1" applyAlignment="1">
      <alignment horizontal="center" vertical="center"/>
    </xf>
    <xf numFmtId="196" fontId="30" fillId="0" borderId="183" xfId="8" applyNumberFormat="1" applyFont="1" applyBorder="1" applyAlignment="1">
      <alignment horizontal="center" vertical="center"/>
    </xf>
    <xf numFmtId="3" fontId="30" fillId="0" borderId="94" xfId="8" applyNumberFormat="1" applyFont="1" applyBorder="1" applyAlignment="1">
      <alignment horizontal="center" vertical="center"/>
    </xf>
    <xf numFmtId="196" fontId="30" fillId="0" borderId="184" xfId="8" applyNumberFormat="1" applyFont="1" applyBorder="1" applyAlignment="1">
      <alignment vertical="center"/>
    </xf>
    <xf numFmtId="196" fontId="30" fillId="0" borderId="94" xfId="8" applyNumberFormat="1" applyFont="1" applyBorder="1" applyAlignment="1">
      <alignment vertical="center"/>
    </xf>
    <xf numFmtId="196" fontId="30" fillId="0" borderId="185" xfId="8" applyNumberFormat="1" applyFont="1" applyBorder="1" applyAlignment="1">
      <alignment vertical="center"/>
    </xf>
    <xf numFmtId="196" fontId="31" fillId="0" borderId="116" xfId="8" applyNumberFormat="1" applyFont="1" applyBorder="1" applyAlignment="1">
      <alignment vertical="center"/>
    </xf>
    <xf numFmtId="196" fontId="30" fillId="0" borderId="52" xfId="8" applyNumberFormat="1" applyFont="1" applyBorder="1" applyAlignment="1">
      <alignment horizontal="center" vertical="center"/>
    </xf>
    <xf numFmtId="3" fontId="30" fillId="0" borderId="62" xfId="8" applyNumberFormat="1" applyFont="1" applyBorder="1" applyAlignment="1">
      <alignment horizontal="center" vertical="center"/>
    </xf>
    <xf numFmtId="196" fontId="30" fillId="0" borderId="91" xfId="8" applyNumberFormat="1" applyFont="1" applyBorder="1" applyAlignment="1">
      <alignment vertical="center"/>
    </xf>
    <xf numFmtId="216" fontId="31" fillId="0" borderId="34" xfId="8" applyNumberFormat="1" applyFont="1" applyBorder="1" applyAlignment="1">
      <alignment horizontal="center" vertical="center"/>
    </xf>
    <xf numFmtId="182" fontId="56" fillId="0" borderId="35" xfId="8" applyNumberFormat="1" applyFont="1" applyBorder="1" applyAlignment="1">
      <alignment horizontal="center" vertical="center"/>
    </xf>
    <xf numFmtId="182" fontId="56" fillId="0" borderId="34" xfId="8" applyNumberFormat="1" applyFont="1" applyBorder="1" applyAlignment="1">
      <alignment horizontal="center" vertical="center"/>
    </xf>
    <xf numFmtId="182" fontId="30" fillId="0" borderId="34" xfId="8" applyNumberFormat="1" applyFont="1" applyBorder="1" applyAlignment="1">
      <alignment horizontal="center" vertical="center"/>
    </xf>
    <xf numFmtId="182" fontId="30" fillId="0" borderId="33" xfId="8" applyNumberFormat="1" applyFont="1" applyBorder="1" applyAlignment="1">
      <alignment horizontal="center" vertical="center"/>
    </xf>
    <xf numFmtId="196" fontId="31" fillId="0" borderId="38" xfId="8" applyNumberFormat="1" applyFont="1" applyBorder="1" applyAlignment="1">
      <alignment vertical="center"/>
    </xf>
    <xf numFmtId="196" fontId="31" fillId="0" borderId="37" xfId="8" applyNumberFormat="1" applyFont="1" applyBorder="1" applyAlignment="1">
      <alignment vertical="center"/>
    </xf>
    <xf numFmtId="196" fontId="31" fillId="0" borderId="35" xfId="8" applyNumberFormat="1" applyFont="1" applyBorder="1" applyAlignment="1">
      <alignment horizontal="center" vertical="center"/>
    </xf>
    <xf numFmtId="220" fontId="31" fillId="0" borderId="36" xfId="8" applyNumberFormat="1" applyFont="1" applyBorder="1" applyAlignment="1">
      <alignment horizontal="center" vertical="center"/>
    </xf>
    <xf numFmtId="220" fontId="31" fillId="0" borderId="34" xfId="8" applyNumberFormat="1" applyFont="1" applyBorder="1" applyAlignment="1">
      <alignment horizontal="center" vertical="center"/>
    </xf>
    <xf numFmtId="220" fontId="56" fillId="0" borderId="35" xfId="8" applyNumberFormat="1" applyFont="1" applyBorder="1" applyAlignment="1">
      <alignment horizontal="center" vertical="center"/>
    </xf>
    <xf numFmtId="220" fontId="56" fillId="0" borderId="34" xfId="8" applyNumberFormat="1" applyFont="1" applyBorder="1" applyAlignment="1">
      <alignment horizontal="center" vertical="center"/>
    </xf>
    <xf numFmtId="220" fontId="56" fillId="0" borderId="33" xfId="8" applyNumberFormat="1" applyFont="1" applyBorder="1" applyAlignment="1">
      <alignment horizontal="center" vertical="center"/>
    </xf>
    <xf numFmtId="3" fontId="30" fillId="0" borderId="36" xfId="8" applyNumberFormat="1" applyFont="1" applyBorder="1" applyAlignment="1">
      <alignment horizontal="center" vertical="center"/>
    </xf>
    <xf numFmtId="221" fontId="30" fillId="0" borderId="34" xfId="8" applyNumberFormat="1" applyFont="1" applyBorder="1" applyAlignment="1">
      <alignment vertical="center"/>
    </xf>
    <xf numFmtId="220" fontId="30" fillId="0" borderId="35" xfId="8" applyNumberFormat="1" applyFont="1" applyBorder="1" applyAlignment="1">
      <alignment vertical="center"/>
    </xf>
    <xf numFmtId="218" fontId="56" fillId="0" borderId="0" xfId="8" applyNumberFormat="1" applyFont="1" applyAlignment="1">
      <alignment horizontal="center" vertical="center"/>
    </xf>
    <xf numFmtId="3" fontId="30" fillId="0" borderId="183" xfId="8" applyNumberFormat="1" applyFont="1" applyBorder="1" applyAlignment="1">
      <alignment horizontal="center" vertical="center"/>
    </xf>
    <xf numFmtId="221" fontId="30" fillId="0" borderId="94" xfId="8" applyNumberFormat="1" applyFont="1" applyBorder="1" applyAlignment="1">
      <alignment vertical="center"/>
    </xf>
    <xf numFmtId="220" fontId="31" fillId="0" borderId="62" xfId="8" applyNumberFormat="1" applyFont="1" applyBorder="1" applyAlignment="1">
      <alignment vertical="center"/>
    </xf>
    <xf numFmtId="222" fontId="31" fillId="0" borderId="62" xfId="8" applyNumberFormat="1" applyFont="1" applyBorder="1" applyAlignment="1">
      <alignment vertical="center" shrinkToFit="1"/>
    </xf>
    <xf numFmtId="222" fontId="31" fillId="0" borderId="53" xfId="8" applyNumberFormat="1" applyFont="1" applyBorder="1" applyAlignment="1">
      <alignment vertical="center" shrinkToFit="1"/>
    </xf>
    <xf numFmtId="223" fontId="0" fillId="0" borderId="0" xfId="0" applyNumberFormat="1" applyAlignment="1">
      <alignment horizontal="center" vertical="center"/>
    </xf>
    <xf numFmtId="224" fontId="0" fillId="0" borderId="0" xfId="0" applyNumberFormat="1" applyAlignment="1">
      <alignment horizontal="center" vertical="center"/>
    </xf>
    <xf numFmtId="224" fontId="0" fillId="0" borderId="0" xfId="0" applyNumberFormat="1" applyAlignment="1">
      <alignment vertical="center"/>
    </xf>
    <xf numFmtId="12" fontId="0" fillId="0" borderId="0" xfId="0" applyNumberFormat="1" applyAlignment="1">
      <alignment horizontal="center" vertical="center"/>
    </xf>
    <xf numFmtId="223" fontId="0" fillId="0" borderId="0" xfId="0" applyNumberFormat="1" applyAlignment="1">
      <alignment vertical="center"/>
    </xf>
    <xf numFmtId="0" fontId="0" fillId="0" borderId="0" xfId="0" quotePrefix="1" applyAlignment="1">
      <alignment vertical="center"/>
    </xf>
    <xf numFmtId="225" fontId="0" fillId="0" borderId="0" xfId="0" applyNumberFormat="1" applyAlignment="1">
      <alignment vertical="center"/>
    </xf>
    <xf numFmtId="0" fontId="76" fillId="0" borderId="0" xfId="0" applyFont="1" applyAlignment="1">
      <alignment vertical="center"/>
    </xf>
    <xf numFmtId="192" fontId="0" fillId="0" borderId="0" xfId="0" applyNumberFormat="1" applyAlignment="1">
      <alignment horizontal="center" vertical="center"/>
    </xf>
    <xf numFmtId="1" fontId="31" fillId="0" borderId="0" xfId="8" applyNumberFormat="1" applyFont="1" applyAlignment="1">
      <alignment vertical="center" wrapText="1"/>
    </xf>
    <xf numFmtId="3" fontId="83" fillId="30" borderId="34" xfId="8" applyNumberFormat="1" applyFont="1" applyFill="1" applyBorder="1" applyAlignment="1">
      <alignment horizontal="center" vertical="center"/>
    </xf>
    <xf numFmtId="1" fontId="83" fillId="22" borderId="34" xfId="8" quotePrefix="1" applyNumberFormat="1" applyFont="1" applyFill="1" applyBorder="1" applyAlignment="1">
      <alignment horizontal="center" vertical="center"/>
    </xf>
    <xf numFmtId="1" fontId="31" fillId="22" borderId="34" xfId="8" applyNumberFormat="1" applyFont="1" applyFill="1" applyBorder="1" applyAlignment="1">
      <alignment horizontal="center" vertical="center"/>
    </xf>
    <xf numFmtId="196" fontId="31" fillId="22" borderId="34" xfId="8" applyNumberFormat="1" applyFont="1" applyFill="1" applyBorder="1" applyAlignment="1">
      <alignment vertical="center"/>
    </xf>
    <xf numFmtId="215" fontId="31" fillId="22" borderId="34" xfId="8" applyNumberFormat="1" applyFont="1" applyFill="1" applyBorder="1" applyAlignment="1">
      <alignment horizontal="center" vertical="center"/>
    </xf>
    <xf numFmtId="1" fontId="54" fillId="22" borderId="34" xfId="8" applyNumberFormat="1" applyFont="1" applyFill="1" applyBorder="1" applyAlignment="1">
      <alignment vertical="center"/>
    </xf>
    <xf numFmtId="4" fontId="54" fillId="22" borderId="34" xfId="8" applyNumberFormat="1" applyFont="1" applyFill="1" applyBorder="1" applyAlignment="1">
      <alignment vertical="center" shrinkToFit="1"/>
    </xf>
    <xf numFmtId="0" fontId="31" fillId="0" borderId="34" xfId="8" applyFont="1" applyBorder="1" applyAlignment="1">
      <alignment vertical="center" shrinkToFit="1"/>
    </xf>
    <xf numFmtId="196" fontId="31" fillId="0" borderId="34" xfId="8" applyNumberFormat="1" applyFont="1" applyBorder="1" applyAlignment="1">
      <alignment vertical="center" shrinkToFit="1"/>
    </xf>
    <xf numFmtId="12" fontId="54" fillId="0" borderId="34" xfId="8" applyNumberFormat="1" applyFont="1" applyBorder="1" applyAlignment="1">
      <alignment horizontal="center" vertical="center" shrinkToFit="1"/>
    </xf>
    <xf numFmtId="196" fontId="54" fillId="27" borderId="34" xfId="8" applyNumberFormat="1" applyFont="1" applyFill="1" applyBorder="1" applyAlignment="1">
      <alignment horizontal="center" vertical="center" shrinkToFit="1"/>
    </xf>
    <xf numFmtId="196" fontId="54" fillId="28" borderId="34" xfId="8" applyNumberFormat="1" applyFont="1" applyFill="1" applyBorder="1" applyAlignment="1">
      <alignment horizontal="center" vertical="center" shrinkToFit="1"/>
    </xf>
    <xf numFmtId="196" fontId="54" fillId="6" borderId="34" xfId="8" applyNumberFormat="1" applyFont="1" applyFill="1" applyBorder="1" applyAlignment="1">
      <alignment horizontal="center" vertical="center" shrinkToFit="1"/>
    </xf>
    <xf numFmtId="196" fontId="54" fillId="17" borderId="34" xfId="8" applyNumberFormat="1" applyFont="1" applyFill="1" applyBorder="1" applyAlignment="1">
      <alignment vertical="center" shrinkToFit="1"/>
    </xf>
    <xf numFmtId="196" fontId="54" fillId="28" borderId="34" xfId="8" applyNumberFormat="1" applyFont="1" applyFill="1" applyBorder="1" applyAlignment="1">
      <alignment vertical="center" shrinkToFit="1"/>
    </xf>
    <xf numFmtId="196" fontId="54" fillId="27" borderId="34" xfId="8" applyNumberFormat="1" applyFont="1" applyFill="1" applyBorder="1" applyAlignment="1">
      <alignment vertical="center" shrinkToFit="1"/>
    </xf>
    <xf numFmtId="196" fontId="31" fillId="27" borderId="34" xfId="8" applyNumberFormat="1" applyFont="1" applyFill="1" applyBorder="1" applyAlignment="1">
      <alignment horizontal="center" vertical="center" shrinkToFit="1"/>
    </xf>
    <xf numFmtId="3" fontId="54" fillId="27" borderId="34" xfId="8" applyNumberFormat="1" applyFont="1" applyFill="1" applyBorder="1" applyAlignment="1">
      <alignment horizontal="center" vertical="center" shrinkToFit="1"/>
    </xf>
    <xf numFmtId="3" fontId="57" fillId="28" borderId="34" xfId="8" applyNumberFormat="1" applyFont="1" applyFill="1" applyBorder="1" applyAlignment="1">
      <alignment horizontal="center" vertical="center" shrinkToFit="1"/>
    </xf>
    <xf numFmtId="216" fontId="57" fillId="29" borderId="34" xfId="8" applyNumberFormat="1" applyFont="1" applyFill="1" applyBorder="1" applyAlignment="1">
      <alignment horizontal="center" vertical="center" shrinkToFit="1"/>
    </xf>
    <xf numFmtId="3" fontId="54" fillId="30" borderId="34" xfId="8" applyNumberFormat="1" applyFont="1" applyFill="1" applyBorder="1" applyAlignment="1">
      <alignment horizontal="center" vertical="center" shrinkToFit="1"/>
    </xf>
    <xf numFmtId="3" fontId="54" fillId="28" borderId="34" xfId="8" applyNumberFormat="1" applyFont="1" applyFill="1" applyBorder="1" applyAlignment="1">
      <alignment horizontal="center" vertical="center" shrinkToFit="1"/>
    </xf>
    <xf numFmtId="196" fontId="31" fillId="0" borderId="0" xfId="8" applyNumberFormat="1" applyFont="1" applyAlignment="1">
      <alignment vertical="center" shrinkToFit="1"/>
    </xf>
    <xf numFmtId="0" fontId="31" fillId="0" borderId="0" xfId="8" applyFont="1" applyAlignment="1">
      <alignment vertical="center" shrinkToFit="1"/>
    </xf>
    <xf numFmtId="196" fontId="88" fillId="22" borderId="34" xfId="8" applyNumberFormat="1" applyFont="1" applyFill="1" applyBorder="1" applyAlignment="1">
      <alignment vertical="center"/>
    </xf>
    <xf numFmtId="4" fontId="1" fillId="0" borderId="0" xfId="1" applyNumberFormat="1" applyFont="1" applyAlignment="1">
      <alignment horizontal="right" vertical="center"/>
    </xf>
    <xf numFmtId="4" fontId="18" fillId="0" borderId="51" xfId="19" applyNumberFormat="1" applyFont="1" applyBorder="1" applyAlignment="1">
      <alignment vertical="center" wrapText="1"/>
    </xf>
    <xf numFmtId="4" fontId="18" fillId="0" borderId="50" xfId="19" applyNumberFormat="1" applyFont="1" applyBorder="1" applyAlignment="1">
      <alignment vertical="center" wrapText="1"/>
    </xf>
    <xf numFmtId="210" fontId="1" fillId="20" borderId="0" xfId="8" applyNumberFormat="1" applyFont="1" applyFill="1" applyAlignment="1">
      <alignment horizontal="centerContinuous" vertical="center" shrinkToFit="1"/>
    </xf>
    <xf numFmtId="196" fontId="1" fillId="25" borderId="0" xfId="8" applyNumberFormat="1" applyFont="1" applyFill="1" applyAlignment="1">
      <alignment horizontal="center" vertical="center"/>
    </xf>
    <xf numFmtId="3" fontId="30" fillId="32" borderId="34" xfId="8" applyNumberFormat="1" applyFont="1" applyFill="1" applyBorder="1" applyAlignment="1">
      <alignment horizontal="center" vertical="center"/>
    </xf>
    <xf numFmtId="3" fontId="54" fillId="32" borderId="34" xfId="8" applyNumberFormat="1" applyFont="1" applyFill="1" applyBorder="1" applyAlignment="1">
      <alignment horizontal="center" vertical="center" shrinkToFit="1"/>
    </xf>
    <xf numFmtId="224" fontId="24" fillId="0" borderId="23" xfId="1" applyNumberFormat="1" applyFont="1" applyFill="1" applyBorder="1" applyAlignment="1">
      <alignment horizontal="center" vertical="center" wrapText="1"/>
    </xf>
    <xf numFmtId="4" fontId="88" fillId="22" borderId="34" xfId="8" applyNumberFormat="1" applyFont="1" applyFill="1" applyBorder="1" applyAlignment="1">
      <alignment vertical="center"/>
    </xf>
    <xf numFmtId="0" fontId="0" fillId="0" borderId="0" xfId="0" applyAlignment="1">
      <alignment horizontal="centerContinuous" vertical="center"/>
    </xf>
    <xf numFmtId="187" fontId="0" fillId="0" borderId="0" xfId="0" applyNumberFormat="1" applyAlignment="1">
      <alignment horizontal="center" vertical="center"/>
    </xf>
    <xf numFmtId="220" fontId="0" fillId="0" borderId="0" xfId="0" applyNumberFormat="1" applyAlignment="1">
      <alignment horizontal="center" vertical="center"/>
    </xf>
    <xf numFmtId="220" fontId="0" fillId="0" borderId="0" xfId="0" applyNumberFormat="1" applyAlignment="1">
      <alignment horizontal="centerContinuous" vertical="center"/>
    </xf>
    <xf numFmtId="186" fontId="0" fillId="0" borderId="0" xfId="0" applyNumberFormat="1" applyAlignment="1">
      <alignment horizontal="centerContinuous" vertical="center"/>
    </xf>
    <xf numFmtId="218" fontId="0" fillId="0" borderId="0" xfId="0" applyNumberFormat="1" applyAlignment="1">
      <alignment horizontal="center" vertical="center"/>
    </xf>
    <xf numFmtId="218" fontId="0" fillId="0" borderId="0" xfId="0" applyNumberFormat="1" applyAlignment="1">
      <alignment horizontal="centerContinuous" vertical="center"/>
    </xf>
    <xf numFmtId="196" fontId="85" fillId="0" borderId="0" xfId="8" applyNumberFormat="1" applyFont="1" applyBorder="1" applyAlignment="1">
      <alignment vertical="center"/>
    </xf>
    <xf numFmtId="196" fontId="30" fillId="0" borderId="0" xfId="8" applyNumberFormat="1" applyFont="1" applyBorder="1" applyAlignment="1">
      <alignment vertical="center"/>
    </xf>
    <xf numFmtId="0" fontId="30" fillId="0" borderId="0" xfId="8" applyNumberFormat="1" applyFont="1" applyAlignment="1">
      <alignment horizontal="center" vertical="center"/>
    </xf>
    <xf numFmtId="196" fontId="41" fillId="15" borderId="34" xfId="8" applyNumberFormat="1" applyFont="1" applyFill="1" applyBorder="1" applyAlignment="1">
      <alignment horizontal="centerContinuous" vertical="center" wrapText="1"/>
    </xf>
    <xf numFmtId="196" fontId="41" fillId="15" borderId="35" xfId="8" applyNumberFormat="1" applyFont="1" applyFill="1" applyBorder="1" applyAlignment="1">
      <alignment horizontal="centerContinuous" vertical="center" wrapText="1"/>
    </xf>
    <xf numFmtId="196" fontId="41" fillId="15" borderId="0" xfId="8" applyNumberFormat="1" applyFont="1" applyFill="1" applyAlignment="1">
      <alignment horizontal="centerContinuous" vertical="center"/>
    </xf>
    <xf numFmtId="226" fontId="41" fillId="15" borderId="46" xfId="8" applyNumberFormat="1" applyFont="1" applyFill="1" applyBorder="1" applyAlignment="1">
      <alignment horizontal="centerContinuous" vertical="center" wrapText="1"/>
    </xf>
    <xf numFmtId="196" fontId="41" fillId="15" borderId="0" xfId="8" applyNumberFormat="1" applyFont="1" applyFill="1" applyBorder="1" applyAlignment="1">
      <alignment horizontal="center" vertical="center" wrapText="1"/>
    </xf>
    <xf numFmtId="196" fontId="41" fillId="15" borderId="77" xfId="8" applyNumberFormat="1" applyFont="1" applyFill="1" applyBorder="1" applyAlignment="1">
      <alignment horizontal="center" vertical="center" wrapText="1"/>
    </xf>
    <xf numFmtId="196" fontId="41" fillId="15" borderId="186" xfId="8" applyNumberFormat="1" applyFont="1" applyFill="1" applyBorder="1" applyAlignment="1">
      <alignment horizontal="center" vertical="center" wrapText="1"/>
    </xf>
    <xf numFmtId="227" fontId="41" fillId="15" borderId="186" xfId="8" applyNumberFormat="1" applyFont="1" applyFill="1" applyBorder="1" applyAlignment="1">
      <alignment horizontal="center" vertical="center" wrapText="1"/>
    </xf>
    <xf numFmtId="227" fontId="41" fillId="15" borderId="0" xfId="8" applyNumberFormat="1" applyFont="1" applyFill="1" applyBorder="1" applyAlignment="1">
      <alignment horizontal="center" vertical="center" wrapText="1"/>
    </xf>
    <xf numFmtId="227" fontId="41" fillId="15" borderId="77" xfId="8" applyNumberFormat="1" applyFont="1" applyFill="1" applyBorder="1" applyAlignment="1">
      <alignment horizontal="center" vertical="center" wrapText="1"/>
    </xf>
    <xf numFmtId="228" fontId="41" fillId="15" borderId="46" xfId="8" applyNumberFormat="1" applyFont="1" applyFill="1" applyBorder="1" applyAlignment="1">
      <alignment horizontal="centerContinuous" vertical="center" wrapText="1"/>
    </xf>
    <xf numFmtId="196" fontId="30" fillId="30" borderId="46" xfId="8" applyNumberFormat="1" applyFont="1" applyFill="1" applyBorder="1" applyAlignment="1">
      <alignment horizontal="center" vertical="center"/>
    </xf>
    <xf numFmtId="196" fontId="30" fillId="30" borderId="34" xfId="8" applyNumberFormat="1" applyFont="1" applyFill="1" applyBorder="1" applyAlignment="1">
      <alignment horizontal="center" vertical="center"/>
    </xf>
    <xf numFmtId="196" fontId="30" fillId="30" borderId="35" xfId="8" applyNumberFormat="1" applyFont="1" applyFill="1" applyBorder="1" applyAlignment="1">
      <alignment horizontal="center" vertical="center"/>
    </xf>
    <xf numFmtId="196" fontId="54" fillId="30" borderId="46" xfId="8" applyNumberFormat="1" applyFont="1" applyFill="1" applyBorder="1" applyAlignment="1">
      <alignment horizontal="center" vertical="center" shrinkToFit="1"/>
    </xf>
    <xf numFmtId="196" fontId="54" fillId="30" borderId="34" xfId="8" applyNumberFormat="1" applyFont="1" applyFill="1" applyBorder="1" applyAlignment="1">
      <alignment horizontal="center" vertical="center" shrinkToFit="1"/>
    </xf>
    <xf numFmtId="196" fontId="54" fillId="30" borderId="35" xfId="8" applyNumberFormat="1" applyFont="1" applyFill="1" applyBorder="1" applyAlignment="1">
      <alignment horizontal="center" vertical="center" shrinkToFit="1"/>
    </xf>
    <xf numFmtId="4" fontId="24" fillId="0" borderId="0" xfId="1" applyNumberFormat="1" applyFont="1" applyAlignment="1">
      <alignment vertical="center"/>
    </xf>
    <xf numFmtId="166" fontId="24" fillId="0" borderId="0" xfId="1" applyNumberFormat="1" applyFont="1" applyAlignment="1">
      <alignment vertical="center"/>
    </xf>
    <xf numFmtId="0" fontId="89" fillId="3" borderId="4" xfId="2" applyFont="1" applyFill="1" applyBorder="1" applyAlignment="1">
      <alignment horizontal="left" vertical="center" wrapText="1"/>
    </xf>
    <xf numFmtId="4" fontId="90" fillId="0" borderId="22" xfId="1" applyNumberFormat="1" applyFont="1" applyBorder="1" applyAlignment="1">
      <alignment vertical="center" wrapText="1"/>
    </xf>
    <xf numFmtId="4" fontId="90" fillId="0" borderId="16" xfId="1" applyNumberFormat="1" applyFont="1" applyBorder="1" applyAlignment="1">
      <alignment vertical="center" wrapText="1"/>
    </xf>
    <xf numFmtId="4" fontId="23" fillId="0" borderId="21" xfId="0" applyNumberFormat="1" applyFont="1" applyFill="1" applyBorder="1" applyAlignment="1">
      <alignment horizontal="center" vertical="center" wrapText="1"/>
    </xf>
    <xf numFmtId="204" fontId="24" fillId="20" borderId="0" xfId="8" applyNumberFormat="1" applyFont="1" applyFill="1" applyAlignment="1">
      <alignment horizontal="center" vertical="center" shrinkToFit="1"/>
    </xf>
    <xf numFmtId="196" fontId="18" fillId="19" borderId="0" xfId="8" applyNumberFormat="1" applyFont="1" applyFill="1" applyAlignment="1">
      <alignment horizontal="center" vertical="center" wrapText="1" shrinkToFit="1"/>
    </xf>
    <xf numFmtId="1" fontId="31" fillId="0" borderId="0" xfId="8" applyNumberFormat="1" applyFont="1" applyAlignment="1">
      <alignment vertical="center" wrapText="1"/>
    </xf>
    <xf numFmtId="196" fontId="41" fillId="15" borderId="0" xfId="8" applyNumberFormat="1" applyFont="1" applyFill="1" applyBorder="1" applyAlignment="1">
      <alignment horizontal="center" vertical="center" wrapText="1"/>
    </xf>
    <xf numFmtId="0" fontId="23" fillId="34" borderId="23" xfId="1" applyNumberFormat="1" applyFont="1" applyFill="1" applyBorder="1" applyAlignment="1">
      <alignment vertical="center" wrapText="1"/>
    </xf>
    <xf numFmtId="0" fontId="23" fillId="34" borderId="23" xfId="1" applyNumberFormat="1" applyFont="1" applyFill="1" applyBorder="1" applyAlignment="1">
      <alignment horizontal="center" vertical="center" wrapText="1"/>
    </xf>
    <xf numFmtId="0" fontId="23" fillId="34" borderId="0" xfId="1" applyNumberFormat="1" applyFont="1" applyFill="1" applyAlignment="1">
      <alignment vertical="center" wrapText="1"/>
    </xf>
    <xf numFmtId="0" fontId="23" fillId="34" borderId="22" xfId="1" applyNumberFormat="1" applyFont="1" applyFill="1" applyBorder="1" applyAlignment="1">
      <alignment vertical="center"/>
    </xf>
    <xf numFmtId="1" fontId="23" fillId="34" borderId="23" xfId="1" applyNumberFormat="1" applyFont="1" applyFill="1" applyBorder="1" applyAlignment="1">
      <alignment horizontal="center" vertical="center" wrapText="1"/>
    </xf>
    <xf numFmtId="0" fontId="23" fillId="34" borderId="46" xfId="1" applyNumberFormat="1" applyFont="1" applyFill="1" applyBorder="1" applyAlignment="1">
      <alignment horizontal="center" vertical="center" wrapText="1"/>
    </xf>
    <xf numFmtId="4" fontId="23" fillId="34" borderId="23" xfId="1" applyNumberFormat="1" applyFont="1" applyFill="1" applyBorder="1" applyAlignment="1">
      <alignment vertical="center" wrapText="1"/>
    </xf>
    <xf numFmtId="4" fontId="23" fillId="34" borderId="46" xfId="1" applyNumberFormat="1" applyFont="1" applyFill="1" applyBorder="1" applyAlignment="1">
      <alignment vertical="center" wrapText="1"/>
    </xf>
    <xf numFmtId="10" fontId="23" fillId="34" borderId="46" xfId="1" applyNumberFormat="1" applyFont="1" applyFill="1" applyBorder="1" applyAlignment="1">
      <alignment horizontal="center" vertical="center" wrapText="1"/>
    </xf>
    <xf numFmtId="4" fontId="23" fillId="34" borderId="24" xfId="1" applyNumberFormat="1" applyFont="1" applyFill="1" applyBorder="1" applyAlignment="1">
      <alignment vertical="center" wrapText="1"/>
    </xf>
    <xf numFmtId="0" fontId="4" fillId="34" borderId="0" xfId="1" applyNumberFormat="1" applyFont="1" applyFill="1" applyAlignment="1">
      <alignment vertical="center"/>
    </xf>
    <xf numFmtId="0" fontId="24" fillId="34" borderId="23" xfId="1" applyNumberFormat="1" applyFont="1" applyFill="1" applyBorder="1" applyAlignment="1">
      <alignment vertical="center" wrapText="1"/>
    </xf>
    <xf numFmtId="0" fontId="24" fillId="34" borderId="0" xfId="1" applyNumberFormat="1" applyFont="1" applyFill="1" applyAlignment="1">
      <alignment vertical="center"/>
    </xf>
    <xf numFmtId="4" fontId="24" fillId="34" borderId="22" xfId="1" applyNumberFormat="1" applyFont="1" applyFill="1" applyBorder="1" applyAlignment="1">
      <alignment vertical="center" wrapText="1"/>
    </xf>
    <xf numFmtId="187" fontId="24" fillId="34" borderId="23" xfId="1" applyNumberFormat="1" applyFont="1" applyFill="1" applyBorder="1" applyAlignment="1">
      <alignment horizontal="center" vertical="center" wrapText="1"/>
    </xf>
    <xf numFmtId="4" fontId="24" fillId="34" borderId="24" xfId="1" applyNumberFormat="1" applyFont="1" applyFill="1" applyBorder="1" applyAlignment="1">
      <alignment vertical="center" wrapText="1"/>
    </xf>
    <xf numFmtId="4" fontId="29" fillId="34" borderId="22" xfId="1" applyNumberFormat="1" applyFont="1" applyFill="1" applyBorder="1" applyAlignment="1">
      <alignment vertical="center" wrapText="1"/>
    </xf>
    <xf numFmtId="0" fontId="24" fillId="34" borderId="0" xfId="1" applyNumberFormat="1" applyFont="1" applyFill="1" applyAlignment="1">
      <alignment vertical="center" wrapText="1"/>
    </xf>
    <xf numFmtId="4" fontId="24" fillId="34" borderId="23" xfId="1" applyNumberFormat="1" applyFont="1" applyFill="1" applyBorder="1" applyAlignment="1">
      <alignment vertical="center" wrapText="1"/>
    </xf>
    <xf numFmtId="0" fontId="39" fillId="0" borderId="0" xfId="0" applyFont="1" applyAlignment="1">
      <alignment vertical="center"/>
    </xf>
    <xf numFmtId="0" fontId="39" fillId="0" borderId="0" xfId="0" applyFont="1" applyAlignment="1">
      <alignment horizontal="center" vertical="center"/>
    </xf>
    <xf numFmtId="0" fontId="91" fillId="0" borderId="0" xfId="0" applyFont="1" applyAlignment="1">
      <alignment vertical="center"/>
    </xf>
    <xf numFmtId="0" fontId="17" fillId="0" borderId="0" xfId="0" applyFont="1" applyAlignment="1">
      <alignment vertical="center"/>
    </xf>
    <xf numFmtId="0" fontId="91" fillId="0" borderId="0" xfId="0" applyFont="1" applyAlignment="1">
      <alignment horizontal="center" vertical="center"/>
    </xf>
    <xf numFmtId="4" fontId="39" fillId="0" borderId="0" xfId="0" applyNumberFormat="1" applyFont="1" applyAlignment="1">
      <alignment vertical="center"/>
    </xf>
    <xf numFmtId="4" fontId="91" fillId="0" borderId="0" xfId="0" applyNumberFormat="1" applyFont="1" applyAlignment="1">
      <alignment horizontal="center" vertical="center"/>
    </xf>
    <xf numFmtId="4" fontId="91" fillId="0" borderId="0" xfId="0" applyNumberFormat="1" applyFont="1" applyAlignment="1">
      <alignment vertical="center"/>
    </xf>
    <xf numFmtId="4" fontId="91" fillId="0" borderId="0" xfId="0" applyNumberFormat="1" applyFont="1" applyAlignment="1">
      <alignment horizontal="centerContinuous" vertical="center"/>
    </xf>
    <xf numFmtId="4" fontId="39" fillId="5" borderId="0" xfId="0" applyNumberFormat="1" applyFont="1" applyFill="1" applyAlignment="1">
      <alignment vertical="center"/>
    </xf>
    <xf numFmtId="4" fontId="39" fillId="35" borderId="0" xfId="0" applyNumberFormat="1" applyFont="1" applyFill="1" applyAlignment="1">
      <alignment vertical="center"/>
    </xf>
    <xf numFmtId="229" fontId="39" fillId="0" borderId="0" xfId="0" applyNumberFormat="1" applyFont="1" applyAlignment="1">
      <alignment horizontal="left" vertical="center"/>
    </xf>
    <xf numFmtId="4" fontId="39" fillId="0" borderId="0" xfId="0" applyNumberFormat="1" applyFont="1" applyFill="1" applyAlignment="1">
      <alignment vertical="center"/>
    </xf>
    <xf numFmtId="0" fontId="92" fillId="0" borderId="4" xfId="2" applyFont="1" applyBorder="1" applyAlignment="1">
      <alignment horizontal="left" vertical="center" wrapText="1"/>
    </xf>
    <xf numFmtId="224" fontId="24" fillId="0" borderId="23" xfId="1" applyNumberFormat="1" applyFont="1" applyBorder="1" applyAlignment="1">
      <alignment horizontal="center" vertical="center" wrapText="1"/>
    </xf>
    <xf numFmtId="230" fontId="24" fillId="0" borderId="23" xfId="1" applyNumberFormat="1" applyFont="1" applyBorder="1" applyAlignment="1">
      <alignment horizontal="center" vertical="center" wrapText="1"/>
    </xf>
    <xf numFmtId="215" fontId="83" fillId="22" borderId="34" xfId="8" applyNumberFormat="1" applyFont="1" applyFill="1" applyBorder="1" applyAlignment="1">
      <alignment horizontal="center" vertical="center" shrinkToFit="1"/>
    </xf>
    <xf numFmtId="185" fontId="39" fillId="0" borderId="0" xfId="0" applyNumberFormat="1" applyFont="1" applyAlignment="1">
      <alignment vertical="center"/>
    </xf>
    <xf numFmtId="0" fontId="39" fillId="0" borderId="0" xfId="0" applyFont="1" applyFill="1" applyAlignment="1">
      <alignment vertical="center"/>
    </xf>
    <xf numFmtId="0" fontId="39" fillId="0" borderId="0" xfId="0" applyFont="1" applyFill="1" applyAlignment="1">
      <alignment horizontal="center" vertical="center"/>
    </xf>
    <xf numFmtId="4" fontId="29" fillId="0" borderId="22" xfId="1" applyNumberFormat="1" applyFont="1" applyFill="1" applyBorder="1" applyAlignment="1">
      <alignment vertical="center" wrapText="1"/>
    </xf>
    <xf numFmtId="4" fontId="41" fillId="0" borderId="1" xfId="1" applyNumberFormat="1" applyFont="1" applyBorder="1" applyAlignment="1">
      <alignment horizontal="centerContinuous" vertical="center" wrapText="1"/>
    </xf>
    <xf numFmtId="166" fontId="41" fillId="0" borderId="2" xfId="1" applyNumberFormat="1" applyFont="1" applyBorder="1" applyAlignment="1">
      <alignment horizontal="centerContinuous" vertical="center" wrapText="1"/>
    </xf>
    <xf numFmtId="4" fontId="41" fillId="0" borderId="3" xfId="1" applyNumberFormat="1" applyFont="1" applyBorder="1" applyAlignment="1">
      <alignment horizontal="centerContinuous" vertical="center" wrapText="1"/>
    </xf>
    <xf numFmtId="0" fontId="91" fillId="36" borderId="0" xfId="0" applyFont="1" applyFill="1" applyAlignment="1">
      <alignment vertical="center"/>
    </xf>
    <xf numFmtId="0" fontId="91" fillId="36" borderId="0" xfId="0" applyFont="1" applyFill="1" applyAlignment="1">
      <alignment horizontal="center" vertical="center"/>
    </xf>
    <xf numFmtId="4" fontId="91" fillId="36" borderId="0" xfId="0" applyNumberFormat="1" applyFont="1" applyFill="1" applyAlignment="1">
      <alignment vertical="center"/>
    </xf>
    <xf numFmtId="0" fontId="91" fillId="19" borderId="0" xfId="0" applyFont="1" applyFill="1" applyAlignment="1">
      <alignment vertical="center"/>
    </xf>
    <xf numFmtId="0" fontId="91" fillId="19" borderId="0" xfId="0" applyFont="1" applyFill="1" applyAlignment="1">
      <alignment horizontal="center" vertical="center"/>
    </xf>
    <xf numFmtId="4" fontId="91" fillId="19" borderId="0" xfId="0" applyNumberFormat="1" applyFont="1" applyFill="1" applyAlignment="1">
      <alignment vertical="center"/>
    </xf>
    <xf numFmtId="186" fontId="91" fillId="19" borderId="0" xfId="0" applyNumberFormat="1" applyFont="1" applyFill="1" applyAlignment="1">
      <alignment horizontal="center" vertical="center"/>
    </xf>
    <xf numFmtId="4" fontId="91" fillId="19" borderId="0" xfId="0" applyNumberFormat="1" applyFont="1" applyFill="1" applyAlignment="1">
      <alignment horizontal="center" vertical="center"/>
    </xf>
    <xf numFmtId="0" fontId="91" fillId="22" borderId="0" xfId="0" applyFont="1" applyFill="1" applyAlignment="1">
      <alignment vertical="center"/>
    </xf>
    <xf numFmtId="0" fontId="91" fillId="22" borderId="0" xfId="0" applyFont="1" applyFill="1" applyAlignment="1">
      <alignment horizontal="center" vertical="center"/>
    </xf>
    <xf numFmtId="4" fontId="91" fillId="22" borderId="0" xfId="0" applyNumberFormat="1" applyFont="1" applyFill="1" applyAlignment="1">
      <alignment vertical="center"/>
    </xf>
    <xf numFmtId="2" fontId="0" fillId="0" borderId="161" xfId="0" applyNumberFormat="1" applyBorder="1" applyAlignment="1">
      <alignment horizontal="left" vertical="center"/>
    </xf>
    <xf numFmtId="2" fontId="0" fillId="0" borderId="160" xfId="0" applyNumberFormat="1" applyBorder="1" applyAlignment="1">
      <alignment horizontal="left" vertical="center"/>
    </xf>
    <xf numFmtId="4" fontId="54" fillId="0" borderId="200" xfId="7" applyNumberFormat="1" applyFont="1" applyFill="1" applyBorder="1" applyAlignment="1">
      <alignment horizontal="center" vertical="center"/>
    </xf>
    <xf numFmtId="4" fontId="54" fillId="0" borderId="199" xfId="7" applyNumberFormat="1" applyFont="1" applyFill="1" applyBorder="1" applyAlignment="1">
      <alignment horizontal="center" vertical="center"/>
    </xf>
    <xf numFmtId="2" fontId="54" fillId="0" borderId="200" xfId="7" applyNumberFormat="1" applyFont="1" applyFill="1" applyBorder="1" applyAlignment="1">
      <alignment horizontal="center" vertical="center"/>
    </xf>
    <xf numFmtId="4" fontId="54" fillId="0" borderId="202" xfId="7" applyNumberFormat="1" applyFont="1" applyFill="1" applyBorder="1" applyAlignment="1">
      <alignment horizontal="center" vertical="center"/>
    </xf>
    <xf numFmtId="0" fontId="84" fillId="0" borderId="0" xfId="0" applyFont="1" applyAlignment="1">
      <alignment vertical="center"/>
    </xf>
    <xf numFmtId="0" fontId="56" fillId="0" borderId="0" xfId="0" applyFont="1" applyAlignment="1">
      <alignment vertical="center"/>
    </xf>
    <xf numFmtId="4" fontId="56" fillId="0" borderId="0" xfId="0" applyNumberFormat="1" applyFont="1" applyAlignment="1">
      <alignment vertical="center"/>
    </xf>
    <xf numFmtId="0" fontId="95" fillId="37" borderId="0" xfId="0" applyFont="1" applyFill="1" applyAlignment="1">
      <alignment vertical="center"/>
    </xf>
    <xf numFmtId="4" fontId="96" fillId="37" borderId="0" xfId="0" applyNumberFormat="1" applyFont="1" applyFill="1" applyAlignment="1">
      <alignment vertical="center"/>
    </xf>
    <xf numFmtId="0" fontId="95" fillId="38" borderId="0" xfId="0" applyFont="1" applyFill="1" applyAlignment="1">
      <alignment vertical="center"/>
    </xf>
    <xf numFmtId="4" fontId="96" fillId="38" borderId="0" xfId="0" applyNumberFormat="1" applyFont="1" applyFill="1" applyAlignment="1">
      <alignment vertical="center"/>
    </xf>
    <xf numFmtId="0" fontId="97" fillId="0" borderId="0" xfId="0" applyFont="1" applyAlignment="1">
      <alignment vertical="center"/>
    </xf>
    <xf numFmtId="0" fontId="96" fillId="0" borderId="0" xfId="0" applyFont="1" applyAlignment="1">
      <alignment vertical="center"/>
    </xf>
    <xf numFmtId="4" fontId="96" fillId="0" borderId="0" xfId="0" applyNumberFormat="1" applyFont="1" applyAlignment="1">
      <alignment vertical="center"/>
    </xf>
    <xf numFmtId="4" fontId="97" fillId="0" borderId="0" xfId="0" applyNumberFormat="1" applyFont="1" applyAlignment="1">
      <alignment vertical="center" shrinkToFit="1"/>
    </xf>
    <xf numFmtId="4" fontId="95" fillId="0" borderId="0" xfId="0" applyNumberFormat="1" applyFont="1" applyAlignment="1">
      <alignment vertical="center" shrinkToFit="1"/>
    </xf>
    <xf numFmtId="4" fontId="97" fillId="0" borderId="0" xfId="0" applyNumberFormat="1" applyFont="1" applyAlignment="1">
      <alignment vertical="center"/>
    </xf>
    <xf numFmtId="4" fontId="95" fillId="0" borderId="0" xfId="0" applyNumberFormat="1" applyFont="1" applyAlignment="1">
      <alignment vertical="center"/>
    </xf>
    <xf numFmtId="1" fontId="95" fillId="37" borderId="0" xfId="0" applyNumberFormat="1" applyFont="1" applyFill="1" applyAlignment="1">
      <alignment horizontal="center" vertical="center" shrinkToFit="1"/>
    </xf>
    <xf numFmtId="0" fontId="97" fillId="38" borderId="0" xfId="0" applyFont="1" applyFill="1" applyAlignment="1">
      <alignment horizontal="center" vertical="center"/>
    </xf>
    <xf numFmtId="0" fontId="97" fillId="0" borderId="0" xfId="0" applyFont="1" applyAlignment="1">
      <alignment horizontal="center" vertical="center"/>
    </xf>
    <xf numFmtId="0" fontId="96" fillId="0" borderId="0" xfId="0" applyFont="1" applyAlignment="1">
      <alignment horizontal="center" vertical="center"/>
    </xf>
    <xf numFmtId="0" fontId="56" fillId="0" borderId="0" xfId="0" applyFont="1" applyAlignment="1">
      <alignment horizontal="center" vertical="center"/>
    </xf>
    <xf numFmtId="0" fontId="96" fillId="37" borderId="0" xfId="0" applyFont="1" applyFill="1" applyAlignment="1">
      <alignment horizontal="center" vertical="center"/>
    </xf>
    <xf numFmtId="0" fontId="95" fillId="38" borderId="0" xfId="0" applyFont="1" applyFill="1" applyAlignment="1">
      <alignment horizontal="center" vertical="center"/>
    </xf>
    <xf numFmtId="0" fontId="96" fillId="38" borderId="0" xfId="0" applyFont="1" applyFill="1" applyAlignment="1">
      <alignment horizontal="center" vertical="center"/>
    </xf>
    <xf numFmtId="0" fontId="95" fillId="37" borderId="0" xfId="0" applyFont="1" applyFill="1" applyAlignment="1">
      <alignment horizontal="center" vertical="center"/>
    </xf>
    <xf numFmtId="0" fontId="84" fillId="0" borderId="0" xfId="0" applyFont="1" applyAlignment="1">
      <alignment horizontal="center" vertical="center"/>
    </xf>
    <xf numFmtId="4" fontId="84" fillId="0" borderId="0" xfId="0" applyNumberFormat="1" applyFont="1" applyAlignment="1">
      <alignment horizontal="center" vertical="center"/>
    </xf>
    <xf numFmtId="0" fontId="57" fillId="0" borderId="0" xfId="0" applyFont="1" applyAlignment="1">
      <alignment horizontal="center" vertical="center"/>
    </xf>
    <xf numFmtId="0" fontId="57" fillId="0" borderId="0" xfId="0" applyFont="1" applyAlignment="1">
      <alignment vertical="center"/>
    </xf>
    <xf numFmtId="0" fontId="95" fillId="0" borderId="0" xfId="0" applyFont="1" applyAlignment="1">
      <alignment horizontal="center" vertical="center"/>
    </xf>
    <xf numFmtId="231" fontId="56" fillId="0" borderId="0" xfId="0" applyNumberFormat="1" applyFont="1" applyAlignment="1">
      <alignment horizontal="center" vertical="center"/>
    </xf>
    <xf numFmtId="0" fontId="56" fillId="0" borderId="0" xfId="0" applyFont="1" applyAlignment="1">
      <alignment horizontal="right" vertical="center"/>
    </xf>
    <xf numFmtId="187" fontId="56" fillId="0" borderId="0" xfId="0" applyNumberFormat="1" applyFont="1" applyAlignment="1">
      <alignment horizontal="center" vertical="center"/>
    </xf>
    <xf numFmtId="232" fontId="56" fillId="0" borderId="0" xfId="0" applyNumberFormat="1" applyFont="1" applyAlignment="1">
      <alignment horizontal="center" vertical="center"/>
    </xf>
    <xf numFmtId="4" fontId="56" fillId="0" borderId="0" xfId="0" applyNumberFormat="1" applyFont="1" applyAlignment="1">
      <alignment horizontal="center" vertical="center"/>
    </xf>
    <xf numFmtId="168" fontId="56" fillId="0" borderId="0" xfId="0" applyNumberFormat="1" applyFont="1" applyAlignment="1">
      <alignment horizontal="center" vertical="center"/>
    </xf>
    <xf numFmtId="0" fontId="56" fillId="0" borderId="0" xfId="0" applyFont="1" applyAlignment="1">
      <alignment vertical="center" wrapText="1"/>
    </xf>
    <xf numFmtId="0" fontId="17" fillId="0" borderId="0" xfId="0" applyFont="1" applyAlignment="1">
      <alignment vertical="center" wrapText="1"/>
    </xf>
    <xf numFmtId="0" fontId="99" fillId="0" borderId="0" xfId="0" applyFont="1" applyAlignment="1">
      <alignment vertical="center" wrapText="1"/>
    </xf>
    <xf numFmtId="168" fontId="99" fillId="0" borderId="0" xfId="0" applyNumberFormat="1" applyFont="1" applyAlignment="1">
      <alignment horizontal="center" vertical="center" wrapText="1"/>
    </xf>
    <xf numFmtId="187" fontId="99" fillId="0" borderId="0" xfId="0" applyNumberFormat="1" applyFont="1" applyAlignment="1">
      <alignment horizontal="center" vertical="center" wrapText="1"/>
    </xf>
    <xf numFmtId="232" fontId="99" fillId="0" borderId="0" xfId="0" applyNumberFormat="1" applyFont="1" applyAlignment="1">
      <alignment horizontal="center" vertical="center" wrapText="1"/>
    </xf>
    <xf numFmtId="4" fontId="99" fillId="0" borderId="0" xfId="0" applyNumberFormat="1" applyFont="1" applyAlignment="1">
      <alignment horizontal="center" vertical="center" wrapText="1"/>
    </xf>
    <xf numFmtId="4" fontId="99" fillId="0" borderId="0" xfId="0" applyNumberFormat="1" applyFont="1" applyAlignment="1">
      <alignment vertical="center" wrapText="1"/>
    </xf>
    <xf numFmtId="233" fontId="99" fillId="0" borderId="0" xfId="0" applyNumberFormat="1" applyFont="1" applyAlignment="1">
      <alignment vertical="center" wrapText="1"/>
    </xf>
    <xf numFmtId="0" fontId="84" fillId="0" borderId="0" xfId="0" applyFont="1" applyAlignment="1">
      <alignment vertical="center" wrapText="1"/>
    </xf>
    <xf numFmtId="0" fontId="56" fillId="0" borderId="0" xfId="0" applyFont="1" applyAlignment="1">
      <alignment horizontal="center" vertical="center" wrapText="1"/>
    </xf>
    <xf numFmtId="168" fontId="56" fillId="0" borderId="0" xfId="0" applyNumberFormat="1" applyFont="1" applyAlignment="1">
      <alignment horizontal="center" vertical="center" wrapText="1"/>
    </xf>
    <xf numFmtId="187" fontId="56" fillId="0" borderId="0" xfId="0" applyNumberFormat="1" applyFont="1" applyAlignment="1">
      <alignment horizontal="center" vertical="center" wrapText="1"/>
    </xf>
    <xf numFmtId="232" fontId="56" fillId="0" borderId="0" xfId="0" applyNumberFormat="1" applyFont="1" applyAlignment="1">
      <alignment horizontal="center" vertical="center" wrapText="1"/>
    </xf>
    <xf numFmtId="4" fontId="56" fillId="0" borderId="0" xfId="0" applyNumberFormat="1" applyFont="1" applyAlignment="1">
      <alignment horizontal="center" vertical="center" wrapText="1"/>
    </xf>
    <xf numFmtId="4" fontId="56" fillId="0" borderId="0" xfId="0" applyNumberFormat="1" applyFont="1" applyAlignment="1">
      <alignment vertical="center" wrapText="1"/>
    </xf>
    <xf numFmtId="0" fontId="99" fillId="3" borderId="0" xfId="0" applyFont="1" applyFill="1" applyAlignment="1">
      <alignment vertical="center" wrapText="1"/>
    </xf>
    <xf numFmtId="168" fontId="99" fillId="3" borderId="0" xfId="0" applyNumberFormat="1" applyFont="1" applyFill="1" applyAlignment="1">
      <alignment horizontal="center" vertical="center" wrapText="1"/>
    </xf>
    <xf numFmtId="187" fontId="99" fillId="3" borderId="0" xfId="0" applyNumberFormat="1" applyFont="1" applyFill="1" applyAlignment="1">
      <alignment horizontal="center" vertical="center" wrapText="1"/>
    </xf>
    <xf numFmtId="232" fontId="99" fillId="3" borderId="0" xfId="0" applyNumberFormat="1" applyFont="1" applyFill="1" applyAlignment="1">
      <alignment horizontal="center" vertical="center" wrapText="1"/>
    </xf>
    <xf numFmtId="4" fontId="99" fillId="3" borderId="0" xfId="0" applyNumberFormat="1" applyFont="1" applyFill="1" applyAlignment="1">
      <alignment horizontal="center" vertical="center" wrapText="1"/>
    </xf>
    <xf numFmtId="4" fontId="99" fillId="3" borderId="0" xfId="0" applyNumberFormat="1" applyFont="1" applyFill="1" applyAlignment="1">
      <alignment vertical="center" wrapText="1"/>
    </xf>
    <xf numFmtId="233" fontId="99" fillId="3" borderId="0" xfId="0" applyNumberFormat="1" applyFont="1" applyFill="1" applyAlignment="1">
      <alignment vertical="center" wrapText="1"/>
    </xf>
    <xf numFmtId="0" fontId="56" fillId="3" borderId="0" xfId="0" applyFont="1" applyFill="1" applyAlignment="1">
      <alignment horizontal="center" vertical="center" wrapText="1"/>
    </xf>
    <xf numFmtId="0" fontId="56" fillId="3" borderId="0" xfId="0" applyFont="1" applyFill="1" applyAlignment="1">
      <alignment vertical="center" wrapText="1"/>
    </xf>
    <xf numFmtId="168" fontId="56" fillId="3" borderId="0" xfId="0" applyNumberFormat="1" applyFont="1" applyFill="1" applyAlignment="1">
      <alignment horizontal="center" vertical="center" wrapText="1"/>
    </xf>
    <xf numFmtId="187" fontId="56" fillId="3" borderId="0" xfId="0" applyNumberFormat="1" applyFont="1" applyFill="1" applyAlignment="1">
      <alignment horizontal="center" vertical="center" wrapText="1"/>
    </xf>
    <xf numFmtId="232" fontId="56" fillId="3" borderId="0" xfId="0" applyNumberFormat="1" applyFont="1" applyFill="1" applyAlignment="1">
      <alignment horizontal="center" vertical="center" wrapText="1"/>
    </xf>
    <xf numFmtId="4" fontId="56" fillId="3" borderId="0" xfId="0" applyNumberFormat="1" applyFont="1" applyFill="1" applyAlignment="1">
      <alignment horizontal="center" vertical="center" wrapText="1"/>
    </xf>
    <xf numFmtId="4" fontId="56" fillId="3" borderId="0" xfId="0" applyNumberFormat="1" applyFont="1" applyFill="1" applyAlignment="1">
      <alignment vertical="center" wrapText="1"/>
    </xf>
    <xf numFmtId="0" fontId="84" fillId="3" borderId="23" xfId="0" applyFont="1" applyFill="1" applyBorder="1" applyAlignment="1">
      <alignment horizontal="center" vertical="center" wrapText="1"/>
    </xf>
    <xf numFmtId="0" fontId="84" fillId="3" borderId="23" xfId="0" applyFont="1" applyFill="1" applyBorder="1" applyAlignment="1">
      <alignment vertical="center" wrapText="1"/>
    </xf>
    <xf numFmtId="168" fontId="84" fillId="3" borderId="23" xfId="0" applyNumberFormat="1" applyFont="1" applyFill="1" applyBorder="1" applyAlignment="1">
      <alignment horizontal="center" vertical="center" wrapText="1"/>
    </xf>
    <xf numFmtId="187" fontId="84" fillId="3" borderId="23" xfId="0" applyNumberFormat="1" applyFont="1" applyFill="1" applyBorder="1" applyAlignment="1">
      <alignment horizontal="center" vertical="center" wrapText="1"/>
    </xf>
    <xf numFmtId="232" fontId="84" fillId="3" borderId="23" xfId="0" applyNumberFormat="1" applyFont="1" applyFill="1" applyBorder="1" applyAlignment="1">
      <alignment horizontal="center" vertical="center" wrapText="1"/>
    </xf>
    <xf numFmtId="4" fontId="84" fillId="3" borderId="23" xfId="0" applyNumberFormat="1" applyFont="1" applyFill="1" applyBorder="1" applyAlignment="1">
      <alignment horizontal="center" vertical="center" wrapText="1"/>
    </xf>
    <xf numFmtId="4" fontId="84" fillId="3" borderId="23" xfId="0" applyNumberFormat="1" applyFont="1" applyFill="1" applyBorder="1" applyAlignment="1">
      <alignment vertical="center" wrapText="1"/>
    </xf>
    <xf numFmtId="0" fontId="56" fillId="3" borderId="23" xfId="0" applyFont="1" applyFill="1" applyBorder="1" applyAlignment="1">
      <alignment horizontal="center" vertical="center" wrapText="1"/>
    </xf>
    <xf numFmtId="0" fontId="56" fillId="3" borderId="23" xfId="0" applyFont="1" applyFill="1" applyBorder="1" applyAlignment="1">
      <alignment vertical="center" wrapText="1"/>
    </xf>
    <xf numFmtId="168" fontId="56" fillId="3" borderId="23" xfId="0" applyNumberFormat="1" applyFont="1" applyFill="1" applyBorder="1" applyAlignment="1">
      <alignment horizontal="center" vertical="center" wrapText="1"/>
    </xf>
    <xf numFmtId="187" fontId="56" fillId="3" borderId="23" xfId="0" applyNumberFormat="1" applyFont="1" applyFill="1" applyBorder="1" applyAlignment="1">
      <alignment horizontal="center" vertical="center" wrapText="1"/>
    </xf>
    <xf numFmtId="232" fontId="56" fillId="3" borderId="23" xfId="0" applyNumberFormat="1" applyFont="1" applyFill="1" applyBorder="1" applyAlignment="1">
      <alignment horizontal="center" vertical="center" wrapText="1"/>
    </xf>
    <xf numFmtId="4" fontId="56" fillId="3" borderId="23" xfId="0" applyNumberFormat="1" applyFont="1" applyFill="1" applyBorder="1" applyAlignment="1">
      <alignment horizontal="center" vertical="center" wrapText="1"/>
    </xf>
    <xf numFmtId="4" fontId="56" fillId="3" borderId="23" xfId="0" applyNumberFormat="1" applyFont="1" applyFill="1" applyBorder="1" applyAlignment="1">
      <alignment vertical="center" wrapText="1"/>
    </xf>
    <xf numFmtId="0" fontId="84" fillId="0" borderId="23" xfId="0" applyFont="1" applyBorder="1" applyAlignment="1">
      <alignment horizontal="center" vertical="center" wrapText="1"/>
    </xf>
    <xf numFmtId="0" fontId="84" fillId="0" borderId="23" xfId="0" applyFont="1" applyBorder="1" applyAlignment="1">
      <alignment vertical="center" wrapText="1"/>
    </xf>
    <xf numFmtId="168" fontId="84" fillId="0" borderId="23" xfId="0" applyNumberFormat="1" applyFont="1" applyBorder="1" applyAlignment="1">
      <alignment horizontal="center" vertical="center" wrapText="1"/>
    </xf>
    <xf numFmtId="187" fontId="84" fillId="0" borderId="23" xfId="0" applyNumberFormat="1" applyFont="1" applyBorder="1" applyAlignment="1">
      <alignment horizontal="center" vertical="center" wrapText="1"/>
    </xf>
    <xf numFmtId="232" fontId="84" fillId="0" borderId="23" xfId="0" applyNumberFormat="1" applyFont="1" applyBorder="1" applyAlignment="1">
      <alignment horizontal="center" vertical="center" wrapText="1"/>
    </xf>
    <xf numFmtId="4" fontId="84" fillId="0" borderId="23" xfId="0" applyNumberFormat="1" applyFont="1" applyBorder="1" applyAlignment="1">
      <alignment horizontal="center" vertical="center" wrapText="1"/>
    </xf>
    <xf numFmtId="4" fontId="84" fillId="0" borderId="23" xfId="0" applyNumberFormat="1" applyFont="1" applyBorder="1" applyAlignment="1">
      <alignment vertical="center" wrapText="1"/>
    </xf>
    <xf numFmtId="0" fontId="56" fillId="0" borderId="23" xfId="0" applyFont="1" applyBorder="1" applyAlignment="1">
      <alignment horizontal="center" vertical="center" wrapText="1"/>
    </xf>
    <xf numFmtId="0" fontId="56" fillId="0" borderId="23" xfId="0" applyFont="1" applyBorder="1" applyAlignment="1">
      <alignment vertical="center" wrapText="1"/>
    </xf>
    <xf numFmtId="168" fontId="56" fillId="0" borderId="23" xfId="0" applyNumberFormat="1" applyFont="1" applyBorder="1" applyAlignment="1">
      <alignment horizontal="center" vertical="center" wrapText="1"/>
    </xf>
    <xf numFmtId="187" fontId="56" fillId="0" borderId="23" xfId="0" applyNumberFormat="1" applyFont="1" applyBorder="1" applyAlignment="1">
      <alignment horizontal="center" vertical="center" wrapText="1"/>
    </xf>
    <xf numFmtId="232" fontId="56" fillId="0" borderId="23" xfId="0" applyNumberFormat="1" applyFont="1" applyBorder="1" applyAlignment="1">
      <alignment horizontal="center" vertical="center" wrapText="1"/>
    </xf>
    <xf numFmtId="4" fontId="56" fillId="0" borderId="23" xfId="0" applyNumberFormat="1" applyFont="1" applyBorder="1" applyAlignment="1">
      <alignment horizontal="center" vertical="center" wrapText="1"/>
    </xf>
    <xf numFmtId="4" fontId="56" fillId="0" borderId="23" xfId="0" applyNumberFormat="1" applyFont="1" applyBorder="1" applyAlignment="1">
      <alignment vertical="center" wrapText="1"/>
    </xf>
    <xf numFmtId="222" fontId="56" fillId="3" borderId="23" xfId="0" applyNumberFormat="1" applyFont="1" applyFill="1" applyBorder="1" applyAlignment="1">
      <alignment horizontal="center" vertical="center" wrapText="1"/>
    </xf>
    <xf numFmtId="196" fontId="56" fillId="3" borderId="23" xfId="0" applyNumberFormat="1" applyFont="1" applyFill="1" applyBorder="1" applyAlignment="1">
      <alignment horizontal="center" vertical="center" wrapText="1"/>
    </xf>
    <xf numFmtId="234" fontId="56" fillId="3" borderId="23" xfId="0" applyNumberFormat="1" applyFont="1" applyFill="1" applyBorder="1" applyAlignment="1">
      <alignment horizontal="center" vertical="center" wrapText="1"/>
    </xf>
    <xf numFmtId="166" fontId="56" fillId="3" borderId="23" xfId="0" applyNumberFormat="1" applyFont="1" applyFill="1" applyBorder="1" applyAlignment="1">
      <alignment horizontal="center" vertical="center" wrapText="1"/>
    </xf>
    <xf numFmtId="0" fontId="99" fillId="39" borderId="0" xfId="0" applyFont="1" applyFill="1" applyAlignment="1">
      <alignment vertical="center" wrapText="1"/>
    </xf>
    <xf numFmtId="168" fontId="99" fillId="39" borderId="0" xfId="0" applyNumberFormat="1" applyFont="1" applyFill="1" applyAlignment="1">
      <alignment horizontal="center" vertical="center" wrapText="1"/>
    </xf>
    <xf numFmtId="187" fontId="99" fillId="39" borderId="0" xfId="0" applyNumberFormat="1" applyFont="1" applyFill="1" applyAlignment="1">
      <alignment horizontal="center" vertical="center" wrapText="1"/>
    </xf>
    <xf numFmtId="232" fontId="99" fillId="39" borderId="0" xfId="0" applyNumberFormat="1" applyFont="1" applyFill="1" applyAlignment="1">
      <alignment horizontal="center" vertical="center" wrapText="1"/>
    </xf>
    <xf numFmtId="4" fontId="99" fillId="39" borderId="0" xfId="0" applyNumberFormat="1" applyFont="1" applyFill="1" applyAlignment="1">
      <alignment horizontal="center" vertical="center" wrapText="1"/>
    </xf>
    <xf numFmtId="4" fontId="99" fillId="39" borderId="0" xfId="0" applyNumberFormat="1" applyFont="1" applyFill="1" applyAlignment="1">
      <alignment vertical="center" wrapText="1"/>
    </xf>
    <xf numFmtId="233" fontId="99" fillId="39" borderId="0" xfId="0" applyNumberFormat="1" applyFont="1" applyFill="1" applyAlignment="1">
      <alignment vertical="center" wrapText="1"/>
    </xf>
    <xf numFmtId="0" fontId="84" fillId="39" borderId="23" xfId="0" applyFont="1" applyFill="1" applyBorder="1" applyAlignment="1">
      <alignment horizontal="center" vertical="center" wrapText="1"/>
    </xf>
    <xf numFmtId="0" fontId="84" fillId="39" borderId="23" xfId="0" applyFont="1" applyFill="1" applyBorder="1" applyAlignment="1">
      <alignment vertical="center" wrapText="1"/>
    </xf>
    <xf numFmtId="168" fontId="84" fillId="39" borderId="23" xfId="0" applyNumberFormat="1" applyFont="1" applyFill="1" applyBorder="1" applyAlignment="1">
      <alignment horizontal="center" vertical="center" wrapText="1"/>
    </xf>
    <xf numFmtId="187" fontId="84" fillId="39" borderId="23" xfId="0" applyNumberFormat="1" applyFont="1" applyFill="1" applyBorder="1" applyAlignment="1">
      <alignment horizontal="center" vertical="center" wrapText="1"/>
    </xf>
    <xf numFmtId="232" fontId="84" fillId="39" borderId="23" xfId="0" applyNumberFormat="1" applyFont="1" applyFill="1" applyBorder="1" applyAlignment="1">
      <alignment horizontal="center" vertical="center" wrapText="1"/>
    </xf>
    <xf numFmtId="4" fontId="84" fillId="39" borderId="23" xfId="0" applyNumberFormat="1" applyFont="1" applyFill="1" applyBorder="1" applyAlignment="1">
      <alignment horizontal="center" vertical="center" wrapText="1"/>
    </xf>
    <xf numFmtId="4" fontId="84" fillId="39" borderId="23" xfId="0" applyNumberFormat="1" applyFont="1" applyFill="1" applyBorder="1" applyAlignment="1">
      <alignment vertical="center" wrapText="1"/>
    </xf>
    <xf numFmtId="0" fontId="56" fillId="39" borderId="23" xfId="0" applyFont="1" applyFill="1" applyBorder="1" applyAlignment="1">
      <alignment horizontal="center" vertical="center" wrapText="1"/>
    </xf>
    <xf numFmtId="0" fontId="56" fillId="39" borderId="23" xfId="0" applyFont="1" applyFill="1" applyBorder="1" applyAlignment="1">
      <alignment vertical="center" wrapText="1"/>
    </xf>
    <xf numFmtId="168" fontId="56" fillId="39" borderId="23" xfId="0" applyNumberFormat="1" applyFont="1" applyFill="1" applyBorder="1" applyAlignment="1">
      <alignment horizontal="center" vertical="center" wrapText="1"/>
    </xf>
    <xf numFmtId="187" fontId="56" fillId="39" borderId="23" xfId="0" applyNumberFormat="1" applyFont="1" applyFill="1" applyBorder="1" applyAlignment="1">
      <alignment horizontal="center" vertical="center" wrapText="1"/>
    </xf>
    <xf numFmtId="232" fontId="56" fillId="39" borderId="23" xfId="0" applyNumberFormat="1" applyFont="1" applyFill="1" applyBorder="1" applyAlignment="1">
      <alignment horizontal="center" vertical="center" wrapText="1"/>
    </xf>
    <xf numFmtId="4" fontId="56" fillId="39" borderId="23" xfId="0" applyNumberFormat="1" applyFont="1" applyFill="1" applyBorder="1" applyAlignment="1">
      <alignment horizontal="center" vertical="center" wrapText="1"/>
    </xf>
    <xf numFmtId="4" fontId="56" fillId="39" borderId="23" xfId="0" applyNumberFormat="1" applyFont="1" applyFill="1" applyBorder="1" applyAlignment="1">
      <alignment vertical="center" wrapText="1"/>
    </xf>
    <xf numFmtId="222" fontId="56" fillId="39" borderId="23" xfId="0" applyNumberFormat="1" applyFont="1" applyFill="1" applyBorder="1" applyAlignment="1">
      <alignment horizontal="center" vertical="center" wrapText="1"/>
    </xf>
    <xf numFmtId="196" fontId="56" fillId="39" borderId="23" xfId="0" applyNumberFormat="1" applyFont="1" applyFill="1" applyBorder="1" applyAlignment="1">
      <alignment horizontal="center" vertical="center" wrapText="1"/>
    </xf>
    <xf numFmtId="234" fontId="56" fillId="39" borderId="23" xfId="0" applyNumberFormat="1" applyFont="1" applyFill="1" applyBorder="1" applyAlignment="1">
      <alignment horizontal="center" vertical="center" wrapText="1"/>
    </xf>
    <xf numFmtId="166" fontId="56" fillId="39" borderId="23" xfId="0" applyNumberFormat="1" applyFont="1" applyFill="1" applyBorder="1" applyAlignment="1">
      <alignment horizontal="center" vertical="center" wrapText="1"/>
    </xf>
    <xf numFmtId="0" fontId="99" fillId="0" borderId="0" xfId="0" applyFont="1" applyFill="1" applyAlignment="1">
      <alignment vertical="center" wrapText="1"/>
    </xf>
    <xf numFmtId="168" fontId="99" fillId="0" borderId="0" xfId="0" applyNumberFormat="1" applyFont="1" applyFill="1" applyAlignment="1">
      <alignment horizontal="center" vertical="center" wrapText="1"/>
    </xf>
    <xf numFmtId="187" fontId="99" fillId="0" borderId="0" xfId="0" applyNumberFormat="1" applyFont="1" applyFill="1" applyAlignment="1">
      <alignment horizontal="center" vertical="center" wrapText="1"/>
    </xf>
    <xf numFmtId="232" fontId="99" fillId="0" borderId="0" xfId="0" applyNumberFormat="1" applyFont="1" applyFill="1" applyAlignment="1">
      <alignment horizontal="center" vertical="center" wrapText="1"/>
    </xf>
    <xf numFmtId="4" fontId="99" fillId="0" borderId="0" xfId="0" applyNumberFormat="1" applyFont="1" applyFill="1" applyAlignment="1">
      <alignment horizontal="center" vertical="center" wrapText="1"/>
    </xf>
    <xf numFmtId="4" fontId="99" fillId="0" borderId="0" xfId="0" applyNumberFormat="1" applyFont="1" applyFill="1" applyAlignment="1">
      <alignment vertical="center" wrapText="1"/>
    </xf>
    <xf numFmtId="233" fontId="99" fillId="0" borderId="0" xfId="0" applyNumberFormat="1" applyFont="1" applyFill="1" applyAlignment="1">
      <alignment vertical="center" wrapText="1"/>
    </xf>
    <xf numFmtId="0" fontId="84" fillId="0" borderId="23" xfId="0" applyFont="1" applyFill="1" applyBorder="1" applyAlignment="1">
      <alignment horizontal="center" vertical="center" wrapText="1"/>
    </xf>
    <xf numFmtId="0" fontId="84" fillId="0" borderId="23" xfId="0" applyFont="1" applyFill="1" applyBorder="1" applyAlignment="1">
      <alignment vertical="center" wrapText="1"/>
    </xf>
    <xf numFmtId="168" fontId="84" fillId="0" borderId="23" xfId="0" applyNumberFormat="1" applyFont="1" applyFill="1" applyBorder="1" applyAlignment="1">
      <alignment horizontal="center" vertical="center" wrapText="1"/>
    </xf>
    <xf numFmtId="187" fontId="84" fillId="0" borderId="23" xfId="0" applyNumberFormat="1" applyFont="1" applyFill="1" applyBorder="1" applyAlignment="1">
      <alignment horizontal="center" vertical="center" wrapText="1"/>
    </xf>
    <xf numFmtId="232" fontId="84" fillId="0" borderId="23" xfId="0" applyNumberFormat="1" applyFont="1" applyFill="1" applyBorder="1" applyAlignment="1">
      <alignment horizontal="center" vertical="center" wrapText="1"/>
    </xf>
    <xf numFmtId="4" fontId="84" fillId="0" borderId="23" xfId="0" applyNumberFormat="1" applyFont="1" applyFill="1" applyBorder="1" applyAlignment="1">
      <alignment horizontal="center" vertical="center" wrapText="1"/>
    </xf>
    <xf numFmtId="4" fontId="84" fillId="0" borderId="23" xfId="0" applyNumberFormat="1" applyFont="1" applyFill="1" applyBorder="1" applyAlignment="1">
      <alignment vertical="center" wrapText="1"/>
    </xf>
    <xf numFmtId="0" fontId="84" fillId="0" borderId="0" xfId="0" applyFont="1" applyFill="1" applyAlignment="1">
      <alignment vertical="center" wrapText="1"/>
    </xf>
    <xf numFmtId="0" fontId="56" fillId="0" borderId="23" xfId="0" applyFont="1" applyFill="1" applyBorder="1" applyAlignment="1">
      <alignment horizontal="center" vertical="center" wrapText="1"/>
    </xf>
    <xf numFmtId="0" fontId="56" fillId="0" borderId="23" xfId="0" applyFont="1" applyFill="1" applyBorder="1" applyAlignment="1">
      <alignment vertical="center" wrapText="1"/>
    </xf>
    <xf numFmtId="222" fontId="56" fillId="0" borderId="23" xfId="0" applyNumberFormat="1" applyFont="1" applyFill="1" applyBorder="1" applyAlignment="1">
      <alignment horizontal="center" vertical="center" wrapText="1"/>
    </xf>
    <xf numFmtId="187" fontId="56" fillId="0" borderId="23" xfId="0" applyNumberFormat="1" applyFont="1" applyFill="1" applyBorder="1" applyAlignment="1">
      <alignment horizontal="center" vertical="center" wrapText="1"/>
    </xf>
    <xf numFmtId="232" fontId="56" fillId="0" borderId="23" xfId="0" applyNumberFormat="1" applyFont="1" applyFill="1" applyBorder="1" applyAlignment="1">
      <alignment horizontal="center" vertical="center" wrapText="1"/>
    </xf>
    <xf numFmtId="196" fontId="56" fillId="0" borderId="23" xfId="0" applyNumberFormat="1" applyFont="1" applyFill="1" applyBorder="1" applyAlignment="1">
      <alignment horizontal="center" vertical="center" wrapText="1"/>
    </xf>
    <xf numFmtId="4" fontId="56" fillId="0" borderId="23" xfId="0" applyNumberFormat="1" applyFont="1" applyFill="1" applyBorder="1" applyAlignment="1">
      <alignment vertical="center" wrapText="1"/>
    </xf>
    <xf numFmtId="0" fontId="56" fillId="0" borderId="0" xfId="0" applyFont="1" applyFill="1" applyAlignment="1">
      <alignment vertical="center" wrapText="1"/>
    </xf>
    <xf numFmtId="168" fontId="56" fillId="0" borderId="23" xfId="0" applyNumberFormat="1" applyFont="1" applyFill="1" applyBorder="1" applyAlignment="1">
      <alignment horizontal="center" vertical="center" wrapText="1"/>
    </xf>
    <xf numFmtId="4" fontId="56" fillId="0" borderId="23" xfId="0" applyNumberFormat="1" applyFont="1" applyFill="1" applyBorder="1" applyAlignment="1">
      <alignment horizontal="center" vertical="center" wrapText="1"/>
    </xf>
    <xf numFmtId="234" fontId="56" fillId="0" borderId="23" xfId="0" applyNumberFormat="1" applyFont="1" applyFill="1" applyBorder="1" applyAlignment="1">
      <alignment horizontal="center" vertical="center" wrapText="1"/>
    </xf>
    <xf numFmtId="166" fontId="56" fillId="0" borderId="23" xfId="0" applyNumberFormat="1" applyFont="1" applyFill="1" applyBorder="1" applyAlignment="1">
      <alignment horizontal="center" vertical="center" wrapText="1"/>
    </xf>
    <xf numFmtId="0" fontId="56" fillId="0" borderId="0" xfId="0" applyFont="1" applyFill="1" applyAlignment="1">
      <alignment horizontal="center" vertical="center" wrapText="1"/>
    </xf>
    <xf numFmtId="168" fontId="56" fillId="0" borderId="0" xfId="0" applyNumberFormat="1" applyFont="1" applyFill="1" applyAlignment="1">
      <alignment horizontal="center" vertical="center" wrapText="1"/>
    </xf>
    <xf numFmtId="187" fontId="56" fillId="0" borderId="0" xfId="0" applyNumberFormat="1" applyFont="1" applyFill="1" applyAlignment="1">
      <alignment horizontal="center" vertical="center" wrapText="1"/>
    </xf>
    <xf numFmtId="232" fontId="56" fillId="0" borderId="0" xfId="0" applyNumberFormat="1" applyFont="1" applyFill="1" applyAlignment="1">
      <alignment horizontal="center" vertical="center" wrapText="1"/>
    </xf>
    <xf numFmtId="4" fontId="56" fillId="0" borderId="0" xfId="0" applyNumberFormat="1" applyFont="1" applyFill="1" applyAlignment="1">
      <alignment horizontal="center" vertical="center" wrapText="1"/>
    </xf>
    <xf numFmtId="4" fontId="56" fillId="0" borderId="0" xfId="0" applyNumberFormat="1" applyFont="1" applyFill="1" applyAlignment="1">
      <alignment vertical="center" wrapText="1"/>
    </xf>
    <xf numFmtId="0" fontId="84" fillId="0" borderId="44" xfId="0" applyFont="1" applyBorder="1" applyAlignment="1">
      <alignment horizontal="center" vertical="center"/>
    </xf>
    <xf numFmtId="0" fontId="84" fillId="0" borderId="43" xfId="0" applyFont="1" applyBorder="1" applyAlignment="1">
      <alignment horizontal="center" vertical="center"/>
    </xf>
    <xf numFmtId="168" fontId="84" fillId="0" borderId="43" xfId="0" applyNumberFormat="1" applyFont="1" applyBorder="1" applyAlignment="1">
      <alignment horizontal="center" vertical="center"/>
    </xf>
    <xf numFmtId="187" fontId="84" fillId="0" borderId="43" xfId="0" applyNumberFormat="1" applyFont="1" applyBorder="1" applyAlignment="1">
      <alignment horizontal="center" vertical="center"/>
    </xf>
    <xf numFmtId="232" fontId="84" fillId="0" borderId="43" xfId="0" applyNumberFormat="1" applyFont="1" applyBorder="1" applyAlignment="1">
      <alignment horizontal="center" vertical="center"/>
    </xf>
    <xf numFmtId="4" fontId="84" fillId="0" borderId="43" xfId="0" applyNumberFormat="1" applyFont="1" applyBorder="1" applyAlignment="1">
      <alignment horizontal="center" vertical="center"/>
    </xf>
    <xf numFmtId="4" fontId="84" fillId="0" borderId="42" xfId="0" applyNumberFormat="1" applyFont="1" applyBorder="1" applyAlignment="1">
      <alignment horizontal="center" vertical="center"/>
    </xf>
    <xf numFmtId="0" fontId="99" fillId="22" borderId="0" xfId="0" applyFont="1" applyFill="1" applyAlignment="1">
      <alignment vertical="center" wrapText="1"/>
    </xf>
    <xf numFmtId="168" fontId="99" fillId="22" borderId="0" xfId="0" applyNumberFormat="1" applyFont="1" applyFill="1" applyAlignment="1">
      <alignment horizontal="center" vertical="center" wrapText="1"/>
    </xf>
    <xf numFmtId="187" fontId="99" fillId="22" borderId="0" xfId="0" applyNumberFormat="1" applyFont="1" applyFill="1" applyAlignment="1">
      <alignment horizontal="center" vertical="center" wrapText="1"/>
    </xf>
    <xf numFmtId="232" fontId="99" fillId="22" borderId="0" xfId="0" applyNumberFormat="1" applyFont="1" applyFill="1" applyAlignment="1">
      <alignment horizontal="center" vertical="center" wrapText="1"/>
    </xf>
    <xf numFmtId="4" fontId="99" fillId="22" borderId="0" xfId="0" applyNumberFormat="1" applyFont="1" applyFill="1" applyAlignment="1">
      <alignment horizontal="center" vertical="center" wrapText="1"/>
    </xf>
    <xf numFmtId="4" fontId="99" fillId="22" borderId="0" xfId="0" applyNumberFormat="1" applyFont="1" applyFill="1" applyAlignment="1">
      <alignment vertical="center" wrapText="1"/>
    </xf>
    <xf numFmtId="233" fontId="99" fillId="22" borderId="0" xfId="0" applyNumberFormat="1" applyFont="1" applyFill="1" applyAlignment="1">
      <alignment vertical="center" wrapText="1"/>
    </xf>
    <xf numFmtId="0" fontId="100" fillId="0" borderId="0" xfId="0" applyFont="1" applyAlignment="1">
      <alignment vertical="center"/>
    </xf>
    <xf numFmtId="0" fontId="101" fillId="0" borderId="0" xfId="0" applyFont="1" applyAlignment="1">
      <alignment vertical="center" wrapText="1"/>
    </xf>
    <xf numFmtId="0" fontId="100" fillId="0" borderId="0" xfId="0" applyFont="1" applyAlignment="1">
      <alignment vertical="center" wrapText="1"/>
    </xf>
    <xf numFmtId="0" fontId="102" fillId="0" borderId="0" xfId="0" applyFont="1" applyAlignment="1">
      <alignment vertical="center" wrapText="1"/>
    </xf>
    <xf numFmtId="0" fontId="103" fillId="0" borderId="0" xfId="0" applyFont="1" applyAlignment="1">
      <alignment vertical="center" wrapText="1"/>
    </xf>
    <xf numFmtId="0" fontId="102" fillId="0" borderId="0" xfId="0" applyFont="1" applyFill="1" applyAlignment="1">
      <alignment vertical="center" wrapText="1"/>
    </xf>
    <xf numFmtId="0" fontId="103" fillId="0" borderId="0" xfId="0" applyFont="1" applyFill="1" applyAlignment="1">
      <alignment vertical="center" wrapText="1"/>
    </xf>
    <xf numFmtId="0" fontId="100" fillId="0" borderId="0" xfId="0" applyFont="1" applyFill="1" applyAlignment="1">
      <alignment vertical="center" wrapText="1"/>
    </xf>
    <xf numFmtId="0" fontId="99" fillId="3" borderId="0" xfId="0" applyFont="1" applyFill="1" applyAlignment="1">
      <alignment horizontal="center" vertical="center" wrapText="1"/>
    </xf>
    <xf numFmtId="0" fontId="99" fillId="0" borderId="0" xfId="0" applyFont="1" applyAlignment="1">
      <alignment horizontal="center" vertical="center" wrapText="1"/>
    </xf>
    <xf numFmtId="233" fontId="102" fillId="0" borderId="0" xfId="0" applyNumberFormat="1" applyFont="1" applyAlignment="1">
      <alignment vertical="center" wrapText="1"/>
    </xf>
    <xf numFmtId="233" fontId="102" fillId="0" borderId="0" xfId="0" applyNumberFormat="1" applyFont="1" applyFill="1" applyAlignment="1">
      <alignment vertical="center" wrapText="1"/>
    </xf>
    <xf numFmtId="0" fontId="17" fillId="33" borderId="0" xfId="0" applyFont="1" applyFill="1" applyAlignment="1">
      <alignment vertical="center" wrapText="1"/>
    </xf>
    <xf numFmtId="168" fontId="17" fillId="33" borderId="0" xfId="0" applyNumberFormat="1" applyFont="1" applyFill="1" applyAlignment="1">
      <alignment horizontal="center" vertical="center" wrapText="1"/>
    </xf>
    <xf numFmtId="187" fontId="17" fillId="33" borderId="0" xfId="0" applyNumberFormat="1" applyFont="1" applyFill="1" applyAlignment="1">
      <alignment horizontal="center" vertical="center" wrapText="1"/>
    </xf>
    <xf numFmtId="232" fontId="17" fillId="33" borderId="0" xfId="0" applyNumberFormat="1" applyFont="1" applyFill="1" applyAlignment="1">
      <alignment horizontal="center" vertical="center" wrapText="1"/>
    </xf>
    <xf numFmtId="4" fontId="17" fillId="33" borderId="0" xfId="0" applyNumberFormat="1" applyFont="1" applyFill="1" applyAlignment="1">
      <alignment horizontal="center" vertical="center" wrapText="1"/>
    </xf>
    <xf numFmtId="4" fontId="17" fillId="33" borderId="0" xfId="0" applyNumberFormat="1" applyFont="1" applyFill="1" applyAlignment="1">
      <alignment horizontal="right" vertical="center"/>
    </xf>
    <xf numFmtId="0" fontId="17" fillId="33" borderId="0" xfId="0" applyNumberFormat="1" applyFont="1" applyFill="1" applyAlignment="1">
      <alignment horizontal="center" vertical="center" wrapText="1"/>
    </xf>
    <xf numFmtId="0" fontId="17" fillId="35" borderId="0" xfId="0" applyFont="1" applyFill="1" applyAlignment="1">
      <alignment vertical="center" wrapText="1"/>
    </xf>
    <xf numFmtId="168" fontId="17" fillId="35" borderId="0" xfId="0" applyNumberFormat="1" applyFont="1" applyFill="1" applyAlignment="1">
      <alignment horizontal="center" vertical="center" wrapText="1"/>
    </xf>
    <xf numFmtId="187" fontId="17" fillId="35" borderId="0" xfId="0" applyNumberFormat="1" applyFont="1" applyFill="1" applyAlignment="1">
      <alignment horizontal="center" vertical="center" wrapText="1"/>
    </xf>
    <xf numFmtId="232" fontId="17" fillId="35" borderId="0" xfId="0" applyNumberFormat="1" applyFont="1" applyFill="1" applyAlignment="1">
      <alignment horizontal="center" vertical="center" wrapText="1"/>
    </xf>
    <xf numFmtId="4" fontId="17" fillId="35" borderId="0" xfId="0" applyNumberFormat="1" applyFont="1" applyFill="1" applyAlignment="1">
      <alignment horizontal="center" vertical="center" wrapText="1"/>
    </xf>
    <xf numFmtId="4" fontId="17" fillId="35" borderId="0" xfId="0" applyNumberFormat="1" applyFont="1" applyFill="1" applyAlignment="1">
      <alignment horizontal="right" vertical="center"/>
    </xf>
    <xf numFmtId="0" fontId="17" fillId="35" borderId="0" xfId="0" applyNumberFormat="1" applyFont="1" applyFill="1" applyAlignment="1">
      <alignment horizontal="center" vertical="center" wrapText="1"/>
    </xf>
    <xf numFmtId="0" fontId="17" fillId="19" borderId="0" xfId="0" applyFont="1" applyFill="1" applyAlignment="1">
      <alignment vertical="center" wrapText="1"/>
    </xf>
    <xf numFmtId="168" fontId="17" fillId="19" borderId="0" xfId="0" applyNumberFormat="1" applyFont="1" applyFill="1" applyAlignment="1">
      <alignment horizontal="center" vertical="center" wrapText="1"/>
    </xf>
    <xf numFmtId="187" fontId="17" fillId="19" borderId="0" xfId="0" applyNumberFormat="1" applyFont="1" applyFill="1" applyAlignment="1">
      <alignment horizontal="center" vertical="center" wrapText="1"/>
    </xf>
    <xf numFmtId="232" fontId="17" fillId="19" borderId="0" xfId="0" applyNumberFormat="1" applyFont="1" applyFill="1" applyAlignment="1">
      <alignment horizontal="center" vertical="center" wrapText="1"/>
    </xf>
    <xf numFmtId="4" fontId="17" fillId="19" borderId="0" xfId="0" applyNumberFormat="1" applyFont="1" applyFill="1" applyAlignment="1">
      <alignment horizontal="center" vertical="center" wrapText="1"/>
    </xf>
    <xf numFmtId="4" fontId="17" fillId="19" borderId="0" xfId="0" applyNumberFormat="1" applyFont="1" applyFill="1" applyAlignment="1">
      <alignment horizontal="right" vertical="center"/>
    </xf>
    <xf numFmtId="0" fontId="17" fillId="19" borderId="0" xfId="0" applyNumberFormat="1" applyFont="1" applyFill="1" applyAlignment="1">
      <alignment horizontal="center" vertical="center" wrapText="1"/>
    </xf>
    <xf numFmtId="4" fontId="56" fillId="0" borderId="0" xfId="0" applyNumberFormat="1" applyFont="1" applyAlignment="1">
      <alignment horizontal="right" vertical="center"/>
    </xf>
    <xf numFmtId="14" fontId="56" fillId="0" borderId="0" xfId="0" applyNumberFormat="1" applyFont="1" applyAlignment="1">
      <alignment horizontal="right" vertical="center"/>
    </xf>
    <xf numFmtId="0" fontId="2" fillId="0" borderId="0" xfId="0" applyFont="1" applyFill="1" applyBorder="1" applyAlignment="1">
      <alignment horizontal="right" vertical="center"/>
    </xf>
    <xf numFmtId="168" fontId="17" fillId="0" borderId="0" xfId="0" applyNumberFormat="1" applyFont="1" applyAlignment="1">
      <alignment horizontal="centerContinuous" vertical="center"/>
    </xf>
    <xf numFmtId="187" fontId="17" fillId="0" borderId="0" xfId="0" applyNumberFormat="1" applyFont="1" applyAlignment="1">
      <alignment horizontal="centerContinuous" vertical="center"/>
    </xf>
    <xf numFmtId="232" fontId="17" fillId="0" borderId="0" xfId="0" applyNumberFormat="1" applyFont="1" applyAlignment="1">
      <alignment horizontal="centerContinuous" vertical="center"/>
    </xf>
    <xf numFmtId="0" fontId="39" fillId="0" borderId="23" xfId="0" applyFont="1" applyFill="1" applyBorder="1" applyAlignment="1">
      <alignment horizontal="center" vertical="center" wrapText="1"/>
    </xf>
    <xf numFmtId="0" fontId="39" fillId="0" borderId="23" xfId="0" applyFont="1" applyFill="1" applyBorder="1" applyAlignment="1">
      <alignment vertical="center" wrapText="1"/>
    </xf>
    <xf numFmtId="222" fontId="39" fillId="0" borderId="23" xfId="0" applyNumberFormat="1" applyFont="1" applyFill="1" applyBorder="1" applyAlignment="1">
      <alignment horizontal="center" vertical="center" wrapText="1"/>
    </xf>
    <xf numFmtId="187" fontId="39" fillId="0" borderId="23" xfId="0" applyNumberFormat="1" applyFont="1" applyFill="1" applyBorder="1" applyAlignment="1">
      <alignment horizontal="center" vertical="center" wrapText="1"/>
    </xf>
    <xf numFmtId="232" fontId="39" fillId="0" borderId="23" xfId="0" applyNumberFormat="1" applyFont="1" applyFill="1" applyBorder="1" applyAlignment="1">
      <alignment horizontal="center" vertical="center" wrapText="1"/>
    </xf>
    <xf numFmtId="196" fontId="39" fillId="0" borderId="23" xfId="0" applyNumberFormat="1" applyFont="1" applyFill="1" applyBorder="1" applyAlignment="1">
      <alignment horizontal="center" vertical="center" wrapText="1"/>
    </xf>
    <xf numFmtId="4" fontId="39" fillId="0" borderId="23" xfId="0" applyNumberFormat="1" applyFont="1" applyFill="1" applyBorder="1" applyAlignment="1">
      <alignment vertical="center" wrapText="1"/>
    </xf>
    <xf numFmtId="0" fontId="104" fillId="0" borderId="0" xfId="0" applyFont="1" applyFill="1" applyAlignment="1">
      <alignment vertical="center" wrapText="1"/>
    </xf>
    <xf numFmtId="0" fontId="39" fillId="0" borderId="0" xfId="0" applyFont="1" applyFill="1" applyAlignment="1">
      <alignment vertical="center" wrapText="1"/>
    </xf>
    <xf numFmtId="168" fontId="39" fillId="0" borderId="23" xfId="0" applyNumberFormat="1" applyFont="1" applyFill="1" applyBorder="1" applyAlignment="1">
      <alignment horizontal="center" vertical="center" wrapText="1"/>
    </xf>
    <xf numFmtId="4" fontId="39" fillId="0" borderId="23" xfId="0" applyNumberFormat="1" applyFont="1" applyFill="1" applyBorder="1" applyAlignment="1">
      <alignment horizontal="center" vertical="center" wrapText="1"/>
    </xf>
    <xf numFmtId="0" fontId="91" fillId="0" borderId="23" xfId="0" applyFont="1" applyFill="1" applyBorder="1" applyAlignment="1">
      <alignment horizontal="center" vertical="center" wrapText="1"/>
    </xf>
    <xf numFmtId="0" fontId="91" fillId="0" borderId="23" xfId="0" applyFont="1" applyFill="1" applyBorder="1" applyAlignment="1">
      <alignment vertical="center" wrapText="1"/>
    </xf>
    <xf numFmtId="168" fontId="91" fillId="0" borderId="23" xfId="0" applyNumberFormat="1" applyFont="1" applyFill="1" applyBorder="1" applyAlignment="1">
      <alignment horizontal="center" vertical="center" wrapText="1"/>
    </xf>
    <xf numFmtId="187" fontId="91" fillId="0" borderId="23" xfId="0" applyNumberFormat="1" applyFont="1" applyFill="1" applyBorder="1" applyAlignment="1">
      <alignment horizontal="center" vertical="center" wrapText="1"/>
    </xf>
    <xf numFmtId="232" fontId="91" fillId="0" borderId="23" xfId="0" applyNumberFormat="1" applyFont="1" applyFill="1" applyBorder="1" applyAlignment="1">
      <alignment horizontal="center" vertical="center" wrapText="1"/>
    </xf>
    <xf numFmtId="4" fontId="91" fillId="0" borderId="23" xfId="0" applyNumberFormat="1" applyFont="1" applyFill="1" applyBorder="1" applyAlignment="1">
      <alignment horizontal="center" vertical="center" wrapText="1"/>
    </xf>
    <xf numFmtId="4" fontId="91" fillId="0" borderId="23" xfId="0" applyNumberFormat="1" applyFont="1" applyFill="1" applyBorder="1" applyAlignment="1">
      <alignment vertical="center" wrapText="1"/>
    </xf>
    <xf numFmtId="0" fontId="105" fillId="0" borderId="0" xfId="0" applyFont="1" applyFill="1" applyAlignment="1">
      <alignment vertical="center" wrapText="1"/>
    </xf>
    <xf numFmtId="0" fontId="91" fillId="0" borderId="0" xfId="0" applyFont="1" applyFill="1" applyAlignment="1">
      <alignment vertical="center" wrapText="1"/>
    </xf>
    <xf numFmtId="234" fontId="39" fillId="0" borderId="23" xfId="0" applyNumberFormat="1" applyFont="1" applyFill="1" applyBorder="1" applyAlignment="1">
      <alignment horizontal="center" vertical="center" wrapText="1"/>
    </xf>
    <xf numFmtId="166" fontId="39" fillId="0" borderId="23" xfId="0" applyNumberFormat="1" applyFont="1" applyFill="1" applyBorder="1" applyAlignment="1">
      <alignment horizontal="center" vertical="center" wrapText="1"/>
    </xf>
    <xf numFmtId="0" fontId="91" fillId="39" borderId="23" xfId="0" applyFont="1" applyFill="1" applyBorder="1" applyAlignment="1">
      <alignment horizontal="center" vertical="center" wrapText="1"/>
    </xf>
    <xf numFmtId="0" fontId="91" fillId="39" borderId="23" xfId="0" applyFont="1" applyFill="1" applyBorder="1" applyAlignment="1">
      <alignment vertical="center" wrapText="1"/>
    </xf>
    <xf numFmtId="168" fontId="91" fillId="39" borderId="23" xfId="0" applyNumberFormat="1" applyFont="1" applyFill="1" applyBorder="1" applyAlignment="1">
      <alignment horizontal="center" vertical="center" wrapText="1"/>
    </xf>
    <xf numFmtId="187" fontId="91" fillId="39" borderId="23" xfId="0" applyNumberFormat="1" applyFont="1" applyFill="1" applyBorder="1" applyAlignment="1">
      <alignment horizontal="center" vertical="center" wrapText="1"/>
    </xf>
    <xf numFmtId="232" fontId="91" fillId="39" borderId="23" xfId="0" applyNumberFormat="1" applyFont="1" applyFill="1" applyBorder="1" applyAlignment="1">
      <alignment horizontal="center" vertical="center" wrapText="1"/>
    </xf>
    <xf numFmtId="4" fontId="91" fillId="39" borderId="23" xfId="0" applyNumberFormat="1" applyFont="1" applyFill="1" applyBorder="1" applyAlignment="1">
      <alignment horizontal="center" vertical="center" wrapText="1"/>
    </xf>
    <xf numFmtId="4" fontId="91" fillId="39" borderId="23" xfId="0" applyNumberFormat="1" applyFont="1" applyFill="1" applyBorder="1" applyAlignment="1">
      <alignment vertical="center" wrapText="1"/>
    </xf>
    <xf numFmtId="0" fontId="39" fillId="39" borderId="23" xfId="0" applyFont="1" applyFill="1" applyBorder="1" applyAlignment="1">
      <alignment horizontal="center" vertical="center" wrapText="1"/>
    </xf>
    <xf numFmtId="0" fontId="39" fillId="39" borderId="23" xfId="0" applyFont="1" applyFill="1" applyBorder="1" applyAlignment="1">
      <alignment vertical="center" wrapText="1"/>
    </xf>
    <xf numFmtId="222" fontId="39" fillId="39" borderId="23" xfId="0" applyNumberFormat="1" applyFont="1" applyFill="1" applyBorder="1" applyAlignment="1">
      <alignment horizontal="center" vertical="center" wrapText="1"/>
    </xf>
    <xf numFmtId="187" fontId="39" fillId="39" borderId="23" xfId="0" applyNumberFormat="1" applyFont="1" applyFill="1" applyBorder="1" applyAlignment="1">
      <alignment horizontal="center" vertical="center" wrapText="1"/>
    </xf>
    <xf numFmtId="232" fontId="39" fillId="39" borderId="23" xfId="0" applyNumberFormat="1" applyFont="1" applyFill="1" applyBorder="1" applyAlignment="1">
      <alignment horizontal="center" vertical="center" wrapText="1"/>
    </xf>
    <xf numFmtId="196" fontId="39" fillId="39" borderId="23" xfId="0" applyNumberFormat="1" applyFont="1" applyFill="1" applyBorder="1" applyAlignment="1">
      <alignment horizontal="center" vertical="center" wrapText="1"/>
    </xf>
    <xf numFmtId="4" fontId="39" fillId="39" borderId="23" xfId="0" applyNumberFormat="1" applyFont="1" applyFill="1" applyBorder="1" applyAlignment="1">
      <alignment vertical="center" wrapText="1"/>
    </xf>
    <xf numFmtId="168" fontId="39" fillId="39" borderId="23" xfId="0" applyNumberFormat="1" applyFont="1" applyFill="1" applyBorder="1" applyAlignment="1">
      <alignment horizontal="center" vertical="center" wrapText="1"/>
    </xf>
    <xf numFmtId="4" fontId="39" fillId="39" borderId="23" xfId="0" applyNumberFormat="1" applyFont="1" applyFill="1" applyBorder="1" applyAlignment="1">
      <alignment horizontal="center" vertical="center" wrapText="1"/>
    </xf>
    <xf numFmtId="234" fontId="39" fillId="39" borderId="23" xfId="0" applyNumberFormat="1" applyFont="1" applyFill="1" applyBorder="1" applyAlignment="1">
      <alignment horizontal="center" vertical="center" wrapText="1"/>
    </xf>
    <xf numFmtId="166" fontId="39" fillId="39" borderId="23" xfId="0" applyNumberFormat="1" applyFont="1" applyFill="1" applyBorder="1" applyAlignment="1">
      <alignment horizontal="center" vertical="center" wrapText="1"/>
    </xf>
    <xf numFmtId="0" fontId="91" fillId="22" borderId="23" xfId="0" applyFont="1" applyFill="1" applyBorder="1" applyAlignment="1">
      <alignment horizontal="center" vertical="center" wrapText="1"/>
    </xf>
    <xf numFmtId="0" fontId="91" fillId="22" borderId="23" xfId="0" applyFont="1" applyFill="1" applyBorder="1" applyAlignment="1">
      <alignment vertical="center" wrapText="1"/>
    </xf>
    <xf numFmtId="168" fontId="91" fillId="22" borderId="23" xfId="0" applyNumberFormat="1" applyFont="1" applyFill="1" applyBorder="1" applyAlignment="1">
      <alignment horizontal="center" vertical="center" wrapText="1"/>
    </xf>
    <xf numFmtId="187" fontId="91" fillId="22" borderId="23" xfId="0" applyNumberFormat="1" applyFont="1" applyFill="1" applyBorder="1" applyAlignment="1">
      <alignment horizontal="center" vertical="center" wrapText="1"/>
    </xf>
    <xf numFmtId="232" fontId="91" fillId="22" borderId="23" xfId="0" applyNumberFormat="1" applyFont="1" applyFill="1" applyBorder="1" applyAlignment="1">
      <alignment horizontal="center" vertical="center" wrapText="1"/>
    </xf>
    <xf numFmtId="4" fontId="91" fillId="22" borderId="23" xfId="0" applyNumberFormat="1" applyFont="1" applyFill="1" applyBorder="1" applyAlignment="1">
      <alignment horizontal="center" vertical="center" wrapText="1"/>
    </xf>
    <xf numFmtId="4" fontId="91" fillId="22" borderId="23" xfId="0" applyNumberFormat="1" applyFont="1" applyFill="1" applyBorder="1" applyAlignment="1">
      <alignment vertical="center" wrapText="1"/>
    </xf>
    <xf numFmtId="0" fontId="39" fillId="22" borderId="23" xfId="0" applyFont="1" applyFill="1" applyBorder="1" applyAlignment="1">
      <alignment horizontal="center" vertical="center" wrapText="1"/>
    </xf>
    <xf numFmtId="0" fontId="39" fillId="22" borderId="23" xfId="0" applyFont="1" applyFill="1" applyBorder="1" applyAlignment="1">
      <alignment vertical="center" wrapText="1"/>
    </xf>
    <xf numFmtId="222" fontId="39" fillId="22" borderId="23" xfId="0" applyNumberFormat="1" applyFont="1" applyFill="1" applyBorder="1" applyAlignment="1">
      <alignment horizontal="center" vertical="center" wrapText="1"/>
    </xf>
    <xf numFmtId="187" fontId="39" fillId="22" borderId="23" xfId="0" applyNumberFormat="1" applyFont="1" applyFill="1" applyBorder="1" applyAlignment="1">
      <alignment horizontal="center" vertical="center" wrapText="1"/>
    </xf>
    <xf numFmtId="232" fontId="39" fillId="22" borderId="23" xfId="0" applyNumberFormat="1" applyFont="1" applyFill="1" applyBorder="1" applyAlignment="1">
      <alignment horizontal="center" vertical="center" wrapText="1"/>
    </xf>
    <xf numFmtId="196" fontId="39" fillId="22" borderId="23" xfId="0" applyNumberFormat="1" applyFont="1" applyFill="1" applyBorder="1" applyAlignment="1">
      <alignment horizontal="center" vertical="center" wrapText="1"/>
    </xf>
    <xf numFmtId="4" fontId="39" fillId="22" borderId="23" xfId="0" applyNumberFormat="1" applyFont="1" applyFill="1" applyBorder="1" applyAlignment="1">
      <alignment vertical="center" wrapText="1"/>
    </xf>
    <xf numFmtId="168" fontId="39" fillId="22" borderId="23" xfId="0" applyNumberFormat="1" applyFont="1" applyFill="1" applyBorder="1" applyAlignment="1">
      <alignment horizontal="center" vertical="center" wrapText="1"/>
    </xf>
    <xf numFmtId="4" fontId="39" fillId="22" borderId="23" xfId="0" applyNumberFormat="1" applyFont="1" applyFill="1" applyBorder="1" applyAlignment="1">
      <alignment horizontal="center" vertical="center" wrapText="1"/>
    </xf>
    <xf numFmtId="234" fontId="39" fillId="22" borderId="23" xfId="0" applyNumberFormat="1" applyFont="1" applyFill="1" applyBorder="1" applyAlignment="1">
      <alignment horizontal="center" vertical="center" wrapText="1"/>
    </xf>
    <xf numFmtId="166" fontId="39" fillId="22" borderId="23" xfId="0" applyNumberFormat="1" applyFont="1" applyFill="1" applyBorder="1" applyAlignment="1">
      <alignment horizontal="center" vertical="center" wrapText="1"/>
    </xf>
    <xf numFmtId="0" fontId="38" fillId="0" borderId="44" xfId="0" applyFont="1" applyBorder="1" applyAlignment="1">
      <alignment horizontal="center" vertical="center"/>
    </xf>
    <xf numFmtId="0" fontId="38" fillId="0" borderId="43" xfId="0" applyFont="1" applyBorder="1" applyAlignment="1">
      <alignment horizontal="center" vertical="center"/>
    </xf>
    <xf numFmtId="0" fontId="38" fillId="0" borderId="42" xfId="0" applyFont="1" applyBorder="1" applyAlignment="1">
      <alignment horizontal="center"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183" fontId="24" fillId="0" borderId="23" xfId="1" applyNumberFormat="1" applyFont="1" applyBorder="1" applyAlignment="1">
      <alignment horizontal="left" vertical="center" wrapText="1"/>
    </xf>
    <xf numFmtId="0" fontId="108" fillId="0" borderId="0" xfId="0" applyFont="1" applyAlignment="1">
      <alignment horizontal="center" vertical="center"/>
    </xf>
    <xf numFmtId="0" fontId="78" fillId="5" borderId="0" xfId="0" applyFont="1" applyFill="1" applyAlignment="1">
      <alignment vertical="center"/>
    </xf>
    <xf numFmtId="191" fontId="33" fillId="0" borderId="0" xfId="10" applyNumberFormat="1" applyFont="1" applyBorder="1" applyAlignment="1">
      <alignment horizontal="right" vertical="center" shrinkToFit="1"/>
    </xf>
    <xf numFmtId="2" fontId="0" fillId="0" borderId="206" xfId="0" applyNumberFormat="1" applyBorder="1" applyAlignment="1">
      <alignment horizontal="center" vertical="center"/>
    </xf>
    <xf numFmtId="1" fontId="0" fillId="0" borderId="206" xfId="0" applyNumberFormat="1" applyBorder="1" applyAlignment="1">
      <alignment horizontal="center" vertical="center"/>
    </xf>
    <xf numFmtId="0" fontId="0" fillId="0" borderId="25" xfId="0" applyBorder="1"/>
    <xf numFmtId="0" fontId="0" fillId="0" borderId="177" xfId="0" applyBorder="1"/>
    <xf numFmtId="215" fontId="72" fillId="22" borderId="34" xfId="8" applyNumberFormat="1" applyFont="1" applyFill="1" applyBorder="1" applyAlignment="1">
      <alignment horizontal="center" vertical="center"/>
    </xf>
    <xf numFmtId="4" fontId="72" fillId="22" borderId="34" xfId="8" applyNumberFormat="1" applyFont="1" applyFill="1" applyBorder="1" applyAlignment="1">
      <alignment vertical="center"/>
    </xf>
    <xf numFmtId="196" fontId="72" fillId="22" borderId="34" xfId="8" applyNumberFormat="1" applyFont="1" applyFill="1" applyBorder="1" applyAlignment="1">
      <alignment vertical="center"/>
    </xf>
    <xf numFmtId="215" fontId="72" fillId="22" borderId="34" xfId="8" applyNumberFormat="1" applyFont="1" applyFill="1" applyBorder="1" applyAlignment="1">
      <alignment horizontal="center" vertical="center" shrinkToFit="1"/>
    </xf>
    <xf numFmtId="1" fontId="72" fillId="22" borderId="34" xfId="8" applyNumberFormat="1" applyFont="1" applyFill="1" applyBorder="1" applyAlignment="1">
      <alignment horizontal="center" vertical="center"/>
    </xf>
    <xf numFmtId="182" fontId="24" fillId="0" borderId="0" xfId="1" applyNumberFormat="1" applyFont="1" applyAlignment="1">
      <alignment vertical="center"/>
    </xf>
    <xf numFmtId="4" fontId="24" fillId="0" borderId="0" xfId="1" applyNumberFormat="1" applyFont="1" applyAlignment="1">
      <alignment horizontal="right" vertical="center" wrapText="1"/>
    </xf>
    <xf numFmtId="4" fontId="24" fillId="0" borderId="0" xfId="19" applyNumberFormat="1" applyFont="1" applyAlignment="1">
      <alignment horizontal="right" vertical="center" wrapText="1"/>
    </xf>
    <xf numFmtId="4" fontId="24" fillId="0" borderId="0" xfId="19" applyNumberFormat="1" applyFont="1" applyFill="1" applyAlignment="1">
      <alignment vertical="center"/>
    </xf>
    <xf numFmtId="0" fontId="112" fillId="0" borderId="0" xfId="19" applyNumberFormat="1" applyFont="1" applyAlignment="1">
      <alignment horizontal="right" vertical="center"/>
    </xf>
    <xf numFmtId="0" fontId="113" fillId="0" borderId="0" xfId="29"/>
    <xf numFmtId="0" fontId="74" fillId="0" borderId="0" xfId="29" applyFont="1"/>
    <xf numFmtId="4" fontId="113" fillId="0" borderId="0" xfId="29" applyNumberFormat="1"/>
    <xf numFmtId="196" fontId="113" fillId="0" borderId="0" xfId="29" applyNumberFormat="1"/>
    <xf numFmtId="4" fontId="29" fillId="0" borderId="0" xfId="29" applyNumberFormat="1" applyFont="1" applyAlignment="1">
      <alignment horizontal="left"/>
    </xf>
    <xf numFmtId="2" fontId="29" fillId="0" borderId="0" xfId="29" applyNumberFormat="1" applyFont="1" applyAlignment="1">
      <alignment horizontal="left"/>
    </xf>
    <xf numFmtId="4" fontId="113" fillId="0" borderId="0" xfId="29" applyNumberFormat="1" applyAlignment="1">
      <alignment horizontal="left"/>
    </xf>
    <xf numFmtId="0" fontId="113" fillId="0" borderId="0" xfId="29" applyAlignment="1">
      <alignment horizontal="left"/>
    </xf>
    <xf numFmtId="0" fontId="29" fillId="0" borderId="0" xfId="29" applyFont="1" applyAlignment="1">
      <alignment horizontal="left"/>
    </xf>
    <xf numFmtId="0" fontId="83" fillId="0" borderId="0" xfId="29" applyFont="1"/>
    <xf numFmtId="4" fontId="83" fillId="0" borderId="0" xfId="29" applyNumberFormat="1" applyFont="1"/>
    <xf numFmtId="196" fontId="83" fillId="0" borderId="0" xfId="29" applyNumberFormat="1" applyFont="1"/>
    <xf numFmtId="4" fontId="83" fillId="0" borderId="0" xfId="29" applyNumberFormat="1" applyFont="1" applyAlignment="1">
      <alignment horizontal="left"/>
    </xf>
    <xf numFmtId="2" fontId="83" fillId="0" borderId="0" xfId="29" applyNumberFormat="1" applyFont="1" applyAlignment="1">
      <alignment horizontal="left"/>
    </xf>
    <xf numFmtId="0" fontId="83" fillId="0" borderId="0" xfId="29" applyFont="1" applyAlignment="1">
      <alignment horizontal="left"/>
    </xf>
    <xf numFmtId="0" fontId="83" fillId="0" borderId="105" xfId="29" applyFont="1" applyBorder="1"/>
    <xf numFmtId="0" fontId="83" fillId="0" borderId="27" xfId="29" applyFont="1" applyBorder="1" applyAlignment="1">
      <alignment horizontal="left"/>
    </xf>
    <xf numFmtId="4" fontId="83" fillId="0" borderId="200" xfId="29" applyNumberFormat="1" applyFont="1" applyBorder="1"/>
    <xf numFmtId="196" fontId="83" fillId="0" borderId="203" xfId="29" applyNumberFormat="1" applyFont="1" applyBorder="1"/>
    <xf numFmtId="2" fontId="54" fillId="0" borderId="201" xfId="29" applyNumberFormat="1" applyFont="1" applyBorder="1" applyAlignment="1">
      <alignment horizontal="center" vertical="center"/>
    </xf>
    <xf numFmtId="0" fontId="54" fillId="0" borderId="199" xfId="29" applyFont="1" applyBorder="1" applyAlignment="1">
      <alignment horizontal="left"/>
    </xf>
    <xf numFmtId="0" fontId="83" fillId="0" borderId="172" xfId="29" applyFont="1" applyBorder="1"/>
    <xf numFmtId="4" fontId="83" fillId="0" borderId="12" xfId="29" applyNumberFormat="1" applyFont="1" applyBorder="1" applyAlignment="1">
      <alignment horizontal="center" vertical="center"/>
    </xf>
    <xf numFmtId="4" fontId="83" fillId="0" borderId="197" xfId="29" applyNumberFormat="1" applyFont="1" applyBorder="1" applyAlignment="1">
      <alignment horizontal="center" vertical="center"/>
    </xf>
    <xf numFmtId="4" fontId="83" fillId="0" borderId="196" xfId="29" applyNumberFormat="1" applyFont="1" applyBorder="1" applyAlignment="1">
      <alignment horizontal="center" vertical="center"/>
    </xf>
    <xf numFmtId="196" fontId="83" fillId="0" borderId="198" xfId="29" applyNumberFormat="1" applyFont="1" applyBorder="1" applyAlignment="1">
      <alignment horizontal="center" vertical="center"/>
    </xf>
    <xf numFmtId="2" fontId="83" fillId="0" borderId="196" xfId="29" quotePrefix="1" applyNumberFormat="1" applyFont="1" applyBorder="1" applyAlignment="1">
      <alignment horizontal="center" vertical="center"/>
    </xf>
    <xf numFmtId="4" fontId="83" fillId="0" borderId="195" xfId="29" quotePrefix="1" applyNumberFormat="1" applyFont="1" applyBorder="1" applyAlignment="1">
      <alignment horizontal="center" vertical="center"/>
    </xf>
    <xf numFmtId="2" fontId="83" fillId="0" borderId="194" xfId="29" applyNumberFormat="1" applyFont="1" applyBorder="1" applyAlignment="1">
      <alignment horizontal="center" vertical="center"/>
    </xf>
    <xf numFmtId="2" fontId="83" fillId="0" borderId="196" xfId="29" applyNumberFormat="1" applyFont="1" applyBorder="1" applyAlignment="1">
      <alignment horizontal="center" vertical="center"/>
    </xf>
    <xf numFmtId="3" fontId="83" fillId="0" borderId="195" xfId="29" applyNumberFormat="1" applyFont="1" applyBorder="1" applyAlignment="1">
      <alignment horizontal="center" vertical="center"/>
    </xf>
    <xf numFmtId="0" fontId="54" fillId="0" borderId="172" xfId="29" applyFont="1" applyBorder="1" applyAlignment="1">
      <alignment horizontal="center" vertical="center"/>
    </xf>
    <xf numFmtId="0" fontId="83" fillId="0" borderId="172" xfId="29" applyFont="1" applyBorder="1" applyAlignment="1">
      <alignment horizontal="center" vertical="center"/>
    </xf>
    <xf numFmtId="0" fontId="83" fillId="0" borderId="195" xfId="29" applyFont="1" applyBorder="1" applyAlignment="1">
      <alignment horizontal="center" vertical="center"/>
    </xf>
    <xf numFmtId="0" fontId="83" fillId="0" borderId="197" xfId="29" applyFont="1" applyBorder="1" applyAlignment="1">
      <alignment horizontal="center" vertical="center"/>
    </xf>
    <xf numFmtId="4" fontId="83" fillId="0" borderId="12" xfId="29" applyNumberFormat="1" applyFont="1" applyBorder="1" applyAlignment="1">
      <alignment horizontal="center" vertical="center" wrapText="1"/>
    </xf>
    <xf numFmtId="4" fontId="83" fillId="0" borderId="197" xfId="29" applyNumberFormat="1" applyFont="1" applyBorder="1" applyAlignment="1">
      <alignment horizontal="center"/>
    </xf>
    <xf numFmtId="2" fontId="83" fillId="0" borderId="196" xfId="29" applyNumberFormat="1" applyFont="1" applyBorder="1" applyAlignment="1">
      <alignment horizontal="center"/>
    </xf>
    <xf numFmtId="4" fontId="83" fillId="0" borderId="195" xfId="29" applyNumberFormat="1" applyFont="1" applyBorder="1" applyAlignment="1">
      <alignment horizontal="center"/>
    </xf>
    <xf numFmtId="0" fontId="83" fillId="0" borderId="194" xfId="29" applyFont="1" applyBorder="1" applyAlignment="1">
      <alignment horizontal="center"/>
    </xf>
    <xf numFmtId="0" fontId="83" fillId="0" borderId="196" xfId="29" applyFont="1" applyBorder="1" applyAlignment="1">
      <alignment horizontal="center"/>
    </xf>
    <xf numFmtId="4" fontId="83" fillId="0" borderId="196" xfId="29" applyNumberFormat="1" applyFont="1" applyBorder="1" applyAlignment="1">
      <alignment horizontal="center"/>
    </xf>
    <xf numFmtId="4" fontId="83" fillId="0" borderId="197" xfId="29" applyNumberFormat="1" applyFont="1" applyBorder="1" applyAlignment="1">
      <alignment horizontal="centerContinuous"/>
    </xf>
    <xf numFmtId="0" fontId="83" fillId="0" borderId="12" xfId="29" applyFont="1" applyBorder="1" applyAlignment="1">
      <alignment horizontal="center" vertical="center"/>
    </xf>
    <xf numFmtId="4" fontId="83" fillId="0" borderId="191" xfId="29" applyNumberFormat="1" applyFont="1" applyBorder="1" applyAlignment="1">
      <alignment horizontal="centerContinuous" vertical="center"/>
    </xf>
    <xf numFmtId="0" fontId="113" fillId="0" borderId="0" xfId="29" applyAlignment="1">
      <alignment vertical="center"/>
    </xf>
    <xf numFmtId="0" fontId="93" fillId="0" borderId="7" xfId="29" applyFont="1" applyBorder="1"/>
    <xf numFmtId="2" fontId="83" fillId="0" borderId="197" xfId="29" applyNumberFormat="1" applyFont="1" applyBorder="1" applyAlignment="1">
      <alignment horizontal="center" vertical="center"/>
    </xf>
    <xf numFmtId="4" fontId="83" fillId="0" borderId="191" xfId="29" applyNumberFormat="1" applyFont="1" applyBorder="1" applyAlignment="1">
      <alignment horizontal="center" vertical="center"/>
    </xf>
    <xf numFmtId="4" fontId="83" fillId="0" borderId="190" xfId="29" applyNumberFormat="1" applyFont="1" applyBorder="1" applyAlignment="1">
      <alignment horizontal="center" vertical="center"/>
    </xf>
    <xf numFmtId="4" fontId="83" fillId="0" borderId="189" xfId="29" quotePrefix="1" applyNumberFormat="1" applyFont="1" applyBorder="1" applyAlignment="1">
      <alignment horizontal="center" vertical="center"/>
    </xf>
    <xf numFmtId="2" fontId="83" fillId="0" borderId="188" xfId="29" applyNumberFormat="1" applyFont="1" applyBorder="1" applyAlignment="1">
      <alignment horizontal="center" vertical="center"/>
    </xf>
    <xf numFmtId="2" fontId="83" fillId="0" borderId="190" xfId="29" applyNumberFormat="1" applyFont="1" applyBorder="1" applyAlignment="1">
      <alignment horizontal="center" vertical="center"/>
    </xf>
    <xf numFmtId="0" fontId="83" fillId="0" borderId="27" xfId="29" applyFont="1" applyBorder="1" applyAlignment="1">
      <alignment horizontal="center" vertical="center"/>
    </xf>
    <xf numFmtId="0" fontId="83" fillId="0" borderId="202" xfId="29" applyFont="1" applyBorder="1" applyAlignment="1">
      <alignment horizontal="center" vertical="center"/>
    </xf>
    <xf numFmtId="0" fontId="83" fillId="0" borderId="7" xfId="29" applyFont="1" applyBorder="1" applyAlignment="1">
      <alignment horizontal="center" vertical="center"/>
    </xf>
    <xf numFmtId="4" fontId="83" fillId="0" borderId="216" xfId="29" applyNumberFormat="1" applyFont="1" applyBorder="1" applyAlignment="1">
      <alignment horizontal="centerContinuous" vertical="center"/>
    </xf>
    <xf numFmtId="0" fontId="83" fillId="0" borderId="0" xfId="29" applyFont="1" applyAlignment="1">
      <alignment vertical="center"/>
    </xf>
    <xf numFmtId="186" fontId="45" fillId="0" borderId="0" xfId="29" applyNumberFormat="1" applyFont="1" applyAlignment="1">
      <alignment vertical="center"/>
    </xf>
    <xf numFmtId="185" fontId="45" fillId="0" borderId="0" xfId="29" applyNumberFormat="1" applyFont="1" applyAlignment="1">
      <alignment vertical="center"/>
    </xf>
    <xf numFmtId="4" fontId="83" fillId="0" borderId="195" xfId="29" applyNumberFormat="1" applyFont="1" applyBorder="1" applyAlignment="1">
      <alignment horizontal="center" vertical="center"/>
    </xf>
    <xf numFmtId="4" fontId="83" fillId="0" borderId="212" xfId="29" applyNumberFormat="1" applyFont="1" applyBorder="1" applyAlignment="1">
      <alignment horizontal="centerContinuous" vertical="center"/>
    </xf>
    <xf numFmtId="4" fontId="83" fillId="0" borderId="212" xfId="29" applyNumberFormat="1" applyFont="1" applyBorder="1" applyAlignment="1">
      <alignment horizontal="center" vertical="center"/>
    </xf>
    <xf numFmtId="4" fontId="83" fillId="0" borderId="200" xfId="29" applyNumberFormat="1" applyFont="1" applyBorder="1" applyAlignment="1">
      <alignment horizontal="center" vertical="center"/>
    </xf>
    <xf numFmtId="0" fontId="83" fillId="0" borderId="200" xfId="29" applyFont="1" applyBorder="1" applyAlignment="1">
      <alignment horizontal="center" vertical="center"/>
    </xf>
    <xf numFmtId="4" fontId="83" fillId="0" borderId="199" xfId="29" applyNumberFormat="1" applyFont="1" applyBorder="1" applyAlignment="1">
      <alignment horizontal="center" vertical="center"/>
    </xf>
    <xf numFmtId="2" fontId="83" fillId="0" borderId="200" xfId="29" applyNumberFormat="1" applyFont="1" applyBorder="1" applyAlignment="1">
      <alignment horizontal="center" vertical="center"/>
    </xf>
    <xf numFmtId="4" fontId="83" fillId="0" borderId="202" xfId="29" applyNumberFormat="1" applyFont="1" applyBorder="1" applyAlignment="1">
      <alignment horizontal="center" vertical="center"/>
    </xf>
    <xf numFmtId="4" fontId="83" fillId="0" borderId="211" xfId="29" applyNumberFormat="1" applyFont="1" applyBorder="1" applyAlignment="1">
      <alignment horizontal="center" vertical="center"/>
    </xf>
    <xf numFmtId="0" fontId="83" fillId="0" borderId="172" xfId="29" applyFont="1" applyBorder="1" applyAlignment="1">
      <alignment vertical="center"/>
    </xf>
    <xf numFmtId="0" fontId="54" fillId="0" borderId="199" xfId="29" applyFont="1" applyBorder="1" applyAlignment="1">
      <alignment horizontal="left" vertical="center"/>
    </xf>
    <xf numFmtId="196" fontId="83" fillId="0" borderId="203" xfId="29" applyNumberFormat="1" applyFont="1" applyBorder="1" applyAlignment="1">
      <alignment vertical="center"/>
    </xf>
    <xf numFmtId="4" fontId="83" fillId="0" borderId="200" xfId="29" applyNumberFormat="1" applyFont="1" applyBorder="1" applyAlignment="1">
      <alignment vertical="center"/>
    </xf>
    <xf numFmtId="0" fontId="83" fillId="0" borderId="27" xfId="29" applyFont="1" applyBorder="1" applyAlignment="1">
      <alignment horizontal="left" vertical="center"/>
    </xf>
    <xf numFmtId="0" fontId="83" fillId="0" borderId="105" xfId="29" applyFont="1" applyBorder="1" applyAlignment="1">
      <alignment vertical="center"/>
    </xf>
    <xf numFmtId="186" fontId="114" fillId="0" borderId="0" xfId="29" applyNumberFormat="1" applyFont="1" applyAlignment="1">
      <alignment vertical="center"/>
    </xf>
    <xf numFmtId="185" fontId="114" fillId="0" borderId="0" xfId="29" applyNumberFormat="1" applyFont="1" applyAlignment="1">
      <alignment vertical="center"/>
    </xf>
    <xf numFmtId="0" fontId="83" fillId="0" borderId="0" xfId="29" applyFont="1" applyAlignment="1">
      <alignment horizontal="left" vertical="center"/>
    </xf>
    <xf numFmtId="4" fontId="83" fillId="0" borderId="0" xfId="29" applyNumberFormat="1" applyFont="1" applyAlignment="1">
      <alignment horizontal="left" vertical="center"/>
    </xf>
    <xf numFmtId="2" fontId="83" fillId="0" borderId="0" xfId="29" applyNumberFormat="1" applyFont="1" applyAlignment="1">
      <alignment horizontal="left" vertical="center"/>
    </xf>
    <xf numFmtId="4" fontId="83" fillId="0" borderId="0" xfId="29" applyNumberFormat="1" applyFont="1" applyAlignment="1">
      <alignment vertical="center"/>
    </xf>
    <xf numFmtId="196" fontId="83" fillId="0" borderId="0" xfId="29" applyNumberFormat="1" applyFont="1" applyAlignment="1">
      <alignment vertical="center"/>
    </xf>
    <xf numFmtId="186" fontId="114" fillId="0" borderId="0" xfId="29" applyNumberFormat="1" applyFont="1" applyAlignment="1">
      <alignment horizontal="centerContinuous" vertical="center"/>
    </xf>
    <xf numFmtId="185" fontId="114" fillId="0" borderId="0" xfId="29" applyNumberFormat="1" applyFont="1" applyAlignment="1">
      <alignment horizontal="centerContinuous" vertical="center"/>
    </xf>
    <xf numFmtId="186" fontId="114" fillId="0" borderId="0" xfId="29" applyNumberFormat="1" applyFont="1" applyAlignment="1">
      <alignment horizontal="center" vertical="center"/>
    </xf>
    <xf numFmtId="185" fontId="114" fillId="0" borderId="0" xfId="29" applyNumberFormat="1" applyFont="1" applyAlignment="1">
      <alignment horizontal="center" vertical="center"/>
    </xf>
    <xf numFmtId="0" fontId="54" fillId="0" borderId="0" xfId="29" applyFont="1" applyAlignment="1">
      <alignment vertical="center"/>
    </xf>
    <xf numFmtId="0" fontId="83" fillId="0" borderId="0" xfId="29" applyFont="1" applyAlignment="1">
      <alignment horizontal="right" vertical="center"/>
    </xf>
    <xf numFmtId="235" fontId="114" fillId="0" borderId="0" xfId="29" applyNumberFormat="1" applyFont="1" applyAlignment="1">
      <alignment vertical="center"/>
    </xf>
    <xf numFmtId="196" fontId="88" fillId="5" borderId="210" xfId="29" applyNumberFormat="1" applyFont="1" applyFill="1" applyBorder="1" applyAlignment="1">
      <alignment horizontal="center" vertical="center"/>
    </xf>
    <xf numFmtId="196" fontId="88" fillId="5" borderId="198" xfId="29" applyNumberFormat="1" applyFont="1" applyFill="1" applyBorder="1" applyAlignment="1">
      <alignment horizontal="center" vertical="center"/>
    </xf>
    <xf numFmtId="0" fontId="83" fillId="5" borderId="172" xfId="29" applyFont="1" applyFill="1" applyBorder="1"/>
    <xf numFmtId="0" fontId="83" fillId="5" borderId="172" xfId="29" applyFont="1" applyFill="1" applyBorder="1" applyAlignment="1">
      <alignment vertical="center"/>
    </xf>
    <xf numFmtId="236" fontId="24" fillId="0" borderId="23" xfId="1" applyNumberFormat="1" applyFont="1" applyBorder="1" applyAlignment="1">
      <alignment horizontal="left" vertical="center" wrapText="1"/>
    </xf>
    <xf numFmtId="0" fontId="115" fillId="5" borderId="0" xfId="0" applyFont="1" applyFill="1" applyAlignment="1">
      <alignment horizontal="center" vertical="center"/>
    </xf>
    <xf numFmtId="4" fontId="31" fillId="0" borderId="0" xfId="0" applyNumberFormat="1" applyFont="1" applyAlignment="1">
      <alignment horizontal="center" vertical="center" shrinkToFit="1"/>
    </xf>
    <xf numFmtId="4" fontId="31" fillId="0" borderId="0" xfId="0" applyNumberFormat="1" applyFont="1" applyFill="1" applyAlignment="1">
      <alignment horizontal="center" vertical="center" shrinkToFit="1"/>
    </xf>
    <xf numFmtId="4" fontId="30" fillId="0" borderId="0" xfId="0" applyNumberFormat="1" applyFont="1" applyFill="1" applyAlignment="1">
      <alignment horizontal="center" vertical="center" shrinkToFit="1"/>
    </xf>
    <xf numFmtId="167" fontId="37" fillId="0" borderId="4" xfId="16" applyFont="1" applyFill="1" applyBorder="1" applyAlignment="1">
      <alignment vertical="center" wrapText="1"/>
    </xf>
    <xf numFmtId="4" fontId="0" fillId="0" borderId="14" xfId="0" applyNumberFormat="1" applyBorder="1" applyAlignment="1">
      <alignment vertical="center"/>
    </xf>
    <xf numFmtId="4" fontId="0" fillId="0" borderId="23" xfId="0" applyNumberFormat="1" applyBorder="1" applyAlignment="1">
      <alignment vertical="center"/>
    </xf>
    <xf numFmtId="0" fontId="0" fillId="40" borderId="22" xfId="0" applyFill="1" applyBorder="1" applyAlignment="1">
      <alignment vertical="center"/>
    </xf>
    <xf numFmtId="0" fontId="0" fillId="40" borderId="23" xfId="0" applyFill="1" applyBorder="1" applyAlignment="1">
      <alignment vertical="center"/>
    </xf>
    <xf numFmtId="4" fontId="0" fillId="40" borderId="23" xfId="0" applyNumberFormat="1" applyFill="1" applyBorder="1" applyAlignment="1">
      <alignment vertical="center"/>
    </xf>
    <xf numFmtId="0" fontId="0" fillId="40" borderId="24" xfId="0" applyFill="1" applyBorder="1" applyAlignment="1">
      <alignment vertical="center"/>
    </xf>
    <xf numFmtId="0" fontId="0" fillId="40" borderId="16" xfId="0" applyFill="1" applyBorder="1" applyAlignment="1">
      <alignment vertical="center"/>
    </xf>
    <xf numFmtId="0" fontId="0" fillId="40" borderId="17" xfId="0" applyFill="1" applyBorder="1" applyAlignment="1">
      <alignment vertical="center"/>
    </xf>
    <xf numFmtId="4" fontId="0" fillId="40" borderId="17" xfId="0" applyNumberFormat="1" applyFill="1" applyBorder="1" applyAlignment="1">
      <alignment vertical="center"/>
    </xf>
    <xf numFmtId="0" fontId="0" fillId="40" borderId="18" xfId="0" applyFill="1" applyBorder="1" applyAlignment="1">
      <alignment vertical="center"/>
    </xf>
    <xf numFmtId="4" fontId="90" fillId="5" borderId="38" xfId="10" applyNumberFormat="1" applyFont="1" applyFill="1" applyBorder="1" applyAlignment="1">
      <alignment horizontal="center" vertical="center" wrapText="1"/>
    </xf>
    <xf numFmtId="187" fontId="116" fillId="5" borderId="23" xfId="1" applyNumberFormat="1" applyFont="1" applyFill="1" applyBorder="1" applyAlignment="1">
      <alignment horizontal="center" vertical="center" wrapText="1"/>
    </xf>
    <xf numFmtId="4" fontId="24" fillId="5" borderId="24" xfId="1" applyNumberFormat="1" applyFont="1" applyFill="1" applyBorder="1" applyAlignment="1">
      <alignment vertical="center" wrapText="1"/>
    </xf>
    <xf numFmtId="0" fontId="30" fillId="0" borderId="0" xfId="0" applyNumberFormat="1" applyFont="1" applyAlignment="1">
      <alignment vertical="center"/>
    </xf>
    <xf numFmtId="0" fontId="117" fillId="0" borderId="0" xfId="1" applyNumberFormat="1" applyFont="1" applyAlignment="1">
      <alignment horizontal="right" vertical="center" wrapText="1"/>
    </xf>
    <xf numFmtId="0" fontId="117" fillId="0" borderId="0" xfId="1" applyNumberFormat="1" applyFont="1" applyAlignment="1">
      <alignment vertical="center"/>
    </xf>
    <xf numFmtId="4" fontId="118" fillId="0" borderId="0" xfId="1" applyNumberFormat="1" applyFont="1" applyAlignment="1">
      <alignment vertical="center" wrapText="1"/>
    </xf>
    <xf numFmtId="166" fontId="118" fillId="0" borderId="0" xfId="1" applyNumberFormat="1" applyFont="1" applyAlignment="1">
      <alignment vertical="center" wrapText="1"/>
    </xf>
    <xf numFmtId="0" fontId="119" fillId="0" borderId="0" xfId="1" applyNumberFormat="1" applyFont="1" applyAlignment="1">
      <alignment horizontal="right" vertical="center" wrapText="1"/>
    </xf>
    <xf numFmtId="0" fontId="119" fillId="0" borderId="0" xfId="1" applyNumberFormat="1" applyFont="1" applyAlignment="1">
      <alignment vertical="center"/>
    </xf>
    <xf numFmtId="4" fontId="120" fillId="0" borderId="0" xfId="1" applyNumberFormat="1" applyFont="1" applyAlignment="1">
      <alignment vertical="center" wrapText="1"/>
    </xf>
    <xf numFmtId="166" fontId="120" fillId="0" borderId="0" xfId="1" applyNumberFormat="1" applyFont="1" applyAlignment="1">
      <alignment vertical="center" wrapText="1"/>
    </xf>
    <xf numFmtId="0" fontId="121" fillId="0" borderId="0" xfId="1" applyNumberFormat="1" applyFont="1" applyAlignment="1">
      <alignment vertical="center"/>
    </xf>
    <xf numFmtId="4" fontId="122" fillId="0" borderId="0" xfId="1" applyNumberFormat="1" applyFont="1" applyAlignment="1">
      <alignment vertical="center" wrapText="1"/>
    </xf>
    <xf numFmtId="166" fontId="122" fillId="0" borderId="0" xfId="1" applyNumberFormat="1" applyFont="1" applyAlignment="1">
      <alignment vertical="center" wrapText="1"/>
    </xf>
    <xf numFmtId="0" fontId="121" fillId="39" borderId="0" xfId="1" applyNumberFormat="1" applyFont="1" applyFill="1" applyAlignment="1">
      <alignment horizontal="right" vertical="center" wrapText="1"/>
    </xf>
    <xf numFmtId="0" fontId="121" fillId="39" borderId="0" xfId="1" applyNumberFormat="1" applyFont="1" applyFill="1" applyAlignment="1">
      <alignment vertical="center"/>
    </xf>
    <xf numFmtId="4" fontId="122" fillId="39" borderId="0" xfId="1" applyNumberFormat="1" applyFont="1" applyFill="1" applyAlignment="1">
      <alignment vertical="center" wrapText="1"/>
    </xf>
    <xf numFmtId="166" fontId="122" fillId="39" borderId="0" xfId="1" applyNumberFormat="1" applyFont="1" applyFill="1" applyAlignment="1">
      <alignment vertical="center" wrapText="1"/>
    </xf>
    <xf numFmtId="0" fontId="121" fillId="33" borderId="0" xfId="1" applyNumberFormat="1" applyFont="1" applyFill="1" applyAlignment="1">
      <alignment horizontal="right" vertical="center" wrapText="1"/>
    </xf>
    <xf numFmtId="0" fontId="121" fillId="33" borderId="0" xfId="1" applyNumberFormat="1" applyFont="1" applyFill="1" applyAlignment="1">
      <alignment vertical="center"/>
    </xf>
    <xf numFmtId="4" fontId="122" fillId="33" borderId="0" xfId="1" applyNumberFormat="1" applyFont="1" applyFill="1" applyAlignment="1">
      <alignment vertical="center" wrapText="1"/>
    </xf>
    <xf numFmtId="166" fontId="122" fillId="33" borderId="0" xfId="1" applyNumberFormat="1" applyFont="1" applyFill="1" applyAlignment="1">
      <alignment vertical="center" wrapText="1"/>
    </xf>
    <xf numFmtId="0" fontId="123" fillId="41" borderId="0" xfId="1" applyNumberFormat="1" applyFont="1" applyFill="1" applyAlignment="1">
      <alignment horizontal="right" vertical="center" wrapText="1"/>
    </xf>
    <xf numFmtId="0" fontId="123" fillId="41" borderId="0" xfId="1" applyNumberFormat="1" applyFont="1" applyFill="1" applyAlignment="1">
      <alignment vertical="center"/>
    </xf>
    <xf numFmtId="4" fontId="124" fillId="41" borderId="0" xfId="1" applyNumberFormat="1" applyFont="1" applyFill="1" applyAlignment="1">
      <alignment vertical="center" wrapText="1"/>
    </xf>
    <xf numFmtId="166" fontId="124" fillId="41" borderId="0" xfId="1" applyNumberFormat="1" applyFont="1" applyFill="1" applyAlignment="1">
      <alignment vertical="center" wrapText="1"/>
    </xf>
    <xf numFmtId="0" fontId="31" fillId="0" borderId="0" xfId="0" applyFont="1" applyAlignment="1">
      <alignment vertical="center"/>
    </xf>
    <xf numFmtId="4" fontId="31" fillId="0" borderId="0" xfId="0" applyNumberFormat="1" applyFont="1" applyAlignment="1">
      <alignment horizontal="center" vertical="center"/>
    </xf>
    <xf numFmtId="0" fontId="30" fillId="0" borderId="0" xfId="0" applyFont="1" applyAlignment="1">
      <alignment horizontal="right" vertical="center"/>
    </xf>
    <xf numFmtId="0" fontId="31" fillId="0" borderId="0" xfId="0" applyFont="1" applyAlignment="1">
      <alignment horizontal="centerContinuous" vertical="center"/>
    </xf>
    <xf numFmtId="4" fontId="31" fillId="0" borderId="0" xfId="0" applyNumberFormat="1" applyFont="1" applyAlignment="1">
      <alignment horizontal="centerContinuous" vertical="center"/>
    </xf>
    <xf numFmtId="0" fontId="79" fillId="0" borderId="0" xfId="0" applyFont="1" applyAlignment="1">
      <alignment vertical="center"/>
    </xf>
    <xf numFmtId="0" fontId="31" fillId="0" borderId="13" xfId="0" applyNumberFormat="1" applyFont="1" applyBorder="1" applyAlignment="1">
      <alignment vertical="center"/>
    </xf>
    <xf numFmtId="0" fontId="31" fillId="0" borderId="14" xfId="0" applyNumberFormat="1" applyFont="1" applyBorder="1" applyAlignment="1">
      <alignment horizontal="center" vertical="center"/>
    </xf>
    <xf numFmtId="0" fontId="31" fillId="0" borderId="15" xfId="0" applyNumberFormat="1" applyFont="1" applyBorder="1" applyAlignment="1">
      <alignment horizontal="center" vertical="center"/>
    </xf>
    <xf numFmtId="0" fontId="31" fillId="0" borderId="22" xfId="0" applyNumberFormat="1" applyFont="1" applyBorder="1" applyAlignment="1">
      <alignment vertical="center"/>
    </xf>
    <xf numFmtId="0" fontId="31" fillId="0" borderId="23" xfId="0" applyNumberFormat="1" applyFont="1" applyBorder="1" applyAlignment="1">
      <alignment horizontal="center" vertical="center"/>
    </xf>
    <xf numFmtId="0" fontId="31" fillId="0" borderId="24" xfId="0" applyNumberFormat="1" applyFont="1" applyBorder="1" applyAlignment="1">
      <alignment horizontal="center" vertical="center"/>
    </xf>
    <xf numFmtId="0" fontId="30" fillId="0" borderId="22" xfId="0" applyFont="1" applyBorder="1" applyAlignment="1">
      <alignment horizontal="left" vertical="center" indent="1"/>
    </xf>
    <xf numFmtId="0" fontId="30" fillId="0" borderId="23" xfId="0" applyFont="1" applyBorder="1" applyAlignment="1">
      <alignment horizontal="center" vertical="center"/>
    </xf>
    <xf numFmtId="4" fontId="30" fillId="0" borderId="23" xfId="0" applyNumberFormat="1" applyFont="1" applyBorder="1" applyAlignment="1">
      <alignment horizontal="center" vertical="center"/>
    </xf>
    <xf numFmtId="4" fontId="30" fillId="0" borderId="24" xfId="0" applyNumberFormat="1" applyFont="1" applyBorder="1" applyAlignment="1">
      <alignment horizontal="center" vertical="center"/>
    </xf>
    <xf numFmtId="0" fontId="30" fillId="0" borderId="16" xfId="0" applyFont="1" applyBorder="1" applyAlignment="1">
      <alignment horizontal="left" vertical="center" indent="1"/>
    </xf>
    <xf numFmtId="0" fontId="30" fillId="0" borderId="17" xfId="0" applyFont="1" applyBorder="1" applyAlignment="1">
      <alignment horizontal="center" vertical="center"/>
    </xf>
    <xf numFmtId="4" fontId="30" fillId="0" borderId="17" xfId="0" applyNumberFormat="1" applyFont="1" applyBorder="1" applyAlignment="1">
      <alignment horizontal="center" vertical="center"/>
    </xf>
    <xf numFmtId="4" fontId="30" fillId="0" borderId="18" xfId="0" applyNumberFormat="1" applyFont="1" applyBorder="1" applyAlignment="1">
      <alignment horizontal="center" vertical="center"/>
    </xf>
    <xf numFmtId="0" fontId="31" fillId="0" borderId="16" xfId="0" applyNumberFormat="1" applyFont="1" applyBorder="1" applyAlignment="1">
      <alignment vertical="center"/>
    </xf>
    <xf numFmtId="0" fontId="31" fillId="0" borderId="17" xfId="0" applyNumberFormat="1" applyFont="1" applyBorder="1" applyAlignment="1">
      <alignment horizontal="center" vertical="center"/>
    </xf>
    <xf numFmtId="0" fontId="31" fillId="0" borderId="18" xfId="0" applyNumberFormat="1" applyFont="1" applyBorder="1" applyAlignment="1">
      <alignment horizontal="center" vertical="center"/>
    </xf>
    <xf numFmtId="0" fontId="30" fillId="6" borderId="13" xfId="0" applyFont="1" applyFill="1" applyBorder="1" applyAlignment="1">
      <alignment vertical="center"/>
    </xf>
    <xf numFmtId="4" fontId="30" fillId="6" borderId="14" xfId="0" applyNumberFormat="1" applyFont="1" applyFill="1" applyBorder="1" applyAlignment="1">
      <alignment horizontal="center" vertical="center"/>
    </xf>
    <xf numFmtId="4" fontId="30" fillId="6" borderId="15" xfId="0" applyNumberFormat="1" applyFont="1" applyFill="1" applyBorder="1" applyAlignment="1">
      <alignment horizontal="center" vertical="center"/>
    </xf>
    <xf numFmtId="0" fontId="31" fillId="0" borderId="93" xfId="0" applyNumberFormat="1" applyFont="1" applyBorder="1" applyAlignment="1">
      <alignment horizontal="center" vertical="center"/>
    </xf>
    <xf numFmtId="0" fontId="31" fillId="0" borderId="35" xfId="0" applyNumberFormat="1" applyFont="1" applyBorder="1" applyAlignment="1">
      <alignment horizontal="center" vertical="center"/>
    </xf>
    <xf numFmtId="0" fontId="31" fillId="0" borderId="91" xfId="0" applyNumberFormat="1" applyFont="1" applyBorder="1" applyAlignment="1">
      <alignment horizontal="center" vertical="center"/>
    </xf>
    <xf numFmtId="4" fontId="30" fillId="6" borderId="93" xfId="0" applyNumberFormat="1" applyFont="1" applyFill="1" applyBorder="1" applyAlignment="1">
      <alignment horizontal="center" vertical="center"/>
    </xf>
    <xf numFmtId="4" fontId="30" fillId="0" borderId="35" xfId="0" applyNumberFormat="1" applyFont="1" applyBorder="1" applyAlignment="1">
      <alignment horizontal="center" vertical="center"/>
    </xf>
    <xf numFmtId="4" fontId="30" fillId="0" borderId="91" xfId="0" applyNumberFormat="1" applyFont="1" applyBorder="1" applyAlignment="1">
      <alignment horizontal="center" vertical="center"/>
    </xf>
    <xf numFmtId="0" fontId="30" fillId="6" borderId="15" xfId="0" applyFont="1" applyFill="1" applyBorder="1" applyAlignment="1">
      <alignment horizontal="center" vertical="center"/>
    </xf>
    <xf numFmtId="0" fontId="30" fillId="0" borderId="24" xfId="0" applyFont="1" applyBorder="1" applyAlignment="1">
      <alignment horizontal="center" vertical="center"/>
    </xf>
    <xf numFmtId="0" fontId="30" fillId="0" borderId="18" xfId="0" applyFont="1" applyBorder="1" applyAlignment="1">
      <alignment horizontal="center" vertical="center"/>
    </xf>
    <xf numFmtId="0" fontId="31" fillId="0" borderId="22" xfId="0" applyFont="1" applyBorder="1" applyAlignment="1">
      <alignment vertical="center"/>
    </xf>
    <xf numFmtId="0" fontId="31" fillId="0" borderId="23" xfId="0" applyFont="1" applyBorder="1" applyAlignment="1">
      <alignment horizontal="center" vertical="center"/>
    </xf>
    <xf numFmtId="4" fontId="31" fillId="0" borderId="24" xfId="0" applyNumberFormat="1" applyFont="1" applyBorder="1" applyAlignment="1">
      <alignment horizontal="center" vertical="center"/>
    </xf>
    <xf numFmtId="0" fontId="31" fillId="0" borderId="19" xfId="0" applyFont="1" applyBorder="1" applyAlignment="1">
      <alignment vertical="center"/>
    </xf>
    <xf numFmtId="0" fontId="31" fillId="0" borderId="20" xfId="0" applyFont="1" applyBorder="1" applyAlignment="1">
      <alignment horizontal="center" vertical="center"/>
    </xf>
    <xf numFmtId="4" fontId="31" fillId="0" borderId="21" xfId="0" applyNumberFormat="1" applyFont="1" applyBorder="1" applyAlignment="1">
      <alignment horizontal="center" vertical="center"/>
    </xf>
    <xf numFmtId="0" fontId="31" fillId="0" borderId="1" xfId="0" applyFont="1" applyBorder="1" applyAlignment="1">
      <alignment vertical="center"/>
    </xf>
    <xf numFmtId="0" fontId="31" fillId="0" borderId="2" xfId="0" applyFont="1" applyBorder="1" applyAlignment="1">
      <alignment horizontal="center" vertical="center"/>
    </xf>
    <xf numFmtId="4" fontId="31" fillId="0" borderId="3" xfId="0" applyNumberFormat="1" applyFont="1" applyBorder="1" applyAlignment="1">
      <alignment horizontal="center" vertical="center"/>
    </xf>
    <xf numFmtId="0" fontId="87" fillId="0" borderId="35" xfId="0" applyNumberFormat="1" applyFont="1" applyBorder="1" applyAlignment="1">
      <alignment horizontal="center" vertical="center"/>
    </xf>
    <xf numFmtId="0" fontId="87" fillId="0" borderId="23" xfId="0" applyNumberFormat="1" applyFont="1" applyBorder="1" applyAlignment="1">
      <alignment horizontal="center" vertical="center"/>
    </xf>
    <xf numFmtId="0" fontId="87" fillId="0" borderId="24" xfId="0" applyNumberFormat="1" applyFont="1" applyBorder="1" applyAlignment="1">
      <alignment horizontal="center" vertical="center"/>
    </xf>
    <xf numFmtId="0" fontId="87" fillId="0" borderId="91" xfId="0" applyNumberFormat="1" applyFont="1" applyBorder="1" applyAlignment="1">
      <alignment horizontal="center" vertical="center"/>
    </xf>
    <xf numFmtId="0" fontId="87" fillId="0" borderId="17" xfId="0" applyNumberFormat="1" applyFont="1" applyBorder="1" applyAlignment="1">
      <alignment horizontal="center" vertical="center"/>
    </xf>
    <xf numFmtId="0" fontId="87" fillId="0" borderId="18" xfId="0" applyNumberFormat="1" applyFont="1" applyBorder="1" applyAlignment="1">
      <alignment horizontal="center" vertical="center"/>
    </xf>
    <xf numFmtId="4" fontId="88" fillId="6" borderId="93" xfId="0" applyNumberFormat="1" applyFont="1" applyFill="1" applyBorder="1" applyAlignment="1">
      <alignment horizontal="center" vertical="center"/>
    </xf>
    <xf numFmtId="4" fontId="88" fillId="6" borderId="14" xfId="0" applyNumberFormat="1" applyFont="1" applyFill="1" applyBorder="1" applyAlignment="1">
      <alignment horizontal="center" vertical="center"/>
    </xf>
    <xf numFmtId="4" fontId="88" fillId="6" borderId="15" xfId="0" applyNumberFormat="1" applyFont="1" applyFill="1" applyBorder="1" applyAlignment="1">
      <alignment horizontal="center" vertical="center"/>
    </xf>
    <xf numFmtId="4" fontId="88" fillId="0" borderId="35" xfId="0" applyNumberFormat="1" applyFont="1" applyBorder="1" applyAlignment="1">
      <alignment horizontal="center" vertical="center"/>
    </xf>
    <xf numFmtId="4" fontId="88" fillId="0" borderId="23" xfId="0" applyNumberFormat="1" applyFont="1" applyBorder="1" applyAlignment="1">
      <alignment horizontal="center" vertical="center"/>
    </xf>
    <xf numFmtId="4" fontId="88" fillId="0" borderId="24" xfId="0" applyNumberFormat="1" applyFont="1" applyBorder="1" applyAlignment="1">
      <alignment horizontal="center" vertical="center"/>
    </xf>
    <xf numFmtId="4" fontId="88" fillId="0" borderId="91" xfId="0" applyNumberFormat="1" applyFont="1" applyBorder="1" applyAlignment="1">
      <alignment horizontal="center" vertical="center"/>
    </xf>
    <xf numFmtId="4" fontId="88" fillId="0" borderId="17" xfId="0" applyNumberFormat="1" applyFont="1" applyBorder="1" applyAlignment="1">
      <alignment horizontal="center" vertical="center"/>
    </xf>
    <xf numFmtId="4" fontId="88" fillId="0" borderId="18" xfId="0" applyNumberFormat="1" applyFont="1" applyBorder="1" applyAlignment="1">
      <alignment horizontal="center" vertical="center"/>
    </xf>
    <xf numFmtId="229" fontId="39" fillId="0" borderId="23" xfId="0" applyNumberFormat="1" applyFont="1" applyBorder="1" applyAlignment="1">
      <alignment horizontal="left" vertical="center"/>
    </xf>
    <xf numFmtId="0" fontId="125" fillId="19" borderId="0" xfId="0" applyFont="1" applyFill="1" applyAlignment="1">
      <alignment vertical="center"/>
    </xf>
    <xf numFmtId="0" fontId="125" fillId="19" borderId="0" xfId="0" applyFont="1" applyFill="1" applyAlignment="1">
      <alignment horizontal="center" vertical="center"/>
    </xf>
    <xf numFmtId="4" fontId="125" fillId="19" borderId="0" xfId="0" applyNumberFormat="1" applyFont="1" applyFill="1" applyAlignment="1">
      <alignment vertical="center"/>
    </xf>
    <xf numFmtId="4" fontId="125" fillId="19" borderId="0" xfId="0" applyNumberFormat="1" applyFont="1" applyFill="1" applyAlignment="1">
      <alignment horizontal="center" vertical="center"/>
    </xf>
    <xf numFmtId="0" fontId="125" fillId="0" borderId="0" xfId="0" applyFont="1" applyAlignment="1">
      <alignment vertical="center"/>
    </xf>
    <xf numFmtId="0" fontId="125" fillId="22" borderId="0" xfId="0" applyFont="1" applyFill="1" applyAlignment="1">
      <alignment vertical="center"/>
    </xf>
    <xf numFmtId="0" fontId="125" fillId="22" borderId="0" xfId="0" applyFont="1" applyFill="1" applyAlignment="1">
      <alignment horizontal="center" vertical="center"/>
    </xf>
    <xf numFmtId="4" fontId="125" fillId="22" borderId="0" xfId="0" applyNumberFormat="1" applyFont="1" applyFill="1" applyAlignment="1">
      <alignment vertical="center"/>
    </xf>
    <xf numFmtId="0" fontId="126" fillId="0" borderId="0" xfId="0" applyFont="1" applyAlignment="1">
      <alignment vertical="center"/>
    </xf>
    <xf numFmtId="0" fontId="126" fillId="0" borderId="0" xfId="0" applyFont="1" applyAlignment="1">
      <alignment horizontal="center" vertical="center"/>
    </xf>
    <xf numFmtId="4" fontId="126" fillId="0" borderId="0" xfId="0" applyNumberFormat="1" applyFont="1" applyAlignment="1">
      <alignment vertical="center"/>
    </xf>
    <xf numFmtId="4" fontId="126" fillId="5" borderId="0" xfId="0" applyNumberFormat="1" applyFont="1" applyFill="1" applyAlignment="1">
      <alignment vertical="center"/>
    </xf>
    <xf numFmtId="4" fontId="126" fillId="35" borderId="0" xfId="0" applyNumberFormat="1" applyFont="1" applyFill="1" applyAlignment="1">
      <alignment vertical="center"/>
    </xf>
    <xf numFmtId="229" fontId="126" fillId="0" borderId="0" xfId="0" applyNumberFormat="1" applyFont="1" applyAlignment="1">
      <alignment horizontal="left" vertical="center"/>
    </xf>
    <xf numFmtId="0" fontId="127" fillId="0" borderId="23" xfId="1" applyNumberFormat="1" applyFont="1" applyFill="1" applyBorder="1" applyAlignment="1">
      <alignment vertical="center" wrapText="1"/>
    </xf>
    <xf numFmtId="0" fontId="127" fillId="0" borderId="23" xfId="1" applyNumberFormat="1" applyFont="1" applyBorder="1" applyAlignment="1">
      <alignment vertical="center" wrapText="1"/>
    </xf>
    <xf numFmtId="1" fontId="83" fillId="0" borderId="13" xfId="0" applyNumberFormat="1" applyFont="1" applyFill="1" applyBorder="1" applyAlignment="1">
      <alignment horizontal="center" vertical="center" wrapText="1"/>
    </xf>
    <xf numFmtId="0" fontId="83" fillId="0" borderId="14" xfId="0" applyFont="1" applyBorder="1" applyAlignment="1">
      <alignment vertical="center" wrapText="1"/>
    </xf>
    <xf numFmtId="0" fontId="83" fillId="0" borderId="14" xfId="0" applyFont="1" applyBorder="1" applyAlignment="1">
      <alignment horizontal="center" vertical="center" wrapText="1"/>
    </xf>
    <xf numFmtId="4" fontId="83" fillId="0" borderId="14" xfId="0" applyNumberFormat="1" applyFont="1" applyBorder="1" applyAlignment="1">
      <alignment vertical="center" wrapText="1"/>
    </xf>
    <xf numFmtId="172" fontId="83" fillId="0" borderId="14" xfId="11" applyNumberFormat="1" applyFont="1" applyBorder="1" applyAlignment="1">
      <alignment vertical="center" wrapText="1"/>
    </xf>
    <xf numFmtId="172" fontId="83" fillId="0" borderId="15" xfId="11" applyNumberFormat="1" applyFont="1" applyBorder="1" applyAlignment="1">
      <alignment vertical="center" wrapText="1"/>
    </xf>
    <xf numFmtId="1" fontId="83" fillId="0" borderId="22" xfId="0" applyNumberFormat="1" applyFont="1" applyFill="1" applyBorder="1" applyAlignment="1">
      <alignment horizontal="center" vertical="center" wrapText="1"/>
    </xf>
    <xf numFmtId="0" fontId="83" fillId="0" borderId="23" xfId="0" applyFont="1" applyBorder="1" applyAlignment="1">
      <alignment vertical="center" wrapText="1"/>
    </xf>
    <xf numFmtId="0" fontId="83" fillId="0" borderId="23" xfId="0" applyFont="1" applyBorder="1" applyAlignment="1">
      <alignment horizontal="center" vertical="center" wrapText="1"/>
    </xf>
    <xf numFmtId="4" fontId="83" fillId="0" borderId="23" xfId="0" applyNumberFormat="1" applyFont="1" applyBorder="1" applyAlignment="1">
      <alignment vertical="center" wrapText="1"/>
    </xf>
    <xf numFmtId="172" fontId="83" fillId="0" borderId="23" xfId="11" applyNumberFormat="1" applyFont="1" applyBorder="1" applyAlignment="1">
      <alignment vertical="center" wrapText="1"/>
    </xf>
    <xf numFmtId="172" fontId="83" fillId="0" borderId="24" xfId="11" applyNumberFormat="1" applyFont="1" applyBorder="1" applyAlignment="1">
      <alignment vertical="center" wrapText="1"/>
    </xf>
    <xf numFmtId="196" fontId="83" fillId="0" borderId="198" xfId="29" applyNumberFormat="1" applyFont="1" applyFill="1" applyBorder="1" applyAlignment="1">
      <alignment horizontal="center" vertical="center"/>
    </xf>
    <xf numFmtId="4" fontId="54" fillId="0" borderId="202" xfId="29" applyNumberFormat="1" applyFont="1" applyBorder="1" applyAlignment="1">
      <alignment vertical="center"/>
    </xf>
    <xf numFmtId="4" fontId="54" fillId="0" borderId="202" xfId="29" applyNumberFormat="1" applyFont="1" applyBorder="1" applyAlignment="1"/>
    <xf numFmtId="181" fontId="41" fillId="0" borderId="19" xfId="19" applyNumberFormat="1" applyFont="1" applyBorder="1" applyAlignment="1">
      <alignment vertical="center" shrinkToFit="1"/>
    </xf>
    <xf numFmtId="181" fontId="41" fillId="0" borderId="20" xfId="19" applyNumberFormat="1" applyFont="1" applyBorder="1" applyAlignment="1">
      <alignment vertical="center" shrinkToFit="1"/>
    </xf>
    <xf numFmtId="181" fontId="41" fillId="0" borderId="58" xfId="19" applyNumberFormat="1" applyFont="1" applyBorder="1" applyAlignment="1">
      <alignment vertical="center" shrinkToFit="1"/>
    </xf>
    <xf numFmtId="181" fontId="41" fillId="0" borderId="90" xfId="19" applyNumberFormat="1" applyFont="1" applyBorder="1" applyAlignment="1">
      <alignment vertical="center" shrinkToFit="1"/>
    </xf>
    <xf numFmtId="181" fontId="41" fillId="0" borderId="69" xfId="19" applyNumberFormat="1" applyFont="1" applyBorder="1" applyAlignment="1">
      <alignment vertical="center" shrinkToFit="1"/>
    </xf>
    <xf numFmtId="181" fontId="41" fillId="0" borderId="72" xfId="19" applyNumberFormat="1" applyFont="1" applyBorder="1" applyAlignment="1">
      <alignment vertical="center" shrinkToFit="1"/>
    </xf>
    <xf numFmtId="186" fontId="114" fillId="0" borderId="0" xfId="29" applyNumberFormat="1" applyFont="1" applyAlignment="1">
      <alignment vertical="center" shrinkToFit="1"/>
    </xf>
    <xf numFmtId="185" fontId="114" fillId="0" borderId="0" xfId="29" applyNumberFormat="1" applyFont="1" applyAlignment="1">
      <alignment vertical="center" shrinkToFit="1"/>
    </xf>
    <xf numFmtId="186" fontId="45" fillId="0" borderId="0" xfId="29" applyNumberFormat="1" applyFont="1" applyAlignment="1">
      <alignment vertical="center" shrinkToFit="1"/>
    </xf>
    <xf numFmtId="185" fontId="45" fillId="0" borderId="0" xfId="29" applyNumberFormat="1" applyFont="1" applyAlignment="1">
      <alignment vertical="center" shrinkToFit="1"/>
    </xf>
    <xf numFmtId="186" fontId="129" fillId="5" borderId="0" xfId="29" applyNumberFormat="1" applyFont="1" applyFill="1" applyAlignment="1">
      <alignment vertical="center"/>
    </xf>
    <xf numFmtId="4" fontId="83" fillId="0" borderId="188" xfId="29" applyNumberFormat="1" applyFont="1" applyBorder="1" applyAlignment="1">
      <alignment horizontal="center" vertical="center"/>
    </xf>
    <xf numFmtId="4" fontId="83" fillId="0" borderId="194" xfId="29" applyNumberFormat="1" applyFont="1" applyBorder="1" applyAlignment="1">
      <alignment horizontal="center" vertical="center"/>
    </xf>
    <xf numFmtId="4" fontId="83" fillId="0" borderId="201" xfId="29" applyNumberFormat="1" applyFont="1" applyBorder="1" applyAlignment="1">
      <alignment vertical="center"/>
    </xf>
    <xf numFmtId="0" fontId="83" fillId="42" borderId="195" xfId="29" applyFont="1" applyFill="1" applyBorder="1" applyAlignment="1">
      <alignment horizontal="center" vertical="center"/>
    </xf>
    <xf numFmtId="2" fontId="83" fillId="42" borderId="196" xfId="29" applyNumberFormat="1" applyFont="1" applyFill="1" applyBorder="1" applyAlignment="1">
      <alignment horizontal="center" vertical="center"/>
    </xf>
    <xf numFmtId="2" fontId="83" fillId="42" borderId="194" xfId="29" applyNumberFormat="1" applyFont="1" applyFill="1" applyBorder="1" applyAlignment="1">
      <alignment horizontal="center" vertical="center"/>
    </xf>
    <xf numFmtId="4" fontId="83" fillId="42" borderId="195" xfId="29" quotePrefix="1" applyNumberFormat="1" applyFont="1" applyFill="1" applyBorder="1" applyAlignment="1">
      <alignment horizontal="center" vertical="center"/>
    </xf>
    <xf numFmtId="2" fontId="83" fillId="42" borderId="196" xfId="29" quotePrefix="1" applyNumberFormat="1" applyFont="1" applyFill="1" applyBorder="1" applyAlignment="1">
      <alignment horizontal="center" vertical="center"/>
    </xf>
    <xf numFmtId="2" fontId="83" fillId="42" borderId="197" xfId="29" applyNumberFormat="1" applyFont="1" applyFill="1" applyBorder="1" applyAlignment="1">
      <alignment horizontal="center" vertical="center"/>
    </xf>
    <xf numFmtId="4" fontId="83" fillId="42" borderId="197" xfId="29" applyNumberFormat="1" applyFont="1" applyFill="1" applyBorder="1" applyAlignment="1">
      <alignment horizontal="center" vertical="center"/>
    </xf>
    <xf numFmtId="196" fontId="83" fillId="42" borderId="198" xfId="29" applyNumberFormat="1" applyFont="1" applyFill="1" applyBorder="1" applyAlignment="1">
      <alignment horizontal="center" vertical="center"/>
    </xf>
    <xf numFmtId="4" fontId="83" fillId="42" borderId="196" xfId="29" applyNumberFormat="1" applyFont="1" applyFill="1" applyBorder="1" applyAlignment="1">
      <alignment horizontal="center" vertical="center"/>
    </xf>
    <xf numFmtId="4" fontId="83" fillId="42" borderId="194" xfId="29" applyNumberFormat="1" applyFont="1" applyFill="1" applyBorder="1" applyAlignment="1">
      <alignment horizontal="center" vertical="center"/>
    </xf>
    <xf numFmtId="4" fontId="83" fillId="42" borderId="12" xfId="29" applyNumberFormat="1" applyFont="1" applyFill="1" applyBorder="1" applyAlignment="1">
      <alignment horizontal="center" vertical="center"/>
    </xf>
    <xf numFmtId="0" fontId="83" fillId="42" borderId="172" xfId="29" applyFont="1" applyFill="1" applyBorder="1" applyAlignment="1">
      <alignment vertical="center"/>
    </xf>
    <xf numFmtId="186" fontId="45" fillId="42" borderId="0" xfId="29" applyNumberFormat="1" applyFont="1" applyFill="1" applyAlignment="1">
      <alignment vertical="center"/>
    </xf>
    <xf numFmtId="185" fontId="45" fillId="42" borderId="0" xfId="29" applyNumberFormat="1" applyFont="1" applyFill="1" applyAlignment="1">
      <alignment vertical="center"/>
    </xf>
    <xf numFmtId="0" fontId="83" fillId="42" borderId="0" xfId="29" applyFont="1" applyFill="1" applyAlignment="1">
      <alignment vertical="center"/>
    </xf>
    <xf numFmtId="3" fontId="83" fillId="42" borderId="195" xfId="29" applyNumberFormat="1" applyFont="1" applyFill="1" applyBorder="1" applyAlignment="1">
      <alignment horizontal="center" vertical="center"/>
    </xf>
    <xf numFmtId="4" fontId="1" fillId="0" borderId="1" xfId="0" applyNumberFormat="1" applyFont="1" applyFill="1" applyBorder="1" applyAlignment="1">
      <alignment vertical="center"/>
    </xf>
    <xf numFmtId="0" fontId="0" fillId="0" borderId="0" xfId="0" applyAlignment="1">
      <alignment horizontal="center" vertical="center" wrapText="1"/>
    </xf>
    <xf numFmtId="0" fontId="37" fillId="0" borderId="11" xfId="0" applyFont="1" applyBorder="1" applyAlignment="1">
      <alignment vertical="center" wrapText="1"/>
    </xf>
    <xf numFmtId="0" fontId="37" fillId="0" borderId="22" xfId="0" applyFont="1" applyBorder="1" applyAlignment="1">
      <alignment horizontal="center" vertical="center" wrapText="1"/>
    </xf>
    <xf numFmtId="0" fontId="29" fillId="0" borderId="35" xfId="0" applyFont="1" applyBorder="1" applyAlignment="1">
      <alignment horizontal="center" vertical="center" wrapText="1"/>
    </xf>
    <xf numFmtId="0" fontId="29" fillId="0" borderId="23" xfId="0" applyFont="1" applyFill="1" applyBorder="1" applyAlignment="1">
      <alignment vertical="center" wrapText="1"/>
    </xf>
    <xf numFmtId="4" fontId="37" fillId="0" borderId="24" xfId="0" applyNumberFormat="1" applyFont="1" applyFill="1" applyBorder="1" applyAlignment="1">
      <alignment horizontal="center" vertical="center" wrapText="1"/>
    </xf>
    <xf numFmtId="0" fontId="37" fillId="0" borderId="0" xfId="0" applyFont="1" applyAlignment="1">
      <alignment vertical="center" wrapText="1"/>
    </xf>
    <xf numFmtId="0" fontId="45" fillId="0" borderId="22"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46" xfId="0" applyFont="1" applyBorder="1" applyAlignment="1">
      <alignment horizontal="center" vertical="center" wrapText="1"/>
    </xf>
    <xf numFmtId="43" fontId="37" fillId="0" borderId="22" xfId="0" applyNumberFormat="1" applyFont="1" applyBorder="1" applyAlignment="1">
      <alignment vertical="center" wrapText="1"/>
    </xf>
    <xf numFmtId="43" fontId="37" fillId="0" borderId="23" xfId="0" applyNumberFormat="1" applyFont="1" applyBorder="1" applyAlignment="1">
      <alignment vertical="center" wrapText="1"/>
    </xf>
    <xf numFmtId="43" fontId="37" fillId="3" borderId="24" xfId="0" applyNumberFormat="1" applyFont="1" applyFill="1" applyBorder="1" applyAlignment="1">
      <alignment vertical="center" wrapText="1"/>
    </xf>
    <xf numFmtId="43" fontId="37" fillId="0" borderId="35" xfId="0" applyNumberFormat="1" applyFont="1" applyBorder="1" applyAlignment="1">
      <alignment vertical="center" wrapText="1"/>
    </xf>
    <xf numFmtId="0" fontId="37" fillId="0" borderId="12" xfId="0" applyFont="1" applyBorder="1" applyAlignment="1">
      <alignment vertical="center" wrapText="1"/>
    </xf>
    <xf numFmtId="0" fontId="127" fillId="34" borderId="23" xfId="1" applyNumberFormat="1" applyFont="1" applyFill="1" applyBorder="1" applyAlignment="1">
      <alignment vertical="center" wrapText="1"/>
    </xf>
    <xf numFmtId="0" fontId="127" fillId="46" borderId="23" xfId="1" applyNumberFormat="1" applyFont="1" applyFill="1" applyBorder="1" applyAlignment="1">
      <alignment vertical="center" wrapText="1"/>
    </xf>
    <xf numFmtId="0" fontId="117" fillId="0" borderId="0" xfId="1" applyNumberFormat="1" applyFont="1" applyFill="1" applyAlignment="1">
      <alignment horizontal="right" vertical="center" wrapText="1"/>
    </xf>
    <xf numFmtId="0" fontId="121" fillId="0" borderId="0" xfId="1" applyNumberFormat="1" applyFont="1" applyFill="1" applyAlignment="1">
      <alignment horizontal="right" vertical="center" wrapText="1"/>
    </xf>
    <xf numFmtId="0" fontId="0" fillId="0" borderId="227" xfId="0" applyBorder="1"/>
    <xf numFmtId="0" fontId="38" fillId="0" borderId="228" xfId="0" applyFont="1" applyBorder="1"/>
    <xf numFmtId="0" fontId="0" fillId="0" borderId="229" xfId="0" applyBorder="1"/>
    <xf numFmtId="0" fontId="38" fillId="0" borderId="230" xfId="0" applyFont="1" applyBorder="1"/>
    <xf numFmtId="0" fontId="0" fillId="0" borderId="29" xfId="0" applyBorder="1"/>
    <xf numFmtId="0" fontId="0" fillId="0" borderId="4" xfId="0" applyBorder="1"/>
    <xf numFmtId="237" fontId="24" fillId="0" borderId="23" xfId="1" applyNumberFormat="1" applyFont="1" applyBorder="1" applyAlignment="1">
      <alignment horizontal="left" vertical="center" wrapText="1"/>
    </xf>
    <xf numFmtId="1" fontId="0" fillId="0" borderId="0" xfId="0" applyNumberFormat="1"/>
    <xf numFmtId="2" fontId="0" fillId="0" borderId="0" xfId="0" applyNumberFormat="1" applyAlignment="1">
      <alignment horizontal="center"/>
    </xf>
    <xf numFmtId="1" fontId="132" fillId="0" borderId="0" xfId="2" applyNumberFormat="1" applyFont="1" applyAlignment="1" applyProtection="1">
      <alignment horizontal="center"/>
      <protection hidden="1"/>
    </xf>
    <xf numFmtId="0" fontId="132" fillId="0" borderId="0" xfId="2" applyFont="1" applyAlignment="1" applyProtection="1">
      <alignment horizontal="center"/>
      <protection hidden="1"/>
    </xf>
    <xf numFmtId="238" fontId="132" fillId="0" borderId="0" xfId="2" applyNumberFormat="1" applyFont="1" applyProtection="1">
      <protection hidden="1"/>
    </xf>
    <xf numFmtId="0" fontId="132" fillId="0" borderId="0" xfId="2" applyFont="1" applyProtection="1">
      <protection hidden="1"/>
    </xf>
    <xf numFmtId="0" fontId="133" fillId="0" borderId="0" xfId="0" applyFont="1" applyAlignment="1">
      <alignment horizontal="center"/>
    </xf>
    <xf numFmtId="1" fontId="133" fillId="0" borderId="0" xfId="0" applyNumberFormat="1" applyFont="1" applyAlignment="1">
      <alignment horizontal="center"/>
    </xf>
    <xf numFmtId="2" fontId="133" fillId="0" borderId="0" xfId="0" applyNumberFormat="1" applyFont="1" applyAlignment="1">
      <alignment horizontal="center"/>
    </xf>
    <xf numFmtId="2" fontId="134" fillId="0" borderId="0" xfId="0" applyNumberFormat="1" applyFont="1" applyAlignment="1">
      <alignment horizontal="center"/>
    </xf>
    <xf numFmtId="49" fontId="134" fillId="0" borderId="0" xfId="0" applyNumberFormat="1" applyFont="1" applyAlignment="1">
      <alignment horizontal="center"/>
    </xf>
    <xf numFmtId="1" fontId="134" fillId="0" borderId="0" xfId="0" applyNumberFormat="1" applyFont="1" applyAlignment="1">
      <alignment horizontal="center"/>
    </xf>
    <xf numFmtId="174" fontId="133" fillId="0" borderId="0" xfId="0" applyNumberFormat="1" applyFont="1" applyAlignment="1">
      <alignment horizontal="center"/>
    </xf>
    <xf numFmtId="238" fontId="20" fillId="0" borderId="0" xfId="0" applyNumberFormat="1" applyFont="1" applyAlignment="1">
      <alignment horizontal="center"/>
    </xf>
    <xf numFmtId="0" fontId="135" fillId="0" borderId="0" xfId="0" applyFont="1" applyAlignment="1">
      <alignment horizontal="center"/>
    </xf>
    <xf numFmtId="2" fontId="131" fillId="44" borderId="231" xfId="31" applyNumberFormat="1" applyBorder="1" applyAlignment="1">
      <alignment horizontal="center"/>
    </xf>
    <xf numFmtId="0" fontId="38" fillId="0" borderId="232" xfId="0" applyFont="1" applyBorder="1"/>
    <xf numFmtId="2" fontId="131" fillId="44" borderId="233" xfId="31" applyNumberFormat="1" applyBorder="1" applyAlignment="1">
      <alignment horizontal="center"/>
    </xf>
    <xf numFmtId="0" fontId="38" fillId="0" borderId="234" xfId="0" applyFont="1" applyBorder="1"/>
    <xf numFmtId="2" fontId="80" fillId="0" borderId="235" xfId="0" applyNumberFormat="1" applyFont="1" applyBorder="1" applyAlignment="1">
      <alignment horizontal="center"/>
    </xf>
    <xf numFmtId="2" fontId="64" fillId="45" borderId="236" xfId="32" applyNumberFormat="1" applyBorder="1" applyAlignment="1">
      <alignment horizontal="center"/>
    </xf>
    <xf numFmtId="0" fontId="38" fillId="0" borderId="237" xfId="0" applyFont="1" applyBorder="1"/>
    <xf numFmtId="2" fontId="131" fillId="44" borderId="238" xfId="31" applyNumberFormat="1" applyBorder="1" applyAlignment="1">
      <alignment horizontal="center"/>
    </xf>
    <xf numFmtId="2" fontId="38" fillId="0" borderId="227" xfId="0" applyNumberFormat="1" applyFont="1" applyBorder="1" applyAlignment="1">
      <alignment horizontal="center"/>
    </xf>
    <xf numFmtId="2" fontId="38" fillId="0" borderId="239" xfId="0" applyNumberFormat="1" applyFont="1" applyBorder="1" applyAlignment="1">
      <alignment horizontal="center"/>
    </xf>
    <xf numFmtId="2" fontId="38" fillId="0" borderId="228" xfId="0" applyNumberFormat="1" applyFont="1" applyBorder="1"/>
    <xf numFmtId="2" fontId="38" fillId="0" borderId="228" xfId="0" applyNumberFormat="1" applyFont="1" applyBorder="1" applyAlignment="1">
      <alignment horizontal="center"/>
    </xf>
    <xf numFmtId="2" fontId="38" fillId="0" borderId="108" xfId="0" applyNumberFormat="1" applyFont="1" applyBorder="1" applyAlignment="1">
      <alignment horizontal="center"/>
    </xf>
    <xf numFmtId="2" fontId="38" fillId="0" borderId="4" xfId="0" applyNumberFormat="1" applyFont="1" applyBorder="1" applyAlignment="1">
      <alignment horizontal="center"/>
    </xf>
    <xf numFmtId="0" fontId="38" fillId="0" borderId="107" xfId="0" applyFont="1" applyBorder="1"/>
    <xf numFmtId="2" fontId="38" fillId="0" borderId="107" xfId="0" applyNumberFormat="1" applyFont="1" applyBorder="1" applyAlignment="1">
      <alignment horizontal="center"/>
    </xf>
    <xf numFmtId="2" fontId="38" fillId="0" borderId="229" xfId="0" applyNumberFormat="1" applyFont="1" applyBorder="1" applyAlignment="1">
      <alignment horizontal="center"/>
    </xf>
    <xf numFmtId="2" fontId="38" fillId="0" borderId="240" xfId="0" applyNumberFormat="1" applyFont="1" applyBorder="1" applyAlignment="1">
      <alignment horizontal="center"/>
    </xf>
    <xf numFmtId="2" fontId="136" fillId="0" borderId="0" xfId="0" applyNumberFormat="1" applyFont="1" applyAlignment="1">
      <alignment horizontal="center"/>
    </xf>
    <xf numFmtId="2" fontId="38" fillId="0" borderId="230" xfId="0" applyNumberFormat="1" applyFont="1" applyBorder="1" applyAlignment="1">
      <alignment horizontal="center"/>
    </xf>
    <xf numFmtId="2" fontId="134" fillId="0" borderId="95" xfId="0" applyNumberFormat="1" applyFont="1" applyBorder="1" applyAlignment="1">
      <alignment horizontal="center" vertical="center"/>
    </xf>
    <xf numFmtId="2" fontId="134" fillId="0" borderId="31" xfId="0" applyNumberFormat="1" applyFont="1" applyBorder="1" applyAlignment="1">
      <alignment horizontal="center" vertical="center"/>
    </xf>
    <xf numFmtId="2" fontId="134" fillId="0" borderId="32" xfId="0" applyNumberFormat="1" applyFont="1" applyBorder="1" applyAlignment="1">
      <alignment horizontal="center" vertical="center"/>
    </xf>
    <xf numFmtId="2" fontId="134" fillId="0" borderId="31" xfId="0" applyNumberFormat="1" applyFont="1" applyBorder="1" applyAlignment="1">
      <alignment horizontal="center" vertical="center" wrapText="1"/>
    </xf>
    <xf numFmtId="2" fontId="134" fillId="0" borderId="32" xfId="0" applyNumberFormat="1" applyFont="1" applyBorder="1" applyAlignment="1">
      <alignment horizontal="center" vertical="center" wrapText="1"/>
    </xf>
    <xf numFmtId="0" fontId="133" fillId="0" borderId="202" xfId="0" applyFont="1" applyBorder="1" applyAlignment="1">
      <alignment horizontal="center"/>
    </xf>
    <xf numFmtId="1" fontId="133" fillId="0" borderId="224" xfId="0" applyNumberFormat="1" applyFont="1" applyBorder="1" applyAlignment="1">
      <alignment horizontal="center"/>
    </xf>
    <xf numFmtId="2" fontId="133" fillId="0" borderId="200" xfId="0" applyNumberFormat="1" applyFont="1" applyBorder="1" applyAlignment="1">
      <alignment horizontal="center"/>
    </xf>
    <xf numFmtId="2" fontId="133" fillId="0" borderId="224" xfId="0" applyNumberFormat="1" applyFont="1" applyBorder="1" applyAlignment="1">
      <alignment horizontal="center"/>
    </xf>
    <xf numFmtId="2" fontId="133" fillId="0" borderId="203" xfId="0" applyNumberFormat="1" applyFont="1" applyBorder="1" applyAlignment="1">
      <alignment horizontal="center"/>
    </xf>
    <xf numFmtId="2" fontId="137" fillId="0" borderId="231" xfId="30" applyNumberFormat="1" applyFont="1" applyFill="1" applyBorder="1" applyAlignment="1">
      <alignment horizontal="center"/>
    </xf>
    <xf numFmtId="2" fontId="133" fillId="0" borderId="201" xfId="0" applyNumberFormat="1" applyFont="1" applyBorder="1" applyAlignment="1">
      <alignment horizontal="center"/>
    </xf>
    <xf numFmtId="1" fontId="133" fillId="0" borderId="200" xfId="0" applyNumberFormat="1" applyFont="1" applyBorder="1" applyAlignment="1">
      <alignment horizontal="center"/>
    </xf>
    <xf numFmtId="2" fontId="134" fillId="0" borderId="105" xfId="0" quotePrefix="1" applyNumberFormat="1" applyFont="1" applyBorder="1" applyAlignment="1">
      <alignment horizontal="center"/>
    </xf>
    <xf numFmtId="49" fontId="134" fillId="0" borderId="242" xfId="0" applyNumberFormat="1" applyFont="1" applyBorder="1" applyAlignment="1">
      <alignment horizontal="center"/>
    </xf>
    <xf numFmtId="1" fontId="134" fillId="0" borderId="105" xfId="0" applyNumberFormat="1" applyFont="1" applyBorder="1" applyAlignment="1">
      <alignment horizontal="center"/>
    </xf>
    <xf numFmtId="1" fontId="132" fillId="0" borderId="12" xfId="2" applyNumberFormat="1" applyFont="1" applyBorder="1" applyAlignment="1" applyProtection="1">
      <alignment horizontal="center"/>
      <protection hidden="1"/>
    </xf>
    <xf numFmtId="0" fontId="132" fillId="0" borderId="11" xfId="2" applyFont="1" applyBorder="1" applyProtection="1">
      <protection hidden="1"/>
    </xf>
    <xf numFmtId="0" fontId="133" fillId="0" borderId="197" xfId="0" applyFont="1" applyBorder="1" applyAlignment="1">
      <alignment horizontal="center"/>
    </xf>
    <xf numFmtId="1" fontId="133" fillId="0" borderId="190" xfId="0" applyNumberFormat="1" applyFont="1" applyBorder="1" applyAlignment="1">
      <alignment horizontal="center"/>
    </xf>
    <xf numFmtId="2" fontId="133" fillId="0" borderId="196" xfId="0" applyNumberFormat="1" applyFont="1" applyBorder="1" applyAlignment="1">
      <alignment horizontal="center"/>
    </xf>
    <xf numFmtId="2" fontId="133" fillId="0" borderId="190" xfId="0" applyNumberFormat="1" applyFont="1" applyBorder="1" applyAlignment="1">
      <alignment horizontal="center"/>
    </xf>
    <xf numFmtId="2" fontId="133" fillId="0" borderId="198" xfId="0" applyNumberFormat="1" applyFont="1" applyBorder="1" applyAlignment="1">
      <alignment horizontal="center"/>
    </xf>
    <xf numFmtId="2" fontId="137" fillId="0" borderId="243" xfId="30" applyNumberFormat="1" applyFont="1" applyFill="1" applyBorder="1" applyAlignment="1">
      <alignment horizontal="center"/>
    </xf>
    <xf numFmtId="2" fontId="133" fillId="0" borderId="194" xfId="0" applyNumberFormat="1" applyFont="1" applyBorder="1" applyAlignment="1">
      <alignment horizontal="center"/>
    </xf>
    <xf numFmtId="1" fontId="133" fillId="0" borderId="196" xfId="0" applyNumberFormat="1" applyFont="1" applyBorder="1" applyAlignment="1">
      <alignment horizontal="center"/>
    </xf>
    <xf numFmtId="2" fontId="134" fillId="0" borderId="244" xfId="0" quotePrefix="1" applyNumberFormat="1" applyFont="1" applyBorder="1" applyAlignment="1">
      <alignment horizontal="center"/>
    </xf>
    <xf numFmtId="49" fontId="134" fillId="0" borderId="189" xfId="0" applyNumberFormat="1" applyFont="1" applyBorder="1" applyAlignment="1">
      <alignment horizontal="center"/>
    </xf>
    <xf numFmtId="1" fontId="134" fillId="0" borderId="244" xfId="0" applyNumberFormat="1" applyFont="1" applyBorder="1" applyAlignment="1">
      <alignment horizontal="center"/>
    </xf>
    <xf numFmtId="1" fontId="132" fillId="0" borderId="7" xfId="2" applyNumberFormat="1" applyFont="1" applyBorder="1" applyAlignment="1" applyProtection="1">
      <alignment horizontal="center"/>
      <protection hidden="1"/>
    </xf>
    <xf numFmtId="0" fontId="132" fillId="0" borderId="6" xfId="2" applyFont="1" applyBorder="1" applyAlignment="1" applyProtection="1">
      <alignment horizontal="center"/>
      <protection hidden="1"/>
    </xf>
    <xf numFmtId="238" fontId="132" fillId="0" borderId="6" xfId="2" applyNumberFormat="1" applyFont="1" applyBorder="1" applyProtection="1">
      <protection hidden="1"/>
    </xf>
    <xf numFmtId="0" fontId="132" fillId="0" borderId="6" xfId="2" applyFont="1" applyBorder="1" applyProtection="1">
      <protection hidden="1"/>
    </xf>
    <xf numFmtId="0" fontId="132" fillId="0" borderId="5" xfId="2" applyFont="1" applyBorder="1" applyProtection="1">
      <protection hidden="1"/>
    </xf>
    <xf numFmtId="0" fontId="133" fillId="0" borderId="220" xfId="0" applyFont="1" applyBorder="1" applyAlignment="1">
      <alignment horizontal="center"/>
    </xf>
    <xf numFmtId="1" fontId="133" fillId="0" borderId="214" xfId="0" applyNumberFormat="1" applyFont="1" applyBorder="1" applyAlignment="1">
      <alignment horizontal="center"/>
    </xf>
    <xf numFmtId="2" fontId="133" fillId="0" borderId="214" xfId="0" applyNumberFormat="1" applyFont="1" applyBorder="1" applyAlignment="1">
      <alignment horizontal="center"/>
    </xf>
    <xf numFmtId="2" fontId="133" fillId="0" borderId="245" xfId="0" applyNumberFormat="1" applyFont="1" applyBorder="1" applyAlignment="1">
      <alignment horizontal="center"/>
    </xf>
    <xf numFmtId="2" fontId="137" fillId="0" borderId="233" xfId="30" applyNumberFormat="1" applyFont="1" applyFill="1" applyBorder="1" applyAlignment="1">
      <alignment horizontal="center"/>
    </xf>
    <xf numFmtId="2" fontId="133" fillId="0" borderId="246" xfId="0" applyNumberFormat="1" applyFont="1" applyBorder="1" applyAlignment="1">
      <alignment horizontal="center"/>
    </xf>
    <xf numFmtId="2" fontId="134" fillId="0" borderId="216" xfId="0" quotePrefix="1" applyNumberFormat="1" applyFont="1" applyBorder="1" applyAlignment="1">
      <alignment horizontal="center"/>
    </xf>
    <xf numFmtId="49" fontId="134" fillId="0" borderId="215" xfId="0" applyNumberFormat="1" applyFont="1" applyBorder="1" applyAlignment="1">
      <alignment horizontal="center"/>
    </xf>
    <xf numFmtId="1" fontId="134" fillId="0" borderId="216" xfId="0" applyNumberFormat="1" applyFont="1" applyBorder="1" applyAlignment="1">
      <alignment horizontal="center"/>
    </xf>
    <xf numFmtId="2" fontId="134" fillId="42" borderId="144" xfId="0" applyNumberFormat="1" applyFont="1" applyFill="1" applyBorder="1" applyAlignment="1">
      <alignment horizontal="center" vertical="center" wrapText="1"/>
    </xf>
    <xf numFmtId="2" fontId="134" fillId="42" borderId="144" xfId="0" applyNumberFormat="1" applyFont="1" applyFill="1" applyBorder="1" applyAlignment="1">
      <alignment horizontal="center" vertical="center"/>
    </xf>
    <xf numFmtId="2" fontId="38" fillId="5" borderId="240" xfId="0" applyNumberFormat="1" applyFont="1" applyFill="1" applyBorder="1" applyAlignment="1">
      <alignment horizontal="center"/>
    </xf>
    <xf numFmtId="2" fontId="38" fillId="5" borderId="4" xfId="0" applyNumberFormat="1" applyFont="1" applyFill="1" applyBorder="1" applyAlignment="1">
      <alignment horizontal="center"/>
    </xf>
    <xf numFmtId="2" fontId="38" fillId="5" borderId="239" xfId="0" applyNumberFormat="1" applyFont="1" applyFill="1" applyBorder="1" applyAlignment="1">
      <alignment horizontal="center"/>
    </xf>
    <xf numFmtId="0" fontId="20" fillId="0" borderId="0" xfId="1" applyNumberFormat="1" applyFont="1" applyFill="1" applyAlignment="1">
      <alignment vertical="center"/>
    </xf>
    <xf numFmtId="164" fontId="55" fillId="0" borderId="136" xfId="0" applyNumberFormat="1" applyFont="1" applyFill="1" applyBorder="1" applyAlignment="1">
      <alignment vertical="center"/>
    </xf>
    <xf numFmtId="164" fontId="55" fillId="0" borderId="229" xfId="0" applyNumberFormat="1" applyFont="1" applyFill="1" applyBorder="1" applyAlignment="1">
      <alignment vertical="center"/>
    </xf>
    <xf numFmtId="164" fontId="55" fillId="0" borderId="112" xfId="0" applyNumberFormat="1" applyFont="1" applyFill="1" applyBorder="1" applyAlignment="1">
      <alignment vertical="center"/>
    </xf>
    <xf numFmtId="164" fontId="55" fillId="0" borderId="130" xfId="0" applyNumberFormat="1" applyFont="1" applyFill="1" applyBorder="1" applyAlignment="1">
      <alignment vertical="center"/>
    </xf>
    <xf numFmtId="0" fontId="0" fillId="0" borderId="0" xfId="0" applyAlignment="1">
      <alignment horizontal="center" vertical="center" wrapText="1"/>
    </xf>
    <xf numFmtId="4" fontId="23" fillId="0" borderId="22" xfId="1" applyNumberFormat="1" applyFont="1" applyBorder="1" applyAlignment="1">
      <alignment vertical="center" wrapText="1"/>
    </xf>
    <xf numFmtId="187" fontId="23" fillId="0" borderId="23" xfId="1" applyNumberFormat="1" applyFont="1" applyBorder="1" applyAlignment="1">
      <alignment horizontal="center" vertical="center" wrapText="1"/>
    </xf>
    <xf numFmtId="4" fontId="23" fillId="0" borderId="22" xfId="1" applyNumberFormat="1" applyFont="1" applyFill="1" applyBorder="1" applyAlignment="1">
      <alignment vertical="center" wrapText="1"/>
    </xf>
    <xf numFmtId="187" fontId="23" fillId="0" borderId="23" xfId="1" applyNumberFormat="1" applyFont="1" applyFill="1" applyBorder="1" applyAlignment="1">
      <alignment horizontal="center" vertical="center" wrapText="1"/>
    </xf>
    <xf numFmtId="4" fontId="23" fillId="0" borderId="22" xfId="1" applyNumberFormat="1" applyFont="1" applyBorder="1" applyAlignment="1">
      <alignment vertical="center" shrinkToFit="1"/>
    </xf>
    <xf numFmtId="4" fontId="23" fillId="0" borderId="23" xfId="1" applyNumberFormat="1" applyFont="1" applyBorder="1" applyAlignment="1">
      <alignment vertical="center" shrinkToFit="1"/>
    </xf>
    <xf numFmtId="4" fontId="23" fillId="0" borderId="24" xfId="1" applyNumberFormat="1" applyFont="1" applyBorder="1" applyAlignment="1">
      <alignment vertical="center" shrinkToFit="1"/>
    </xf>
    <xf numFmtId="200" fontId="23" fillId="0" borderId="23" xfId="1" applyNumberFormat="1" applyFont="1" applyBorder="1" applyAlignment="1">
      <alignment horizontal="left" vertical="center" wrapText="1"/>
    </xf>
    <xf numFmtId="198" fontId="23" fillId="0" borderId="23" xfId="1" applyNumberFormat="1" applyFont="1" applyBorder="1" applyAlignment="1">
      <alignment horizontal="center" vertical="center" wrapText="1"/>
    </xf>
    <xf numFmtId="4" fontId="23" fillId="5" borderId="24" xfId="1" applyNumberFormat="1" applyFont="1" applyFill="1" applyBorder="1" applyAlignment="1">
      <alignment vertical="center" wrapText="1"/>
    </xf>
    <xf numFmtId="198" fontId="23" fillId="0" borderId="23" xfId="1" applyNumberFormat="1" applyFont="1" applyFill="1" applyBorder="1" applyAlignment="1">
      <alignment horizontal="center" vertical="center" wrapText="1"/>
    </xf>
    <xf numFmtId="201" fontId="23" fillId="0" borderId="23" xfId="1" applyNumberFormat="1" applyFont="1" applyBorder="1" applyAlignment="1">
      <alignment horizontal="left" vertical="center" wrapText="1"/>
    </xf>
    <xf numFmtId="199" fontId="23" fillId="0" borderId="23" xfId="1" applyNumberFormat="1" applyFont="1" applyBorder="1" applyAlignment="1">
      <alignment horizontal="center" vertical="center" wrapText="1"/>
    </xf>
    <xf numFmtId="197" fontId="23" fillId="0" borderId="23" xfId="1" applyNumberFormat="1" applyFont="1" applyBorder="1" applyAlignment="1">
      <alignment horizontal="left" vertical="center" wrapText="1"/>
    </xf>
    <xf numFmtId="2" fontId="0" fillId="0" borderId="230" xfId="0" applyNumberFormat="1" applyBorder="1" applyAlignment="1">
      <alignment horizontal="center"/>
    </xf>
    <xf numFmtId="2" fontId="0" fillId="0" borderId="229" xfId="0" applyNumberFormat="1" applyBorder="1" applyAlignment="1">
      <alignment horizontal="center"/>
    </xf>
    <xf numFmtId="2" fontId="0" fillId="0" borderId="107" xfId="0" applyNumberFormat="1" applyBorder="1" applyAlignment="1">
      <alignment horizontal="center"/>
    </xf>
    <xf numFmtId="2" fontId="0" fillId="0" borderId="108" xfId="0" applyNumberFormat="1" applyBorder="1" applyAlignment="1">
      <alignment horizontal="center"/>
    </xf>
    <xf numFmtId="2" fontId="29" fillId="0" borderId="107" xfId="0" applyNumberFormat="1" applyFont="1" applyBorder="1" applyAlignment="1">
      <alignment horizontal="center"/>
    </xf>
    <xf numFmtId="2" fontId="29" fillId="0" borderId="108" xfId="0" applyNumberFormat="1" applyFont="1" applyBorder="1" applyAlignment="1">
      <alignment horizontal="center"/>
    </xf>
    <xf numFmtId="2" fontId="29" fillId="0" borderId="1" xfId="0" applyNumberFormat="1" applyFont="1" applyBorder="1" applyAlignment="1">
      <alignment horizontal="center"/>
    </xf>
    <xf numFmtId="2" fontId="29" fillId="0" borderId="241" xfId="0" applyNumberFormat="1" applyFont="1" applyBorder="1" applyAlignment="1">
      <alignment horizontal="center"/>
    </xf>
    <xf numFmtId="2" fontId="29" fillId="0" borderId="227" xfId="0" applyNumberFormat="1" applyFont="1" applyBorder="1" applyAlignment="1">
      <alignment horizontal="center"/>
    </xf>
    <xf numFmtId="2" fontId="134" fillId="0" borderId="248" xfId="0" quotePrefix="1" applyNumberFormat="1" applyFont="1" applyBorder="1" applyAlignment="1">
      <alignment horizontal="center"/>
    </xf>
    <xf numFmtId="49" fontId="134" fillId="0" borderId="249" xfId="0" applyNumberFormat="1" applyFont="1" applyBorder="1" applyAlignment="1">
      <alignment horizontal="center"/>
    </xf>
    <xf numFmtId="1" fontId="134" fillId="0" borderId="248" xfId="0" applyNumberFormat="1" applyFont="1" applyBorder="1" applyAlignment="1">
      <alignment horizontal="center"/>
    </xf>
    <xf numFmtId="0" fontId="0" fillId="0" borderId="0" xfId="0" applyAlignment="1">
      <alignment horizontal="center" vertical="center" wrapText="1"/>
    </xf>
    <xf numFmtId="0" fontId="83" fillId="0" borderId="172" xfId="29" applyFont="1" applyBorder="1" applyAlignment="1">
      <alignment horizontal="center" vertical="center"/>
    </xf>
    <xf numFmtId="196" fontId="30" fillId="47" borderId="34" xfId="8" applyNumberFormat="1" applyFont="1" applyFill="1" applyBorder="1" applyAlignment="1">
      <alignment horizontal="center" vertical="center"/>
    </xf>
    <xf numFmtId="12" fontId="83" fillId="47" borderId="34" xfId="8" applyNumberFormat="1" applyFont="1" applyFill="1" applyBorder="1" applyAlignment="1">
      <alignment horizontal="center" vertical="center"/>
    </xf>
    <xf numFmtId="215" fontId="30" fillId="12" borderId="34" xfId="8" applyNumberFormat="1" applyFont="1" applyFill="1" applyBorder="1" applyAlignment="1">
      <alignment horizontal="center" vertical="center" shrinkToFit="1"/>
    </xf>
    <xf numFmtId="215" fontId="83" fillId="12" borderId="34" xfId="8" applyNumberFormat="1" applyFont="1" applyFill="1" applyBorder="1" applyAlignment="1">
      <alignment horizontal="center" vertical="center" shrinkToFit="1"/>
    </xf>
    <xf numFmtId="196" fontId="30" fillId="48" borderId="34" xfId="8" quotePrefix="1" applyNumberFormat="1" applyFont="1" applyFill="1" applyBorder="1" applyAlignment="1">
      <alignment horizontal="center" vertical="center"/>
    </xf>
    <xf numFmtId="196" fontId="30" fillId="0" borderId="0" xfId="8" applyNumberFormat="1" applyFont="1" applyAlignment="1">
      <alignment horizontal="right" vertical="center"/>
    </xf>
    <xf numFmtId="0" fontId="90" fillId="0" borderId="23" xfId="1" applyNumberFormat="1" applyFont="1" applyBorder="1" applyAlignment="1">
      <alignment vertical="center" wrapText="1"/>
    </xf>
    <xf numFmtId="185" fontId="45" fillId="5" borderId="0" xfId="29" applyNumberFormat="1" applyFont="1" applyFill="1" applyAlignment="1">
      <alignment vertical="center"/>
    </xf>
    <xf numFmtId="4" fontId="1" fillId="0" borderId="4" xfId="0" applyNumberFormat="1" applyFont="1" applyFill="1" applyBorder="1" applyAlignment="1">
      <alignment horizontal="center" vertical="center"/>
    </xf>
    <xf numFmtId="234" fontId="23" fillId="0" borderId="23" xfId="1" applyNumberFormat="1" applyFont="1" applyBorder="1" applyAlignment="1">
      <alignment horizontal="center" vertical="center" wrapText="1"/>
    </xf>
    <xf numFmtId="234" fontId="23" fillId="0" borderId="23" xfId="1" applyNumberFormat="1" applyFont="1" applyFill="1" applyBorder="1" applyAlignment="1">
      <alignment horizontal="center" vertical="center" wrapText="1"/>
    </xf>
    <xf numFmtId="0" fontId="37" fillId="0" borderId="22" xfId="1" applyNumberFormat="1" applyFont="1" applyBorder="1" applyAlignment="1">
      <alignment vertical="center"/>
    </xf>
    <xf numFmtId="2" fontId="0" fillId="0" borderId="4" xfId="0" applyNumberFormat="1" applyBorder="1" applyAlignment="1">
      <alignment horizontal="center" vertical="center"/>
    </xf>
    <xf numFmtId="0" fontId="0" fillId="0" borderId="4" xfId="0" applyBorder="1" applyAlignment="1">
      <alignment horizontal="center" vertical="center"/>
    </xf>
    <xf numFmtId="0" fontId="38" fillId="0" borderId="4" xfId="0" applyFont="1" applyBorder="1" applyAlignment="1">
      <alignment horizontal="center" vertical="center"/>
    </xf>
    <xf numFmtId="0" fontId="38"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wrapText="1"/>
    </xf>
    <xf numFmtId="169" fontId="39" fillId="0" borderId="0" xfId="0" applyNumberFormat="1" applyFont="1" applyAlignment="1">
      <alignment horizontal="center" vertical="center"/>
    </xf>
    <xf numFmtId="169" fontId="39" fillId="0" borderId="0" xfId="0" applyNumberFormat="1" applyFont="1" applyAlignment="1">
      <alignment horizontal="center" vertical="center" wrapText="1"/>
    </xf>
    <xf numFmtId="169" fontId="39" fillId="0" borderId="4" xfId="0" applyNumberFormat="1" applyFont="1" applyBorder="1" applyAlignment="1">
      <alignment horizontal="center" vertical="center"/>
    </xf>
    <xf numFmtId="169" fontId="138" fillId="0" borderId="0" xfId="2" applyNumberFormat="1" applyFont="1" applyAlignment="1">
      <alignment horizontal="center" vertical="center" wrapText="1"/>
    </xf>
    <xf numFmtId="169" fontId="91" fillId="0" borderId="0" xfId="0" applyNumberFormat="1" applyFont="1" applyAlignment="1">
      <alignment horizontal="center" vertical="center"/>
    </xf>
    <xf numFmtId="0" fontId="17" fillId="0" borderId="0" xfId="0" applyFont="1" applyAlignment="1">
      <alignment horizontal="center" vertical="center" wrapText="1"/>
    </xf>
    <xf numFmtId="0" fontId="18" fillId="0" borderId="49" xfId="1" applyNumberFormat="1" applyFont="1" applyFill="1" applyBorder="1" applyAlignment="1">
      <alignment horizontal="center" vertical="center" wrapText="1"/>
    </xf>
    <xf numFmtId="0" fontId="18" fillId="0" borderId="69" xfId="1" applyNumberFormat="1" applyFont="1" applyFill="1" applyBorder="1" applyAlignment="1">
      <alignment horizontal="center" vertical="center" wrapText="1"/>
    </xf>
    <xf numFmtId="0" fontId="18" fillId="0" borderId="49" xfId="1" applyNumberFormat="1" applyFont="1" applyBorder="1" applyAlignment="1">
      <alignment horizontal="center" vertical="center" wrapText="1"/>
    </xf>
    <xf numFmtId="0" fontId="18" fillId="0" borderId="69" xfId="1" applyNumberFormat="1" applyFont="1" applyBorder="1" applyAlignment="1">
      <alignment horizontal="center" vertical="center" wrapText="1"/>
    </xf>
    <xf numFmtId="10" fontId="18" fillId="0" borderId="49" xfId="1" applyNumberFormat="1" applyFont="1" applyBorder="1" applyAlignment="1">
      <alignment horizontal="center" vertical="center" wrapText="1"/>
    </xf>
    <xf numFmtId="10" fontId="18" fillId="0" borderId="69" xfId="1" applyNumberFormat="1" applyFont="1" applyBorder="1" applyAlignment="1">
      <alignment horizontal="center" vertical="center" wrapText="1"/>
    </xf>
    <xf numFmtId="4" fontId="18" fillId="0" borderId="118" xfId="1" applyNumberFormat="1" applyFont="1" applyBorder="1" applyAlignment="1">
      <alignment horizontal="center" vertical="center" wrapText="1"/>
    </xf>
    <xf numFmtId="4" fontId="18" fillId="0" borderId="106" xfId="1" applyNumberFormat="1" applyFont="1" applyBorder="1" applyAlignment="1">
      <alignment horizontal="center" vertical="center" wrapText="1"/>
    </xf>
    <xf numFmtId="4" fontId="18" fillId="0" borderId="87" xfId="1" applyNumberFormat="1" applyFont="1" applyBorder="1" applyAlignment="1">
      <alignment horizontal="center" vertical="center" wrapText="1"/>
    </xf>
    <xf numFmtId="4" fontId="18" fillId="0" borderId="90" xfId="1" applyNumberFormat="1" applyFont="1" applyBorder="1" applyAlignment="1">
      <alignment horizontal="center" vertical="center" wrapText="1"/>
    </xf>
    <xf numFmtId="1" fontId="18" fillId="0" borderId="49" xfId="1" applyNumberFormat="1" applyFont="1" applyFill="1" applyBorder="1" applyAlignment="1">
      <alignment horizontal="center" vertical="center" wrapText="1"/>
    </xf>
    <xf numFmtId="1" fontId="18" fillId="0" borderId="69" xfId="1" applyNumberFormat="1" applyFont="1" applyFill="1" applyBorder="1" applyAlignment="1">
      <alignment horizontal="center" vertical="center" wrapText="1"/>
    </xf>
    <xf numFmtId="0" fontId="18" fillId="0" borderId="56" xfId="1" applyNumberFormat="1" applyFont="1" applyBorder="1" applyAlignment="1">
      <alignment horizontal="center" vertical="center" wrapText="1"/>
    </xf>
    <xf numFmtId="0" fontId="18" fillId="0" borderId="67" xfId="1" applyNumberFormat="1" applyFont="1" applyBorder="1" applyAlignment="1">
      <alignment horizontal="center" vertical="center" wrapText="1"/>
    </xf>
    <xf numFmtId="0" fontId="2" fillId="0" borderId="0" xfId="0" applyFont="1" applyFill="1" applyBorder="1" applyAlignment="1">
      <alignment horizontal="right" vertical="center"/>
    </xf>
    <xf numFmtId="0" fontId="2" fillId="0" borderId="26" xfId="0" applyFont="1" applyFill="1" applyBorder="1" applyAlignment="1">
      <alignment horizontal="right" vertical="center"/>
    </xf>
    <xf numFmtId="0" fontId="28" fillId="0" borderId="0" xfId="0" applyFont="1" applyFill="1" applyBorder="1" applyAlignment="1">
      <alignment vertical="center"/>
    </xf>
    <xf numFmtId="0" fontId="28" fillId="0" borderId="26" xfId="0" applyFont="1" applyFill="1" applyBorder="1" applyAlignment="1">
      <alignment vertical="center"/>
    </xf>
    <xf numFmtId="0" fontId="18" fillId="0" borderId="104" xfId="1" applyNumberFormat="1" applyFont="1" applyBorder="1" applyAlignment="1">
      <alignment horizontal="center" vertical="center" wrapText="1"/>
    </xf>
    <xf numFmtId="0" fontId="18" fillId="0" borderId="105" xfId="1" applyNumberFormat="1" applyFont="1" applyBorder="1" applyAlignment="1">
      <alignment horizontal="center" vertical="center" wrapText="1"/>
    </xf>
    <xf numFmtId="4" fontId="18" fillId="0" borderId="102" xfId="1" applyNumberFormat="1" applyFont="1" applyBorder="1" applyAlignment="1">
      <alignment horizontal="center" vertical="center" wrapText="1"/>
    </xf>
    <xf numFmtId="4" fontId="18" fillId="0" borderId="103" xfId="1" applyNumberFormat="1" applyFont="1" applyBorder="1" applyAlignment="1">
      <alignment horizontal="center" vertical="center" wrapText="1"/>
    </xf>
    <xf numFmtId="0" fontId="18" fillId="0" borderId="64" xfId="1" applyNumberFormat="1" applyFont="1" applyBorder="1" applyAlignment="1">
      <alignment horizontal="center" vertical="center" wrapText="1"/>
    </xf>
    <xf numFmtId="0" fontId="18" fillId="0" borderId="68" xfId="1" applyNumberFormat="1" applyFont="1" applyBorder="1" applyAlignment="1">
      <alignment horizontal="center" vertical="center" wrapText="1"/>
    </xf>
    <xf numFmtId="0" fontId="73" fillId="0" borderId="0" xfId="0" applyFont="1" applyFill="1" applyBorder="1" applyAlignment="1">
      <alignment horizontal="right" vertical="center"/>
    </xf>
    <xf numFmtId="0" fontId="73" fillId="0" borderId="26" xfId="0" applyFont="1" applyFill="1" applyBorder="1" applyAlignment="1">
      <alignment horizontal="right" vertical="center"/>
    </xf>
    <xf numFmtId="0" fontId="109" fillId="0" borderId="0" xfId="0" applyFont="1" applyFill="1" applyBorder="1" applyAlignment="1">
      <alignment vertical="center" shrinkToFit="1"/>
    </xf>
    <xf numFmtId="0" fontId="109" fillId="0" borderId="26" xfId="0" applyFont="1" applyFill="1" applyBorder="1" applyAlignment="1">
      <alignment vertical="center" shrinkToFit="1"/>
    </xf>
    <xf numFmtId="10" fontId="18" fillId="0" borderId="49" xfId="19" applyNumberFormat="1" applyFont="1" applyBorder="1" applyAlignment="1">
      <alignment horizontal="center" vertical="center" wrapText="1"/>
    </xf>
    <xf numFmtId="10" fontId="18" fillId="0" borderId="69" xfId="19" applyNumberFormat="1" applyFont="1" applyBorder="1" applyAlignment="1">
      <alignment horizontal="center" vertical="center" wrapText="1"/>
    </xf>
    <xf numFmtId="4" fontId="18" fillId="0" borderId="118" xfId="19" applyNumberFormat="1" applyFont="1" applyBorder="1" applyAlignment="1">
      <alignment horizontal="center" vertical="center" wrapText="1"/>
    </xf>
    <xf numFmtId="4" fontId="18" fillId="0" borderId="106" xfId="19" applyNumberFormat="1" applyFont="1" applyBorder="1" applyAlignment="1">
      <alignment horizontal="center" vertical="center" wrapText="1"/>
    </xf>
    <xf numFmtId="4" fontId="18" fillId="0" borderId="49" xfId="19" applyNumberFormat="1" applyFont="1" applyBorder="1" applyAlignment="1">
      <alignment horizontal="center" vertical="center" wrapText="1"/>
    </xf>
    <xf numFmtId="4" fontId="18" fillId="0" borderId="69" xfId="19" applyNumberFormat="1" applyFont="1" applyBorder="1" applyAlignment="1">
      <alignment horizontal="center" vertical="center" wrapText="1"/>
    </xf>
    <xf numFmtId="0" fontId="18" fillId="0" borderId="104" xfId="19" applyNumberFormat="1" applyFont="1" applyBorder="1" applyAlignment="1">
      <alignment horizontal="center" vertical="center" wrapText="1"/>
    </xf>
    <xf numFmtId="0" fontId="0" fillId="0" borderId="105" xfId="0" applyBorder="1" applyAlignment="1">
      <alignment horizontal="center" vertical="center" wrapText="1"/>
    </xf>
    <xf numFmtId="1" fontId="18" fillId="0" borderId="49" xfId="19" applyNumberFormat="1" applyFont="1" applyBorder="1" applyAlignment="1">
      <alignment horizontal="center" vertical="center" wrapText="1"/>
    </xf>
    <xf numFmtId="1" fontId="18" fillId="0" borderId="69" xfId="19" applyNumberFormat="1" applyFont="1" applyBorder="1" applyAlignment="1">
      <alignment horizontal="center" vertical="center" wrapText="1"/>
    </xf>
    <xf numFmtId="4" fontId="18" fillId="0" borderId="142" xfId="19" applyNumberFormat="1" applyFont="1" applyBorder="1" applyAlignment="1">
      <alignment horizontal="center" vertical="center" wrapText="1"/>
    </xf>
    <xf numFmtId="4" fontId="18" fillId="0" borderId="143" xfId="19" applyNumberFormat="1" applyFont="1" applyBorder="1" applyAlignment="1">
      <alignment horizontal="center" vertical="center" wrapText="1"/>
    </xf>
    <xf numFmtId="0" fontId="18" fillId="0" borderId="49" xfId="19" applyNumberFormat="1" applyFont="1" applyBorder="1" applyAlignment="1">
      <alignment horizontal="center" vertical="center" wrapText="1"/>
    </xf>
    <xf numFmtId="0" fontId="18" fillId="0" borderId="69" xfId="19" applyNumberFormat="1" applyFont="1" applyBorder="1" applyAlignment="1">
      <alignment horizontal="center" vertical="center" wrapText="1"/>
    </xf>
    <xf numFmtId="0" fontId="18" fillId="0" borderId="56" xfId="19" applyNumberFormat="1" applyFont="1" applyBorder="1" applyAlignment="1">
      <alignment horizontal="center" vertical="center" wrapText="1"/>
    </xf>
    <xf numFmtId="0" fontId="18" fillId="0" borderId="67" xfId="19" applyNumberFormat="1" applyFont="1" applyBorder="1" applyAlignment="1">
      <alignment horizontal="center" vertical="center" wrapText="1"/>
    </xf>
    <xf numFmtId="0" fontId="98" fillId="0" borderId="0" xfId="0" applyFont="1" applyFill="1" applyBorder="1" applyAlignment="1">
      <alignment horizontal="center" vertical="center"/>
    </xf>
    <xf numFmtId="0" fontId="21" fillId="0" borderId="0" xfId="0" applyFont="1" applyFill="1" applyBorder="1" applyAlignment="1">
      <alignment vertical="center"/>
    </xf>
    <xf numFmtId="0" fontId="21" fillId="0" borderId="26" xfId="0" applyFont="1" applyFill="1" applyBorder="1" applyAlignment="1">
      <alignment vertical="center"/>
    </xf>
    <xf numFmtId="0" fontId="18" fillId="0" borderId="105" xfId="19" applyNumberFormat="1" applyFont="1" applyBorder="1" applyAlignment="1">
      <alignment horizontal="center" vertical="center" wrapText="1"/>
    </xf>
    <xf numFmtId="4" fontId="18" fillId="0" borderId="102" xfId="19" applyNumberFormat="1" applyFont="1" applyBorder="1" applyAlignment="1">
      <alignment horizontal="center" vertical="center" wrapText="1"/>
    </xf>
    <xf numFmtId="4" fontId="18" fillId="0" borderId="103" xfId="19" applyNumberFormat="1" applyFont="1" applyBorder="1" applyAlignment="1">
      <alignment horizontal="center" vertical="center" wrapText="1"/>
    </xf>
    <xf numFmtId="0" fontId="24" fillId="0" borderId="83" xfId="19" applyNumberFormat="1" applyFont="1" applyBorder="1" applyAlignment="1">
      <alignment vertical="center" wrapText="1"/>
    </xf>
    <xf numFmtId="0" fontId="24" fillId="0" borderId="63" xfId="19" applyNumberFormat="1" applyFont="1" applyBorder="1" applyAlignment="1">
      <alignment vertical="center" wrapText="1"/>
    </xf>
    <xf numFmtId="0" fontId="24" fillId="0" borderId="80" xfId="19" applyNumberFormat="1" applyFont="1" applyBorder="1" applyAlignment="1">
      <alignment vertical="center" wrapText="1"/>
    </xf>
    <xf numFmtId="0" fontId="18" fillId="6" borderId="56" xfId="19" applyNumberFormat="1" applyFont="1" applyFill="1" applyBorder="1" applyAlignment="1">
      <alignment horizontal="center" vertical="center"/>
    </xf>
    <xf numFmtId="0" fontId="18" fillId="6" borderId="67" xfId="19" applyNumberFormat="1" applyFont="1" applyFill="1" applyBorder="1" applyAlignment="1">
      <alignment horizontal="center" vertical="center"/>
    </xf>
    <xf numFmtId="0" fontId="18" fillId="6" borderId="64" xfId="19" applyNumberFormat="1" applyFont="1" applyFill="1" applyBorder="1" applyAlignment="1">
      <alignment horizontal="center" vertical="center"/>
    </xf>
    <xf numFmtId="0" fontId="18" fillId="6" borderId="68" xfId="19" applyNumberFormat="1" applyFont="1" applyFill="1" applyBorder="1" applyAlignment="1">
      <alignment horizontal="center" vertical="center"/>
    </xf>
    <xf numFmtId="0" fontId="18" fillId="6" borderId="49" xfId="19" applyNumberFormat="1" applyFont="1" applyFill="1" applyBorder="1" applyAlignment="1">
      <alignment horizontal="center" vertical="center"/>
    </xf>
    <xf numFmtId="0" fontId="18" fillId="6" borderId="69" xfId="19" applyNumberFormat="1" applyFont="1" applyFill="1" applyBorder="1" applyAlignment="1">
      <alignment horizontal="center" vertical="center"/>
    </xf>
    <xf numFmtId="0" fontId="18" fillId="6" borderId="61" xfId="19" applyNumberFormat="1" applyFont="1" applyFill="1" applyBorder="1" applyAlignment="1">
      <alignment horizontal="center" vertical="center"/>
    </xf>
    <xf numFmtId="0" fontId="18" fillId="6" borderId="70" xfId="19" applyNumberFormat="1" applyFont="1" applyFill="1" applyBorder="1" applyAlignment="1">
      <alignment horizontal="center" vertical="center"/>
    </xf>
    <xf numFmtId="0" fontId="24" fillId="0" borderId="60" xfId="19" applyNumberFormat="1" applyFont="1" applyBorder="1" applyAlignment="1">
      <alignment vertical="center" wrapText="1"/>
    </xf>
    <xf numFmtId="0" fontId="41" fillId="0" borderId="5" xfId="19" applyNumberFormat="1" applyFont="1" applyBorder="1" applyAlignment="1">
      <alignment vertical="center" wrapText="1"/>
    </xf>
    <xf numFmtId="0" fontId="41" fillId="0" borderId="74" xfId="19" applyNumberFormat="1" applyFont="1" applyBorder="1" applyAlignment="1">
      <alignment vertical="center" wrapText="1"/>
    </xf>
    <xf numFmtId="0" fontId="41" fillId="0" borderId="11" xfId="19" applyNumberFormat="1" applyFont="1" applyBorder="1" applyAlignment="1">
      <alignment vertical="center" wrapText="1"/>
    </xf>
    <xf numFmtId="0" fontId="41" fillId="0" borderId="77" xfId="19" applyNumberFormat="1" applyFont="1" applyBorder="1" applyAlignment="1">
      <alignment vertical="center" wrapText="1"/>
    </xf>
    <xf numFmtId="0" fontId="41" fillId="0" borderId="25" xfId="19" applyNumberFormat="1" applyFont="1" applyBorder="1" applyAlignment="1">
      <alignment vertical="center" wrapText="1"/>
    </xf>
    <xf numFmtId="0" fontId="41" fillId="0" borderId="88" xfId="19" applyNumberFormat="1" applyFont="1" applyBorder="1" applyAlignment="1">
      <alignment vertical="center" wrapText="1"/>
    </xf>
    <xf numFmtId="181" fontId="41" fillId="0" borderId="60" xfId="19" applyNumberFormat="1" applyFont="1" applyBorder="1" applyAlignment="1">
      <alignment vertical="center" shrinkToFit="1"/>
    </xf>
    <xf numFmtId="0" fontId="41" fillId="0" borderId="63" xfId="19" applyNumberFormat="1" applyFont="1" applyBorder="1" applyAlignment="1">
      <alignment vertical="center" shrinkToFit="1"/>
    </xf>
    <xf numFmtId="0" fontId="41" fillId="0" borderId="89" xfId="19" applyNumberFormat="1" applyFont="1" applyBorder="1" applyAlignment="1">
      <alignment vertical="center" shrinkToFit="1"/>
    </xf>
    <xf numFmtId="177" fontId="41" fillId="0" borderId="61" xfId="19" applyNumberFormat="1" applyFont="1" applyBorder="1" applyAlignment="1">
      <alignment vertical="center"/>
    </xf>
    <xf numFmtId="177" fontId="41" fillId="0" borderId="45" xfId="19" applyNumberFormat="1" applyFont="1" applyBorder="1" applyAlignment="1">
      <alignment vertical="center"/>
    </xf>
    <xf numFmtId="177" fontId="41" fillId="0" borderId="70" xfId="19" applyNumberFormat="1" applyFont="1" applyBorder="1" applyAlignment="1">
      <alignment vertical="center"/>
    </xf>
    <xf numFmtId="4" fontId="30" fillId="0" borderId="4" xfId="0" applyNumberFormat="1" applyFont="1" applyBorder="1" applyAlignment="1">
      <alignment horizontal="center" vertical="center" wrapText="1"/>
    </xf>
    <xf numFmtId="169" fontId="39" fillId="0" borderId="4" xfId="0" applyNumberFormat="1" applyFont="1" applyBorder="1" applyAlignment="1">
      <alignment horizontal="center" vertical="center" wrapText="1"/>
    </xf>
    <xf numFmtId="0" fontId="29" fillId="0" borderId="29" xfId="10" applyFont="1" applyBorder="1" applyAlignment="1">
      <alignment horizontal="center" vertical="center" wrapText="1"/>
    </xf>
    <xf numFmtId="0" fontId="29" fillId="0" borderId="96" xfId="10" applyFont="1" applyBorder="1" applyAlignment="1">
      <alignment horizontal="center" vertical="center" wrapText="1"/>
    </xf>
    <xf numFmtId="0" fontId="29" fillId="0" borderId="28" xfId="10" applyFont="1" applyBorder="1" applyAlignment="1">
      <alignment horizontal="center" vertical="center" wrapText="1"/>
    </xf>
    <xf numFmtId="0" fontId="29" fillId="0" borderId="29" xfId="10" applyFont="1" applyBorder="1" applyAlignment="1">
      <alignment vertical="center" wrapText="1"/>
    </xf>
    <xf numFmtId="0" fontId="29" fillId="0" borderId="96" xfId="10" applyFont="1" applyBorder="1" applyAlignment="1">
      <alignment vertical="center" wrapText="1"/>
    </xf>
    <xf numFmtId="0" fontId="29" fillId="0" borderId="28" xfId="10" applyFont="1" applyBorder="1" applyAlignment="1">
      <alignment vertical="center" wrapText="1"/>
    </xf>
    <xf numFmtId="4" fontId="29" fillId="0" borderId="29" xfId="10" applyNumberFormat="1" applyFont="1" applyBorder="1" applyAlignment="1">
      <alignment horizontal="center" vertical="center" wrapText="1"/>
    </xf>
    <xf numFmtId="4" fontId="29" fillId="0" borderId="96" xfId="10" applyNumberFormat="1" applyFont="1" applyBorder="1" applyAlignment="1">
      <alignment horizontal="center" vertical="center" wrapText="1"/>
    </xf>
    <xf numFmtId="4" fontId="29" fillId="0" borderId="28" xfId="10" applyNumberFormat="1" applyFont="1" applyBorder="1" applyAlignment="1">
      <alignment horizontal="center" vertical="center" wrapText="1"/>
    </xf>
    <xf numFmtId="4" fontId="29" fillId="0" borderId="46" xfId="10" applyNumberFormat="1" applyFont="1" applyFill="1" applyBorder="1" applyAlignment="1">
      <alignment vertical="center" wrapText="1"/>
    </xf>
    <xf numFmtId="4" fontId="29" fillId="0" borderId="33" xfId="10" applyNumberFormat="1" applyFont="1" applyFill="1" applyBorder="1" applyAlignment="1">
      <alignment vertical="center" wrapText="1"/>
    </xf>
    <xf numFmtId="4" fontId="29" fillId="3" borderId="46" xfId="10" applyNumberFormat="1" applyFont="1" applyFill="1" applyBorder="1" applyAlignment="1">
      <alignment vertical="center" wrapText="1"/>
    </xf>
    <xf numFmtId="4" fontId="29" fillId="3" borderId="33" xfId="10" applyNumberFormat="1" applyFont="1" applyFill="1" applyBorder="1" applyAlignment="1">
      <alignment vertical="center" wrapText="1"/>
    </xf>
    <xf numFmtId="4" fontId="29" fillId="0" borderId="98" xfId="10" applyNumberFormat="1" applyFont="1" applyFill="1" applyBorder="1" applyAlignment="1">
      <alignment vertical="center" wrapText="1"/>
    </xf>
    <xf numFmtId="4" fontId="29" fillId="0" borderId="53" xfId="10" applyNumberFormat="1" applyFont="1" applyFill="1" applyBorder="1" applyAlignment="1">
      <alignment vertical="center" wrapText="1"/>
    </xf>
    <xf numFmtId="4" fontId="29" fillId="3" borderId="98" xfId="10" applyNumberFormat="1" applyFont="1" applyFill="1" applyBorder="1" applyAlignment="1">
      <alignment vertical="center" wrapText="1"/>
    </xf>
    <xf numFmtId="4" fontId="29" fillId="3" borderId="53" xfId="10" applyNumberFormat="1" applyFont="1" applyFill="1" applyBorder="1" applyAlignment="1">
      <alignment vertical="center" wrapText="1"/>
    </xf>
    <xf numFmtId="4" fontId="29" fillId="3" borderId="34" xfId="10" applyNumberFormat="1" applyFont="1" applyFill="1" applyBorder="1" applyAlignment="1">
      <alignment vertical="center" wrapText="1"/>
    </xf>
    <xf numFmtId="4" fontId="29" fillId="3" borderId="62" xfId="10" applyNumberFormat="1" applyFont="1" applyFill="1" applyBorder="1" applyAlignment="1">
      <alignment vertical="center" wrapText="1"/>
    </xf>
    <xf numFmtId="0" fontId="29" fillId="0" borderId="29" xfId="10" applyFont="1" applyBorder="1" applyAlignment="1">
      <alignment horizontal="left" vertical="center" wrapText="1"/>
    </xf>
    <xf numFmtId="0" fontId="29" fillId="0" borderId="96" xfId="10" applyFont="1" applyBorder="1" applyAlignment="1">
      <alignment horizontal="left" vertical="center" wrapText="1"/>
    </xf>
    <xf numFmtId="0" fontId="29" fillId="0" borderId="28" xfId="10" applyFont="1" applyBorder="1" applyAlignment="1">
      <alignment horizontal="left" vertical="center" wrapText="1"/>
    </xf>
    <xf numFmtId="4" fontId="29" fillId="0" borderId="46" xfId="10" quotePrefix="1" applyNumberFormat="1" applyFont="1" applyFill="1" applyBorder="1" applyAlignment="1">
      <alignment vertical="center" wrapText="1"/>
    </xf>
    <xf numFmtId="4" fontId="29" fillId="0" borderId="34" xfId="10" applyNumberFormat="1" applyFont="1" applyFill="1" applyBorder="1" applyAlignment="1">
      <alignment vertical="center" wrapText="1"/>
    </xf>
    <xf numFmtId="0" fontId="29" fillId="0" borderId="29" xfId="10" applyFont="1" applyFill="1" applyBorder="1" applyAlignment="1">
      <alignment vertical="center" wrapText="1"/>
    </xf>
    <xf numFmtId="0" fontId="29" fillId="0" borderId="96" xfId="10" applyFont="1" applyFill="1" applyBorder="1" applyAlignment="1">
      <alignment vertical="center" wrapText="1"/>
    </xf>
    <xf numFmtId="0" fontId="29" fillId="0" borderId="28" xfId="10" applyFont="1" applyFill="1" applyBorder="1" applyAlignment="1">
      <alignment vertical="center" wrapText="1"/>
    </xf>
    <xf numFmtId="0" fontId="29" fillId="0" borderId="29" xfId="10" applyFont="1" applyFill="1" applyBorder="1" applyAlignment="1">
      <alignment horizontal="center" vertical="center" wrapText="1"/>
    </xf>
    <xf numFmtId="0" fontId="29" fillId="0" borderId="96" xfId="10" applyFont="1" applyFill="1" applyBorder="1" applyAlignment="1">
      <alignment horizontal="center" vertical="center" wrapText="1"/>
    </xf>
    <xf numFmtId="0" fontId="29" fillId="0" borderId="28" xfId="10" applyFont="1" applyFill="1" applyBorder="1" applyAlignment="1">
      <alignment horizontal="center" vertical="center" wrapText="1"/>
    </xf>
    <xf numFmtId="4" fontId="29" fillId="0" borderId="29" xfId="10" applyNumberFormat="1" applyFont="1" applyFill="1" applyBorder="1" applyAlignment="1">
      <alignment horizontal="center" vertical="center" wrapText="1"/>
    </xf>
    <xf numFmtId="4" fontId="29" fillId="0" borderId="96" xfId="10" applyNumberFormat="1" applyFont="1" applyFill="1" applyBorder="1" applyAlignment="1">
      <alignment horizontal="center" vertical="center" wrapText="1"/>
    </xf>
    <xf numFmtId="4" fontId="29" fillId="0" borderId="28" xfId="10" applyNumberFormat="1" applyFont="1" applyFill="1" applyBorder="1" applyAlignment="1">
      <alignment horizontal="center" vertical="center" wrapText="1"/>
    </xf>
    <xf numFmtId="4" fontId="29" fillId="0" borderId="62" xfId="10" applyNumberFormat="1" applyFont="1" applyFill="1" applyBorder="1" applyAlignment="1">
      <alignment vertical="center" wrapText="1"/>
    </xf>
    <xf numFmtId="0" fontId="29" fillId="0" borderId="46" xfId="10" quotePrefix="1" applyNumberFormat="1" applyFont="1" applyFill="1" applyBorder="1" applyAlignment="1">
      <alignment vertical="center" wrapText="1"/>
    </xf>
    <xf numFmtId="0" fontId="29" fillId="0" borderId="33" xfId="10" quotePrefix="1" applyNumberFormat="1" applyFont="1" applyFill="1" applyBorder="1" applyAlignment="1">
      <alignment vertical="center" wrapText="1"/>
    </xf>
    <xf numFmtId="0" fontId="29" fillId="0" borderId="33" xfId="10" applyNumberFormat="1" applyFont="1" applyFill="1" applyBorder="1" applyAlignment="1">
      <alignment vertical="center" wrapText="1"/>
    </xf>
    <xf numFmtId="4" fontId="128" fillId="5" borderId="221" xfId="10" applyNumberFormat="1" applyFont="1" applyFill="1" applyBorder="1" applyAlignment="1">
      <alignment horizontal="center" vertical="center" wrapText="1"/>
    </xf>
    <xf numFmtId="4" fontId="128" fillId="5" borderId="185" xfId="10" applyNumberFormat="1" applyFont="1" applyFill="1" applyBorder="1" applyAlignment="1">
      <alignment horizontal="center" vertical="center" wrapText="1"/>
    </xf>
    <xf numFmtId="4" fontId="128" fillId="5" borderId="186" xfId="10" applyNumberFormat="1" applyFont="1" applyFill="1" applyBorder="1" applyAlignment="1">
      <alignment horizontal="center" vertical="center" wrapText="1"/>
    </xf>
    <xf numFmtId="4" fontId="128" fillId="5" borderId="114" xfId="10" applyNumberFormat="1" applyFont="1" applyFill="1" applyBorder="1" applyAlignment="1">
      <alignment horizontal="center" vertical="center" wrapText="1"/>
    </xf>
    <xf numFmtId="4" fontId="128" fillId="5" borderId="222" xfId="10" applyNumberFormat="1" applyFont="1" applyFill="1" applyBorder="1" applyAlignment="1">
      <alignment horizontal="center" vertical="center" wrapText="1"/>
    </xf>
    <xf numFmtId="4" fontId="128" fillId="5" borderId="134" xfId="10" applyNumberFormat="1" applyFont="1" applyFill="1" applyBorder="1" applyAlignment="1">
      <alignment horizontal="center" vertical="center" wrapText="1"/>
    </xf>
    <xf numFmtId="4" fontId="44" fillId="5" borderId="221" xfId="10" applyNumberFormat="1" applyFont="1" applyFill="1" applyBorder="1" applyAlignment="1">
      <alignment horizontal="center" vertical="center" wrapText="1"/>
    </xf>
    <xf numFmtId="4" fontId="44" fillId="5" borderId="185" xfId="10" applyNumberFormat="1" applyFont="1" applyFill="1" applyBorder="1" applyAlignment="1">
      <alignment horizontal="center" vertical="center" wrapText="1"/>
    </xf>
    <xf numFmtId="4" fontId="44" fillId="5" borderId="186" xfId="10" applyNumberFormat="1" applyFont="1" applyFill="1" applyBorder="1" applyAlignment="1">
      <alignment horizontal="center" vertical="center" wrapText="1"/>
    </xf>
    <xf numFmtId="4" fontId="44" fillId="5" borderId="114" xfId="10" applyNumberFormat="1" applyFont="1" applyFill="1" applyBorder="1" applyAlignment="1">
      <alignment horizontal="center" vertical="center" wrapText="1"/>
    </xf>
    <xf numFmtId="4" fontId="44" fillId="5" borderId="222" xfId="10" applyNumberFormat="1" applyFont="1" applyFill="1" applyBorder="1" applyAlignment="1">
      <alignment horizontal="center" vertical="center" wrapText="1"/>
    </xf>
    <xf numFmtId="4" fontId="44" fillId="5" borderId="134" xfId="10" applyNumberFormat="1" applyFont="1" applyFill="1" applyBorder="1" applyAlignment="1">
      <alignment horizontal="center" vertical="center" wrapText="1"/>
    </xf>
    <xf numFmtId="0" fontId="18" fillId="0" borderId="123" xfId="0" applyFont="1" applyBorder="1" applyAlignment="1">
      <alignment horizontal="right" vertical="center"/>
    </xf>
    <xf numFmtId="0" fontId="18" fillId="0" borderId="124" xfId="0" applyFont="1" applyBorder="1" applyAlignment="1">
      <alignment horizontal="right" vertical="center"/>
    </xf>
    <xf numFmtId="0" fontId="18" fillId="0" borderId="125" xfId="0" applyFont="1" applyBorder="1" applyAlignment="1">
      <alignment horizontal="right" vertical="center"/>
    </xf>
    <xf numFmtId="0" fontId="27" fillId="8" borderId="0" xfId="0" applyFont="1" applyFill="1" applyAlignment="1">
      <alignment horizontal="center" vertical="center"/>
    </xf>
    <xf numFmtId="0" fontId="58" fillId="8" borderId="0" xfId="0" applyFont="1" applyFill="1" applyAlignment="1" applyProtection="1">
      <alignment horizontal="center" vertical="center"/>
      <protection locked="0"/>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09" xfId="0" applyFont="1" applyBorder="1" applyAlignment="1">
      <alignment horizontal="center" vertical="center"/>
    </xf>
    <xf numFmtId="0" fontId="5" fillId="0" borderId="117" xfId="0" applyFont="1" applyBorder="1" applyAlignment="1">
      <alignment horizontal="center" vertical="center"/>
    </xf>
    <xf numFmtId="0" fontId="5" fillId="0" borderId="111" xfId="0" applyFont="1" applyBorder="1" applyAlignment="1">
      <alignment horizontal="center" vertical="center"/>
    </xf>
    <xf numFmtId="0" fontId="5" fillId="0" borderId="136" xfId="0" applyFont="1" applyBorder="1" applyAlignment="1">
      <alignment horizontal="center" vertical="center"/>
    </xf>
    <xf numFmtId="0" fontId="5" fillId="0" borderId="135" xfId="0" applyFont="1" applyBorder="1" applyAlignment="1">
      <alignment horizontal="center" vertical="center"/>
    </xf>
    <xf numFmtId="0" fontId="5" fillId="0" borderId="134" xfId="0" applyFont="1" applyBorder="1" applyAlignment="1">
      <alignment horizontal="center" vertical="center"/>
    </xf>
    <xf numFmtId="0" fontId="5" fillId="0" borderId="113" xfId="0" applyFont="1" applyBorder="1" applyAlignment="1">
      <alignment horizontal="center" vertical="center"/>
    </xf>
    <xf numFmtId="0" fontId="5" fillId="0" borderId="0" xfId="0" applyFont="1" applyBorder="1" applyAlignment="1">
      <alignment horizontal="center" vertical="center"/>
    </xf>
    <xf numFmtId="0" fontId="5" fillId="0" borderId="114" xfId="0" applyFont="1" applyBorder="1" applyAlignment="1">
      <alignment horizontal="center" vertical="center"/>
    </xf>
    <xf numFmtId="0" fontId="5" fillId="0" borderId="41" xfId="0" applyFont="1" applyBorder="1" applyAlignment="1">
      <alignment horizontal="center" vertical="center"/>
    </xf>
    <xf numFmtId="0" fontId="5" fillId="0" borderId="40" xfId="0" applyFont="1" applyBorder="1" applyAlignment="1">
      <alignment horizontal="center" vertical="center"/>
    </xf>
    <xf numFmtId="0" fontId="5" fillId="0" borderId="39" xfId="0" applyFont="1" applyBorder="1" applyAlignment="1">
      <alignment horizontal="center" vertical="center"/>
    </xf>
    <xf numFmtId="0" fontId="18" fillId="3" borderId="137" xfId="0" applyFont="1" applyFill="1" applyBorder="1" applyAlignment="1">
      <alignment horizontal="center" vertical="center"/>
    </xf>
    <xf numFmtId="0" fontId="18" fillId="3" borderId="138" xfId="0" applyFont="1" applyFill="1" applyBorder="1" applyAlignment="1">
      <alignment horizontal="center" vertical="center"/>
    </xf>
    <xf numFmtId="0" fontId="18" fillId="3" borderId="139" xfId="0" applyFont="1" applyFill="1" applyBorder="1" applyAlignment="1">
      <alignment horizontal="center" vertical="center"/>
    </xf>
    <xf numFmtId="0" fontId="5" fillId="8" borderId="0" xfId="0" applyFont="1" applyFill="1" applyAlignment="1">
      <alignment horizontal="left" vertical="center"/>
    </xf>
    <xf numFmtId="0" fontId="23" fillId="8" borderId="0" xfId="0" applyFont="1" applyFill="1" applyAlignment="1">
      <alignment horizontal="left" vertical="center"/>
    </xf>
    <xf numFmtId="0" fontId="23" fillId="8" borderId="0" xfId="0" applyFont="1" applyFill="1" applyAlignment="1">
      <alignment horizontal="left" vertical="center" wrapText="1"/>
    </xf>
    <xf numFmtId="0" fontId="26" fillId="8" borderId="0" xfId="0" applyFont="1" applyFill="1" applyAlignment="1">
      <alignment horizontal="left" vertical="center"/>
    </xf>
    <xf numFmtId="0" fontId="18" fillId="3" borderId="127" xfId="0" applyFont="1" applyFill="1" applyBorder="1" applyAlignment="1">
      <alignment horizontal="right" vertical="center"/>
    </xf>
    <xf numFmtId="0" fontId="18" fillId="3" borderId="128" xfId="0" applyFont="1" applyFill="1" applyBorder="1" applyAlignment="1">
      <alignment horizontal="right" vertical="center"/>
    </xf>
    <xf numFmtId="0" fontId="18" fillId="3" borderId="129" xfId="0" applyFont="1" applyFill="1" applyBorder="1" applyAlignment="1">
      <alignment horizontal="right" vertical="center"/>
    </xf>
    <xf numFmtId="0" fontId="18" fillId="8" borderId="0" xfId="0" applyFont="1" applyFill="1" applyAlignment="1">
      <alignment horizontal="center" vertical="center"/>
    </xf>
    <xf numFmtId="0" fontId="26" fillId="8" borderId="0" xfId="0" applyFont="1" applyFill="1" applyAlignment="1">
      <alignment horizontal="right" vertical="center"/>
    </xf>
    <xf numFmtId="0" fontId="60" fillId="8" borderId="0" xfId="0" applyFont="1" applyFill="1" applyAlignment="1">
      <alignment horizontal="right" vertical="center"/>
    </xf>
    <xf numFmtId="0" fontId="60" fillId="8" borderId="0" xfId="0" applyFont="1" applyFill="1" applyAlignment="1">
      <alignment vertical="center"/>
    </xf>
    <xf numFmtId="0" fontId="26" fillId="8" borderId="0" xfId="0" applyFont="1" applyFill="1" applyAlignment="1">
      <alignment horizontal="center" vertical="center"/>
    </xf>
    <xf numFmtId="0" fontId="60" fillId="8" borderId="0" xfId="0" applyFont="1" applyFill="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3" fillId="0" borderId="136" xfId="0" applyFont="1" applyBorder="1" applyAlignment="1">
      <alignment horizontal="center" vertical="center"/>
    </xf>
    <xf numFmtId="0" fontId="3" fillId="0" borderId="113" xfId="0" applyFont="1" applyBorder="1" applyAlignment="1">
      <alignment horizontal="center" vertical="center"/>
    </xf>
    <xf numFmtId="0" fontId="3" fillId="0" borderId="41" xfId="0" applyFont="1" applyBorder="1" applyAlignment="1">
      <alignment horizontal="center"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58" fillId="8" borderId="0" xfId="0" applyFont="1" applyFill="1" applyAlignment="1" applyProtection="1">
      <alignment horizontal="center" vertical="center" wrapText="1"/>
      <protection locked="0"/>
    </xf>
    <xf numFmtId="0" fontId="18" fillId="3" borderId="120" xfId="0" applyFont="1" applyFill="1" applyBorder="1" applyAlignment="1">
      <alignment horizontal="center" vertical="center"/>
    </xf>
    <xf numFmtId="0" fontId="5" fillId="0" borderId="41" xfId="0" applyFont="1" applyBorder="1" applyAlignment="1">
      <alignment horizontal="left" vertical="center"/>
    </xf>
    <xf numFmtId="0" fontId="5" fillId="0" borderId="40" xfId="0" applyFont="1" applyBorder="1" applyAlignment="1">
      <alignment horizontal="left" vertical="center"/>
    </xf>
    <xf numFmtId="0" fontId="5" fillId="0" borderId="39" xfId="0" applyFont="1" applyBorder="1" applyAlignment="1">
      <alignment horizontal="left" vertical="center"/>
    </xf>
    <xf numFmtId="0" fontId="5" fillId="0" borderId="113" xfId="0" applyFont="1" applyBorder="1" applyAlignment="1">
      <alignment horizontal="left" vertical="center"/>
    </xf>
    <xf numFmtId="0" fontId="5" fillId="0" borderId="0" xfId="0" applyFont="1" applyAlignment="1">
      <alignment horizontal="left" vertical="center"/>
    </xf>
    <xf numFmtId="0" fontId="5" fillId="0" borderId="114" xfId="0" applyFont="1" applyBorder="1" applyAlignment="1">
      <alignment horizontal="left" vertical="center"/>
    </xf>
    <xf numFmtId="0" fontId="5" fillId="0" borderId="59" xfId="0" applyFont="1" applyBorder="1" applyAlignment="1">
      <alignment horizontal="left" vertical="center"/>
    </xf>
    <xf numFmtId="0" fontId="5" fillId="0" borderId="9" xfId="0" applyFont="1" applyBorder="1" applyAlignment="1">
      <alignment horizontal="left" vertical="center"/>
    </xf>
    <xf numFmtId="0" fontId="5" fillId="0" borderId="115"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46" fillId="0" borderId="0" xfId="14" applyFont="1" applyAlignment="1">
      <alignment horizontal="center" vertical="center" wrapText="1"/>
    </xf>
    <xf numFmtId="0" fontId="43" fillId="0" borderId="1" xfId="14" applyFont="1" applyBorder="1" applyAlignment="1">
      <alignment horizontal="right" vertical="center"/>
    </xf>
    <xf numFmtId="0" fontId="69" fillId="0" borderId="2" xfId="0" applyFont="1" applyBorder="1" applyAlignment="1">
      <alignment vertical="center"/>
    </xf>
    <xf numFmtId="0" fontId="69" fillId="0" borderId="3" xfId="0" applyFont="1" applyBorder="1" applyAlignment="1">
      <alignment vertical="center"/>
    </xf>
    <xf numFmtId="0" fontId="43" fillId="9" borderId="1" xfId="14" applyFont="1" applyFill="1" applyBorder="1" applyAlignment="1">
      <alignment horizontal="left" vertical="center" wrapText="1"/>
    </xf>
    <xf numFmtId="0" fontId="69" fillId="9" borderId="2" xfId="0" applyFont="1" applyFill="1" applyBorder="1" applyAlignment="1">
      <alignment vertical="center"/>
    </xf>
    <xf numFmtId="0" fontId="0" fillId="0" borderId="0" xfId="0" applyAlignment="1">
      <alignment vertical="top" wrapText="1"/>
    </xf>
    <xf numFmtId="0" fontId="76" fillId="0" borderId="0" xfId="0" applyFont="1" applyAlignment="1">
      <alignment vertical="top" wrapText="1"/>
    </xf>
    <xf numFmtId="4" fontId="91" fillId="0" borderId="0" xfId="0" applyNumberFormat="1" applyFont="1" applyAlignment="1">
      <alignment horizontal="center" vertical="center" wrapText="1"/>
    </xf>
    <xf numFmtId="0" fontId="91" fillId="0" borderId="0" xfId="0" applyFont="1" applyAlignment="1">
      <alignment horizontal="center" vertical="center" wrapText="1"/>
    </xf>
    <xf numFmtId="196" fontId="41" fillId="15" borderId="94" xfId="8" applyNumberFormat="1" applyFont="1" applyFill="1" applyBorder="1" applyAlignment="1">
      <alignment horizontal="center" vertical="center" wrapText="1"/>
    </xf>
    <xf numFmtId="196" fontId="41" fillId="15" borderId="0" xfId="8" applyNumberFormat="1" applyFont="1" applyFill="1" applyBorder="1" applyAlignment="1">
      <alignment horizontal="center" vertical="center" wrapText="1"/>
    </xf>
    <xf numFmtId="196" fontId="18" fillId="15" borderId="0" xfId="8" applyNumberFormat="1" applyFont="1" applyFill="1" applyAlignment="1">
      <alignment horizontal="center" vertical="center" wrapText="1"/>
    </xf>
    <xf numFmtId="196" fontId="18" fillId="20" borderId="0" xfId="8" applyNumberFormat="1" applyFont="1" applyFill="1" applyAlignment="1">
      <alignment horizontal="center" vertical="center" wrapText="1"/>
    </xf>
    <xf numFmtId="204" fontId="24" fillId="11" borderId="0" xfId="8" applyNumberFormat="1" applyFont="1" applyFill="1" applyAlignment="1">
      <alignment horizontal="center" vertical="center" wrapText="1"/>
    </xf>
    <xf numFmtId="204" fontId="18" fillId="2" borderId="0" xfId="8" applyNumberFormat="1" applyFont="1" applyFill="1" applyAlignment="1">
      <alignment horizontal="center" vertical="center" wrapText="1"/>
    </xf>
    <xf numFmtId="205" fontId="24" fillId="20" borderId="0" xfId="8" applyNumberFormat="1" applyFont="1" applyFill="1" applyAlignment="1">
      <alignment horizontal="center" vertical="center"/>
    </xf>
    <xf numFmtId="205" fontId="24" fillId="2" borderId="0" xfId="8" applyNumberFormat="1" applyFont="1" applyFill="1" applyAlignment="1">
      <alignment horizontal="center" vertical="center"/>
    </xf>
    <xf numFmtId="196" fontId="41" fillId="16" borderId="0" xfId="8" applyNumberFormat="1" applyFont="1" applyFill="1" applyAlignment="1">
      <alignment horizontal="center" vertical="center" wrapText="1"/>
    </xf>
    <xf numFmtId="1" fontId="31" fillId="0" borderId="0" xfId="8" applyNumberFormat="1" applyFont="1" applyAlignment="1">
      <alignment vertical="center" wrapText="1"/>
    </xf>
    <xf numFmtId="196" fontId="18" fillId="16" borderId="0" xfId="8" applyNumberFormat="1" applyFont="1" applyFill="1" applyAlignment="1">
      <alignment horizontal="center" vertical="center" wrapText="1"/>
    </xf>
    <xf numFmtId="208" fontId="22" fillId="17" borderId="0" xfId="8" applyNumberFormat="1" applyFont="1" applyFill="1" applyAlignment="1">
      <alignment horizontal="center" vertical="center" wrapText="1" shrinkToFit="1"/>
    </xf>
    <xf numFmtId="196" fontId="18" fillId="20" borderId="0" xfId="8" applyNumberFormat="1" applyFont="1" applyFill="1" applyAlignment="1">
      <alignment horizontal="center" vertical="center" wrapText="1" shrinkToFit="1"/>
    </xf>
    <xf numFmtId="0" fontId="18" fillId="15" borderId="0" xfId="8" applyFont="1" applyFill="1" applyAlignment="1">
      <alignment horizontal="center" vertical="center" wrapText="1"/>
    </xf>
    <xf numFmtId="1" fontId="18" fillId="19" borderId="0" xfId="8" applyNumberFormat="1" applyFont="1" applyFill="1" applyAlignment="1">
      <alignment horizontal="center" vertical="center" shrinkToFit="1"/>
    </xf>
    <xf numFmtId="196" fontId="18" fillId="19" borderId="0" xfId="8" applyNumberFormat="1" applyFont="1" applyFill="1" applyAlignment="1">
      <alignment horizontal="center" vertical="center" wrapText="1" shrinkToFit="1"/>
    </xf>
    <xf numFmtId="196" fontId="41" fillId="31" borderId="0" xfId="8" applyNumberFormat="1" applyFont="1" applyFill="1" applyAlignment="1">
      <alignment horizontal="center" vertical="center" wrapText="1"/>
    </xf>
    <xf numFmtId="196" fontId="41" fillId="15" borderId="0" xfId="8" applyNumberFormat="1" applyFont="1" applyFill="1" applyAlignment="1">
      <alignment horizontal="center" vertical="center" wrapText="1"/>
    </xf>
    <xf numFmtId="204" fontId="24" fillId="20" borderId="0" xfId="8" applyNumberFormat="1" applyFont="1" applyFill="1" applyAlignment="1">
      <alignment horizontal="center" vertical="center" shrinkToFit="1"/>
    </xf>
    <xf numFmtId="0" fontId="18" fillId="22" borderId="0" xfId="8" applyFont="1" applyFill="1" applyAlignment="1">
      <alignment horizontal="center" vertical="center" wrapText="1" shrinkToFit="1"/>
    </xf>
    <xf numFmtId="1" fontId="18" fillId="22" borderId="0" xfId="8" applyNumberFormat="1" applyFont="1" applyFill="1" applyAlignment="1">
      <alignment horizontal="center" vertical="center" wrapText="1" shrinkToFit="1"/>
    </xf>
    <xf numFmtId="196" fontId="18" fillId="22" borderId="0" xfId="8" applyNumberFormat="1" applyFont="1" applyFill="1" applyAlignment="1">
      <alignment horizontal="center" vertical="center" wrapText="1" shrinkToFit="1"/>
    </xf>
    <xf numFmtId="0" fontId="18" fillId="23" borderId="0" xfId="8" applyFont="1" applyFill="1" applyAlignment="1">
      <alignment horizontal="center" vertical="center" wrapText="1" shrinkToFit="1"/>
    </xf>
    <xf numFmtId="196" fontId="18" fillId="23" borderId="0" xfId="8" applyNumberFormat="1" applyFont="1" applyFill="1" applyAlignment="1">
      <alignment horizontal="center" vertical="center" wrapText="1" shrinkToFit="1"/>
    </xf>
    <xf numFmtId="196" fontId="87" fillId="0" borderId="0" xfId="8" applyNumberFormat="1" applyFont="1" applyAlignment="1">
      <alignment vertical="center" wrapText="1"/>
    </xf>
    <xf numFmtId="196" fontId="87" fillId="0" borderId="114" xfId="8" applyNumberFormat="1" applyFont="1" applyBorder="1" applyAlignment="1">
      <alignment vertical="center" wrapText="1"/>
    </xf>
    <xf numFmtId="196" fontId="18" fillId="9" borderId="0" xfId="8" applyNumberFormat="1" applyFont="1" applyFill="1" applyAlignment="1">
      <alignment horizontal="center" vertical="center" wrapText="1"/>
    </xf>
    <xf numFmtId="196" fontId="18" fillId="24" borderId="0" xfId="8" applyNumberFormat="1"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38" fillId="0" borderId="1" xfId="0" applyFont="1" applyBorder="1" applyAlignment="1">
      <alignment horizontal="center"/>
    </xf>
    <xf numFmtId="0" fontId="38" fillId="0" borderId="3" xfId="0" applyFont="1" applyBorder="1" applyAlignment="1">
      <alignment horizontal="center"/>
    </xf>
    <xf numFmtId="0" fontId="38" fillId="0" borderId="0" xfId="0" applyFont="1" applyAlignment="1">
      <alignment horizontal="center"/>
    </xf>
    <xf numFmtId="0" fontId="39" fillId="0" borderId="0" xfId="0" applyFont="1" applyAlignment="1">
      <alignment vertical="center" wrapText="1"/>
    </xf>
    <xf numFmtId="0" fontId="83" fillId="0" borderId="104" xfId="29" applyFont="1" applyBorder="1" applyAlignment="1">
      <alignment horizontal="center" vertical="center" wrapText="1"/>
    </xf>
    <xf numFmtId="0" fontId="83" fillId="0" borderId="172" xfId="29" applyFont="1" applyBorder="1" applyAlignment="1">
      <alignment horizontal="center" vertical="center" wrapText="1"/>
    </xf>
    <xf numFmtId="0" fontId="83" fillId="0" borderId="105" xfId="29" applyFont="1" applyBorder="1" applyAlignment="1">
      <alignment horizontal="center" vertical="center" wrapText="1"/>
    </xf>
    <xf numFmtId="0" fontId="83" fillId="0" borderId="5" xfId="29" applyFont="1" applyBorder="1" applyAlignment="1">
      <alignment horizontal="center" vertical="center"/>
    </xf>
    <xf numFmtId="0" fontId="83" fillId="0" borderId="6" xfId="29" applyFont="1" applyBorder="1" applyAlignment="1">
      <alignment horizontal="center" vertical="center"/>
    </xf>
    <xf numFmtId="0" fontId="83" fillId="0" borderId="7" xfId="29" applyFont="1" applyBorder="1" applyAlignment="1">
      <alignment horizontal="center" vertical="center"/>
    </xf>
    <xf numFmtId="0" fontId="83" fillId="0" borderId="11" xfId="29" applyFont="1" applyBorder="1" applyAlignment="1">
      <alignment horizontal="center" vertical="center"/>
    </xf>
    <xf numFmtId="0" fontId="83" fillId="0" borderId="0" xfId="29" applyFont="1" applyAlignment="1">
      <alignment horizontal="center" vertical="center"/>
    </xf>
    <xf numFmtId="0" fontId="83" fillId="0" borderId="12" xfId="29" applyFont="1" applyBorder="1" applyAlignment="1">
      <alignment horizontal="center" vertical="center"/>
    </xf>
    <xf numFmtId="0" fontId="83" fillId="0" borderId="25" xfId="29" applyFont="1" applyBorder="1" applyAlignment="1">
      <alignment horizontal="center" vertical="center"/>
    </xf>
    <xf numFmtId="0" fontId="83" fillId="0" borderId="26" xfId="29" applyFont="1" applyBorder="1" applyAlignment="1">
      <alignment horizontal="center" vertical="center"/>
    </xf>
    <xf numFmtId="0" fontId="83" fillId="0" borderId="27" xfId="29" applyFont="1" applyBorder="1" applyAlignment="1">
      <alignment horizontal="center" vertical="center"/>
    </xf>
    <xf numFmtId="0" fontId="83" fillId="0" borderId="215" xfId="29" applyFont="1" applyBorder="1" applyAlignment="1">
      <alignment horizontal="center" vertical="center"/>
    </xf>
    <xf numFmtId="0" fontId="83" fillId="0" borderId="195" xfId="29" applyFont="1" applyBorder="1" applyAlignment="1">
      <alignment horizontal="center" vertical="center"/>
    </xf>
    <xf numFmtId="0" fontId="83" fillId="0" borderId="199" xfId="29" applyFont="1" applyBorder="1" applyAlignment="1">
      <alignment horizontal="center" vertical="center"/>
    </xf>
    <xf numFmtId="4" fontId="83" fillId="0" borderId="214" xfId="29" applyNumberFormat="1" applyFont="1" applyBorder="1" applyAlignment="1">
      <alignment horizontal="center" vertical="center" wrapText="1"/>
    </xf>
    <xf numFmtId="4" fontId="83" fillId="0" borderId="196" xfId="29" applyNumberFormat="1" applyFont="1" applyBorder="1" applyAlignment="1">
      <alignment horizontal="center" vertical="center" wrapText="1"/>
    </xf>
    <xf numFmtId="0" fontId="83" fillId="0" borderId="214" xfId="29" applyFont="1" applyBorder="1" applyAlignment="1">
      <alignment horizontal="center" vertical="center"/>
    </xf>
    <xf numFmtId="0" fontId="83" fillId="0" borderId="196" xfId="29" applyFont="1" applyBorder="1" applyAlignment="1">
      <alignment horizontal="center" vertical="center"/>
    </xf>
    <xf numFmtId="196" fontId="83" fillId="0" borderId="215" xfId="29" applyNumberFormat="1" applyFont="1" applyBorder="1" applyAlignment="1">
      <alignment horizontal="center" vertical="center" wrapText="1"/>
    </xf>
    <xf numFmtId="196" fontId="83" fillId="0" borderId="195" xfId="29" applyNumberFormat="1" applyFont="1" applyBorder="1" applyAlignment="1">
      <alignment horizontal="center" vertical="center" wrapText="1"/>
    </xf>
    <xf numFmtId="196" fontId="83" fillId="0" borderId="199" xfId="29" applyNumberFormat="1" applyFont="1" applyBorder="1" applyAlignment="1">
      <alignment horizontal="center" vertical="center" wrapText="1"/>
    </xf>
    <xf numFmtId="4" fontId="83" fillId="0" borderId="223" xfId="29" applyNumberFormat="1" applyFont="1" applyBorder="1" applyAlignment="1">
      <alignment horizontal="center" vertical="center" wrapText="1"/>
    </xf>
    <xf numFmtId="4" fontId="83" fillId="0" borderId="192" xfId="29" applyNumberFormat="1" applyFont="1" applyBorder="1" applyAlignment="1">
      <alignment horizontal="center" vertical="center" wrapText="1"/>
    </xf>
    <xf numFmtId="4" fontId="83" fillId="0" borderId="224" xfId="29" applyNumberFormat="1" applyFont="1" applyBorder="1" applyAlignment="1">
      <alignment horizontal="center" vertical="center" wrapText="1"/>
    </xf>
    <xf numFmtId="3" fontId="83" fillId="0" borderId="195" xfId="29" applyNumberFormat="1" applyFont="1" applyBorder="1" applyAlignment="1">
      <alignment horizontal="center" vertical="center"/>
    </xf>
    <xf numFmtId="2" fontId="83" fillId="0" borderId="196" xfId="29" quotePrefix="1" applyNumberFormat="1" applyFont="1" applyBorder="1" applyAlignment="1">
      <alignment horizontal="center" vertical="center"/>
    </xf>
    <xf numFmtId="2" fontId="83" fillId="0" borderId="197" xfId="29" applyNumberFormat="1" applyFont="1" applyBorder="1" applyAlignment="1">
      <alignment horizontal="center" vertical="center"/>
    </xf>
    <xf numFmtId="186" fontId="114" fillId="0" borderId="0" xfId="29" applyNumberFormat="1" applyFont="1" applyAlignment="1">
      <alignment horizontal="center" vertical="center"/>
    </xf>
    <xf numFmtId="185" fontId="114" fillId="0" borderId="0" xfId="29" applyNumberFormat="1" applyFont="1" applyAlignment="1">
      <alignment horizontal="center" vertical="center"/>
    </xf>
    <xf numFmtId="186" fontId="114" fillId="0" borderId="11" xfId="29" applyNumberFormat="1" applyFont="1" applyBorder="1" applyAlignment="1">
      <alignment horizontal="center" vertical="center"/>
    </xf>
    <xf numFmtId="4" fontId="83" fillId="0" borderId="200" xfId="29" applyNumberFormat="1" applyFont="1" applyBorder="1" applyAlignment="1">
      <alignment horizontal="center" vertical="center" wrapText="1"/>
    </xf>
    <xf numFmtId="0" fontId="83" fillId="0" borderId="213" xfId="29" applyFont="1" applyBorder="1" applyAlignment="1">
      <alignment horizontal="center" vertical="center"/>
    </xf>
    <xf numFmtId="0" fontId="83" fillId="0" borderId="193" xfId="29" applyFont="1" applyBorder="1" applyAlignment="1">
      <alignment horizontal="center" vertical="center"/>
    </xf>
    <xf numFmtId="0" fontId="83" fillId="0" borderId="191" xfId="29" applyFont="1" applyBorder="1" applyAlignment="1">
      <alignment horizontal="center" vertical="center"/>
    </xf>
    <xf numFmtId="0" fontId="83" fillId="0" borderId="220" xfId="29" applyFont="1" applyBorder="1" applyAlignment="1">
      <alignment horizontal="center" vertical="center" wrapText="1"/>
    </xf>
    <xf numFmtId="0" fontId="83" fillId="0" borderId="197" xfId="29" applyFont="1" applyBorder="1" applyAlignment="1">
      <alignment horizontal="center" vertical="center" wrapText="1"/>
    </xf>
    <xf numFmtId="4" fontId="83" fillId="0" borderId="219" xfId="29" applyNumberFormat="1" applyFont="1" applyBorder="1" applyAlignment="1">
      <alignment horizontal="center" vertical="center"/>
    </xf>
    <xf numFmtId="4" fontId="83" fillId="0" borderId="218" xfId="29" applyNumberFormat="1" applyFont="1" applyBorder="1" applyAlignment="1">
      <alignment horizontal="center" vertical="center"/>
    </xf>
    <xf numFmtId="4" fontId="83" fillId="0" borderId="217" xfId="29" applyNumberFormat="1" applyFont="1" applyBorder="1" applyAlignment="1">
      <alignment horizontal="center" vertical="center"/>
    </xf>
    <xf numFmtId="0" fontId="83" fillId="0" borderId="187" xfId="29" applyFont="1" applyBorder="1" applyAlignment="1">
      <alignment horizontal="center" vertical="center"/>
    </xf>
    <xf numFmtId="0" fontId="83" fillId="0" borderId="189" xfId="29" applyFont="1" applyBorder="1" applyAlignment="1">
      <alignment horizontal="center" vertical="center"/>
    </xf>
    <xf numFmtId="2" fontId="83" fillId="0" borderId="192" xfId="29" quotePrefix="1" applyNumberFormat="1" applyFont="1" applyBorder="1" applyAlignment="1">
      <alignment horizontal="center" vertical="center"/>
    </xf>
    <xf numFmtId="2" fontId="83" fillId="0" borderId="190" xfId="29" quotePrefix="1" applyNumberFormat="1" applyFont="1" applyBorder="1" applyAlignment="1">
      <alignment horizontal="center" vertical="center"/>
    </xf>
    <xf numFmtId="2" fontId="83" fillId="0" borderId="193" xfId="29" applyNumberFormat="1" applyFont="1" applyBorder="1" applyAlignment="1">
      <alignment horizontal="center" vertical="center"/>
    </xf>
    <xf numFmtId="2" fontId="83" fillId="0" borderId="191" xfId="29" applyNumberFormat="1" applyFont="1" applyBorder="1" applyAlignment="1">
      <alignment horizontal="center" vertical="center"/>
    </xf>
    <xf numFmtId="186" fontId="114" fillId="0" borderId="0" xfId="29" applyNumberFormat="1" applyFont="1" applyAlignment="1">
      <alignment horizontal="center" vertical="center" wrapText="1"/>
    </xf>
    <xf numFmtId="185" fontId="114" fillId="0" borderId="0" xfId="29" applyNumberFormat="1" applyFont="1" applyAlignment="1">
      <alignment horizontal="center" vertical="center" wrapText="1"/>
    </xf>
    <xf numFmtId="0" fontId="93" fillId="0" borderId="5" xfId="29" applyFont="1" applyBorder="1" applyAlignment="1">
      <alignment horizontal="center"/>
    </xf>
    <xf numFmtId="0" fontId="93" fillId="0" borderId="6" xfId="29" applyFont="1" applyBorder="1" applyAlignment="1">
      <alignment horizontal="center"/>
    </xf>
    <xf numFmtId="0" fontId="93" fillId="0" borderId="7" xfId="29" applyFont="1" applyBorder="1" applyAlignment="1">
      <alignment horizontal="center"/>
    </xf>
    <xf numFmtId="0" fontId="83" fillId="0" borderId="11" xfId="29" applyFont="1" applyBorder="1" applyAlignment="1">
      <alignment horizontal="center"/>
    </xf>
    <xf numFmtId="0" fontId="83" fillId="0" borderId="0" xfId="29" applyFont="1" applyAlignment="1">
      <alignment horizontal="center"/>
    </xf>
    <xf numFmtId="0" fontId="83" fillId="0" borderId="12" xfId="29" applyFont="1" applyBorder="1" applyAlignment="1">
      <alignment horizontal="center"/>
    </xf>
    <xf numFmtId="0" fontId="83" fillId="0" borderId="25" xfId="29" applyFont="1" applyBorder="1" applyAlignment="1">
      <alignment horizontal="center"/>
    </xf>
    <xf numFmtId="0" fontId="83" fillId="0" borderId="26" xfId="29" applyFont="1" applyBorder="1" applyAlignment="1">
      <alignment horizontal="center"/>
    </xf>
    <xf numFmtId="0" fontId="83" fillId="0" borderId="27" xfId="29" applyFont="1" applyBorder="1" applyAlignment="1">
      <alignment horizontal="center"/>
    </xf>
    <xf numFmtId="4" fontId="83" fillId="0" borderId="197" xfId="29" applyNumberFormat="1" applyFont="1" applyBorder="1" applyAlignment="1">
      <alignment horizontal="center" vertical="center"/>
    </xf>
    <xf numFmtId="0" fontId="83" fillId="0" borderId="172" xfId="29" applyFont="1" applyBorder="1" applyAlignment="1">
      <alignment horizontal="center" vertical="center"/>
    </xf>
    <xf numFmtId="4" fontId="83" fillId="0" borderId="96" xfId="29" applyNumberFormat="1" applyFont="1" applyBorder="1" applyAlignment="1">
      <alignment horizontal="center" vertical="center" wrapText="1"/>
    </xf>
    <xf numFmtId="0" fontId="83" fillId="0" borderId="96" xfId="29" applyFont="1" applyBorder="1" applyAlignment="1">
      <alignment horizontal="center" vertical="center"/>
    </xf>
    <xf numFmtId="0" fontId="83" fillId="0" borderId="188" xfId="29" applyFont="1" applyBorder="1" applyAlignment="1">
      <alignment horizontal="center" vertical="center" wrapText="1"/>
    </xf>
    <xf numFmtId="0" fontId="83" fillId="0" borderId="194" xfId="29" applyFont="1" applyBorder="1" applyAlignment="1">
      <alignment horizontal="center" vertical="center" wrapText="1"/>
    </xf>
    <xf numFmtId="4" fontId="83" fillId="0" borderId="209" xfId="29" applyNumberFormat="1" applyFont="1" applyBorder="1" applyAlignment="1">
      <alignment horizontal="center" vertical="center"/>
    </xf>
    <xf numFmtId="4" fontId="83" fillId="0" borderId="208" xfId="29" applyNumberFormat="1" applyFont="1" applyBorder="1" applyAlignment="1">
      <alignment horizontal="center" vertical="center"/>
    </xf>
    <xf numFmtId="4" fontId="83" fillId="0" borderId="207" xfId="29" applyNumberFormat="1" applyFont="1" applyBorder="1" applyAlignment="1">
      <alignment horizontal="center" vertical="center"/>
    </xf>
    <xf numFmtId="196" fontId="83" fillId="0" borderId="187" xfId="29" applyNumberFormat="1" applyFont="1" applyBorder="1" applyAlignment="1">
      <alignment horizontal="center" vertical="center" wrapText="1"/>
    </xf>
    <xf numFmtId="196" fontId="83" fillId="0" borderId="189" xfId="29" applyNumberFormat="1" applyFont="1" applyBorder="1" applyAlignment="1">
      <alignment horizontal="center" vertical="center" wrapText="1"/>
    </xf>
    <xf numFmtId="4" fontId="83" fillId="0" borderId="190" xfId="29" applyNumberFormat="1" applyFont="1" applyBorder="1" applyAlignment="1">
      <alignment horizontal="center" vertical="center" wrapText="1"/>
    </xf>
    <xf numFmtId="2" fontId="0" fillId="0" borderId="158" xfId="0" applyNumberFormat="1" applyBorder="1" applyAlignment="1">
      <alignment horizontal="left" vertical="center"/>
    </xf>
    <xf numFmtId="2" fontId="0" fillId="0" borderId="157" xfId="0" applyNumberFormat="1" applyBorder="1" applyAlignment="1">
      <alignment horizontal="left" vertical="center"/>
    </xf>
    <xf numFmtId="2" fontId="0" fillId="0" borderId="161" xfId="0" applyNumberFormat="1" applyBorder="1" applyAlignment="1">
      <alignment horizontal="left" vertical="center"/>
    </xf>
    <xf numFmtId="2" fontId="0" fillId="0" borderId="160" xfId="0" applyNumberFormat="1" applyBorder="1" applyAlignment="1">
      <alignment horizontal="left" vertical="center"/>
    </xf>
    <xf numFmtId="0" fontId="75" fillId="11" borderId="169" xfId="0" applyFont="1" applyFill="1" applyBorder="1" applyAlignment="1">
      <alignment horizontal="center" vertical="center"/>
    </xf>
    <xf numFmtId="0" fontId="75" fillId="11" borderId="168" xfId="0" applyFont="1" applyFill="1" applyBorder="1" applyAlignment="1">
      <alignment horizontal="center" vertical="center"/>
    </xf>
    <xf numFmtId="0" fontId="75" fillId="11" borderId="167" xfId="0" applyFont="1" applyFill="1" applyBorder="1" applyAlignment="1">
      <alignment horizontal="center" vertical="center"/>
    </xf>
    <xf numFmtId="0" fontId="75" fillId="11" borderId="166" xfId="0" applyFont="1" applyFill="1" applyBorder="1" applyAlignment="1">
      <alignment horizontal="center" vertical="center"/>
    </xf>
    <xf numFmtId="0" fontId="75" fillId="11" borderId="147" xfId="0" applyFont="1" applyFill="1" applyBorder="1" applyAlignment="1">
      <alignment horizontal="center" vertical="center"/>
    </xf>
    <xf numFmtId="0" fontId="75" fillId="11" borderId="165" xfId="0" applyFont="1" applyFill="1" applyBorder="1" applyAlignment="1">
      <alignment horizontal="center" vertical="center"/>
    </xf>
    <xf numFmtId="0" fontId="75" fillId="11" borderId="164" xfId="0" applyFont="1" applyFill="1" applyBorder="1" applyAlignment="1">
      <alignment horizontal="center" vertical="center"/>
    </xf>
    <xf numFmtId="0" fontId="75" fillId="11" borderId="163" xfId="0" applyFont="1" applyFill="1" applyBorder="1" applyAlignment="1">
      <alignment horizontal="center" vertical="center"/>
    </xf>
    <xf numFmtId="0" fontId="0" fillId="0" borderId="161" xfId="0" applyBorder="1" applyAlignment="1">
      <alignment horizontal="left"/>
    </xf>
    <xf numFmtId="0" fontId="0" fillId="0" borderId="160" xfId="0" applyBorder="1" applyAlignment="1">
      <alignment horizontal="left"/>
    </xf>
    <xf numFmtId="2" fontId="0" fillId="0" borderId="204" xfId="0" applyNumberFormat="1" applyBorder="1" applyAlignment="1">
      <alignment horizontal="left" vertical="center"/>
    </xf>
    <xf numFmtId="2" fontId="0" fillId="0" borderId="205" xfId="0" applyNumberFormat="1" applyBorder="1" applyAlignment="1">
      <alignment horizontal="left" vertical="center"/>
    </xf>
    <xf numFmtId="0" fontId="25" fillId="0" borderId="104" xfId="0" applyFont="1" applyBorder="1" applyAlignment="1">
      <alignment horizontal="center" vertical="center"/>
    </xf>
    <xf numFmtId="0" fontId="25" fillId="0" borderId="172" xfId="0" applyFont="1" applyBorder="1" applyAlignment="1">
      <alignment horizontal="center" vertical="center"/>
    </xf>
    <xf numFmtId="0" fontId="25" fillId="0" borderId="105" xfId="0" applyFont="1" applyBorder="1" applyAlignment="1">
      <alignment horizontal="center" vertical="center"/>
    </xf>
    <xf numFmtId="0" fontId="25" fillId="0" borderId="144" xfId="0" applyFont="1" applyBorder="1" applyAlignment="1">
      <alignment horizontal="center" vertical="center"/>
    </xf>
    <xf numFmtId="174" fontId="25" fillId="0" borderId="144" xfId="0" applyNumberFormat="1" applyFont="1" applyBorder="1" applyAlignment="1">
      <alignment horizontal="center" vertical="center"/>
    </xf>
    <xf numFmtId="0" fontId="0" fillId="0" borderId="170" xfId="0" applyBorder="1" applyAlignment="1">
      <alignment horizontal="left"/>
    </xf>
    <xf numFmtId="0" fontId="0" fillId="0" borderId="30" xfId="0" applyBorder="1" applyAlignment="1">
      <alignment horizontal="left"/>
    </xf>
    <xf numFmtId="174" fontId="25" fillId="0" borderId="104" xfId="0" applyNumberFormat="1" applyFont="1" applyBorder="1" applyAlignment="1">
      <alignment horizontal="center" vertical="center"/>
    </xf>
    <xf numFmtId="174" fontId="25" fillId="0" borderId="172" xfId="0" applyNumberFormat="1" applyFont="1" applyBorder="1" applyAlignment="1">
      <alignment horizontal="center" vertical="center"/>
    </xf>
    <xf numFmtId="174" fontId="25" fillId="0" borderId="105" xfId="0" applyNumberFormat="1" applyFont="1" applyBorder="1" applyAlignment="1">
      <alignment horizontal="center" vertical="center"/>
    </xf>
    <xf numFmtId="0" fontId="0" fillId="0" borderId="104" xfId="0" applyBorder="1" applyAlignment="1">
      <alignment horizontal="center" vertical="center" wrapText="1"/>
    </xf>
    <xf numFmtId="0" fontId="25" fillId="0" borderId="172" xfId="0" applyFont="1" applyBorder="1" applyAlignment="1">
      <alignment horizontal="center" vertical="center" wrapText="1"/>
    </xf>
    <xf numFmtId="0" fontId="25" fillId="0" borderId="105" xfId="0" applyFont="1" applyBorder="1" applyAlignment="1">
      <alignment horizontal="center" vertical="center" wrapText="1"/>
    </xf>
    <xf numFmtId="0" fontId="75" fillId="0" borderId="104" xfId="0" applyFont="1" applyBorder="1" applyAlignment="1">
      <alignment horizontal="center" vertical="center"/>
    </xf>
    <xf numFmtId="0" fontId="75" fillId="0" borderId="172" xfId="0" applyFont="1" applyBorder="1" applyAlignment="1">
      <alignment horizontal="center" vertical="center"/>
    </xf>
    <xf numFmtId="0" fontId="75" fillId="0" borderId="105" xfId="0" applyFont="1" applyBorder="1" applyAlignment="1">
      <alignment horizontal="center" vertical="center"/>
    </xf>
    <xf numFmtId="0" fontId="75" fillId="11" borderId="178" xfId="0" applyFont="1" applyFill="1" applyBorder="1" applyAlignment="1">
      <alignment horizontal="center" vertical="center"/>
    </xf>
    <xf numFmtId="0" fontId="75" fillId="11" borderId="26" xfId="0" applyFont="1" applyFill="1" applyBorder="1" applyAlignment="1">
      <alignment horizontal="center" vertical="center"/>
    </xf>
    <xf numFmtId="0" fontId="75" fillId="11" borderId="177" xfId="0" applyFont="1" applyFill="1" applyBorder="1" applyAlignment="1">
      <alignment horizontal="center" vertical="center"/>
    </xf>
    <xf numFmtId="0" fontId="0" fillId="0" borderId="171" xfId="0" applyBorder="1" applyAlignment="1">
      <alignment horizontal="center"/>
    </xf>
    <xf numFmtId="0" fontId="0" fillId="0" borderId="144" xfId="0" applyBorder="1" applyAlignment="1">
      <alignment horizontal="center"/>
    </xf>
    <xf numFmtId="0" fontId="75" fillId="0" borderId="176" xfId="0" applyFont="1" applyBorder="1" applyAlignment="1">
      <alignment horizontal="center" vertical="center"/>
    </xf>
    <xf numFmtId="0" fontId="75" fillId="0" borderId="175" xfId="0" applyFont="1" applyBorder="1" applyAlignment="1">
      <alignment horizontal="center" vertical="center"/>
    </xf>
    <xf numFmtId="174" fontId="25" fillId="0" borderId="174" xfId="0" applyNumberFormat="1" applyFont="1" applyBorder="1" applyAlignment="1">
      <alignment horizontal="center" vertical="center"/>
    </xf>
    <xf numFmtId="174" fontId="25" fillId="0" borderId="173" xfId="0" applyNumberFormat="1" applyFont="1" applyBorder="1" applyAlignment="1">
      <alignment horizontal="center" vertical="center"/>
    </xf>
    <xf numFmtId="0" fontId="75" fillId="0" borderId="104" xfId="0" applyFont="1" applyBorder="1" applyAlignment="1">
      <alignment horizontal="center" vertical="center" wrapText="1"/>
    </xf>
    <xf numFmtId="0" fontId="75" fillId="0" borderId="172" xfId="0" applyFont="1" applyBorder="1" applyAlignment="1">
      <alignment horizontal="center" vertical="center" wrapText="1"/>
    </xf>
    <xf numFmtId="0" fontId="75" fillId="0" borderId="105" xfId="0" applyFont="1" applyBorder="1" applyAlignment="1">
      <alignment horizontal="center" vertical="center" wrapText="1"/>
    </xf>
    <xf numFmtId="0" fontId="75" fillId="0" borderId="182" xfId="0" applyFont="1" applyBorder="1" applyAlignment="1">
      <alignment horizontal="center" vertical="center"/>
    </xf>
    <xf numFmtId="0" fontId="0" fillId="0" borderId="181" xfId="0" applyBorder="1" applyAlignment="1">
      <alignment horizontal="left"/>
    </xf>
    <xf numFmtId="0" fontId="0" fillId="0" borderId="180" xfId="0" applyBorder="1" applyAlignment="1">
      <alignment horizontal="left"/>
    </xf>
    <xf numFmtId="0" fontId="22" fillId="2" borderId="14" xfId="0" applyFont="1" applyFill="1" applyBorder="1" applyAlignment="1">
      <alignment horizontal="center" vertical="center"/>
    </xf>
    <xf numFmtId="0" fontId="22" fillId="2" borderId="17"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6" xfId="0" applyFont="1" applyFill="1" applyBorder="1" applyAlignment="1">
      <alignment horizontal="center" vertical="center"/>
    </xf>
    <xf numFmtId="0" fontId="22" fillId="2" borderId="93" xfId="0" applyFont="1" applyFill="1" applyBorder="1" applyAlignment="1">
      <alignment horizontal="center" vertical="center"/>
    </xf>
    <xf numFmtId="0" fontId="22" fillId="2" borderId="91" xfId="0" applyFont="1" applyFill="1" applyBorder="1" applyAlignment="1">
      <alignment horizontal="center" vertical="center"/>
    </xf>
    <xf numFmtId="4" fontId="22" fillId="2" borderId="15" xfId="0" applyNumberFormat="1" applyFont="1" applyFill="1" applyBorder="1" applyAlignment="1">
      <alignment horizontal="center" vertical="center"/>
    </xf>
    <xf numFmtId="4" fontId="22" fillId="2" borderId="18" xfId="0" applyNumberFormat="1" applyFont="1" applyFill="1" applyBorder="1" applyAlignment="1">
      <alignment horizontal="center" vertical="center"/>
    </xf>
    <xf numFmtId="0" fontId="20" fillId="0" borderId="1" xfId="0" quotePrefix="1" applyFont="1" applyBorder="1" applyAlignment="1">
      <alignment vertical="center" wrapText="1"/>
    </xf>
    <xf numFmtId="0" fontId="20" fillId="0" borderId="2" xfId="0" quotePrefix="1" applyFont="1" applyBorder="1" applyAlignment="1">
      <alignment vertical="center" wrapText="1"/>
    </xf>
    <xf numFmtId="0" fontId="20" fillId="0" borderId="3" xfId="0" quotePrefix="1" applyFont="1" applyBorder="1" applyAlignment="1">
      <alignment vertical="center" wrapText="1"/>
    </xf>
    <xf numFmtId="0" fontId="38" fillId="42" borderId="100" xfId="0" applyFont="1" applyFill="1" applyBorder="1" applyAlignment="1">
      <alignment horizontal="center" vertical="center"/>
    </xf>
    <xf numFmtId="0" fontId="38" fillId="42" borderId="247" xfId="0" applyFont="1" applyFill="1" applyBorder="1" applyAlignment="1">
      <alignment horizontal="center" vertical="center"/>
    </xf>
    <xf numFmtId="0" fontId="38" fillId="42" borderId="30" xfId="0" applyFont="1" applyFill="1" applyBorder="1" applyAlignment="1">
      <alignment horizontal="center" vertical="center"/>
    </xf>
  </cellXfs>
  <cellStyles count="33">
    <cellStyle name="Cálculo" xfId="31" builtinId="22"/>
    <cellStyle name="Célula de Verificação" xfId="32" builtinId="23"/>
    <cellStyle name="Entrada" xfId="30" builtinId="20"/>
    <cellStyle name="Moeda 3" xfId="17" xr:uid="{8660591C-5919-4934-AD1F-4162BDA5DFE0}"/>
    <cellStyle name="Normal" xfId="0" builtinId="0"/>
    <cellStyle name="Normal 10" xfId="24" xr:uid="{816BFC8C-D732-4BA7-9333-65DD4F9A4B2C}"/>
    <cellStyle name="Normal 11" xfId="29" xr:uid="{F2FD63F1-E7B9-4C9F-8E52-1F245C2F8619}"/>
    <cellStyle name="Normal 11 4" xfId="8" xr:uid="{11416603-D693-424B-A6DF-928E3A188A8B}"/>
    <cellStyle name="Normal 12 2 2" xfId="25" xr:uid="{3BD62B00-C086-4512-B1B8-CF39040B654C}"/>
    <cellStyle name="Normal 2" xfId="2" xr:uid="{9B516C5A-4E74-4396-BA51-E2C92304A0AD}"/>
    <cellStyle name="Normal 2 2" xfId="10" xr:uid="{8023DC50-D6F7-464A-AE0D-B7F9BD62C6FD}"/>
    <cellStyle name="Normal 2 3" xfId="1" xr:uid="{4FF4DD8C-CDFD-4E1A-A9ED-45566C6FDD7F}"/>
    <cellStyle name="Normal 2 3 2" xfId="15" xr:uid="{4311C058-278F-410E-AD0B-5DEDEBC1EDFB}"/>
    <cellStyle name="Normal 2 3 3" xfId="19" xr:uid="{16FCC2BD-7F46-40BF-B955-E19F15A1A1D6}"/>
    <cellStyle name="Normal 2 3 4" xfId="28" xr:uid="{83E1CD36-33A7-439D-8D85-B46A58ABFE6A}"/>
    <cellStyle name="Normal 2 4" xfId="13" xr:uid="{2E7D00F2-9BD4-4350-A0ED-3474BBBE6A16}"/>
    <cellStyle name="Normal 2 5" xfId="18" xr:uid="{A3DCF12C-E520-458E-9E04-1E521D21B0D9}"/>
    <cellStyle name="Normal 202" xfId="26" xr:uid="{50ACD8C2-A3A3-4E61-A38D-39704836A64F}"/>
    <cellStyle name="Normal 3" xfId="3" xr:uid="{3D4951F5-DBCC-47AC-9CA1-CE04183E70B6}"/>
    <cellStyle name="Normal 3 2" xfId="6" xr:uid="{684373D3-B6A0-4679-A72E-D3638826F32B}"/>
    <cellStyle name="Normal 3 2 2" xfId="14" xr:uid="{CEE6DF30-65D4-4946-961B-21A7E3B921D1}"/>
    <cellStyle name="Normal 4" xfId="4" xr:uid="{7A7F9B92-BFBF-4C92-9A3C-9F383560C39B}"/>
    <cellStyle name="Normal 5" xfId="12" xr:uid="{EE329818-F6B6-422E-893F-C8B875F6024E}"/>
    <cellStyle name="Normal 6" xfId="20" xr:uid="{5A6B19F5-7AC6-44A2-97B5-3063FC9D92D0}"/>
    <cellStyle name="Normal 7" xfId="21" xr:uid="{84FA632B-2A8C-4B02-A6DC-DA4DCCD48342}"/>
    <cellStyle name="Normal 8" xfId="22" xr:uid="{987E8C76-25D1-4F89-9245-11365C92B8C3}"/>
    <cellStyle name="Normal 9" xfId="23" xr:uid="{FCF7BA6A-DB33-4619-B3FF-29AAFB85A74D}"/>
    <cellStyle name="Porcentagem" xfId="11" builtinId="5"/>
    <cellStyle name="Porcentagem 4 3" xfId="9" xr:uid="{1763E7C6-FC46-4BF8-8D9E-7449EEEAC0CF}"/>
    <cellStyle name="Separador de milhares 2" xfId="5" xr:uid="{FF89FA5B-B53A-4C52-9642-F8EC0B3F03D2}"/>
    <cellStyle name="Separador de milhares 2 2 2" xfId="16" xr:uid="{F1EDCCA0-E847-45D2-AEA1-EA3E1F184760}"/>
    <cellStyle name="Vírgula" xfId="27" builtinId="3"/>
    <cellStyle name="Vírgula 4" xfId="7" xr:uid="{75F893A6-8955-4FD8-9626-907EC8B7780E}"/>
  </cellStyles>
  <dxfs count="2104">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s>
  <tableStyles count="0" defaultTableStyle="TableStyleMedium2" defaultPivotStyle="PivotStyleLight16"/>
  <colors>
    <mruColors>
      <color rgb="FF800000"/>
      <color rgb="FF00FF00"/>
      <color rgb="FFFFFF00"/>
      <color rgb="FFCC99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2.7988439012400093E-3"/>
          <c:y val="0.19486111111111112"/>
          <c:w val="0.99491657547425405"/>
          <c:h val="0.72088764946048411"/>
        </c:manualLayout>
      </c:layout>
      <c:lineChart>
        <c:grouping val="standard"/>
        <c:varyColors val="0"/>
        <c:ser>
          <c:idx val="0"/>
          <c:order val="0"/>
          <c:tx>
            <c:strRef>
              <c:f>'CFF-18M'!$E$5</c:f>
              <c:strCache>
                <c:ptCount val="1"/>
                <c:pt idx="0">
                  <c:v>PERÍODOS</c:v>
                </c:pt>
              </c:strCache>
            </c:strRef>
          </c:tx>
          <c:spPr>
            <a:ln w="28575" cap="rnd">
              <a:solidFill>
                <a:schemeClr val="accent1"/>
              </a:solidFill>
              <a:round/>
            </a:ln>
            <a:effectLst/>
          </c:spPr>
          <c:marker>
            <c:symbol val="none"/>
          </c:marker>
          <c:val>
            <c:numRef>
              <c:f>'CFF-18M'!$E$35:$V$35</c:f>
              <c:numCache>
                <c:formatCode>0.000%</c:formatCode>
                <c:ptCount val="18"/>
                <c:pt idx="0">
                  <c:v>2.1264999999999999E-2</c:v>
                </c:pt>
                <c:pt idx="1">
                  <c:v>3.2454999999999998E-2</c:v>
                </c:pt>
                <c:pt idx="2">
                  <c:v>5.7563999999999997E-2</c:v>
                </c:pt>
                <c:pt idx="3">
                  <c:v>0.100997</c:v>
                </c:pt>
                <c:pt idx="4">
                  <c:v>0.149281</c:v>
                </c:pt>
                <c:pt idx="5">
                  <c:v>0.20241599999999998</c:v>
                </c:pt>
                <c:pt idx="6">
                  <c:v>0.26040199999999997</c:v>
                </c:pt>
                <c:pt idx="7">
                  <c:v>0.34283799999999998</c:v>
                </c:pt>
                <c:pt idx="8">
                  <c:v>0.44081099999999995</c:v>
                </c:pt>
                <c:pt idx="9">
                  <c:v>0.54284599999999994</c:v>
                </c:pt>
                <c:pt idx="10">
                  <c:v>0.64488099999999993</c:v>
                </c:pt>
                <c:pt idx="11">
                  <c:v>0.72750799999999993</c:v>
                </c:pt>
                <c:pt idx="12">
                  <c:v>0.81410099999999996</c:v>
                </c:pt>
                <c:pt idx="13">
                  <c:v>0.89381199999999994</c:v>
                </c:pt>
                <c:pt idx="14">
                  <c:v>0.9371489999999999</c:v>
                </c:pt>
                <c:pt idx="15">
                  <c:v>0.97360399999999991</c:v>
                </c:pt>
                <c:pt idx="16">
                  <c:v>0.99452199999999991</c:v>
                </c:pt>
                <c:pt idx="17">
                  <c:v>1.0000019999999998</c:v>
                </c:pt>
              </c:numCache>
            </c:numRef>
          </c:val>
          <c:smooth val="0"/>
          <c:extLst>
            <c:ext xmlns:c16="http://schemas.microsoft.com/office/drawing/2014/chart" uri="{C3380CC4-5D6E-409C-BE32-E72D297353CC}">
              <c16:uniqueId val="{00000000-BAA1-4886-ACF6-E2B16DAA90A3}"/>
            </c:ext>
          </c:extLst>
        </c:ser>
        <c:dLbls>
          <c:showLegendKey val="0"/>
          <c:showVal val="0"/>
          <c:showCatName val="0"/>
          <c:showSerName val="0"/>
          <c:showPercent val="0"/>
          <c:showBubbleSize val="0"/>
        </c:dLbls>
        <c:smooth val="0"/>
        <c:axId val="530196320"/>
        <c:axId val="530194352"/>
      </c:lineChart>
      <c:catAx>
        <c:axId val="5301963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30194352"/>
        <c:crosses val="autoZero"/>
        <c:auto val="1"/>
        <c:lblAlgn val="ctr"/>
        <c:lblOffset val="100"/>
        <c:noMultiLvlLbl val="0"/>
      </c:catAx>
      <c:valAx>
        <c:axId val="530194352"/>
        <c:scaling>
          <c:orientation val="minMax"/>
        </c:scaling>
        <c:delete val="1"/>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crossAx val="530196320"/>
        <c:crosses val="autoZero"/>
        <c:crossBetween val="between"/>
      </c:valAx>
      <c:spPr>
        <a:noFill/>
        <a:ln>
          <a:noFill/>
        </a:ln>
        <a:effectLst/>
      </c:spPr>
    </c:plotArea>
    <c:plotVisOnly val="1"/>
    <c:dispBlanksAs val="gap"/>
    <c:showDLblsOverMax val="0"/>
  </c:chart>
  <c:spPr>
    <a:solidFill>
      <a:srgbClr val="FFFFFF">
        <a:alpha val="74902"/>
      </a:srgbClr>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3" dropStyle="combo" dx="22" fmlaLink="B1" fmlaRange="$B$3:$B$5"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0</xdr:row>
          <xdr:rowOff>200025</xdr:rowOff>
        </xdr:from>
        <xdr:to>
          <xdr:col>1</xdr:col>
          <xdr:colOff>1371600</xdr:colOff>
          <xdr:row>0</xdr:row>
          <xdr:rowOff>514350</xdr:rowOff>
        </xdr:to>
        <xdr:sp macro="" textlink="">
          <xdr:nvSpPr>
            <xdr:cNvPr id="68609" name="Drop Down 1" hidden="1">
              <a:extLst>
                <a:ext uri="{63B3BB69-23CF-44E3-9099-C40C66FF867C}">
                  <a14:compatExt spid="_x0000_s68609"/>
                </a:ext>
                <a:ext uri="{FF2B5EF4-FFF2-40B4-BE49-F238E27FC236}">
                  <a16:creationId xmlns:a16="http://schemas.microsoft.com/office/drawing/2014/main" id="{00000000-0008-0000-0000-000001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47626</xdr:colOff>
      <xdr:row>0</xdr:row>
      <xdr:rowOff>161925</xdr:rowOff>
    </xdr:from>
    <xdr:to>
      <xdr:col>2</xdr:col>
      <xdr:colOff>1476376</xdr:colOff>
      <xdr:row>0</xdr:row>
      <xdr:rowOff>552450</xdr:rowOff>
    </xdr:to>
    <xdr:sp macro="" textlink="">
      <xdr:nvSpPr>
        <xdr:cNvPr id="2" name="Seta: para a Esquerda 1">
          <a:extLst>
            <a:ext uri="{FF2B5EF4-FFF2-40B4-BE49-F238E27FC236}">
              <a16:creationId xmlns:a16="http://schemas.microsoft.com/office/drawing/2014/main" id="{00000000-0008-0000-0000-000002000000}"/>
            </a:ext>
          </a:extLst>
        </xdr:cNvPr>
        <xdr:cNvSpPr/>
      </xdr:nvSpPr>
      <xdr:spPr>
        <a:xfrm>
          <a:off x="7562851" y="161925"/>
          <a:ext cx="1428750" cy="390525"/>
        </a:xfrm>
        <a:prstGeom prst="leftArrow">
          <a:avLst/>
        </a:prstGeom>
        <a:solidFill>
          <a:srgbClr val="FF0000"/>
        </a:solidFill>
        <a:ln w="38100">
          <a:solidFill>
            <a:srgbClr val="8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533399</xdr:colOff>
      <xdr:row>37</xdr:row>
      <xdr:rowOff>57149</xdr:rowOff>
    </xdr:from>
    <xdr:to>
      <xdr:col>22</xdr:col>
      <xdr:colOff>76200</xdr:colOff>
      <xdr:row>51</xdr:row>
      <xdr:rowOff>47625</xdr:rowOff>
    </xdr:to>
    <xdr:graphicFrame macro="">
      <xdr:nvGraphicFramePr>
        <xdr:cNvPr id="2" name="Gráfico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384000</xdr:colOff>
      <xdr:row>55</xdr:row>
      <xdr:rowOff>37618</xdr:rowOff>
    </xdr:to>
    <xdr:pic>
      <xdr:nvPicPr>
        <xdr:cNvPr id="4" name="Imagem 3">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1"/>
        <a:stretch>
          <a:fillRect/>
        </a:stretch>
      </xdr:blipFill>
      <xdr:spPr>
        <a:xfrm>
          <a:off x="0" y="0"/>
          <a:ext cx="6480000" cy="10515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381000</xdr:colOff>
      <xdr:row>0</xdr:row>
      <xdr:rowOff>123825</xdr:rowOff>
    </xdr:from>
    <xdr:to>
      <xdr:col>27</xdr:col>
      <xdr:colOff>361950</xdr:colOff>
      <xdr:row>1</xdr:row>
      <xdr:rowOff>133350</xdr:rowOff>
    </xdr:to>
    <xdr:grpSp>
      <xdr:nvGrpSpPr>
        <xdr:cNvPr id="2" name="Grupo 1">
          <a:extLst>
            <a:ext uri="{FF2B5EF4-FFF2-40B4-BE49-F238E27FC236}">
              <a16:creationId xmlns:a16="http://schemas.microsoft.com/office/drawing/2014/main" id="{00000000-0008-0000-1800-000002000000}"/>
            </a:ext>
          </a:extLst>
        </xdr:cNvPr>
        <xdr:cNvGrpSpPr>
          <a:grpSpLocks/>
        </xdr:cNvGrpSpPr>
      </xdr:nvGrpSpPr>
      <xdr:grpSpPr bwMode="auto">
        <a:xfrm>
          <a:off x="7105650" y="123825"/>
          <a:ext cx="10210800" cy="390525"/>
          <a:chOff x="6762750" y="285750"/>
          <a:chExt cx="10286999" cy="254000"/>
        </a:xfrm>
      </xdr:grpSpPr>
      <xdr:grpSp>
        <xdr:nvGrpSpPr>
          <xdr:cNvPr id="3" name="Grupo 7">
            <a:extLst>
              <a:ext uri="{FF2B5EF4-FFF2-40B4-BE49-F238E27FC236}">
                <a16:creationId xmlns:a16="http://schemas.microsoft.com/office/drawing/2014/main" id="{00000000-0008-0000-1800-000003000000}"/>
              </a:ext>
            </a:extLst>
          </xdr:cNvPr>
          <xdr:cNvGrpSpPr>
            <a:grpSpLocks/>
          </xdr:cNvGrpSpPr>
        </xdr:nvGrpSpPr>
        <xdr:grpSpPr bwMode="auto">
          <a:xfrm>
            <a:off x="6762750" y="285750"/>
            <a:ext cx="4042833" cy="254000"/>
            <a:chOff x="6762750" y="285750"/>
            <a:chExt cx="4042833" cy="254000"/>
          </a:xfrm>
        </xdr:grpSpPr>
        <xdr:cxnSp macro="">
          <xdr:nvCxnSpPr>
            <xdr:cNvPr id="7" name="Conector reto 6">
              <a:extLst>
                <a:ext uri="{FF2B5EF4-FFF2-40B4-BE49-F238E27FC236}">
                  <a16:creationId xmlns:a16="http://schemas.microsoft.com/office/drawing/2014/main" id="{00000000-0008-0000-1800-000007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8" name="Conector de seta reta 7">
              <a:extLst>
                <a:ext uri="{FF2B5EF4-FFF2-40B4-BE49-F238E27FC236}">
                  <a16:creationId xmlns:a16="http://schemas.microsoft.com/office/drawing/2014/main" id="{00000000-0008-0000-1800-000008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nvGrpSpPr>
          <xdr:cNvPr id="4" name="Grupo 8">
            <a:extLst>
              <a:ext uri="{FF2B5EF4-FFF2-40B4-BE49-F238E27FC236}">
                <a16:creationId xmlns:a16="http://schemas.microsoft.com/office/drawing/2014/main" id="{00000000-0008-0000-1800-000004000000}"/>
              </a:ext>
            </a:extLst>
          </xdr:cNvPr>
          <xdr:cNvGrpSpPr>
            <a:grpSpLocks/>
          </xdr:cNvGrpSpPr>
        </xdr:nvGrpSpPr>
        <xdr:grpSpPr bwMode="auto">
          <a:xfrm flipH="1">
            <a:off x="13006916" y="285750"/>
            <a:ext cx="4042833" cy="254000"/>
            <a:chOff x="6762750" y="285750"/>
            <a:chExt cx="4042833" cy="254000"/>
          </a:xfrm>
        </xdr:grpSpPr>
        <xdr:cxnSp macro="">
          <xdr:nvCxnSpPr>
            <xdr:cNvPr id="5" name="Conector reto 4">
              <a:extLst>
                <a:ext uri="{FF2B5EF4-FFF2-40B4-BE49-F238E27FC236}">
                  <a16:creationId xmlns:a16="http://schemas.microsoft.com/office/drawing/2014/main" id="{00000000-0008-0000-1800-000005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6" name="Conector de seta reta 5">
              <a:extLst>
                <a:ext uri="{FF2B5EF4-FFF2-40B4-BE49-F238E27FC236}">
                  <a16:creationId xmlns:a16="http://schemas.microsoft.com/office/drawing/2014/main" id="{00000000-0008-0000-1800-000006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381000</xdr:colOff>
      <xdr:row>0</xdr:row>
      <xdr:rowOff>123825</xdr:rowOff>
    </xdr:from>
    <xdr:to>
      <xdr:col>27</xdr:col>
      <xdr:colOff>361950</xdr:colOff>
      <xdr:row>1</xdr:row>
      <xdr:rowOff>133350</xdr:rowOff>
    </xdr:to>
    <xdr:grpSp>
      <xdr:nvGrpSpPr>
        <xdr:cNvPr id="2" name="Grupo 1">
          <a:extLst>
            <a:ext uri="{FF2B5EF4-FFF2-40B4-BE49-F238E27FC236}">
              <a16:creationId xmlns:a16="http://schemas.microsoft.com/office/drawing/2014/main" id="{00000000-0008-0000-1A00-000002000000}"/>
            </a:ext>
          </a:extLst>
        </xdr:cNvPr>
        <xdr:cNvGrpSpPr>
          <a:grpSpLocks/>
        </xdr:cNvGrpSpPr>
      </xdr:nvGrpSpPr>
      <xdr:grpSpPr bwMode="auto">
        <a:xfrm>
          <a:off x="7105650" y="123825"/>
          <a:ext cx="10210800" cy="390525"/>
          <a:chOff x="6762750" y="285750"/>
          <a:chExt cx="10286999" cy="254000"/>
        </a:xfrm>
      </xdr:grpSpPr>
      <xdr:grpSp>
        <xdr:nvGrpSpPr>
          <xdr:cNvPr id="3" name="Grupo 7">
            <a:extLst>
              <a:ext uri="{FF2B5EF4-FFF2-40B4-BE49-F238E27FC236}">
                <a16:creationId xmlns:a16="http://schemas.microsoft.com/office/drawing/2014/main" id="{00000000-0008-0000-1A00-000003000000}"/>
              </a:ext>
            </a:extLst>
          </xdr:cNvPr>
          <xdr:cNvGrpSpPr>
            <a:grpSpLocks/>
          </xdr:cNvGrpSpPr>
        </xdr:nvGrpSpPr>
        <xdr:grpSpPr bwMode="auto">
          <a:xfrm>
            <a:off x="6762750" y="285750"/>
            <a:ext cx="4042833" cy="254000"/>
            <a:chOff x="6762750" y="285750"/>
            <a:chExt cx="4042833" cy="254000"/>
          </a:xfrm>
        </xdr:grpSpPr>
        <xdr:cxnSp macro="">
          <xdr:nvCxnSpPr>
            <xdr:cNvPr id="7" name="Conector reto 6">
              <a:extLst>
                <a:ext uri="{FF2B5EF4-FFF2-40B4-BE49-F238E27FC236}">
                  <a16:creationId xmlns:a16="http://schemas.microsoft.com/office/drawing/2014/main" id="{00000000-0008-0000-1A00-000007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8" name="Conector de seta reta 7">
              <a:extLst>
                <a:ext uri="{FF2B5EF4-FFF2-40B4-BE49-F238E27FC236}">
                  <a16:creationId xmlns:a16="http://schemas.microsoft.com/office/drawing/2014/main" id="{00000000-0008-0000-1A00-000008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nvGrpSpPr>
          <xdr:cNvPr id="4" name="Grupo 8">
            <a:extLst>
              <a:ext uri="{FF2B5EF4-FFF2-40B4-BE49-F238E27FC236}">
                <a16:creationId xmlns:a16="http://schemas.microsoft.com/office/drawing/2014/main" id="{00000000-0008-0000-1A00-000004000000}"/>
              </a:ext>
            </a:extLst>
          </xdr:cNvPr>
          <xdr:cNvGrpSpPr>
            <a:grpSpLocks/>
          </xdr:cNvGrpSpPr>
        </xdr:nvGrpSpPr>
        <xdr:grpSpPr bwMode="auto">
          <a:xfrm flipH="1">
            <a:off x="13006916" y="285750"/>
            <a:ext cx="4042833" cy="254000"/>
            <a:chOff x="6762750" y="285750"/>
            <a:chExt cx="4042833" cy="254000"/>
          </a:xfrm>
        </xdr:grpSpPr>
        <xdr:cxnSp macro="">
          <xdr:nvCxnSpPr>
            <xdr:cNvPr id="5" name="Conector reto 4">
              <a:extLst>
                <a:ext uri="{FF2B5EF4-FFF2-40B4-BE49-F238E27FC236}">
                  <a16:creationId xmlns:a16="http://schemas.microsoft.com/office/drawing/2014/main" id="{00000000-0008-0000-1A00-000005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6" name="Conector de seta reta 5">
              <a:extLst>
                <a:ext uri="{FF2B5EF4-FFF2-40B4-BE49-F238E27FC236}">
                  <a16:creationId xmlns:a16="http://schemas.microsoft.com/office/drawing/2014/main" id="{00000000-0008-0000-1A00-000006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848591</xdr:colOff>
      <xdr:row>0</xdr:row>
      <xdr:rowOff>268432</xdr:rowOff>
    </xdr:from>
    <xdr:ext cx="2284401" cy="466277"/>
    <xdr:pic>
      <xdr:nvPicPr>
        <xdr:cNvPr id="2" name="Imagem 2">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8091" y="144607"/>
          <a:ext cx="2284401" cy="466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382905</xdr:colOff>
      <xdr:row>0</xdr:row>
      <xdr:rowOff>135255</xdr:rowOff>
    </xdr:from>
    <xdr:ext cx="2236545" cy="480035"/>
    <xdr:pic>
      <xdr:nvPicPr>
        <xdr:cNvPr id="2" name="Imagem 2">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2905" y="135255"/>
          <a:ext cx="2236545" cy="480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390531</xdr:colOff>
      <xdr:row>3</xdr:row>
      <xdr:rowOff>70185</xdr:rowOff>
    </xdr:from>
    <xdr:ext cx="474999" cy="453288"/>
    <xdr:pic>
      <xdr:nvPicPr>
        <xdr:cNvPr id="2" name="Imagem 1">
          <a:extLst>
            <a:ext uri="{FF2B5EF4-FFF2-40B4-BE49-F238E27FC236}">
              <a16:creationId xmlns:a16="http://schemas.microsoft.com/office/drawing/2014/main" id="{00000000-0008-0000-2400-000002000000}"/>
            </a:ext>
          </a:extLst>
        </xdr:cNvPr>
        <xdr:cNvPicPr>
          <a:picLocks noChangeAspect="1"/>
        </xdr:cNvPicPr>
      </xdr:nvPicPr>
      <xdr:blipFill rotWithShape="1">
        <a:blip xmlns:r="http://schemas.openxmlformats.org/officeDocument/2006/relationships" r:embed="rId1"/>
        <a:srcRect l="23885" t="21429" r="45226" b="23659"/>
        <a:stretch/>
      </xdr:blipFill>
      <xdr:spPr>
        <a:xfrm>
          <a:off x="390531" y="641685"/>
          <a:ext cx="474999" cy="453288"/>
        </a:xfrm>
        <a:prstGeom prst="rect">
          <a:avLst/>
        </a:prstGeom>
      </xdr:spPr>
    </xdr:pic>
    <xdr:clientData/>
  </xdr:oneCellAnchor>
  <xdr:oneCellAnchor>
    <xdr:from>
      <xdr:col>0</xdr:col>
      <xdr:colOff>361409</xdr:colOff>
      <xdr:row>6</xdr:row>
      <xdr:rowOff>33130</xdr:rowOff>
    </xdr:from>
    <xdr:ext cx="505557" cy="513690"/>
    <xdr:pic>
      <xdr:nvPicPr>
        <xdr:cNvPr id="3" name="Imagem 2">
          <a:extLst>
            <a:ext uri="{FF2B5EF4-FFF2-40B4-BE49-F238E27FC236}">
              <a16:creationId xmlns:a16="http://schemas.microsoft.com/office/drawing/2014/main" id="{00000000-0008-0000-2400-000003000000}"/>
            </a:ext>
          </a:extLst>
        </xdr:cNvPr>
        <xdr:cNvPicPr>
          <a:picLocks noChangeAspect="1"/>
        </xdr:cNvPicPr>
      </xdr:nvPicPr>
      <xdr:blipFill rotWithShape="1">
        <a:blip xmlns:r="http://schemas.openxmlformats.org/officeDocument/2006/relationships" r:embed="rId2"/>
        <a:srcRect l="75686" t="26370" r="10128" b="23168"/>
        <a:stretch/>
      </xdr:blipFill>
      <xdr:spPr>
        <a:xfrm>
          <a:off x="361409" y="1176130"/>
          <a:ext cx="505557" cy="513690"/>
        </a:xfrm>
        <a:prstGeom prst="rect">
          <a:avLst/>
        </a:prstGeom>
      </xdr:spPr>
    </xdr:pic>
    <xdr:clientData/>
  </xdr:oneCellAnchor>
  <xdr:oneCellAnchor>
    <xdr:from>
      <xdr:col>0</xdr:col>
      <xdr:colOff>331304</xdr:colOff>
      <xdr:row>9</xdr:row>
      <xdr:rowOff>19123</xdr:rowOff>
    </xdr:from>
    <xdr:ext cx="544295" cy="533193"/>
    <xdr:pic>
      <xdr:nvPicPr>
        <xdr:cNvPr id="5" name="Imagem 4">
          <a:extLst>
            <a:ext uri="{FF2B5EF4-FFF2-40B4-BE49-F238E27FC236}">
              <a16:creationId xmlns:a16="http://schemas.microsoft.com/office/drawing/2014/main" id="{00000000-0008-0000-2400-000005000000}"/>
            </a:ext>
          </a:extLst>
        </xdr:cNvPr>
        <xdr:cNvPicPr>
          <a:picLocks noChangeAspect="1"/>
        </xdr:cNvPicPr>
      </xdr:nvPicPr>
      <xdr:blipFill rotWithShape="1">
        <a:blip xmlns:r="http://schemas.openxmlformats.org/officeDocument/2006/relationships" r:embed="rId3"/>
        <a:srcRect l="73828" t="29590" r="11964" b="20108"/>
        <a:stretch/>
      </xdr:blipFill>
      <xdr:spPr>
        <a:xfrm>
          <a:off x="331304" y="2553601"/>
          <a:ext cx="544295" cy="533193"/>
        </a:xfrm>
        <a:prstGeom prst="rect">
          <a:avLst/>
        </a:prstGeom>
      </xdr:spPr>
    </xdr:pic>
    <xdr:clientData/>
  </xdr:oneCellAnchor>
  <xdr:twoCellAnchor editAs="oneCell">
    <xdr:from>
      <xdr:col>0</xdr:col>
      <xdr:colOff>138111</xdr:colOff>
      <xdr:row>12</xdr:row>
      <xdr:rowOff>161925</xdr:rowOff>
    </xdr:from>
    <xdr:to>
      <xdr:col>0</xdr:col>
      <xdr:colOff>1116370</xdr:colOff>
      <xdr:row>14</xdr:row>
      <xdr:rowOff>23813</xdr:rowOff>
    </xdr:to>
    <xdr:pic>
      <xdr:nvPicPr>
        <xdr:cNvPr id="6" name="Imagem 5">
          <a:extLst>
            <a:ext uri="{FF2B5EF4-FFF2-40B4-BE49-F238E27FC236}">
              <a16:creationId xmlns:a16="http://schemas.microsoft.com/office/drawing/2014/main" id="{00000000-0008-0000-2400-000006000000}"/>
            </a:ext>
          </a:extLst>
        </xdr:cNvPr>
        <xdr:cNvPicPr>
          <a:picLocks noChangeAspect="1"/>
        </xdr:cNvPicPr>
      </xdr:nvPicPr>
      <xdr:blipFill rotWithShape="1">
        <a:blip xmlns:r="http://schemas.openxmlformats.org/officeDocument/2006/relationships" r:embed="rId4"/>
        <a:srcRect l="70117" t="42649" r="10091" b="38208"/>
        <a:stretch/>
      </xdr:blipFill>
      <xdr:spPr>
        <a:xfrm>
          <a:off x="138111" y="2714625"/>
          <a:ext cx="978259" cy="2619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390531</xdr:colOff>
      <xdr:row>3</xdr:row>
      <xdr:rowOff>70185</xdr:rowOff>
    </xdr:from>
    <xdr:ext cx="474999" cy="453288"/>
    <xdr:pic>
      <xdr:nvPicPr>
        <xdr:cNvPr id="2" name="Imagem 1">
          <a:extLst>
            <a:ext uri="{FF2B5EF4-FFF2-40B4-BE49-F238E27FC236}">
              <a16:creationId xmlns:a16="http://schemas.microsoft.com/office/drawing/2014/main" id="{00000000-0008-0000-2600-000002000000}"/>
            </a:ext>
          </a:extLst>
        </xdr:cNvPr>
        <xdr:cNvPicPr>
          <a:picLocks noChangeAspect="1"/>
        </xdr:cNvPicPr>
      </xdr:nvPicPr>
      <xdr:blipFill rotWithShape="1">
        <a:blip xmlns:r="http://schemas.openxmlformats.org/officeDocument/2006/relationships" r:embed="rId1"/>
        <a:srcRect l="23885" t="21429" r="45226" b="23659"/>
        <a:stretch/>
      </xdr:blipFill>
      <xdr:spPr>
        <a:xfrm>
          <a:off x="390531" y="822660"/>
          <a:ext cx="474999" cy="453288"/>
        </a:xfrm>
        <a:prstGeom prst="rect">
          <a:avLst/>
        </a:prstGeom>
      </xdr:spPr>
    </xdr:pic>
    <xdr:clientData/>
  </xdr:oneCellAnchor>
  <xdr:oneCellAnchor>
    <xdr:from>
      <xdr:col>0</xdr:col>
      <xdr:colOff>361409</xdr:colOff>
      <xdr:row>6</xdr:row>
      <xdr:rowOff>33130</xdr:rowOff>
    </xdr:from>
    <xdr:ext cx="505557" cy="513690"/>
    <xdr:pic>
      <xdr:nvPicPr>
        <xdr:cNvPr id="3" name="Imagem 2">
          <a:extLst>
            <a:ext uri="{FF2B5EF4-FFF2-40B4-BE49-F238E27FC236}">
              <a16:creationId xmlns:a16="http://schemas.microsoft.com/office/drawing/2014/main" id="{00000000-0008-0000-2600-000003000000}"/>
            </a:ext>
          </a:extLst>
        </xdr:cNvPr>
        <xdr:cNvPicPr>
          <a:picLocks noChangeAspect="1"/>
        </xdr:cNvPicPr>
      </xdr:nvPicPr>
      <xdr:blipFill rotWithShape="1">
        <a:blip xmlns:r="http://schemas.openxmlformats.org/officeDocument/2006/relationships" r:embed="rId2"/>
        <a:srcRect l="75686" t="26370" r="10128" b="23168"/>
        <a:stretch/>
      </xdr:blipFill>
      <xdr:spPr>
        <a:xfrm>
          <a:off x="361409" y="1385680"/>
          <a:ext cx="505557" cy="51369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390531</xdr:colOff>
      <xdr:row>3</xdr:row>
      <xdr:rowOff>70185</xdr:rowOff>
    </xdr:from>
    <xdr:ext cx="474999" cy="453288"/>
    <xdr:pic>
      <xdr:nvPicPr>
        <xdr:cNvPr id="2" name="Imagem 1">
          <a:extLst>
            <a:ext uri="{FF2B5EF4-FFF2-40B4-BE49-F238E27FC236}">
              <a16:creationId xmlns:a16="http://schemas.microsoft.com/office/drawing/2014/main" id="{00000000-0008-0000-2800-000002000000}"/>
            </a:ext>
          </a:extLst>
        </xdr:cNvPr>
        <xdr:cNvPicPr>
          <a:picLocks noChangeAspect="1"/>
        </xdr:cNvPicPr>
      </xdr:nvPicPr>
      <xdr:blipFill rotWithShape="1">
        <a:blip xmlns:r="http://schemas.openxmlformats.org/officeDocument/2006/relationships" r:embed="rId1"/>
        <a:srcRect l="23885" t="21429" r="45226" b="23659"/>
        <a:stretch/>
      </xdr:blipFill>
      <xdr:spPr>
        <a:xfrm>
          <a:off x="390531" y="641685"/>
          <a:ext cx="474999" cy="453288"/>
        </a:xfrm>
        <a:prstGeom prst="rect">
          <a:avLst/>
        </a:prstGeom>
      </xdr:spPr>
    </xdr:pic>
    <xdr:clientData/>
  </xdr:oneCellAnchor>
  <xdr:oneCellAnchor>
    <xdr:from>
      <xdr:col>0</xdr:col>
      <xdr:colOff>388327</xdr:colOff>
      <xdr:row>6</xdr:row>
      <xdr:rowOff>68879</xdr:rowOff>
    </xdr:from>
    <xdr:ext cx="505557" cy="513690"/>
    <xdr:pic>
      <xdr:nvPicPr>
        <xdr:cNvPr id="3" name="Imagem 2">
          <a:extLst>
            <a:ext uri="{FF2B5EF4-FFF2-40B4-BE49-F238E27FC236}">
              <a16:creationId xmlns:a16="http://schemas.microsoft.com/office/drawing/2014/main" id="{00000000-0008-0000-2800-000003000000}"/>
            </a:ext>
          </a:extLst>
        </xdr:cNvPr>
        <xdr:cNvPicPr>
          <a:picLocks noChangeAspect="1"/>
        </xdr:cNvPicPr>
      </xdr:nvPicPr>
      <xdr:blipFill rotWithShape="1">
        <a:blip xmlns:r="http://schemas.openxmlformats.org/officeDocument/2006/relationships" r:embed="rId2"/>
        <a:srcRect l="75686" t="26370" r="10128" b="23168"/>
        <a:stretch/>
      </xdr:blipFill>
      <xdr:spPr>
        <a:xfrm>
          <a:off x="388327" y="1211879"/>
          <a:ext cx="505557" cy="513690"/>
        </a:xfrm>
        <a:prstGeom prst="rect">
          <a:avLst/>
        </a:prstGeom>
      </xdr:spPr>
    </xdr:pic>
    <xdr:clientData/>
  </xdr:oneCellAnchor>
  <xdr:oneCellAnchor>
    <xdr:from>
      <xdr:col>0</xdr:col>
      <xdr:colOff>349939</xdr:colOff>
      <xdr:row>9</xdr:row>
      <xdr:rowOff>96286</xdr:rowOff>
    </xdr:from>
    <xdr:ext cx="544295" cy="533193"/>
    <xdr:pic>
      <xdr:nvPicPr>
        <xdr:cNvPr id="4" name="Imagem 3">
          <a:extLst>
            <a:ext uri="{FF2B5EF4-FFF2-40B4-BE49-F238E27FC236}">
              <a16:creationId xmlns:a16="http://schemas.microsoft.com/office/drawing/2014/main" id="{00000000-0008-0000-2800-000004000000}"/>
            </a:ext>
          </a:extLst>
        </xdr:cNvPr>
        <xdr:cNvPicPr>
          <a:picLocks noChangeAspect="1"/>
        </xdr:cNvPicPr>
      </xdr:nvPicPr>
      <xdr:blipFill rotWithShape="1">
        <a:blip xmlns:r="http://schemas.openxmlformats.org/officeDocument/2006/relationships" r:embed="rId3"/>
        <a:srcRect l="73828" t="29590" r="11964" b="20108"/>
        <a:stretch/>
      </xdr:blipFill>
      <xdr:spPr>
        <a:xfrm>
          <a:off x="349939" y="1810786"/>
          <a:ext cx="544295" cy="533193"/>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25.bin"/><Relationship Id="rId4" Type="http://schemas.openxmlformats.org/officeDocument/2006/relationships/comments" Target="../comments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E2C45-99BA-40C5-895F-5105AA041FBF}">
  <dimension ref="A1:D5"/>
  <sheetViews>
    <sheetView workbookViewId="0">
      <selection activeCell="C27" sqref="C27"/>
    </sheetView>
  </sheetViews>
  <sheetFormatPr defaultColWidth="0" defaultRowHeight="23.25" zeroHeight="1" x14ac:dyDescent="0.25"/>
  <cols>
    <col min="1" max="1" width="91.140625" style="233" bestFit="1" customWidth="1"/>
    <col min="2" max="2" width="21.5703125" style="1480" customWidth="1"/>
    <col min="3" max="3" width="24" style="233" customWidth="1"/>
    <col min="4" max="4" width="67.140625" style="233" customWidth="1"/>
    <col min="5" max="16384" width="9.140625" style="233" hidden="1"/>
  </cols>
  <sheetData>
    <row r="1" spans="1:4" ht="54" customHeight="1" x14ac:dyDescent="0.25">
      <c r="A1" s="1481" t="s">
        <v>3392</v>
      </c>
      <c r="B1" s="1591">
        <v>1</v>
      </c>
      <c r="D1" s="88" t="s">
        <v>3598</v>
      </c>
    </row>
    <row r="3" spans="1:4" hidden="1" x14ac:dyDescent="0.25">
      <c r="B3" s="1480" t="s">
        <v>3391</v>
      </c>
    </row>
    <row r="4" spans="1:4" hidden="1" x14ac:dyDescent="0.25">
      <c r="B4" s="1480" t="s">
        <v>1717</v>
      </c>
    </row>
    <row r="5" spans="1:4" hidden="1" x14ac:dyDescent="0.25">
      <c r="B5" s="1480" t="s">
        <v>1804</v>
      </c>
    </row>
  </sheetData>
  <pageMargins left="0.511811024" right="0.511811024" top="0.78740157499999996" bottom="0.78740157499999996" header="0.31496062000000002" footer="0.31496062000000002"/>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68609" r:id="rId4" name="Drop Down 1">
              <controlPr defaultSize="0" autoLine="0" autoPict="0">
                <anchor moveWithCells="1">
                  <from>
                    <xdr:col>1</xdr:col>
                    <xdr:colOff>9525</xdr:colOff>
                    <xdr:row>0</xdr:row>
                    <xdr:rowOff>200025</xdr:rowOff>
                  </from>
                  <to>
                    <xdr:col>1</xdr:col>
                    <xdr:colOff>1371600</xdr:colOff>
                    <xdr:row>0</xdr:row>
                    <xdr:rowOff>514350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B879E-D3F7-450D-B39E-D1FEE5F4D97E}">
  <sheetPr>
    <pageSetUpPr fitToPage="1"/>
  </sheetPr>
  <dimension ref="A1:G23"/>
  <sheetViews>
    <sheetView showGridLines="0" workbookViewId="0">
      <selection activeCell="D21" sqref="D21"/>
    </sheetView>
  </sheetViews>
  <sheetFormatPr defaultColWidth="9.140625" defaultRowHeight="15" x14ac:dyDescent="0.25"/>
  <cols>
    <col min="1" max="1" width="15.7109375" style="233" customWidth="1"/>
    <col min="2" max="2" width="60.7109375" style="233" customWidth="1"/>
    <col min="3" max="6" width="25.7109375" style="234" customWidth="1"/>
    <col min="7" max="7" width="15.42578125" style="233" bestFit="1" customWidth="1"/>
    <col min="8" max="16384" width="9.140625" style="233"/>
  </cols>
  <sheetData>
    <row r="1" spans="1:7" ht="35.25" customHeight="1" x14ac:dyDescent="0.25">
      <c r="A1" s="1921" t="s">
        <v>3993</v>
      </c>
      <c r="B1" s="1921"/>
      <c r="C1" s="1921"/>
      <c r="D1" s="1921"/>
      <c r="E1" s="1921"/>
      <c r="F1" s="1921"/>
    </row>
    <row r="2" spans="1:7" x14ac:dyDescent="0.25">
      <c r="A2" s="81" t="s">
        <v>145</v>
      </c>
      <c r="B2" s="295" t="s">
        <v>3501</v>
      </c>
      <c r="C2" s="111"/>
      <c r="D2" s="111"/>
      <c r="E2" s="111"/>
      <c r="F2" s="703"/>
    </row>
    <row r="3" spans="1:7" x14ac:dyDescent="0.25">
      <c r="A3" s="81" t="s">
        <v>34</v>
      </c>
      <c r="B3" s="295" t="str">
        <f>'PSP-RESUMO'!B3</f>
        <v>SETOR SOL NASCENTE, CEILÂNDIA/DF</v>
      </c>
      <c r="C3" s="300" t="str">
        <f>'PSP-RESUMO'!C3</f>
        <v>ENCARGOS SOCIAIS SEM DESONERAÇÃO</v>
      </c>
      <c r="D3" s="300"/>
      <c r="E3" s="300"/>
      <c r="F3" s="301"/>
    </row>
    <row r="4" spans="1:7" ht="15.75" thickBot="1" x14ac:dyDescent="0.3">
      <c r="A4" s="81" t="s">
        <v>33</v>
      </c>
      <c r="B4" s="295" t="str">
        <f>'PSP-RESUMO'!B4</f>
        <v>ARIA</v>
      </c>
      <c r="C4" s="111" t="s">
        <v>1212</v>
      </c>
      <c r="D4" s="111"/>
      <c r="E4" s="111"/>
      <c r="F4" s="204" t="str">
        <f>'PSP-RESUMO'!D4</f>
        <v>28/JAN/2022</v>
      </c>
    </row>
    <row r="5" spans="1:7" ht="30.75" thickBot="1" x14ac:dyDescent="0.3">
      <c r="A5" s="386" t="s">
        <v>143</v>
      </c>
      <c r="B5" s="387" t="s">
        <v>144</v>
      </c>
      <c r="C5" s="388" t="s">
        <v>1382</v>
      </c>
      <c r="D5" s="697" t="s">
        <v>1717</v>
      </c>
      <c r="E5" s="697" t="s">
        <v>1804</v>
      </c>
      <c r="F5" s="389" t="s">
        <v>3994</v>
      </c>
    </row>
    <row r="6" spans="1:7" ht="27" customHeight="1" x14ac:dyDescent="0.25">
      <c r="A6" s="413" t="str">
        <f>'PSP-RESUMO'!A6</f>
        <v>01.</v>
      </c>
      <c r="B6" s="412" t="str">
        <f>'PSP-RESUMO'!B6</f>
        <v>CANTEIRO DE OBRAS (CONSTRUÇÕES PROVISÓRIAS) - TRECHOS 1 e 3</v>
      </c>
      <c r="C6" s="411">
        <v>1739810.3222918774</v>
      </c>
      <c r="D6" s="1865">
        <v>1030625.5953055089</v>
      </c>
      <c r="E6" s="1865">
        <v>903545.88865660864</v>
      </c>
      <c r="F6" s="1866">
        <v>-194361.16167024034</v>
      </c>
      <c r="G6" s="701" t="s">
        <v>4014</v>
      </c>
    </row>
    <row r="7" spans="1:7" s="232" customFormat="1" ht="27" customHeight="1" x14ac:dyDescent="0.25">
      <c r="A7" s="414" t="str">
        <f>'PSP-RESUMO'!A7</f>
        <v>02.</v>
      </c>
      <c r="B7" s="412" t="str">
        <f>'PSP-RESUMO'!B7</f>
        <v>ADMINISTRAÇÃO LOCAL - TRECHOS 1 e 3</v>
      </c>
      <c r="C7" s="411">
        <v>3571835.7619339433</v>
      </c>
      <c r="D7" s="1865">
        <v>2551319.5711037023</v>
      </c>
      <c r="E7" s="1865">
        <v>2223642.4885452571</v>
      </c>
      <c r="F7" s="1867">
        <v>-1203126.2977150157</v>
      </c>
      <c r="G7" s="702"/>
    </row>
    <row r="8" spans="1:7" s="232" customFormat="1" ht="27" customHeight="1" x14ac:dyDescent="0.25">
      <c r="A8" s="414" t="str">
        <f>'PSP-RESUMO'!A8</f>
        <v>03.</v>
      </c>
      <c r="B8" s="412" t="str">
        <f>'PSP-RESUMO'!B8</f>
        <v>SERVIÇOS PRELIMINARES DE OBRAS - TRECHOS 1 e 3</v>
      </c>
      <c r="C8" s="411">
        <v>703821.75660940469</v>
      </c>
      <c r="D8" s="1865">
        <v>341446.75223609968</v>
      </c>
      <c r="E8" s="1865">
        <v>58913.791348509789</v>
      </c>
      <c r="F8" s="1867">
        <v>303461.21302479523</v>
      </c>
      <c r="G8" s="702"/>
    </row>
    <row r="9" spans="1:7" s="232" customFormat="1" ht="27" customHeight="1" x14ac:dyDescent="0.25">
      <c r="A9" s="414" t="str">
        <f>'PSP-RESUMO'!A9</f>
        <v>04.</v>
      </c>
      <c r="B9" s="412" t="str">
        <f>'PSP-RESUMO'!B9</f>
        <v>DRENAGEM URBANA DE ÁGUAS PLUVIAIS E CONSTRUÇÃO DE BACIAS DE DETENÇÃO - TRECHOS 1 e 3</v>
      </c>
      <c r="C9" s="411">
        <v>20385874.786871046</v>
      </c>
      <c r="D9" s="1865">
        <v>12049745.337030781</v>
      </c>
      <c r="E9" s="1865">
        <v>8267261.1609853394</v>
      </c>
      <c r="F9" s="1867">
        <v>68868.288854926825</v>
      </c>
      <c r="G9" s="702"/>
    </row>
    <row r="10" spans="1:7" s="232" customFormat="1" ht="27" customHeight="1" x14ac:dyDescent="0.25">
      <c r="A10" s="414" t="str">
        <f>'PSP-RESUMO'!A10</f>
        <v>05.</v>
      </c>
      <c r="B10" s="412" t="str">
        <f>'PSP-RESUMO'!B10</f>
        <v>TERRAPLENAGEM - TRECHOS 1 e 3</v>
      </c>
      <c r="C10" s="411">
        <v>2325856.9174799626</v>
      </c>
      <c r="D10" s="1865">
        <v>1388742.2609677901</v>
      </c>
      <c r="E10" s="1865">
        <v>964670.40903398697</v>
      </c>
      <c r="F10" s="1867">
        <v>-27555.752521814313</v>
      </c>
      <c r="G10" s="702"/>
    </row>
    <row r="11" spans="1:7" s="232" customFormat="1" ht="27" customHeight="1" x14ac:dyDescent="0.25">
      <c r="A11" s="414" t="str">
        <f>'PSP-RESUMO'!A11</f>
        <v>06.</v>
      </c>
      <c r="B11" s="412" t="str">
        <f>'PSP-RESUMO'!B11</f>
        <v>PAVIMENTAÇÕES - TRECHOS 1 e 3</v>
      </c>
      <c r="C11" s="411">
        <v>14898899.148945386</v>
      </c>
      <c r="D11" s="1865">
        <v>9392719.0785865169</v>
      </c>
      <c r="E11" s="1865">
        <v>4347029.0652011083</v>
      </c>
      <c r="F11" s="1867">
        <v>1159151.0051577594</v>
      </c>
      <c r="G11" s="702"/>
    </row>
    <row r="12" spans="1:7" s="232" customFormat="1" ht="27" customHeight="1" x14ac:dyDescent="0.25">
      <c r="A12" s="414" t="str">
        <f>'PSP-RESUMO'!A12</f>
        <v>07.</v>
      </c>
      <c r="B12" s="412" t="str">
        <f>'PSP-RESUMO'!B12</f>
        <v>OBRA DE ARTE ESPECIAL (PONTE) E OBRA DE ARTE CORRENTE (CANAL) - TRECHOS 1 e 3</v>
      </c>
      <c r="C12" s="411">
        <v>6599348.7318358049</v>
      </c>
      <c r="D12" s="1865">
        <v>6674759.953765803</v>
      </c>
      <c r="E12" s="1865">
        <v>0</v>
      </c>
      <c r="F12" s="1867">
        <v>-75411.221929998137</v>
      </c>
      <c r="G12" s="702"/>
    </row>
    <row r="13" spans="1:7" s="232" customFormat="1" ht="27" customHeight="1" x14ac:dyDescent="0.25">
      <c r="A13" s="414" t="str">
        <f>'PSP-RESUMO'!A13</f>
        <v>08.</v>
      </c>
      <c r="B13" s="412" t="str">
        <f>'PSP-RESUMO'!B13</f>
        <v>SINALIZAÇÃO VIÁRIA - TRECHOS 1 e 3</v>
      </c>
      <c r="C13" s="411">
        <v>405272.52654953004</v>
      </c>
      <c r="D13" s="1865">
        <v>180867.99955474646</v>
      </c>
      <c r="E13" s="1865">
        <v>149810.61855317355</v>
      </c>
      <c r="F13" s="1867">
        <v>74593.908441609994</v>
      </c>
      <c r="G13" s="702"/>
    </row>
    <row r="14" spans="1:7" s="232" customFormat="1" ht="27" customHeight="1" thickBot="1" x14ac:dyDescent="0.3">
      <c r="A14" s="414" t="str">
        <f>'PSP-RESUMO'!A14</f>
        <v>09.</v>
      </c>
      <c r="B14" s="412" t="str">
        <f>'PSP-RESUMO'!B14</f>
        <v>URBANIZAÇÃO E PAISAGISMO - TRECHOS 1 e 3</v>
      </c>
      <c r="C14" s="411">
        <v>887312.00653654826</v>
      </c>
      <c r="D14" s="1865">
        <v>254140.19822128638</v>
      </c>
      <c r="E14" s="1865">
        <v>633171.80831526185</v>
      </c>
      <c r="F14" s="1868">
        <v>0</v>
      </c>
      <c r="G14" s="702"/>
    </row>
    <row r="15" spans="1:7" ht="15.75" thickBot="1" x14ac:dyDescent="0.3">
      <c r="A15" s="506"/>
      <c r="B15" s="507" t="s">
        <v>1126</v>
      </c>
      <c r="C15" s="508">
        <v>51518031.959053509</v>
      </c>
      <c r="D15" s="700">
        <v>33864366.746772237</v>
      </c>
      <c r="E15" s="700">
        <v>17548045.230639245</v>
      </c>
      <c r="F15" s="511">
        <v>105619.98164203018</v>
      </c>
    </row>
    <row r="16" spans="1:7" x14ac:dyDescent="0.25">
      <c r="A16" s="317"/>
    </row>
    <row r="17" spans="2:7" x14ac:dyDescent="0.25">
      <c r="C17" s="234">
        <v>51573442.414000154</v>
      </c>
      <c r="D17" s="234">
        <v>33864366.746772237</v>
      </c>
      <c r="E17" s="234">
        <v>17548045.230639245</v>
      </c>
    </row>
    <row r="22" spans="2:7" x14ac:dyDescent="0.25">
      <c r="B22" s="122"/>
      <c r="C22" s="331"/>
      <c r="D22" s="331"/>
      <c r="E22" s="331"/>
    </row>
    <row r="23" spans="2:7" x14ac:dyDescent="0.25">
      <c r="B23" s="122"/>
      <c r="G23" s="401"/>
    </row>
  </sheetData>
  <mergeCells count="1">
    <mergeCell ref="A1:F1"/>
  </mergeCells>
  <pageMargins left="0.511811024" right="0.511811024" top="0.78740157499999996" bottom="0.78740157499999996" header="0.31496062000000002" footer="0.31496062000000002"/>
  <pageSetup paperSize="9"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60EA0-F86F-4B98-BF20-A3B2BC35EAA6}">
  <sheetPr>
    <tabColor rgb="FF002060"/>
    <pageSetUpPr fitToPage="1"/>
  </sheetPr>
  <dimension ref="A1:J28"/>
  <sheetViews>
    <sheetView showGridLines="0" workbookViewId="0">
      <selection activeCell="G18" sqref="G18"/>
    </sheetView>
  </sheetViews>
  <sheetFormatPr defaultColWidth="9.140625" defaultRowHeight="15" x14ac:dyDescent="0.25"/>
  <cols>
    <col min="1" max="1" width="15.7109375" style="233" customWidth="1"/>
    <col min="2" max="2" width="60.7109375" style="233" customWidth="1"/>
    <col min="3" max="3" width="25.7109375" style="234" customWidth="1"/>
    <col min="4" max="4" width="15.7109375" style="234" customWidth="1"/>
    <col min="5" max="9" width="25.7109375" style="234" customWidth="1"/>
    <col min="10" max="10" width="15.42578125" style="233" bestFit="1" customWidth="1"/>
    <col min="11" max="16384" width="9.140625" style="233"/>
  </cols>
  <sheetData>
    <row r="1" spans="1:10" ht="35.25" customHeight="1" x14ac:dyDescent="0.25">
      <c r="A1" s="1921" t="s">
        <v>767</v>
      </c>
      <c r="B1" s="1921"/>
      <c r="C1" s="1921"/>
      <c r="D1" s="1921"/>
      <c r="E1" s="233"/>
      <c r="F1" s="233"/>
      <c r="G1" s="233"/>
      <c r="H1" s="233"/>
      <c r="I1" s="233"/>
    </row>
    <row r="2" spans="1:10" x14ac:dyDescent="0.25">
      <c r="A2" s="81" t="s">
        <v>145</v>
      </c>
      <c r="B2" s="295" t="str">
        <f>IF('TRECHO(S) A IMPRIMIR'!$B$1= 1, "URBANIZAÇÃO DO SETOR SOL NASCENTE - TRECHOS 1 e 3", IF('TRECHO(S) A IMPRIMIR'!$B$1= 2, "URBANIZAÇÃO DO SETOR SOL NASCENTE - TRECHO 1", "URBANIZAÇÃO DO SETOR SOL NASCENTE - TRECHO 3"))</f>
        <v>URBANIZAÇÃO DO SETOR SOL NASCENTE - TRECHOS 1 e 3</v>
      </c>
      <c r="C2" s="111"/>
      <c r="D2" s="703"/>
      <c r="E2" s="111"/>
      <c r="F2" s="111"/>
      <c r="G2" s="111"/>
      <c r="H2" s="111"/>
      <c r="I2" s="111"/>
    </row>
    <row r="3" spans="1:10" x14ac:dyDescent="0.25">
      <c r="A3" s="81" t="s">
        <v>34</v>
      </c>
      <c r="B3" s="295" t="s">
        <v>1527</v>
      </c>
      <c r="C3" s="300" t="s">
        <v>800</v>
      </c>
      <c r="D3" s="301"/>
      <c r="E3" s="111"/>
      <c r="F3" s="111"/>
      <c r="G3" s="111"/>
      <c r="H3" s="111"/>
      <c r="I3" s="111"/>
    </row>
    <row r="4" spans="1:10" ht="15.75" thickBot="1" x14ac:dyDescent="0.3">
      <c r="A4" s="81" t="s">
        <v>33</v>
      </c>
      <c r="B4" s="295" t="s">
        <v>1528</v>
      </c>
      <c r="C4" s="111" t="s">
        <v>1212</v>
      </c>
      <c r="D4" s="204" t="str">
        <f>UPPER(TEXT("28/01/2022","DD/MMM/AAAA"))</f>
        <v>28/JAN/2022</v>
      </c>
      <c r="E4" s="111"/>
      <c r="F4" s="111"/>
      <c r="G4" s="111"/>
      <c r="H4" s="111"/>
      <c r="I4" s="111"/>
    </row>
    <row r="5" spans="1:10" ht="15.75" thickBot="1" x14ac:dyDescent="0.3">
      <c r="A5" s="386" t="s">
        <v>143</v>
      </c>
      <c r="B5" s="387" t="s">
        <v>144</v>
      </c>
      <c r="C5" s="388" t="s">
        <v>1382</v>
      </c>
      <c r="D5" s="389" t="s">
        <v>157</v>
      </c>
      <c r="E5" s="390" t="s">
        <v>1340</v>
      </c>
      <c r="F5" s="388" t="s">
        <v>1341</v>
      </c>
      <c r="G5" s="697" t="s">
        <v>1501</v>
      </c>
      <c r="H5" s="697" t="s">
        <v>88</v>
      </c>
      <c r="I5" s="389" t="s">
        <v>1502</v>
      </c>
    </row>
    <row r="6" spans="1:10" ht="27" customHeight="1" x14ac:dyDescent="0.25">
      <c r="A6" s="413" t="s">
        <v>175</v>
      </c>
      <c r="B6" s="412" t="str">
        <f>VLOOKUP($A6, '01-CO'!$D:$M, 4, FALSE)</f>
        <v>CANTEIRO DE OBRAS (CONSTRUÇÕES PROVISÓRIAS) - TRECHOS 1 e 3</v>
      </c>
      <c r="C6" s="411">
        <v>1739810.3222918774</v>
      </c>
      <c r="D6" s="415">
        <v>3.3770900326213493E-2</v>
      </c>
      <c r="E6" s="391">
        <v>125381.51689279579</v>
      </c>
      <c r="F6" s="385">
        <v>1205861.3862381836</v>
      </c>
      <c r="G6" s="698">
        <v>305508.59056831431</v>
      </c>
      <c r="H6" s="698">
        <v>92172.753913364737</v>
      </c>
      <c r="I6" s="392">
        <v>18658.37687012973</v>
      </c>
      <c r="J6" s="701">
        <v>-7772.302190910792</v>
      </c>
    </row>
    <row r="7" spans="1:10" s="232" customFormat="1" ht="27" customHeight="1" x14ac:dyDescent="0.25">
      <c r="A7" s="414" t="s">
        <v>139</v>
      </c>
      <c r="B7" s="412" t="str">
        <f>VLOOKUP($A7, '02-AL'!$D:$M, 4, FALSE)</f>
        <v>ADMINISTRAÇÃO LOCAL - TRECHOS 1 e 3</v>
      </c>
      <c r="C7" s="411">
        <v>3571835.7619339433</v>
      </c>
      <c r="D7" s="416">
        <v>6.9331758728144649E-2</v>
      </c>
      <c r="E7" s="399">
        <v>3312799.7195807574</v>
      </c>
      <c r="F7" s="398">
        <v>259036.04235318571</v>
      </c>
      <c r="G7" s="699">
        <v>0</v>
      </c>
      <c r="H7" s="699">
        <v>0</v>
      </c>
      <c r="I7" s="400">
        <v>-1.5267461835766418E-10</v>
      </c>
      <c r="J7" s="702">
        <v>0</v>
      </c>
    </row>
    <row r="8" spans="1:10" s="232" customFormat="1" ht="27" customHeight="1" x14ac:dyDescent="0.25">
      <c r="A8" s="414" t="s">
        <v>142</v>
      </c>
      <c r="B8" s="412" t="str">
        <f>VLOOKUP($A8, '03-SP'!$D:$M, 4, FALSE)</f>
        <v>SERVIÇOS PRELIMINARES DE OBRAS - TRECHOS 1 e 3</v>
      </c>
      <c r="C8" s="411">
        <v>703821.75660940469</v>
      </c>
      <c r="D8" s="416">
        <v>1.3661658449391111E-2</v>
      </c>
      <c r="E8" s="399">
        <v>109167.65580914538</v>
      </c>
      <c r="F8" s="398">
        <v>322815.35827226227</v>
      </c>
      <c r="G8" s="699">
        <v>135853.1812346839</v>
      </c>
      <c r="H8" s="699">
        <v>135985.56129331319</v>
      </c>
      <c r="I8" s="400">
        <v>-1.8895742590333923E-12</v>
      </c>
      <c r="J8" s="702">
        <v>0</v>
      </c>
    </row>
    <row r="9" spans="1:10" s="232" customFormat="1" ht="27" customHeight="1" x14ac:dyDescent="0.25">
      <c r="A9" s="414" t="s">
        <v>176</v>
      </c>
      <c r="B9" s="412" t="str">
        <f>VLOOKUP($A9, '04-DR'!$D:$M, 4, FALSE)</f>
        <v>DRENAGEM URBANA DE ÁGUAS PLUVIAIS E CONSTRUÇÃO DE BACIAS DE DETENÇÃO - TRECHOS 1 e 3</v>
      </c>
      <c r="C9" s="411">
        <v>20385874.786871046</v>
      </c>
      <c r="D9" s="416">
        <v>0.39570367911324178</v>
      </c>
      <c r="E9" s="399">
        <v>3770965.0164101105</v>
      </c>
      <c r="F9" s="398">
        <v>14011295.901398033</v>
      </c>
      <c r="G9" s="699">
        <v>2380124.6947685629</v>
      </c>
      <c r="H9" s="699">
        <v>221486.81872350004</v>
      </c>
      <c r="I9" s="400">
        <v>2002.3555708489264</v>
      </c>
      <c r="J9" s="702">
        <v>0</v>
      </c>
    </row>
    <row r="10" spans="1:10" s="232" customFormat="1" ht="27" customHeight="1" x14ac:dyDescent="0.25">
      <c r="A10" s="414" t="s">
        <v>177</v>
      </c>
      <c r="B10" s="412" t="str">
        <f>VLOOKUP($A10, '05-TR'!$D:$M, 4, FALSE)</f>
        <v>TERRAPLENAGEM - TRECHOS 1 e 3</v>
      </c>
      <c r="C10" s="411">
        <v>2325856.9174799626</v>
      </c>
      <c r="D10" s="416">
        <v>4.5146462879803943E-2</v>
      </c>
      <c r="E10" s="399">
        <v>217460.18013621419</v>
      </c>
      <c r="F10" s="398">
        <v>1059147.2627822463</v>
      </c>
      <c r="G10" s="699">
        <v>787681.62487532722</v>
      </c>
      <c r="H10" s="699">
        <v>261567.84968617494</v>
      </c>
      <c r="I10" s="400">
        <v>0</v>
      </c>
      <c r="J10" s="702">
        <v>0</v>
      </c>
    </row>
    <row r="11" spans="1:10" s="232" customFormat="1" ht="27" customHeight="1" x14ac:dyDescent="0.25">
      <c r="A11" s="414" t="s">
        <v>766</v>
      </c>
      <c r="B11" s="412" t="str">
        <f>VLOOKUP($A11, '06-PAV'!$D:$M, 4, FALSE)</f>
        <v>PAVIMENTAÇÕES - TRECHOS 1 e 3</v>
      </c>
      <c r="C11" s="411">
        <v>14898899.148945386</v>
      </c>
      <c r="D11" s="416">
        <v>0.28919775430837535</v>
      </c>
      <c r="E11" s="399">
        <v>1762715.046312843</v>
      </c>
      <c r="F11" s="398">
        <v>12434538.708109632</v>
      </c>
      <c r="G11" s="699">
        <v>691045.62902129663</v>
      </c>
      <c r="H11" s="699">
        <v>0</v>
      </c>
      <c r="I11" s="400">
        <v>10599.765501616943</v>
      </c>
      <c r="J11" s="702">
        <v>0</v>
      </c>
    </row>
    <row r="12" spans="1:10" s="232" customFormat="1" ht="27" customHeight="1" x14ac:dyDescent="0.25">
      <c r="A12" s="414" t="s">
        <v>1532</v>
      </c>
      <c r="B12" s="412" t="str">
        <f>VLOOKUP($A12, '07-OAEeOAC'!$D:$M, 4, FALSE)</f>
        <v>OBRA DE ARTE ESPECIAL (PONTE) E OBRA DE ARTE CORRENTE (CANAL) - TRECHOS 1 e 3</v>
      </c>
      <c r="C12" s="411">
        <v>6599348.7318358049</v>
      </c>
      <c r="D12" s="416">
        <v>0.12809784226775126</v>
      </c>
      <c r="E12" s="399">
        <v>396835.51282430365</v>
      </c>
      <c r="F12" s="398">
        <v>5889493.6283657849</v>
      </c>
      <c r="G12" s="699">
        <v>293935.12224307482</v>
      </c>
      <c r="H12" s="699">
        <v>17475.1718627925</v>
      </c>
      <c r="I12" s="400">
        <v>1609.2965398486392</v>
      </c>
      <c r="J12" s="702">
        <v>0</v>
      </c>
    </row>
    <row r="13" spans="1:10" s="232" customFormat="1" ht="27" customHeight="1" x14ac:dyDescent="0.25">
      <c r="A13" s="414" t="s">
        <v>1533</v>
      </c>
      <c r="B13" s="412" t="str">
        <f>VLOOKUP($A13, '08-SIN'!$D:$M, 4, FALSE)</f>
        <v>SINALIZAÇÃO VIÁRIA - TRECHOS 1 e 3</v>
      </c>
      <c r="C13" s="411">
        <v>405272.52654953004</v>
      </c>
      <c r="D13" s="416">
        <v>7.8666150692953546E-3</v>
      </c>
      <c r="E13" s="399">
        <v>19804.928067838242</v>
      </c>
      <c r="F13" s="398">
        <v>377052.59426293062</v>
      </c>
      <c r="G13" s="699">
        <v>8403.1863454833619</v>
      </c>
      <c r="H13" s="699">
        <v>0</v>
      </c>
      <c r="I13" s="400">
        <v>11.817873277808223</v>
      </c>
      <c r="J13" s="702">
        <v>0</v>
      </c>
    </row>
    <row r="14" spans="1:10" s="232" customFormat="1" ht="27" customHeight="1" thickBot="1" x14ac:dyDescent="0.3">
      <c r="A14" s="414" t="s">
        <v>1534</v>
      </c>
      <c r="B14" s="412" t="str">
        <f>VLOOKUP($A14, '09-URB'!$D:$M, 4, FALSE)</f>
        <v>URBANIZAÇÃO E PAISAGISMO - TRECHOS 1 e 3</v>
      </c>
      <c r="C14" s="411">
        <v>887312.00653654826</v>
      </c>
      <c r="D14" s="416">
        <v>1.7223328857782903E-2</v>
      </c>
      <c r="E14" s="399">
        <v>281278.88661114039</v>
      </c>
      <c r="F14" s="398">
        <v>604160.09583244822</v>
      </c>
      <c r="G14" s="699">
        <v>927.17685071490166</v>
      </c>
      <c r="H14" s="699">
        <v>0</v>
      </c>
      <c r="I14" s="400">
        <v>945.8472422447428</v>
      </c>
      <c r="J14" s="702">
        <v>0</v>
      </c>
    </row>
    <row r="15" spans="1:10" ht="15.75" thickBot="1" x14ac:dyDescent="0.3">
      <c r="A15" s="506"/>
      <c r="B15" s="507" t="s">
        <v>1126</v>
      </c>
      <c r="C15" s="508">
        <v>51518031.959053509</v>
      </c>
      <c r="D15" s="509">
        <v>1</v>
      </c>
      <c r="E15" s="510">
        <v>9996408.4626451507</v>
      </c>
      <c r="F15" s="508">
        <v>36163400.977614701</v>
      </c>
      <c r="G15" s="700">
        <v>4603479.2059074575</v>
      </c>
      <c r="H15" s="700">
        <v>728688.15547914547</v>
      </c>
      <c r="I15" s="511">
        <v>33827.459597966641</v>
      </c>
    </row>
    <row r="16" spans="1:10" x14ac:dyDescent="0.25">
      <c r="A16" s="317" t="s">
        <v>1115</v>
      </c>
      <c r="E16" s="233"/>
      <c r="F16" s="233"/>
      <c r="G16" s="233"/>
      <c r="H16" s="233"/>
      <c r="I16" s="233"/>
    </row>
    <row r="17" spans="1:10" x14ac:dyDescent="0.25">
      <c r="A17" s="113"/>
      <c r="C17" s="83" t="s">
        <v>1087</v>
      </c>
      <c r="D17" s="109"/>
      <c r="E17" s="233"/>
      <c r="F17" s="233"/>
      <c r="G17" s="233"/>
      <c r="H17" s="233"/>
      <c r="I17" s="233"/>
    </row>
    <row r="18" spans="1:10" x14ac:dyDescent="0.25">
      <c r="A18" s="323"/>
      <c r="B18" s="704"/>
      <c r="C18" s="107" t="s">
        <v>1529</v>
      </c>
      <c r="D18" s="108" t="s">
        <v>4142</v>
      </c>
      <c r="E18" s="233"/>
    </row>
    <row r="19" spans="1:10" x14ac:dyDescent="0.25">
      <c r="A19" s="490"/>
      <c r="B19" s="705" t="s">
        <v>135</v>
      </c>
      <c r="C19" s="104" t="s">
        <v>367</v>
      </c>
      <c r="D19" s="105" t="str">
        <f>D18</f>
        <v>JUNHO/2021</v>
      </c>
      <c r="E19" s="233"/>
    </row>
    <row r="20" spans="1:10" x14ac:dyDescent="0.25">
      <c r="A20" s="194"/>
      <c r="B20" s="194" t="s">
        <v>136</v>
      </c>
      <c r="C20" s="106" t="s">
        <v>158</v>
      </c>
      <c r="D20" s="110" t="str">
        <f>D4</f>
        <v>28/JAN/2022</v>
      </c>
      <c r="E20" s="233"/>
    </row>
    <row r="21" spans="1:10" x14ac:dyDescent="0.25">
      <c r="E21" s="233"/>
    </row>
    <row r="22" spans="1:10" x14ac:dyDescent="0.25">
      <c r="E22" s="233"/>
      <c r="F22" s="233"/>
      <c r="G22" s="233"/>
      <c r="H22" s="233"/>
      <c r="I22" s="233"/>
    </row>
    <row r="23" spans="1:10" x14ac:dyDescent="0.25">
      <c r="E23" s="233"/>
      <c r="F23" s="233"/>
      <c r="G23" s="233"/>
      <c r="H23" s="233"/>
      <c r="I23" s="233"/>
    </row>
    <row r="24" spans="1:10" x14ac:dyDescent="0.25">
      <c r="E24" s="233"/>
      <c r="F24" s="233"/>
      <c r="G24" s="233"/>
      <c r="H24" s="233"/>
      <c r="I24" s="233"/>
    </row>
    <row r="27" spans="1:10" x14ac:dyDescent="0.25">
      <c r="B27" s="122"/>
      <c r="C27" s="331"/>
      <c r="E27" s="331"/>
      <c r="F27" s="204"/>
      <c r="G27" s="204"/>
      <c r="H27" s="204"/>
      <c r="I27" s="331"/>
    </row>
    <row r="28" spans="1:10" x14ac:dyDescent="0.25">
      <c r="B28" s="122"/>
      <c r="F28" s="204"/>
      <c r="G28" s="204"/>
      <c r="H28" s="204"/>
      <c r="J28" s="401"/>
    </row>
  </sheetData>
  <mergeCells count="1">
    <mergeCell ref="A1:D1"/>
  </mergeCells>
  <pageMargins left="0.511811024" right="0.511811024" top="0.78740157499999996" bottom="0.78740157499999996" header="0.31496062000000002" footer="0.31496062000000002"/>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B9BC4-2C4F-4038-811B-CAFC59C4A9CD}">
  <sheetPr filterMode="1">
    <tabColor rgb="FF002060"/>
    <outlinePr summaryBelow="0" summaryRight="0"/>
    <pageSetUpPr fitToPage="1"/>
  </sheetPr>
  <dimension ref="A1:AI127"/>
  <sheetViews>
    <sheetView showGridLines="0" zoomScale="55" zoomScaleNormal="55" workbookViewId="0">
      <pane xSplit="9" ySplit="9" topLeftCell="N69" activePane="bottomRight" state="frozen"/>
      <selection activeCell="P26" sqref="P26"/>
      <selection pane="topRight" activeCell="P26" sqref="P26"/>
      <selection pane="bottomLeft" activeCell="P26" sqref="P26"/>
      <selection pane="bottomRight" activeCell="AL103" sqref="AL103"/>
    </sheetView>
  </sheetViews>
  <sheetFormatPr defaultColWidth="9.140625" defaultRowHeight="12.75" x14ac:dyDescent="0.25"/>
  <cols>
    <col min="1" max="1" width="50.7109375" style="3" customWidth="1"/>
    <col min="2" max="2" width="9.7109375" style="4" customWidth="1"/>
    <col min="3" max="3" width="1.7109375" style="3" customWidth="1"/>
    <col min="4" max="4" width="17.7109375" style="3" customWidth="1"/>
    <col min="5" max="5" width="15.7109375" style="3" customWidth="1"/>
    <col min="6" max="6" width="12.7109375" style="115" customWidth="1"/>
    <col min="7" max="7" width="50.7109375" style="3" customWidth="1"/>
    <col min="8" max="8" width="9.7109375" style="4" customWidth="1"/>
    <col min="9" max="9" width="12.7109375" style="2" customWidth="1"/>
    <col min="10" max="10" width="14.7109375" style="2" customWidth="1"/>
    <col min="11" max="11" width="14.7109375" style="410" customWidth="1"/>
    <col min="12" max="13" width="14.7109375" style="2" customWidth="1"/>
    <col min="14" max="14" width="1.7109375" style="40" customWidth="1"/>
    <col min="15" max="15" width="50.7109375" style="3" customWidth="1"/>
    <col min="16" max="16" width="1.7109375" style="40" customWidth="1"/>
    <col min="17" max="17" width="10.7109375" style="440" customWidth="1"/>
    <col min="18" max="18" width="10.7109375" style="471" customWidth="1"/>
    <col min="19" max="20" width="10.7109375" style="440" customWidth="1"/>
    <col min="21" max="21" width="10.7109375" style="471" customWidth="1"/>
    <col min="22" max="23" width="10.7109375" style="440" customWidth="1"/>
    <col min="24" max="24" width="10.7109375" style="471" customWidth="1"/>
    <col min="25" max="26" width="10.7109375" style="440" customWidth="1"/>
    <col min="27" max="27" width="10.7109375" style="471" customWidth="1"/>
    <col min="28" max="28" width="10.7109375" style="440" customWidth="1"/>
    <col min="29" max="29" width="1.7109375" style="3" customWidth="1"/>
    <col min="30" max="35" width="11.7109375" style="499" customWidth="1"/>
    <col min="36" max="16384" width="9.140625" style="3"/>
  </cols>
  <sheetData>
    <row r="1" spans="1:35" s="41" customFormat="1" ht="15" x14ac:dyDescent="0.25">
      <c r="A1" s="487"/>
      <c r="B1" s="487"/>
      <c r="D1" s="726" t="s">
        <v>1531</v>
      </c>
      <c r="E1" s="726"/>
      <c r="F1" s="726"/>
      <c r="G1" s="726"/>
      <c r="H1" s="726"/>
      <c r="I1" s="726"/>
      <c r="K1" s="727"/>
      <c r="L1" s="728"/>
      <c r="M1" s="757" t="str">
        <f>'PSP-RESUMO'!$C$3</f>
        <v>ENCARGOS SOCIAIS SEM DESONERAÇÃO</v>
      </c>
      <c r="O1" s="488"/>
      <c r="Q1" s="394"/>
      <c r="R1" s="489"/>
      <c r="S1" s="394"/>
      <c r="T1" s="394"/>
      <c r="U1" s="489"/>
      <c r="V1" s="394"/>
      <c r="W1" s="394"/>
      <c r="X1" s="489"/>
      <c r="Y1" s="394"/>
      <c r="Z1" s="394"/>
      <c r="AA1" s="489"/>
      <c r="AB1" s="394"/>
      <c r="AD1" s="498"/>
      <c r="AE1" s="498"/>
      <c r="AF1" s="498"/>
      <c r="AG1" s="498"/>
      <c r="AH1" s="498"/>
      <c r="AI1" s="498"/>
    </row>
    <row r="2" spans="1:35" s="41" customFormat="1" ht="15" x14ac:dyDescent="0.25">
      <c r="A2" s="487"/>
      <c r="B2" s="487"/>
      <c r="D2" s="729" t="s">
        <v>1147</v>
      </c>
      <c r="E2" s="744" t="str">
        <f>IF('TRECHO(S) A IMPRIMIR'!$B$1= 1, 'PSP-RESUMO'!$B$2, IF('TRECHO(S) A IMPRIMIR'!$B$1= 2,#REF!,#REF!))</f>
        <v>URBANIZAÇÃO DO SETOR SOL NASCENTE - TRECHOS 1 e 3</v>
      </c>
      <c r="F2" s="730"/>
      <c r="G2" s="730"/>
      <c r="H2" s="730"/>
      <c r="I2" s="730"/>
      <c r="J2" s="730"/>
      <c r="K2" s="731"/>
      <c r="L2" s="807" t="s">
        <v>156</v>
      </c>
      <c r="M2" s="808" t="str">
        <f>'PSP-RESUMO'!$D$4</f>
        <v>28/JAN/2022</v>
      </c>
      <c r="O2" s="488"/>
      <c r="Q2" s="394"/>
      <c r="R2" s="489"/>
      <c r="S2" s="394"/>
      <c r="T2" s="394"/>
      <c r="U2" s="489"/>
      <c r="V2" s="394"/>
      <c r="W2" s="394"/>
      <c r="X2" s="489"/>
      <c r="Y2" s="394"/>
      <c r="Z2" s="394"/>
      <c r="AA2" s="489"/>
      <c r="AB2" s="394"/>
      <c r="AD2" s="498"/>
      <c r="AE2" s="498"/>
      <c r="AF2" s="498"/>
      <c r="AG2" s="498"/>
      <c r="AH2" s="498"/>
      <c r="AI2" s="498"/>
    </row>
    <row r="3" spans="1:35" s="41" customFormat="1" ht="15" x14ac:dyDescent="0.25">
      <c r="A3" s="487"/>
      <c r="B3" s="487"/>
      <c r="D3" s="732" t="s">
        <v>34</v>
      </c>
      <c r="E3" s="733" t="str">
        <f>'PSP-RESUMO'!B3</f>
        <v>SETOR SOL NASCENTE, CEILÂNDIA/DF</v>
      </c>
      <c r="F3" s="733"/>
      <c r="G3" s="733"/>
      <c r="H3" s="733"/>
      <c r="I3" s="734"/>
      <c r="J3" s="734"/>
      <c r="K3" s="735"/>
      <c r="L3" s="807" t="s">
        <v>1978</v>
      </c>
      <c r="M3" s="809" t="str">
        <f>'PSP-RESUMO'!$D$18</f>
        <v>JUNHO/2021</v>
      </c>
      <c r="O3" s="488"/>
      <c r="Q3" s="394"/>
      <c r="R3" s="489"/>
      <c r="S3" s="394"/>
      <c r="T3" s="394"/>
      <c r="U3" s="489"/>
      <c r="V3" s="394"/>
      <c r="W3" s="394"/>
      <c r="X3" s="489"/>
      <c r="Y3" s="394"/>
      <c r="Z3" s="394"/>
      <c r="AA3" s="489"/>
      <c r="AB3" s="394"/>
      <c r="AD3" s="498"/>
      <c r="AE3" s="498"/>
      <c r="AF3" s="498"/>
      <c r="AG3" s="498"/>
      <c r="AH3" s="498"/>
      <c r="AI3" s="498"/>
    </row>
    <row r="4" spans="1:35" s="41" customFormat="1" ht="15" x14ac:dyDescent="0.25">
      <c r="A4" s="487"/>
      <c r="B4" s="487"/>
      <c r="D4" s="732" t="s">
        <v>33</v>
      </c>
      <c r="E4" s="733" t="str">
        <f>'PSP-RESUMO'!B4</f>
        <v>ARIA</v>
      </c>
      <c r="F4" s="737"/>
      <c r="G4" s="736"/>
      <c r="H4" s="734"/>
      <c r="I4" s="736"/>
      <c r="J4" s="736"/>
      <c r="K4" s="738"/>
      <c r="L4" s="807" t="s">
        <v>1979</v>
      </c>
      <c r="M4" s="810">
        <f>IF('PSP-RESUMO'!$C$3 = "ENCARGOS SOCIAIS SEM DESONERAÇÃO", 'BDI obras SD'!$H$23, 'BDI obras CD'!$H$23)</f>
        <v>0.2033513845915047</v>
      </c>
      <c r="O4" s="488"/>
      <c r="Q4" s="394"/>
      <c r="R4" s="489"/>
      <c r="S4" s="394"/>
      <c r="T4" s="394"/>
      <c r="U4" s="489"/>
      <c r="V4" s="394"/>
      <c r="W4" s="394"/>
      <c r="X4" s="489"/>
      <c r="Y4" s="394"/>
      <c r="Z4" s="394"/>
      <c r="AA4" s="489"/>
      <c r="AB4" s="394"/>
      <c r="AD4" s="498"/>
      <c r="AE4" s="498"/>
      <c r="AF4" s="498"/>
      <c r="AG4" s="498"/>
      <c r="AH4" s="498"/>
      <c r="AI4" s="498"/>
    </row>
    <row r="5" spans="1:35" s="41" customFormat="1" ht="15" customHeight="1" x14ac:dyDescent="0.25">
      <c r="A5" s="487"/>
      <c r="B5" s="487"/>
      <c r="D5" s="1936" t="s">
        <v>1284</v>
      </c>
      <c r="E5" s="1938" t="str">
        <f>$G$9</f>
        <v>CANTEIRO DE OBRAS (CONSTRUÇÕES PROVISÓRIAS) - TRECHOS 1 e 3</v>
      </c>
      <c r="F5" s="1938"/>
      <c r="G5" s="1938"/>
      <c r="H5" s="1938"/>
      <c r="I5" s="1938"/>
      <c r="J5" s="734"/>
      <c r="K5" s="801"/>
      <c r="L5" s="807" t="s">
        <v>1980</v>
      </c>
      <c r="M5" s="811">
        <f>IF('PSP-RESUMO'!$C$3 = "ENCARGOS SOCIAIS SEM DESONERAÇÃO", 'BDI-Difer SD'!$H$23, 'BDI-Difer CD'!$H$23)</f>
        <v>0.11096635744680849</v>
      </c>
      <c r="O5" s="488"/>
      <c r="Q5" s="394"/>
      <c r="R5" s="489"/>
      <c r="S5" s="394"/>
      <c r="T5" s="394"/>
      <c r="U5" s="489"/>
      <c r="V5" s="394"/>
      <c r="W5" s="394"/>
      <c r="X5" s="489"/>
      <c r="Y5" s="394"/>
      <c r="Z5" s="394"/>
      <c r="AA5" s="489"/>
      <c r="AB5" s="394"/>
      <c r="AD5" s="498"/>
      <c r="AE5" s="498"/>
      <c r="AF5" s="498"/>
      <c r="AG5" s="498"/>
      <c r="AH5" s="498"/>
      <c r="AI5" s="498"/>
    </row>
    <row r="6" spans="1:35" s="41" customFormat="1" ht="15" customHeight="1" thickBot="1" x14ac:dyDescent="0.3">
      <c r="A6" s="487"/>
      <c r="B6" s="487"/>
      <c r="D6" s="1937"/>
      <c r="E6" s="1939"/>
      <c r="F6" s="1939"/>
      <c r="G6" s="1939"/>
      <c r="H6" s="1939"/>
      <c r="I6" s="1939"/>
      <c r="J6" s="739"/>
      <c r="K6" s="740"/>
      <c r="L6" s="812" t="s">
        <v>1339</v>
      </c>
      <c r="M6" s="802">
        <f>IF('TRECHO(S) A IMPRIMIR'!$B$1= 1, LARGE('01-CO'!V6:'01-CO'!Y6, 1), IF('TRECHO(S) A IMPRIMIR'!$B$1= 2, '01-CO'!V6, '01-CO'!Y6))</f>
        <v>18</v>
      </c>
      <c r="O6" s="488"/>
      <c r="Q6" s="394"/>
      <c r="R6" s="489"/>
      <c r="S6" s="394"/>
      <c r="T6" s="394"/>
      <c r="U6" s="812" t="s">
        <v>1339</v>
      </c>
      <c r="V6" s="1482">
        <f>'CFF-18M'!$V$3</f>
        <v>18</v>
      </c>
      <c r="W6" s="394"/>
      <c r="X6" s="812" t="s">
        <v>1339</v>
      </c>
      <c r="Y6" s="1482">
        <f>'CFF-18M'!$V$3</f>
        <v>18</v>
      </c>
      <c r="Z6" s="394"/>
      <c r="AA6" s="489"/>
      <c r="AB6" s="394"/>
      <c r="AD6" s="498"/>
      <c r="AE6" s="498"/>
      <c r="AF6" s="498"/>
      <c r="AG6" s="498"/>
      <c r="AH6" s="498"/>
      <c r="AI6" s="498"/>
    </row>
    <row r="7" spans="1:35" ht="27" customHeight="1" x14ac:dyDescent="0.25">
      <c r="A7" s="1924" t="s">
        <v>31</v>
      </c>
      <c r="B7" s="1922" t="s">
        <v>1322</v>
      </c>
      <c r="D7" s="1934" t="s">
        <v>0</v>
      </c>
      <c r="E7" s="1924" t="s">
        <v>32</v>
      </c>
      <c r="F7" s="1932" t="s">
        <v>1206</v>
      </c>
      <c r="G7" s="1924" t="s">
        <v>30</v>
      </c>
      <c r="H7" s="1944" t="s">
        <v>1</v>
      </c>
      <c r="I7" s="472" t="s">
        <v>29</v>
      </c>
      <c r="J7" s="1930" t="s">
        <v>1204</v>
      </c>
      <c r="K7" s="1926" t="s">
        <v>1202</v>
      </c>
      <c r="L7" s="1928" t="s">
        <v>1203</v>
      </c>
      <c r="M7" s="1942" t="s">
        <v>1205</v>
      </c>
      <c r="N7" s="215"/>
      <c r="O7" s="1940" t="s">
        <v>160</v>
      </c>
      <c r="P7" s="215"/>
      <c r="Q7" s="465" t="s">
        <v>1283</v>
      </c>
      <c r="R7" s="469"/>
      <c r="S7" s="466"/>
      <c r="T7" s="465" t="s">
        <v>1717</v>
      </c>
      <c r="U7" s="469"/>
      <c r="V7" s="466"/>
      <c r="W7" s="467" t="s">
        <v>1804</v>
      </c>
      <c r="X7" s="469"/>
      <c r="Y7" s="468"/>
      <c r="Z7" s="467" t="s">
        <v>147</v>
      </c>
      <c r="AA7" s="469"/>
      <c r="AB7" s="468"/>
    </row>
    <row r="8" spans="1:35" ht="27" customHeight="1" thickBot="1" x14ac:dyDescent="0.3">
      <c r="A8" s="1925"/>
      <c r="B8" s="1923"/>
      <c r="D8" s="1935"/>
      <c r="E8" s="1925"/>
      <c r="F8" s="1933"/>
      <c r="G8" s="1925"/>
      <c r="H8" s="1945"/>
      <c r="I8" s="473" t="s">
        <v>8</v>
      </c>
      <c r="J8" s="1931"/>
      <c r="K8" s="1927"/>
      <c r="L8" s="1929"/>
      <c r="M8" s="1943"/>
      <c r="N8" s="215"/>
      <c r="O8" s="1941"/>
      <c r="P8" s="215"/>
      <c r="Q8" s="445" t="s">
        <v>1053</v>
      </c>
      <c r="R8" s="470" t="s">
        <v>1054</v>
      </c>
      <c r="S8" s="446" t="s">
        <v>288</v>
      </c>
      <c r="T8" s="445" t="s">
        <v>1053</v>
      </c>
      <c r="U8" s="470" t="s">
        <v>1054</v>
      </c>
      <c r="V8" s="446" t="s">
        <v>288</v>
      </c>
      <c r="W8" s="445" t="s">
        <v>1053</v>
      </c>
      <c r="X8" s="470" t="s">
        <v>1054</v>
      </c>
      <c r="Y8" s="446" t="s">
        <v>288</v>
      </c>
      <c r="Z8" s="445" t="s">
        <v>1053</v>
      </c>
      <c r="AA8" s="470" t="s">
        <v>1054</v>
      </c>
      <c r="AB8" s="446" t="s">
        <v>288</v>
      </c>
      <c r="AD8" s="500" t="s">
        <v>1340</v>
      </c>
      <c r="AE8" s="501" t="s">
        <v>1341</v>
      </c>
      <c r="AF8" s="501" t="s">
        <v>1342</v>
      </c>
      <c r="AG8" s="501" t="s">
        <v>1343</v>
      </c>
      <c r="AH8" s="502" t="s">
        <v>997</v>
      </c>
      <c r="AI8" s="502" t="s">
        <v>1381</v>
      </c>
    </row>
    <row r="9" spans="1:35" ht="24" x14ac:dyDescent="0.25">
      <c r="A9" s="587" t="str">
        <f>IF('TRECHO(S) A IMPRIMIR'!$B$1= 1, "CANTEIRO DE OBRAS (CONSTRUÇÕES PROVISÓRIAS) - TRECHOS 1 e 3", IF('TRECHO(S) A IMPRIMIR'!$B$1= 2, "CANTEIRO DE OBRAS (CONSTRUÇÕES PROVISÓRIAS) - TRECHO 1", "CANTEIRO DE OBRAS (CONSTRUÇÕES PROVISÓRIAS) - TRECHO 3"))</f>
        <v>CANTEIRO DE OBRAS (CONSTRUÇÕES PROVISÓRIAS) - TRECHOS 1 e 3</v>
      </c>
      <c r="B9" s="369"/>
      <c r="C9" s="588"/>
      <c r="D9" s="589" t="s">
        <v>175</v>
      </c>
      <c r="E9" s="44"/>
      <c r="F9" s="214"/>
      <c r="G9" s="587" t="s">
        <v>4143</v>
      </c>
      <c r="H9" s="590" t="s">
        <v>21</v>
      </c>
      <c r="I9" s="591" t="s">
        <v>21</v>
      </c>
      <c r="J9" s="592" t="s">
        <v>21</v>
      </c>
      <c r="K9" s="593" t="s">
        <v>21</v>
      </c>
      <c r="L9" s="592" t="s">
        <v>21</v>
      </c>
      <c r="M9" s="608">
        <v>1739810.3222918774</v>
      </c>
      <c r="O9" s="673"/>
      <c r="P9" s="361"/>
      <c r="Q9" s="441"/>
      <c r="R9" s="485"/>
      <c r="S9" s="442"/>
      <c r="T9" s="441"/>
      <c r="U9" s="485"/>
      <c r="V9" s="442"/>
      <c r="W9" s="441"/>
      <c r="X9" s="485"/>
      <c r="Y9" s="442"/>
      <c r="Z9" s="441"/>
      <c r="AA9" s="485"/>
      <c r="AB9" s="442"/>
      <c r="AC9" s="672"/>
      <c r="AD9" s="441" t="s">
        <v>21</v>
      </c>
      <c r="AE9" s="674" t="s">
        <v>21</v>
      </c>
      <c r="AF9" s="674" t="s">
        <v>21</v>
      </c>
      <c r="AG9" s="674" t="s">
        <v>21</v>
      </c>
      <c r="AH9" s="442" t="s">
        <v>21</v>
      </c>
      <c r="AI9" s="442" t="str">
        <f>IF(SUM(AD9:AH9)=0,"",M9 - SUM(AD9:AH9))</f>
        <v/>
      </c>
    </row>
    <row r="10" spans="1:35" x14ac:dyDescent="0.25">
      <c r="A10" s="587" t="str">
        <f>IF('TRECHO(S) A IMPRIMIR'!$B$1= 1, "IMPLANTAÇÃO DOS CANTEIROS DE OBRAS - TRECHOS 1 e 3", IF('TRECHO(S) A IMPRIMIR'!$B$1= 2, "IMPLANTAÇÃO DO CANTEIRO DE OBRAS PRINCIPAL - TRECHO 1", "IMPLANTAÇÃO DO CANTEIRO DE OBRAS - TRECHO 3"))</f>
        <v>IMPLANTAÇÃO DOS CANTEIROS DE OBRAS - TRECHOS 1 e 3</v>
      </c>
      <c r="B10" s="369"/>
      <c r="C10" s="588"/>
      <c r="D10" s="589" t="s">
        <v>186</v>
      </c>
      <c r="E10" s="44"/>
      <c r="F10" s="214"/>
      <c r="G10" s="587" t="s">
        <v>4144</v>
      </c>
      <c r="H10" s="590" t="s">
        <v>21</v>
      </c>
      <c r="I10" s="591" t="s">
        <v>21</v>
      </c>
      <c r="J10" s="592" t="s">
        <v>21</v>
      </c>
      <c r="K10" s="593" t="s">
        <v>21</v>
      </c>
      <c r="L10" s="592" t="s">
        <v>21</v>
      </c>
      <c r="M10" s="608">
        <v>964192.54563977325</v>
      </c>
      <c r="O10" s="673"/>
      <c r="P10" s="361"/>
      <c r="Q10" s="441"/>
      <c r="R10" s="485"/>
      <c r="S10" s="442"/>
      <c r="T10" s="441"/>
      <c r="U10" s="485"/>
      <c r="V10" s="442"/>
      <c r="W10" s="441"/>
      <c r="X10" s="485"/>
      <c r="Y10" s="442"/>
      <c r="Z10" s="441"/>
      <c r="AA10" s="485"/>
      <c r="AB10" s="442"/>
      <c r="AC10" s="672"/>
      <c r="AD10" s="441" t="s">
        <v>21</v>
      </c>
      <c r="AE10" s="674" t="s">
        <v>21</v>
      </c>
      <c r="AF10" s="674" t="s">
        <v>21</v>
      </c>
      <c r="AG10" s="674" t="s">
        <v>21</v>
      </c>
      <c r="AH10" s="442" t="s">
        <v>21</v>
      </c>
      <c r="AI10" s="442" t="str">
        <f t="shared" ref="AI10:AI69" si="0">IF(SUM(AD10:AH10)=0,"",M10 - SUM(AD10:AH10))</f>
        <v/>
      </c>
    </row>
    <row r="11" spans="1:35" x14ac:dyDescent="0.25">
      <c r="A11" s="587" t="s">
        <v>370</v>
      </c>
      <c r="B11" s="369"/>
      <c r="C11" s="588"/>
      <c r="D11" s="589" t="s">
        <v>291</v>
      </c>
      <c r="E11" s="44"/>
      <c r="F11" s="214"/>
      <c r="G11" s="587" t="s">
        <v>370</v>
      </c>
      <c r="H11" s="590" t="s">
        <v>21</v>
      </c>
      <c r="I11" s="591" t="s">
        <v>21</v>
      </c>
      <c r="J11" s="592" t="s">
        <v>21</v>
      </c>
      <c r="K11" s="593" t="s">
        <v>21</v>
      </c>
      <c r="L11" s="606" t="s">
        <v>21</v>
      </c>
      <c r="M11" s="608">
        <v>674146.99253328145</v>
      </c>
      <c r="O11" s="673"/>
      <c r="P11" s="361"/>
      <c r="Q11" s="441"/>
      <c r="R11" s="485"/>
      <c r="S11" s="442"/>
      <c r="T11" s="441"/>
      <c r="U11" s="485"/>
      <c r="V11" s="442"/>
      <c r="W11" s="441"/>
      <c r="X11" s="485"/>
      <c r="Y11" s="442"/>
      <c r="Z11" s="441"/>
      <c r="AA11" s="485"/>
      <c r="AB11" s="442"/>
      <c r="AC11" s="672"/>
      <c r="AD11" s="441" t="s">
        <v>21</v>
      </c>
      <c r="AE11" s="674" t="s">
        <v>21</v>
      </c>
      <c r="AF11" s="674" t="s">
        <v>21</v>
      </c>
      <c r="AG11" s="674" t="s">
        <v>21</v>
      </c>
      <c r="AH11" s="442" t="s">
        <v>21</v>
      </c>
      <c r="AI11" s="442" t="str">
        <f t="shared" si="0"/>
        <v/>
      </c>
    </row>
    <row r="12" spans="1:35" x14ac:dyDescent="0.25">
      <c r="A12" s="587" t="s">
        <v>372</v>
      </c>
      <c r="B12" s="369"/>
      <c r="C12" s="588"/>
      <c r="D12" s="589" t="s">
        <v>306</v>
      </c>
      <c r="E12" s="44"/>
      <c r="F12" s="214"/>
      <c r="G12" s="587" t="s">
        <v>372</v>
      </c>
      <c r="H12" s="590" t="s">
        <v>21</v>
      </c>
      <c r="I12" s="591" t="s">
        <v>21</v>
      </c>
      <c r="J12" s="592" t="s">
        <v>21</v>
      </c>
      <c r="K12" s="593" t="s">
        <v>21</v>
      </c>
      <c r="L12" s="606" t="s">
        <v>21</v>
      </c>
      <c r="M12" s="608">
        <v>261790.07826430898</v>
      </c>
      <c r="O12" s="673"/>
      <c r="P12" s="361"/>
      <c r="Q12" s="441"/>
      <c r="R12" s="485"/>
      <c r="S12" s="442"/>
      <c r="T12" s="441"/>
      <c r="U12" s="485"/>
      <c r="V12" s="442"/>
      <c r="W12" s="441"/>
      <c r="X12" s="485"/>
      <c r="Y12" s="442"/>
      <c r="Z12" s="441"/>
      <c r="AA12" s="485"/>
      <c r="AB12" s="442"/>
      <c r="AC12" s="672"/>
      <c r="AD12" s="441" t="s">
        <v>21</v>
      </c>
      <c r="AE12" s="674" t="s">
        <v>21</v>
      </c>
      <c r="AF12" s="674" t="s">
        <v>21</v>
      </c>
      <c r="AG12" s="674" t="s">
        <v>21</v>
      </c>
      <c r="AH12" s="442" t="s">
        <v>21</v>
      </c>
      <c r="AI12" s="442" t="str">
        <f t="shared" si="0"/>
        <v/>
      </c>
    </row>
    <row r="13" spans="1:35" ht="36" x14ac:dyDescent="0.25">
      <c r="A13" s="587" t="s">
        <v>371</v>
      </c>
      <c r="B13" s="369" t="s">
        <v>20</v>
      </c>
      <c r="C13" s="588"/>
      <c r="D13" s="589" t="s">
        <v>1344</v>
      </c>
      <c r="E13" s="44" t="s">
        <v>27</v>
      </c>
      <c r="F13" s="214">
        <v>98525</v>
      </c>
      <c r="G13" s="587" t="s">
        <v>597</v>
      </c>
      <c r="H13" s="590" t="s">
        <v>51</v>
      </c>
      <c r="I13" s="591">
        <v>36920</v>
      </c>
      <c r="J13" s="592">
        <v>0.3</v>
      </c>
      <c r="K13" s="593">
        <v>0.2033513845915047</v>
      </c>
      <c r="L13" s="606">
        <v>0.3610054153774514</v>
      </c>
      <c r="M13" s="608">
        <v>13328.319935735506</v>
      </c>
      <c r="O13" s="675">
        <v>0.1</v>
      </c>
      <c r="P13" s="361"/>
      <c r="Q13" s="441"/>
      <c r="R13" s="485"/>
      <c r="S13" s="442"/>
      <c r="T13" s="441">
        <v>18460</v>
      </c>
      <c r="U13" s="485"/>
      <c r="V13" s="442"/>
      <c r="W13" s="441">
        <v>18460</v>
      </c>
      <c r="X13" s="485"/>
      <c r="Y13" s="442"/>
      <c r="Z13" s="441"/>
      <c r="AA13" s="485"/>
      <c r="AB13" s="442"/>
      <c r="AC13" s="672"/>
      <c r="AD13" s="441">
        <v>7108.4372990589363</v>
      </c>
      <c r="AE13" s="674">
        <v>888.55466238236704</v>
      </c>
      <c r="AF13" s="674">
        <v>5331.3279742942022</v>
      </c>
      <c r="AG13" s="674">
        <v>0</v>
      </c>
      <c r="AH13" s="442">
        <v>0</v>
      </c>
      <c r="AI13" s="442">
        <v>1.8189894035458565E-12</v>
      </c>
    </row>
    <row r="14" spans="1:35" ht="48" x14ac:dyDescent="0.25">
      <c r="A14" s="587" t="s">
        <v>724</v>
      </c>
      <c r="B14" s="369" t="s">
        <v>23</v>
      </c>
      <c r="C14" s="588"/>
      <c r="D14" s="589" t="s">
        <v>1345</v>
      </c>
      <c r="E14" s="44" t="s">
        <v>27</v>
      </c>
      <c r="F14" s="214">
        <v>100999</v>
      </c>
      <c r="G14" s="587" t="s">
        <v>769</v>
      </c>
      <c r="H14" s="590" t="s">
        <v>55</v>
      </c>
      <c r="I14" s="591">
        <v>5538</v>
      </c>
      <c r="J14" s="592">
        <v>4.24</v>
      </c>
      <c r="K14" s="593">
        <v>0.2033513845915047</v>
      </c>
      <c r="L14" s="606">
        <v>5.1022098706679806</v>
      </c>
      <c r="M14" s="608">
        <v>28256.038263759277</v>
      </c>
      <c r="O14" s="673"/>
      <c r="P14" s="361"/>
      <c r="Q14" s="441"/>
      <c r="R14" s="485"/>
      <c r="S14" s="442"/>
      <c r="T14" s="441">
        <v>2769</v>
      </c>
      <c r="U14" s="485">
        <v>1.5</v>
      </c>
      <c r="V14" s="442"/>
      <c r="W14" s="441">
        <v>2769</v>
      </c>
      <c r="X14" s="485">
        <v>1.5</v>
      </c>
      <c r="Y14" s="442"/>
      <c r="Z14" s="441"/>
      <c r="AA14" s="485"/>
      <c r="AB14" s="442"/>
      <c r="AC14" s="672"/>
      <c r="AD14" s="441">
        <v>2998.8719855404888</v>
      </c>
      <c r="AE14" s="674">
        <v>12928.470337663441</v>
      </c>
      <c r="AF14" s="674">
        <v>12328.695940555344</v>
      </c>
      <c r="AG14" s="674">
        <v>0</v>
      </c>
      <c r="AH14" s="442">
        <v>0</v>
      </c>
      <c r="AI14" s="442">
        <v>3.637978807091713E-12</v>
      </c>
    </row>
    <row r="15" spans="1:35" ht="36" x14ac:dyDescent="0.25">
      <c r="A15" s="587" t="s">
        <v>723</v>
      </c>
      <c r="B15" s="369" t="s">
        <v>726</v>
      </c>
      <c r="C15" s="588"/>
      <c r="D15" s="589" t="s">
        <v>1399</v>
      </c>
      <c r="E15" s="44" t="s">
        <v>27</v>
      </c>
      <c r="F15" s="214">
        <v>95879</v>
      </c>
      <c r="G15" s="587" t="s">
        <v>789</v>
      </c>
      <c r="H15" s="590" t="s">
        <v>42</v>
      </c>
      <c r="I15" s="591">
        <v>121836</v>
      </c>
      <c r="J15" s="592">
        <v>1.04</v>
      </c>
      <c r="K15" s="593">
        <v>0.2033513845915047</v>
      </c>
      <c r="L15" s="606">
        <v>1.2514854399751649</v>
      </c>
      <c r="M15" s="608">
        <v>152475.98006481418</v>
      </c>
      <c r="O15" s="673"/>
      <c r="P15" s="361"/>
      <c r="Q15" s="441"/>
      <c r="R15" s="485"/>
      <c r="S15" s="442"/>
      <c r="T15" s="441">
        <v>60918</v>
      </c>
      <c r="U15" s="485"/>
      <c r="V15" s="442">
        <v>22</v>
      </c>
      <c r="W15" s="441">
        <v>60918</v>
      </c>
      <c r="X15" s="485"/>
      <c r="Y15" s="442">
        <v>22</v>
      </c>
      <c r="Z15" s="441"/>
      <c r="AA15" s="485"/>
      <c r="AB15" s="442"/>
      <c r="AC15" s="672"/>
      <c r="AD15" s="441">
        <v>10262.806350516341</v>
      </c>
      <c r="AE15" s="674">
        <v>87966.911575854334</v>
      </c>
      <c r="AF15" s="674">
        <v>54246.262138443512</v>
      </c>
      <c r="AG15" s="674">
        <v>0</v>
      </c>
      <c r="AH15" s="442">
        <v>0</v>
      </c>
      <c r="AI15" s="442">
        <v>0</v>
      </c>
    </row>
    <row r="16" spans="1:35" ht="36" hidden="1" x14ac:dyDescent="0.25">
      <c r="A16" s="587"/>
      <c r="B16" s="369"/>
      <c r="C16" s="588"/>
      <c r="D16" s="589" t="s">
        <v>1346</v>
      </c>
      <c r="E16" s="44" t="s">
        <v>27</v>
      </c>
      <c r="F16" s="214">
        <v>93599</v>
      </c>
      <c r="G16" s="587" t="s">
        <v>788</v>
      </c>
      <c r="H16" s="590" t="s">
        <v>42</v>
      </c>
      <c r="I16" s="591">
        <f>IF($F16="","",IF('TRECHO(S) A IMPRIMIR'!$B$1= 1, SUM(Q16, T16, W16, Z16), IF('TRECHO(S) A IMPRIMIR'!$B$1= 2, T16, IF('TRECHO(S) A IMPRIMIR'!$B$1= 3, W16, 0))))</f>
        <v>0</v>
      </c>
      <c r="J16" s="592">
        <v>0.41</v>
      </c>
      <c r="K16" s="593">
        <f>IF(AND(F16&lt;&gt;"",J16&lt;&gt;""),
  IF(OR(F16= "CP9001", F16= "CP9091", F16= "CP9092"), 0,
  IF($M$1 = "ENCARGOS SOCIAIS SEM DESONERAÇÃO",'BDI obras SD'!$H$23,'BDI obras CD'!$H$23)), "")</f>
        <v>0.2033513845915047</v>
      </c>
      <c r="L16" s="606">
        <f>IF(J16="","",
  IF(AND(J16&lt;&gt;"",K16=""),J16,J16 * (1 + K16)))</f>
        <v>0.4933740676825169</v>
      </c>
      <c r="M16" s="608">
        <f t="shared" ref="M13:M17" si="1">IF(F16="", "", IF(AND(F16&lt;&gt; "", OR(I16= "", J16= "")), 0, I16*L16))</f>
        <v>0</v>
      </c>
      <c r="O16" s="673"/>
      <c r="P16" s="361"/>
      <c r="Q16" s="441"/>
      <c r="R16" s="485"/>
      <c r="S16" s="442"/>
      <c r="T16" s="441">
        <f>T14 * V16</f>
        <v>0</v>
      </c>
      <c r="U16" s="485"/>
      <c r="V16" s="442">
        <f>IF('MLQ-DMT-TR1'!$E$7 &gt; 30, 'MLQ-DMT-TR1'!$E$7 - 30, 0)</f>
        <v>0</v>
      </c>
      <c r="W16" s="441">
        <f>W14 * Y16</f>
        <v>0</v>
      </c>
      <c r="X16" s="485"/>
      <c r="Y16" s="442">
        <f>IF('MLQ-DMT-TR1'!$E$7 &gt; 30, 'MLQ-DMT-TR1'!$E$7 - 30, 0)</f>
        <v>0</v>
      </c>
      <c r="Z16" s="441"/>
      <c r="AA16" s="485"/>
      <c r="AB16" s="442"/>
      <c r="AC16" s="672"/>
      <c r="AD16" s="441" t="s">
        <v>21</v>
      </c>
      <c r="AE16" s="674" t="s">
        <v>21</v>
      </c>
      <c r="AF16" s="674" t="s">
        <v>21</v>
      </c>
      <c r="AG16" s="674" t="s">
        <v>21</v>
      </c>
      <c r="AH16" s="442" t="s">
        <v>21</v>
      </c>
      <c r="AI16" s="442" t="str">
        <f t="shared" si="0"/>
        <v/>
      </c>
    </row>
    <row r="17" spans="1:35" ht="24" x14ac:dyDescent="0.25">
      <c r="A17" s="587" t="s">
        <v>316</v>
      </c>
      <c r="B17" s="369" t="s">
        <v>23</v>
      </c>
      <c r="C17" s="588"/>
      <c r="D17" s="589" t="s">
        <v>1347</v>
      </c>
      <c r="E17" s="44" t="s">
        <v>138</v>
      </c>
      <c r="F17" s="214" t="s">
        <v>164</v>
      </c>
      <c r="G17" s="587" t="s">
        <v>3638</v>
      </c>
      <c r="H17" s="590" t="s">
        <v>55</v>
      </c>
      <c r="I17" s="591">
        <v>5538</v>
      </c>
      <c r="J17" s="592">
        <v>12.23</v>
      </c>
      <c r="K17" s="593">
        <v>0</v>
      </c>
      <c r="L17" s="606">
        <v>12.23</v>
      </c>
      <c r="M17" s="608">
        <v>67729.740000000005</v>
      </c>
      <c r="O17" s="673"/>
      <c r="P17" s="361"/>
      <c r="Q17" s="441"/>
      <c r="R17" s="485"/>
      <c r="S17" s="442"/>
      <c r="T17" s="441">
        <v>2769</v>
      </c>
      <c r="U17" s="485"/>
      <c r="V17" s="442"/>
      <c r="W17" s="441">
        <v>2769</v>
      </c>
      <c r="X17" s="485"/>
      <c r="Y17" s="442"/>
      <c r="Z17" s="441"/>
      <c r="AA17" s="485"/>
      <c r="AB17" s="442"/>
      <c r="AC17" s="672"/>
      <c r="AD17" s="441">
        <v>0</v>
      </c>
      <c r="AE17" s="674">
        <v>0</v>
      </c>
      <c r="AF17" s="674">
        <v>0</v>
      </c>
      <c r="AG17" s="674">
        <v>67729.740000000005</v>
      </c>
      <c r="AH17" s="442">
        <v>0</v>
      </c>
      <c r="AI17" s="442">
        <v>0</v>
      </c>
    </row>
    <row r="18" spans="1:35" x14ac:dyDescent="0.25">
      <c r="A18" s="587" t="s">
        <v>373</v>
      </c>
      <c r="B18" s="369"/>
      <c r="C18" s="588"/>
      <c r="D18" s="589" t="s">
        <v>390</v>
      </c>
      <c r="E18" s="44"/>
      <c r="F18" s="214"/>
      <c r="G18" s="587" t="s">
        <v>373</v>
      </c>
      <c r="H18" s="590" t="s">
        <v>21</v>
      </c>
      <c r="I18" s="591" t="s">
        <v>21</v>
      </c>
      <c r="J18" s="592" t="s">
        <v>21</v>
      </c>
      <c r="K18" s="593" t="s">
        <v>21</v>
      </c>
      <c r="L18" s="606" t="s">
        <v>21</v>
      </c>
      <c r="M18" s="608">
        <v>51394.520513360738</v>
      </c>
      <c r="O18" s="673"/>
      <c r="P18" s="361"/>
      <c r="Q18" s="441"/>
      <c r="R18" s="485"/>
      <c r="S18" s="442"/>
      <c r="T18" s="441"/>
      <c r="U18" s="485"/>
      <c r="V18" s="442"/>
      <c r="W18" s="441"/>
      <c r="X18" s="485"/>
      <c r="Y18" s="442"/>
      <c r="Z18" s="441"/>
      <c r="AA18" s="485"/>
      <c r="AB18" s="442"/>
      <c r="AC18" s="672"/>
      <c r="AD18" s="441" t="s">
        <v>21</v>
      </c>
      <c r="AE18" s="674" t="s">
        <v>21</v>
      </c>
      <c r="AF18" s="674" t="s">
        <v>21</v>
      </c>
      <c r="AG18" s="674" t="s">
        <v>21</v>
      </c>
      <c r="AH18" s="442" t="s">
        <v>21</v>
      </c>
      <c r="AI18" s="442" t="s">
        <v>21</v>
      </c>
    </row>
    <row r="19" spans="1:35" ht="24" x14ac:dyDescent="0.25">
      <c r="A19" s="587" t="s">
        <v>374</v>
      </c>
      <c r="B19" s="369" t="s">
        <v>20</v>
      </c>
      <c r="C19" s="588"/>
      <c r="D19" s="589" t="s">
        <v>1348</v>
      </c>
      <c r="E19" s="44" t="s">
        <v>27</v>
      </c>
      <c r="F19" s="214">
        <v>100577</v>
      </c>
      <c r="G19" s="587" t="s">
        <v>635</v>
      </c>
      <c r="H19" s="590" t="s">
        <v>51</v>
      </c>
      <c r="I19" s="591">
        <v>3400</v>
      </c>
      <c r="J19" s="592">
        <v>0.77</v>
      </c>
      <c r="K19" s="593">
        <v>0.2033513845915047</v>
      </c>
      <c r="L19" s="606">
        <v>0.92658056613545869</v>
      </c>
      <c r="M19" s="608">
        <v>3150.3739248605598</v>
      </c>
      <c r="O19" s="673"/>
      <c r="P19" s="361"/>
      <c r="Q19" s="441"/>
      <c r="R19" s="485"/>
      <c r="S19" s="442"/>
      <c r="T19" s="441">
        <v>1700</v>
      </c>
      <c r="U19" s="485"/>
      <c r="V19" s="442"/>
      <c r="W19" s="441">
        <v>1700</v>
      </c>
      <c r="X19" s="485"/>
      <c r="Y19" s="442"/>
      <c r="Z19" s="441"/>
      <c r="AA19" s="485"/>
      <c r="AB19" s="442"/>
      <c r="AC19" s="672"/>
      <c r="AD19" s="441">
        <v>736.45104737000088</v>
      </c>
      <c r="AE19" s="674">
        <v>941.02078275055669</v>
      </c>
      <c r="AF19" s="674">
        <v>1472.9020947400018</v>
      </c>
      <c r="AG19" s="674">
        <v>0</v>
      </c>
      <c r="AH19" s="442">
        <v>0</v>
      </c>
      <c r="AI19" s="442">
        <v>4.5474735088646412E-13</v>
      </c>
    </row>
    <row r="20" spans="1:35" ht="48" x14ac:dyDescent="0.25">
      <c r="A20" s="587" t="s">
        <v>1391</v>
      </c>
      <c r="B20" s="369" t="s">
        <v>23</v>
      </c>
      <c r="C20" s="588"/>
      <c r="D20" s="589" t="s">
        <v>1349</v>
      </c>
      <c r="E20" s="44" t="s">
        <v>27</v>
      </c>
      <c r="F20" s="214">
        <v>100991</v>
      </c>
      <c r="G20" s="587" t="s">
        <v>774</v>
      </c>
      <c r="H20" s="590" t="s">
        <v>55</v>
      </c>
      <c r="I20" s="591">
        <v>285.13332374999993</v>
      </c>
      <c r="J20" s="592">
        <v>4.1500000000000004</v>
      </c>
      <c r="K20" s="593">
        <v>0.2033513845915047</v>
      </c>
      <c r="L20" s="606">
        <v>4.9939082460547448</v>
      </c>
      <c r="M20" s="608">
        <v>1423.9296567001218</v>
      </c>
      <c r="O20" s="673"/>
      <c r="P20" s="361"/>
      <c r="Q20" s="441"/>
      <c r="R20" s="485"/>
      <c r="S20" s="442"/>
      <c r="T20" s="441">
        <v>142.56666187499997</v>
      </c>
      <c r="U20" s="485"/>
      <c r="V20" s="442"/>
      <c r="W20" s="441">
        <v>142.56666187499997</v>
      </c>
      <c r="X20" s="485"/>
      <c r="Y20" s="442"/>
      <c r="Z20" s="441"/>
      <c r="AA20" s="485"/>
      <c r="AB20" s="442"/>
      <c r="AC20" s="672"/>
      <c r="AD20" s="441">
        <v>147.53969936892827</v>
      </c>
      <c r="AE20" s="674">
        <v>693.09347145403524</v>
      </c>
      <c r="AF20" s="674">
        <v>583.29648587715826</v>
      </c>
      <c r="AG20" s="674">
        <v>0</v>
      </c>
      <c r="AH20" s="442">
        <v>0</v>
      </c>
      <c r="AI20" s="442">
        <v>0</v>
      </c>
    </row>
    <row r="21" spans="1:35" ht="36" hidden="1" x14ac:dyDescent="0.25">
      <c r="A21" s="587" t="s">
        <v>1389</v>
      </c>
      <c r="B21" s="369" t="s">
        <v>25</v>
      </c>
      <c r="C21" s="588"/>
      <c r="D21" s="589" t="s">
        <v>1350</v>
      </c>
      <c r="E21" s="44" t="s">
        <v>27</v>
      </c>
      <c r="F21" s="214">
        <v>93597</v>
      </c>
      <c r="G21" s="587" t="s">
        <v>787</v>
      </c>
      <c r="H21" s="590" t="s">
        <v>42</v>
      </c>
      <c r="I21" s="591">
        <f>IF($F21="","",IF('TRECHO(S) A IMPRIMIR'!$B$1= 1, SUM(Q21, T21, W21, Z21), IF('TRECHO(S) A IMPRIMIR'!$B$1= 2, T21, IF('TRECHO(S) A IMPRIMIR'!$B$1= 3, W21, 0))))</f>
        <v>0</v>
      </c>
      <c r="J21" s="592">
        <v>1.3</v>
      </c>
      <c r="K21" s="593">
        <f>IF(AND(F21&lt;&gt;"",J21&lt;&gt;""),
  IF(OR(F21= "CP9001", F21= "CP9091", F21= "CP9092"), 0,
  IF($M$1 = "ENCARGOS SOCIAIS SEM DESONERAÇÃO",'BDI obras SD'!$H$23,'BDI obras CD'!$H$23)), "")</f>
        <v>0.2033513845915047</v>
      </c>
      <c r="L21" s="606">
        <f>IF(J21="","",
  IF(AND(J21&lt;&gt;"",K21=""),J21,J21 * (1 + K21)))</f>
        <v>1.5643567999689563</v>
      </c>
      <c r="M21" s="608">
        <f t="shared" ref="M19:M24" si="2">IF(F21="", "", IF(AND(F21&lt;&gt; "", OR(I21= "", J21= "")), 0, I21*L21))</f>
        <v>0</v>
      </c>
      <c r="O21" s="673"/>
      <c r="P21" s="361"/>
      <c r="Q21" s="441"/>
      <c r="R21" s="485"/>
      <c r="S21" s="442"/>
      <c r="T21" s="441">
        <f>T20 * V21</f>
        <v>0</v>
      </c>
      <c r="U21" s="485"/>
      <c r="V21" s="442">
        <f>'MLQ-DMT-TR1'!$N$9</f>
        <v>0</v>
      </c>
      <c r="W21" s="441">
        <f>W20 * Y21</f>
        <v>0</v>
      </c>
      <c r="X21" s="485"/>
      <c r="Y21" s="442">
        <f>'MLQ-DMT-TR1'!$N$9</f>
        <v>0</v>
      </c>
      <c r="Z21" s="441"/>
      <c r="AA21" s="485"/>
      <c r="AB21" s="442"/>
      <c r="AC21" s="672"/>
      <c r="AD21" s="441" t="s">
        <v>21</v>
      </c>
      <c r="AE21" s="674" t="s">
        <v>21</v>
      </c>
      <c r="AF21" s="674" t="s">
        <v>21</v>
      </c>
      <c r="AG21" s="674" t="s">
        <v>21</v>
      </c>
      <c r="AH21" s="442" t="s">
        <v>21</v>
      </c>
      <c r="AI21" s="442" t="str">
        <f t="shared" si="0"/>
        <v/>
      </c>
    </row>
    <row r="22" spans="1:35" ht="36" x14ac:dyDescent="0.25">
      <c r="A22" s="587" t="s">
        <v>969</v>
      </c>
      <c r="B22" s="369" t="s">
        <v>25</v>
      </c>
      <c r="C22" s="588"/>
      <c r="D22" s="589" t="s">
        <v>1351</v>
      </c>
      <c r="E22" s="44" t="s">
        <v>27</v>
      </c>
      <c r="F22" s="214">
        <v>95879</v>
      </c>
      <c r="G22" s="587" t="s">
        <v>789</v>
      </c>
      <c r="H22" s="590" t="s">
        <v>42</v>
      </c>
      <c r="I22" s="591">
        <v>8553.9997124999973</v>
      </c>
      <c r="J22" s="592">
        <v>1.04</v>
      </c>
      <c r="K22" s="593">
        <v>0.2033513845915047</v>
      </c>
      <c r="L22" s="606">
        <v>1.2514854399751649</v>
      </c>
      <c r="M22" s="608">
        <v>10705.206093745493</v>
      </c>
      <c r="O22" s="673"/>
      <c r="P22" s="361"/>
      <c r="Q22" s="441"/>
      <c r="R22" s="485"/>
      <c r="S22" s="442"/>
      <c r="T22" s="441">
        <v>4276.9998562499986</v>
      </c>
      <c r="U22" s="485"/>
      <c r="V22" s="442">
        <v>30</v>
      </c>
      <c r="W22" s="441">
        <v>4276.9998562499986</v>
      </c>
      <c r="X22" s="485"/>
      <c r="Y22" s="442">
        <v>30</v>
      </c>
      <c r="Z22" s="441"/>
      <c r="AA22" s="485"/>
      <c r="AB22" s="442"/>
      <c r="AC22" s="672"/>
      <c r="AD22" s="441">
        <v>720.54271784825437</v>
      </c>
      <c r="AE22" s="674">
        <v>6176.0804386993232</v>
      </c>
      <c r="AF22" s="674">
        <v>3808.5829371979157</v>
      </c>
      <c r="AG22" s="674">
        <v>0</v>
      </c>
      <c r="AH22" s="442">
        <v>0</v>
      </c>
      <c r="AI22" s="442">
        <v>0</v>
      </c>
    </row>
    <row r="23" spans="1:35" ht="36" x14ac:dyDescent="0.25">
      <c r="A23" s="587" t="s">
        <v>970</v>
      </c>
      <c r="B23" s="369" t="s">
        <v>25</v>
      </c>
      <c r="C23" s="588"/>
      <c r="D23" s="589" t="s">
        <v>1388</v>
      </c>
      <c r="E23" s="44" t="s">
        <v>27</v>
      </c>
      <c r="F23" s="214">
        <v>93599</v>
      </c>
      <c r="G23" s="587" t="s">
        <v>788</v>
      </c>
      <c r="H23" s="590" t="s">
        <v>42</v>
      </c>
      <c r="I23" s="591">
        <v>7698.5997412499983</v>
      </c>
      <c r="J23" s="592">
        <v>0.41</v>
      </c>
      <c r="K23" s="593">
        <v>0.2033513845915047</v>
      </c>
      <c r="L23" s="606">
        <v>0.4933740676825169</v>
      </c>
      <c r="M23" s="608">
        <v>3798.2894698000837</v>
      </c>
      <c r="O23" s="673"/>
      <c r="P23" s="361"/>
      <c r="Q23" s="441"/>
      <c r="R23" s="485"/>
      <c r="S23" s="442"/>
      <c r="T23" s="441">
        <v>3849.2998706249991</v>
      </c>
      <c r="U23" s="485"/>
      <c r="V23" s="442">
        <v>27</v>
      </c>
      <c r="W23" s="441">
        <v>3849.2998706249991</v>
      </c>
      <c r="X23" s="485"/>
      <c r="Y23" s="442">
        <v>27</v>
      </c>
      <c r="Z23" s="441"/>
      <c r="AA23" s="485"/>
      <c r="AB23" s="442"/>
      <c r="AC23" s="672"/>
      <c r="AD23" s="441">
        <v>185.2824131609797</v>
      </c>
      <c r="AE23" s="674">
        <v>2316.0301645122463</v>
      </c>
      <c r="AF23" s="674">
        <v>1296.976892126858</v>
      </c>
      <c r="AG23" s="674">
        <v>0</v>
      </c>
      <c r="AH23" s="442">
        <v>0</v>
      </c>
      <c r="AI23" s="442">
        <v>0</v>
      </c>
    </row>
    <row r="24" spans="1:35" ht="36" x14ac:dyDescent="0.25">
      <c r="A24" s="587" t="s">
        <v>987</v>
      </c>
      <c r="B24" s="369" t="s">
        <v>28</v>
      </c>
      <c r="C24" s="588"/>
      <c r="D24" s="589" t="s">
        <v>1390</v>
      </c>
      <c r="E24" s="44" t="s">
        <v>27</v>
      </c>
      <c r="F24" s="214">
        <v>100324</v>
      </c>
      <c r="G24" s="587" t="s">
        <v>1305</v>
      </c>
      <c r="H24" s="590" t="s">
        <v>44</v>
      </c>
      <c r="I24" s="591">
        <v>152.92749999999998</v>
      </c>
      <c r="J24" s="592">
        <v>175.61</v>
      </c>
      <c r="K24" s="593">
        <v>0.2033513845915047</v>
      </c>
      <c r="L24" s="606">
        <v>211.32053664811417</v>
      </c>
      <c r="M24" s="608">
        <v>32316.721368254475</v>
      </c>
      <c r="O24" s="1479">
        <v>5</v>
      </c>
      <c r="P24" s="361"/>
      <c r="Q24" s="441"/>
      <c r="R24" s="485"/>
      <c r="S24" s="442"/>
      <c r="T24" s="441">
        <v>76.46374999999999</v>
      </c>
      <c r="U24" s="485">
        <v>1.8644999999999998</v>
      </c>
      <c r="V24" s="442"/>
      <c r="W24" s="441">
        <v>76.46374999999999</v>
      </c>
      <c r="X24" s="485">
        <v>1.8644999999999998</v>
      </c>
      <c r="Y24" s="442"/>
      <c r="Z24" s="441"/>
      <c r="AA24" s="485"/>
      <c r="AB24" s="442"/>
      <c r="AC24" s="672"/>
      <c r="AD24" s="441">
        <v>4100.0885603593742</v>
      </c>
      <c r="AE24" s="674">
        <v>28211.112042329085</v>
      </c>
      <c r="AF24" s="674">
        <v>5.5207655660135195</v>
      </c>
      <c r="AG24" s="674">
        <v>0</v>
      </c>
      <c r="AH24" s="442">
        <v>0</v>
      </c>
      <c r="AI24" s="442">
        <v>3.637978807091713E-12</v>
      </c>
    </row>
    <row r="25" spans="1:35" x14ac:dyDescent="0.25">
      <c r="A25" s="587" t="s">
        <v>376</v>
      </c>
      <c r="B25" s="369"/>
      <c r="C25" s="588"/>
      <c r="D25" s="589" t="s">
        <v>1352</v>
      </c>
      <c r="E25" s="44"/>
      <c r="F25" s="214"/>
      <c r="G25" s="587" t="s">
        <v>376</v>
      </c>
      <c r="H25" s="590" t="s">
        <v>21</v>
      </c>
      <c r="I25" s="591" t="s">
        <v>21</v>
      </c>
      <c r="J25" s="592" t="s">
        <v>21</v>
      </c>
      <c r="K25" s="593" t="s">
        <v>21</v>
      </c>
      <c r="L25" s="606" t="s">
        <v>21</v>
      </c>
      <c r="M25" s="608">
        <v>360962.39375561179</v>
      </c>
      <c r="O25" s="673"/>
      <c r="P25" s="361"/>
      <c r="Q25" s="441"/>
      <c r="R25" s="485"/>
      <c r="S25" s="442"/>
      <c r="T25" s="441"/>
      <c r="U25" s="485"/>
      <c r="V25" s="442"/>
      <c r="W25" s="441"/>
      <c r="X25" s="485"/>
      <c r="Y25" s="442"/>
      <c r="Z25" s="441"/>
      <c r="AA25" s="485"/>
      <c r="AB25" s="442"/>
      <c r="AC25" s="672"/>
      <c r="AD25" s="441" t="s">
        <v>21</v>
      </c>
      <c r="AE25" s="674" t="s">
        <v>21</v>
      </c>
      <c r="AF25" s="674" t="s">
        <v>21</v>
      </c>
      <c r="AG25" s="674" t="s">
        <v>21</v>
      </c>
      <c r="AH25" s="442" t="s">
        <v>21</v>
      </c>
      <c r="AI25" s="442" t="s">
        <v>21</v>
      </c>
    </row>
    <row r="26" spans="1:35" x14ac:dyDescent="0.25">
      <c r="A26" s="587" t="s">
        <v>375</v>
      </c>
      <c r="B26" s="369" t="s">
        <v>20</v>
      </c>
      <c r="C26" s="588"/>
      <c r="D26" s="589" t="s">
        <v>1353</v>
      </c>
      <c r="E26" s="44" t="s">
        <v>27</v>
      </c>
      <c r="F26" s="214">
        <v>98459</v>
      </c>
      <c r="G26" s="587" t="s">
        <v>655</v>
      </c>
      <c r="H26" s="590" t="s">
        <v>51</v>
      </c>
      <c r="I26" s="591">
        <v>2560.8000000000002</v>
      </c>
      <c r="J26" s="592">
        <v>112.08</v>
      </c>
      <c r="K26" s="593">
        <v>0.2033513845915047</v>
      </c>
      <c r="L26" s="606">
        <v>134.87162318501584</v>
      </c>
      <c r="M26" s="608">
        <v>345379.25265218859</v>
      </c>
      <c r="O26" s="673"/>
      <c r="P26" s="361"/>
      <c r="Q26" s="441"/>
      <c r="R26" s="485"/>
      <c r="S26" s="442"/>
      <c r="T26" s="441">
        <v>1280.4000000000001</v>
      </c>
      <c r="U26" s="485"/>
      <c r="V26" s="442"/>
      <c r="W26" s="441">
        <v>1280.4000000000001</v>
      </c>
      <c r="X26" s="485"/>
      <c r="Y26" s="442"/>
      <c r="Z26" s="441"/>
      <c r="AA26" s="485"/>
      <c r="AB26" s="442"/>
      <c r="AC26" s="672"/>
      <c r="AD26" s="441">
        <v>40244.941467144745</v>
      </c>
      <c r="AE26" s="674">
        <v>305134.31118504383</v>
      </c>
      <c r="AF26" s="674">
        <v>0</v>
      </c>
      <c r="AG26" s="674">
        <v>0</v>
      </c>
      <c r="AH26" s="442">
        <v>0</v>
      </c>
      <c r="AI26" s="442">
        <v>0</v>
      </c>
    </row>
    <row r="27" spans="1:35" ht="24" x14ac:dyDescent="0.25">
      <c r="A27" s="587" t="s">
        <v>388</v>
      </c>
      <c r="B27" s="369" t="s">
        <v>20</v>
      </c>
      <c r="C27" s="588"/>
      <c r="D27" s="589" t="s">
        <v>1354</v>
      </c>
      <c r="E27" s="44" t="s">
        <v>138</v>
      </c>
      <c r="F27" s="214" t="s">
        <v>380</v>
      </c>
      <c r="G27" s="587" t="s">
        <v>384</v>
      </c>
      <c r="H27" s="590" t="s">
        <v>51</v>
      </c>
      <c r="I27" s="591">
        <v>17.600000000000001</v>
      </c>
      <c r="J27" s="592">
        <v>735.78321000000005</v>
      </c>
      <c r="K27" s="593">
        <v>0.2033513845915047</v>
      </c>
      <c r="L27" s="606">
        <v>885.40574451268196</v>
      </c>
      <c r="M27" s="608">
        <v>15583.141103423204</v>
      </c>
      <c r="O27" s="673"/>
      <c r="P27" s="361"/>
      <c r="Q27" s="441"/>
      <c r="R27" s="485"/>
      <c r="S27" s="442"/>
      <c r="T27" s="441">
        <v>8.8000000000000007</v>
      </c>
      <c r="U27" s="485"/>
      <c r="V27" s="442"/>
      <c r="W27" s="441">
        <v>8.8000000000000007</v>
      </c>
      <c r="X27" s="485"/>
      <c r="Y27" s="442"/>
      <c r="Z27" s="441"/>
      <c r="AA27" s="485"/>
      <c r="AB27" s="442"/>
      <c r="AC27" s="672"/>
      <c r="AD27" s="441">
        <v>11582.566078075177</v>
      </c>
      <c r="AE27" s="674">
        <v>2453.847323163337</v>
      </c>
      <c r="AF27" s="674">
        <v>1546.7277021846908</v>
      </c>
      <c r="AG27" s="674">
        <v>0</v>
      </c>
      <c r="AH27" s="442">
        <v>0</v>
      </c>
      <c r="AI27" s="442">
        <v>-1.8189894035458565E-12</v>
      </c>
    </row>
    <row r="28" spans="1:35" x14ac:dyDescent="0.25">
      <c r="A28" s="587" t="s">
        <v>203</v>
      </c>
      <c r="B28" s="369"/>
      <c r="C28" s="588"/>
      <c r="D28" s="589" t="s">
        <v>292</v>
      </c>
      <c r="E28" s="44"/>
      <c r="F28" s="214"/>
      <c r="G28" s="587" t="s">
        <v>203</v>
      </c>
      <c r="H28" s="590" t="s">
        <v>21</v>
      </c>
      <c r="I28" s="591" t="s">
        <v>21</v>
      </c>
      <c r="J28" s="592" t="s">
        <v>21</v>
      </c>
      <c r="K28" s="593" t="s">
        <v>21</v>
      </c>
      <c r="L28" s="606" t="s">
        <v>21</v>
      </c>
      <c r="M28" s="608">
        <v>171672.0513366345</v>
      </c>
      <c r="O28" s="673"/>
      <c r="P28" s="361"/>
      <c r="Q28" s="441"/>
      <c r="R28" s="485"/>
      <c r="S28" s="442"/>
      <c r="T28" s="441"/>
      <c r="U28" s="485"/>
      <c r="V28" s="442"/>
      <c r="W28" s="441"/>
      <c r="X28" s="485"/>
      <c r="Y28" s="442"/>
      <c r="Z28" s="441"/>
      <c r="AA28" s="485"/>
      <c r="AB28" s="442"/>
      <c r="AC28" s="672"/>
      <c r="AD28" s="441" t="s">
        <v>21</v>
      </c>
      <c r="AE28" s="674" t="s">
        <v>21</v>
      </c>
      <c r="AF28" s="674" t="s">
        <v>21</v>
      </c>
      <c r="AG28" s="674" t="s">
        <v>21</v>
      </c>
      <c r="AH28" s="442" t="s">
        <v>21</v>
      </c>
      <c r="AI28" s="442" t="str">
        <f t="shared" si="0"/>
        <v/>
      </c>
    </row>
    <row r="29" spans="1:35" ht="24" x14ac:dyDescent="0.25">
      <c r="A29" s="587" t="s">
        <v>305</v>
      </c>
      <c r="B29" s="369"/>
      <c r="C29" s="588"/>
      <c r="D29" s="589" t="s">
        <v>307</v>
      </c>
      <c r="E29" s="44"/>
      <c r="F29" s="214"/>
      <c r="G29" s="587" t="s">
        <v>305</v>
      </c>
      <c r="H29" s="590" t="s">
        <v>21</v>
      </c>
      <c r="I29" s="591" t="s">
        <v>21</v>
      </c>
      <c r="J29" s="592" t="s">
        <v>21</v>
      </c>
      <c r="K29" s="593" t="s">
        <v>21</v>
      </c>
      <c r="L29" s="606" t="s">
        <v>21</v>
      </c>
      <c r="M29" s="608">
        <v>45141.416758291889</v>
      </c>
      <c r="O29" s="673"/>
      <c r="P29" s="361"/>
      <c r="Q29" s="441"/>
      <c r="R29" s="485"/>
      <c r="S29" s="442"/>
      <c r="T29" s="441"/>
      <c r="U29" s="485"/>
      <c r="V29" s="442"/>
      <c r="W29" s="441"/>
      <c r="X29" s="485"/>
      <c r="Y29" s="442"/>
      <c r="Z29" s="441"/>
      <c r="AA29" s="485"/>
      <c r="AB29" s="442"/>
      <c r="AC29" s="672"/>
      <c r="AD29" s="441" t="s">
        <v>21</v>
      </c>
      <c r="AE29" s="674" t="s">
        <v>21</v>
      </c>
      <c r="AF29" s="674" t="s">
        <v>21</v>
      </c>
      <c r="AG29" s="674" t="s">
        <v>21</v>
      </c>
      <c r="AH29" s="442" t="s">
        <v>21</v>
      </c>
      <c r="AI29" s="442" t="str">
        <f t="shared" si="0"/>
        <v/>
      </c>
    </row>
    <row r="30" spans="1:35" ht="36" x14ac:dyDescent="0.25">
      <c r="A30" s="587" t="s">
        <v>209</v>
      </c>
      <c r="B30" s="369" t="s">
        <v>199</v>
      </c>
      <c r="C30" s="588"/>
      <c r="D30" s="589" t="s">
        <v>1355</v>
      </c>
      <c r="E30" s="44" t="s">
        <v>138</v>
      </c>
      <c r="F30" s="214" t="s">
        <v>322</v>
      </c>
      <c r="G30" s="587" t="s">
        <v>124</v>
      </c>
      <c r="H30" s="590" t="s">
        <v>205</v>
      </c>
      <c r="I30" s="591">
        <v>36</v>
      </c>
      <c r="J30" s="592">
        <v>585</v>
      </c>
      <c r="K30" s="593">
        <v>0.2033513845915047</v>
      </c>
      <c r="L30" s="606">
        <v>703.96055998603026</v>
      </c>
      <c r="M30" s="608">
        <v>25342.580159497091</v>
      </c>
      <c r="O30" s="673"/>
      <c r="P30" s="361"/>
      <c r="Q30" s="441"/>
      <c r="R30" s="485"/>
      <c r="S30" s="442"/>
      <c r="T30" s="441">
        <v>18</v>
      </c>
      <c r="U30" s="485"/>
      <c r="V30" s="442"/>
      <c r="W30" s="441">
        <v>18</v>
      </c>
      <c r="X30" s="485"/>
      <c r="Y30" s="442"/>
      <c r="Z30" s="441"/>
      <c r="AA30" s="485"/>
      <c r="AB30" s="442"/>
      <c r="AC30" s="672"/>
      <c r="AD30" s="441">
        <v>0</v>
      </c>
      <c r="AE30" s="674">
        <v>25342.580159497091</v>
      </c>
      <c r="AF30" s="674">
        <v>0</v>
      </c>
      <c r="AG30" s="674">
        <v>0</v>
      </c>
      <c r="AH30" s="442">
        <v>0</v>
      </c>
      <c r="AI30" s="442">
        <v>0</v>
      </c>
    </row>
    <row r="31" spans="1:35" ht="36" x14ac:dyDescent="0.25">
      <c r="A31" s="587" t="s">
        <v>391</v>
      </c>
      <c r="B31" s="369" t="s">
        <v>199</v>
      </c>
      <c r="C31" s="588"/>
      <c r="D31" s="589" t="s">
        <v>1356</v>
      </c>
      <c r="E31" s="44" t="s">
        <v>138</v>
      </c>
      <c r="F31" s="214" t="s">
        <v>324</v>
      </c>
      <c r="G31" s="587" t="s">
        <v>123</v>
      </c>
      <c r="H31" s="590" t="s">
        <v>205</v>
      </c>
      <c r="I31" s="591">
        <v>36</v>
      </c>
      <c r="J31" s="592">
        <v>457.03</v>
      </c>
      <c r="K31" s="593">
        <v>0.2033513845915047</v>
      </c>
      <c r="L31" s="606">
        <v>549.96768329985537</v>
      </c>
      <c r="M31" s="608">
        <v>19798.836598794795</v>
      </c>
      <c r="O31" s="673"/>
      <c r="P31" s="361"/>
      <c r="Q31" s="441"/>
      <c r="R31" s="485"/>
      <c r="S31" s="442"/>
      <c r="T31" s="441">
        <v>18</v>
      </c>
      <c r="U31" s="485"/>
      <c r="V31" s="442"/>
      <c r="W31" s="441">
        <v>18</v>
      </c>
      <c r="X31" s="485"/>
      <c r="Y31" s="442"/>
      <c r="Z31" s="441"/>
      <c r="AA31" s="485"/>
      <c r="AB31" s="442"/>
      <c r="AC31" s="672"/>
      <c r="AD31" s="441">
        <v>0</v>
      </c>
      <c r="AE31" s="674">
        <v>19798.836598794791</v>
      </c>
      <c r="AF31" s="674">
        <v>0</v>
      </c>
      <c r="AG31" s="674">
        <v>0</v>
      </c>
      <c r="AH31" s="442">
        <v>0</v>
      </c>
      <c r="AI31" s="442">
        <v>3.637978807091713E-12</v>
      </c>
    </row>
    <row r="32" spans="1:35" x14ac:dyDescent="0.25">
      <c r="A32" s="587" t="s">
        <v>3390</v>
      </c>
      <c r="B32" s="369"/>
      <c r="C32" s="588"/>
      <c r="D32" s="589" t="s">
        <v>389</v>
      </c>
      <c r="E32" s="44"/>
      <c r="F32" s="214"/>
      <c r="G32" s="587" t="s">
        <v>3390</v>
      </c>
      <c r="H32" s="590" t="s">
        <v>21</v>
      </c>
      <c r="I32" s="591" t="s">
        <v>21</v>
      </c>
      <c r="J32" s="592" t="s">
        <v>21</v>
      </c>
      <c r="K32" s="593" t="s">
        <v>21</v>
      </c>
      <c r="L32" s="606" t="s">
        <v>21</v>
      </c>
      <c r="M32" s="608">
        <v>39597.673197589589</v>
      </c>
      <c r="O32" s="673"/>
      <c r="P32" s="361"/>
      <c r="Q32" s="441"/>
      <c r="R32" s="485"/>
      <c r="S32" s="442"/>
      <c r="T32" s="441"/>
      <c r="U32" s="485"/>
      <c r="V32" s="442"/>
      <c r="W32" s="441"/>
      <c r="X32" s="485"/>
      <c r="Y32" s="442"/>
      <c r="Z32" s="441"/>
      <c r="AA32" s="485"/>
      <c r="AB32" s="442"/>
      <c r="AC32" s="672"/>
      <c r="AD32" s="441" t="s">
        <v>21</v>
      </c>
      <c r="AE32" s="674" t="s">
        <v>21</v>
      </c>
      <c r="AF32" s="674" t="s">
        <v>21</v>
      </c>
      <c r="AG32" s="674" t="s">
        <v>21</v>
      </c>
      <c r="AH32" s="442" t="s">
        <v>21</v>
      </c>
      <c r="AI32" s="442" t="s">
        <v>21</v>
      </c>
    </row>
    <row r="33" spans="1:35" ht="36" x14ac:dyDescent="0.25">
      <c r="A33" s="587" t="s">
        <v>208</v>
      </c>
      <c r="B33" s="369" t="s">
        <v>199</v>
      </c>
      <c r="C33" s="588"/>
      <c r="D33" s="589" t="s">
        <v>1357</v>
      </c>
      <c r="E33" s="44" t="s">
        <v>138</v>
      </c>
      <c r="F33" s="214" t="s">
        <v>325</v>
      </c>
      <c r="G33" s="587" t="s">
        <v>206</v>
      </c>
      <c r="H33" s="590" t="s">
        <v>205</v>
      </c>
      <c r="I33" s="591">
        <v>72</v>
      </c>
      <c r="J33" s="592">
        <v>457.03</v>
      </c>
      <c r="K33" s="593">
        <v>0.2033513845915047</v>
      </c>
      <c r="L33" s="606">
        <v>549.96768329985537</v>
      </c>
      <c r="M33" s="608">
        <v>39597.673197589589</v>
      </c>
      <c r="O33" s="673"/>
      <c r="P33" s="361"/>
      <c r="Q33" s="441"/>
      <c r="R33" s="485"/>
      <c r="S33" s="442"/>
      <c r="T33" s="441">
        <v>36</v>
      </c>
      <c r="U33" s="485"/>
      <c r="V33" s="442"/>
      <c r="W33" s="441">
        <v>36</v>
      </c>
      <c r="X33" s="485"/>
      <c r="Y33" s="442"/>
      <c r="Z33" s="441"/>
      <c r="AA33" s="485"/>
      <c r="AB33" s="442"/>
      <c r="AC33" s="672"/>
      <c r="AD33" s="441">
        <v>0</v>
      </c>
      <c r="AE33" s="674">
        <v>39597.673197589582</v>
      </c>
      <c r="AF33" s="674">
        <v>0</v>
      </c>
      <c r="AG33" s="674">
        <v>0</v>
      </c>
      <c r="AH33" s="442">
        <v>0</v>
      </c>
      <c r="AI33" s="442">
        <v>7.2759576141834259E-12</v>
      </c>
    </row>
    <row r="34" spans="1:35" x14ac:dyDescent="0.25">
      <c r="A34" s="587" t="s">
        <v>210</v>
      </c>
      <c r="B34" s="369"/>
      <c r="C34" s="588"/>
      <c r="D34" s="589" t="s">
        <v>1313</v>
      </c>
      <c r="E34" s="44"/>
      <c r="F34" s="214"/>
      <c r="G34" s="587" t="s">
        <v>210</v>
      </c>
      <c r="H34" s="590" t="s">
        <v>21</v>
      </c>
      <c r="I34" s="591" t="s">
        <v>21</v>
      </c>
      <c r="J34" s="592" t="s">
        <v>21</v>
      </c>
      <c r="K34" s="593" t="s">
        <v>21</v>
      </c>
      <c r="L34" s="606" t="s">
        <v>21</v>
      </c>
      <c r="M34" s="608">
        <v>0</v>
      </c>
      <c r="O34" s="673"/>
      <c r="P34" s="361"/>
      <c r="Q34" s="441"/>
      <c r="R34" s="485"/>
      <c r="S34" s="442"/>
      <c r="T34" s="441"/>
      <c r="U34" s="485"/>
      <c r="V34" s="442"/>
      <c r="W34" s="441"/>
      <c r="X34" s="485"/>
      <c r="Y34" s="442"/>
      <c r="Z34" s="441"/>
      <c r="AA34" s="485"/>
      <c r="AB34" s="442"/>
      <c r="AC34" s="672"/>
      <c r="AD34" s="441" t="s">
        <v>21</v>
      </c>
      <c r="AE34" s="674" t="s">
        <v>21</v>
      </c>
      <c r="AF34" s="674" t="s">
        <v>21</v>
      </c>
      <c r="AG34" s="674" t="s">
        <v>21</v>
      </c>
      <c r="AH34" s="442" t="s">
        <v>21</v>
      </c>
      <c r="AI34" s="442" t="str">
        <f t="shared" si="0"/>
        <v/>
      </c>
    </row>
    <row r="35" spans="1:35" ht="36" hidden="1" x14ac:dyDescent="0.25">
      <c r="A35" s="587" t="s">
        <v>414</v>
      </c>
      <c r="B35" s="369" t="s">
        <v>199</v>
      </c>
      <c r="C35" s="588"/>
      <c r="D35" s="589" t="s">
        <v>1364</v>
      </c>
      <c r="E35" s="44" t="s">
        <v>138</v>
      </c>
      <c r="F35" s="214" t="s">
        <v>281</v>
      </c>
      <c r="G35" s="587" t="s">
        <v>410</v>
      </c>
      <c r="H35" s="590" t="s">
        <v>205</v>
      </c>
      <c r="I35" s="591">
        <f>IF($F35="","",IF('TRECHO(S) A IMPRIMIR'!$B$1= 1, SUM(Q35, T35, W35, Z35), IF('TRECHO(S) A IMPRIMIR'!$B$1= 2, T35, IF('TRECHO(S) A IMPRIMIR'!$B$1= 3, W35, 0))))</f>
        <v>0</v>
      </c>
      <c r="J35" s="592">
        <v>457.03</v>
      </c>
      <c r="K35" s="593">
        <f>IF(AND(F35&lt;&gt;"",J35&lt;&gt;""),
  IF(OR(F35= "CP9001", F35= "CP9091", F35= "CP9092"), 0,
  IF($M$1 = "ENCARGOS SOCIAIS SEM DESONERAÇÃO",'BDI obras SD'!$H$23,'BDI obras CD'!$H$23)), "")</f>
        <v>0.2033513845915047</v>
      </c>
      <c r="L35" s="606">
        <f t="shared" ref="L9:L105" si="3">IF(J35="","",
  IF(AND(J35&lt;&gt;"",K35=""),J35,J35 * (1 + K35)))</f>
        <v>549.96768329985537</v>
      </c>
      <c r="M35" s="608">
        <f>IF(F35="", "", IF(AND(F35&lt;&gt; "", OR(I35= "", J35= "")), 0, I35*L35))</f>
        <v>0</v>
      </c>
      <c r="O35" s="673"/>
      <c r="P35" s="361"/>
      <c r="Q35" s="441"/>
      <c r="R35" s="485"/>
      <c r="S35" s="442"/>
      <c r="T35" s="441">
        <f>0 * V$6</f>
        <v>0</v>
      </c>
      <c r="U35" s="485"/>
      <c r="V35" s="442"/>
      <c r="W35" s="441">
        <f>0 * Y$6</f>
        <v>0</v>
      </c>
      <c r="X35" s="485"/>
      <c r="Y35" s="442"/>
      <c r="Z35" s="441"/>
      <c r="AA35" s="485"/>
      <c r="AB35" s="442"/>
      <c r="AC35" s="672"/>
      <c r="AD35" s="441" t="s">
        <v>21</v>
      </c>
      <c r="AE35" s="674" t="s">
        <v>21</v>
      </c>
      <c r="AF35" s="674" t="s">
        <v>21</v>
      </c>
      <c r="AG35" s="674" t="s">
        <v>21</v>
      </c>
      <c r="AH35" s="442" t="s">
        <v>21</v>
      </c>
      <c r="AI35" s="442" t="str">
        <f t="shared" si="0"/>
        <v/>
      </c>
    </row>
    <row r="36" spans="1:35" x14ac:dyDescent="0.25">
      <c r="A36" s="587" t="s">
        <v>211</v>
      </c>
      <c r="B36" s="369"/>
      <c r="C36" s="588"/>
      <c r="D36" s="589" t="s">
        <v>1314</v>
      </c>
      <c r="E36" s="44"/>
      <c r="F36" s="214"/>
      <c r="G36" s="587" t="s">
        <v>211</v>
      </c>
      <c r="H36" s="590" t="s">
        <v>21</v>
      </c>
      <c r="I36" s="591" t="s">
        <v>21</v>
      </c>
      <c r="J36" s="592" t="s">
        <v>21</v>
      </c>
      <c r="K36" s="593" t="s">
        <v>21</v>
      </c>
      <c r="L36" s="606" t="s">
        <v>21</v>
      </c>
      <c r="M36" s="608">
        <v>0</v>
      </c>
      <c r="O36" s="673"/>
      <c r="P36" s="361"/>
      <c r="Q36" s="441"/>
      <c r="R36" s="485"/>
      <c r="S36" s="442"/>
      <c r="T36" s="441"/>
      <c r="U36" s="485"/>
      <c r="V36" s="442"/>
      <c r="W36" s="441"/>
      <c r="X36" s="485"/>
      <c r="Y36" s="442"/>
      <c r="Z36" s="441"/>
      <c r="AA36" s="485"/>
      <c r="AB36" s="442"/>
      <c r="AC36" s="672"/>
      <c r="AD36" s="441" t="s">
        <v>21</v>
      </c>
      <c r="AE36" s="674" t="s">
        <v>21</v>
      </c>
      <c r="AF36" s="674" t="s">
        <v>21</v>
      </c>
      <c r="AG36" s="674" t="s">
        <v>21</v>
      </c>
      <c r="AH36" s="442" t="s">
        <v>21</v>
      </c>
      <c r="AI36" s="442" t="str">
        <f t="shared" si="0"/>
        <v/>
      </c>
    </row>
    <row r="37" spans="1:35" ht="36" hidden="1" x14ac:dyDescent="0.25">
      <c r="A37" s="587" t="s">
        <v>413</v>
      </c>
      <c r="B37" s="369" t="s">
        <v>199</v>
      </c>
      <c r="C37" s="588"/>
      <c r="D37" s="589" t="s">
        <v>1358</v>
      </c>
      <c r="E37" s="44" t="s">
        <v>138</v>
      </c>
      <c r="F37" s="214" t="s">
        <v>327</v>
      </c>
      <c r="G37" s="587" t="s">
        <v>120</v>
      </c>
      <c r="H37" s="590" t="s">
        <v>205</v>
      </c>
      <c r="I37" s="591">
        <f>IF($F37="","",IF('TRECHO(S) A IMPRIMIR'!$B$1= 1, SUM(Q37, T37, W37, Z37), IF('TRECHO(S) A IMPRIMIR'!$B$1= 2, T37, IF('TRECHO(S) A IMPRIMIR'!$B$1= 3, W37, 0))))</f>
        <v>0</v>
      </c>
      <c r="J37" s="592">
        <v>731.25</v>
      </c>
      <c r="K37" s="593">
        <f>IF(AND(F37&lt;&gt;"",J37&lt;&gt;""),
  IF(OR(F37= "CP9001", F37= "CP9091", F37= "CP9092"), 0,
  IF($M$1 = "ENCARGOS SOCIAIS SEM DESONERAÇÃO",'BDI obras SD'!$H$23,'BDI obras CD'!$H$23)), "")</f>
        <v>0.2033513845915047</v>
      </c>
      <c r="L37" s="606">
        <f t="shared" si="3"/>
        <v>879.9506999825378</v>
      </c>
      <c r="M37" s="608">
        <f t="shared" ref="M37:M38" si="4">IF(F37="", "", IF(AND(F37&lt;&gt; "", OR(I37= "", J37= "")), 0, I37*L37))</f>
        <v>0</v>
      </c>
      <c r="O37" s="673"/>
      <c r="P37" s="361"/>
      <c r="Q37" s="441"/>
      <c r="R37" s="485"/>
      <c r="S37" s="442"/>
      <c r="T37" s="441">
        <f>0 * V$6</f>
        <v>0</v>
      </c>
      <c r="U37" s="485"/>
      <c r="V37" s="442"/>
      <c r="W37" s="441">
        <f>0 * Y$6</f>
        <v>0</v>
      </c>
      <c r="X37" s="485"/>
      <c r="Y37" s="442"/>
      <c r="Z37" s="441"/>
      <c r="AA37" s="485"/>
      <c r="AB37" s="442"/>
      <c r="AC37" s="672"/>
      <c r="AD37" s="441" t="s">
        <v>21</v>
      </c>
      <c r="AE37" s="674" t="s">
        <v>21</v>
      </c>
      <c r="AF37" s="674" t="s">
        <v>21</v>
      </c>
      <c r="AG37" s="674" t="s">
        <v>21</v>
      </c>
      <c r="AH37" s="442" t="s">
        <v>21</v>
      </c>
      <c r="AI37" s="442" t="str">
        <f t="shared" si="0"/>
        <v/>
      </c>
    </row>
    <row r="38" spans="1:35" ht="24" hidden="1" x14ac:dyDescent="0.25">
      <c r="A38" s="587" t="s">
        <v>412</v>
      </c>
      <c r="B38" s="369" t="s">
        <v>199</v>
      </c>
      <c r="C38" s="588"/>
      <c r="D38" s="589" t="s">
        <v>1363</v>
      </c>
      <c r="E38" s="44" t="s">
        <v>138</v>
      </c>
      <c r="F38" s="214" t="s">
        <v>263</v>
      </c>
      <c r="G38" s="587" t="s">
        <v>411</v>
      </c>
      <c r="H38" s="590" t="s">
        <v>205</v>
      </c>
      <c r="I38" s="591">
        <f>IF($F38="","",IF('TRECHO(S) A IMPRIMIR'!$B$1= 1, SUM(Q38, T38, W38, Z38), IF('TRECHO(S) A IMPRIMIR'!$B$1= 2, T38, IF('TRECHO(S) A IMPRIMIR'!$B$1= 3, W38, 0))))</f>
        <v>0</v>
      </c>
      <c r="J38" s="592">
        <v>457.03</v>
      </c>
      <c r="K38" s="593">
        <f>IF(AND(F38&lt;&gt;"",J38&lt;&gt;""),
  IF(OR(F38= "CP9001", F38= "CP9091", F38= "CP9092"), 0,
  IF($M$1 = "ENCARGOS SOCIAIS SEM DESONERAÇÃO",'BDI obras SD'!$H$23,'BDI obras CD'!$H$23)), "")</f>
        <v>0.2033513845915047</v>
      </c>
      <c r="L38" s="606">
        <f t="shared" si="3"/>
        <v>549.96768329985537</v>
      </c>
      <c r="M38" s="608">
        <f t="shared" si="4"/>
        <v>0</v>
      </c>
      <c r="O38" s="673"/>
      <c r="P38" s="361"/>
      <c r="Q38" s="441"/>
      <c r="R38" s="485"/>
      <c r="S38" s="442"/>
      <c r="T38" s="441">
        <f>0 * V$6</f>
        <v>0</v>
      </c>
      <c r="U38" s="485"/>
      <c r="V38" s="442"/>
      <c r="W38" s="441">
        <f>0 * Y$6</f>
        <v>0</v>
      </c>
      <c r="X38" s="485"/>
      <c r="Y38" s="442"/>
      <c r="Z38" s="441"/>
      <c r="AA38" s="485"/>
      <c r="AB38" s="442"/>
      <c r="AC38" s="672"/>
      <c r="AD38" s="441" t="s">
        <v>21</v>
      </c>
      <c r="AE38" s="674" t="s">
        <v>21</v>
      </c>
      <c r="AF38" s="674" t="s">
        <v>21</v>
      </c>
      <c r="AG38" s="674" t="s">
        <v>21</v>
      </c>
      <c r="AH38" s="442" t="s">
        <v>21</v>
      </c>
      <c r="AI38" s="442" t="str">
        <f t="shared" si="0"/>
        <v/>
      </c>
    </row>
    <row r="39" spans="1:35" x14ac:dyDescent="0.25">
      <c r="A39" s="587" t="s">
        <v>216</v>
      </c>
      <c r="B39" s="369"/>
      <c r="C39" s="588"/>
      <c r="D39" s="589" t="s">
        <v>1359</v>
      </c>
      <c r="E39" s="44"/>
      <c r="F39" s="214"/>
      <c r="G39" s="587" t="s">
        <v>216</v>
      </c>
      <c r="H39" s="590" t="s">
        <v>21</v>
      </c>
      <c r="I39" s="591" t="s">
        <v>21</v>
      </c>
      <c r="J39" s="592" t="s">
        <v>21</v>
      </c>
      <c r="K39" s="593" t="s">
        <v>21</v>
      </c>
      <c r="L39" s="606" t="s">
        <v>21</v>
      </c>
      <c r="M39" s="608">
        <v>16559.432120069538</v>
      </c>
      <c r="O39" s="673"/>
      <c r="P39" s="361"/>
      <c r="Q39" s="441"/>
      <c r="R39" s="485"/>
      <c r="S39" s="442"/>
      <c r="T39" s="441"/>
      <c r="U39" s="485"/>
      <c r="V39" s="442"/>
      <c r="W39" s="441"/>
      <c r="X39" s="485"/>
      <c r="Y39" s="442"/>
      <c r="Z39" s="441"/>
      <c r="AA39" s="485"/>
      <c r="AB39" s="442"/>
      <c r="AC39" s="672"/>
      <c r="AD39" s="441" t="s">
        <v>21</v>
      </c>
      <c r="AE39" s="674" t="s">
        <v>21</v>
      </c>
      <c r="AF39" s="674" t="s">
        <v>21</v>
      </c>
      <c r="AG39" s="674" t="s">
        <v>21</v>
      </c>
      <c r="AH39" s="442" t="s">
        <v>21</v>
      </c>
      <c r="AI39" s="442" t="str">
        <f t="shared" si="0"/>
        <v/>
      </c>
    </row>
    <row r="40" spans="1:35" ht="36" x14ac:dyDescent="0.25">
      <c r="A40" s="587" t="s">
        <v>217</v>
      </c>
      <c r="B40" s="369" t="s">
        <v>20</v>
      </c>
      <c r="C40" s="588"/>
      <c r="D40" s="589" t="s">
        <v>1360</v>
      </c>
      <c r="E40" s="44" t="s">
        <v>138</v>
      </c>
      <c r="F40" s="214">
        <v>93585</v>
      </c>
      <c r="G40" s="587" t="s">
        <v>79</v>
      </c>
      <c r="H40" s="590" t="s">
        <v>51</v>
      </c>
      <c r="I40" s="591">
        <v>13.049999999999999</v>
      </c>
      <c r="J40" s="592">
        <v>1054.49</v>
      </c>
      <c r="K40" s="593">
        <v>0.2033513845915047</v>
      </c>
      <c r="L40" s="606">
        <v>1268.9220015378958</v>
      </c>
      <c r="M40" s="608">
        <v>16559.432120069538</v>
      </c>
      <c r="O40" s="673"/>
      <c r="P40" s="361"/>
      <c r="Q40" s="441"/>
      <c r="R40" s="485"/>
      <c r="S40" s="442"/>
      <c r="T40" s="441">
        <v>6.5249999999999995</v>
      </c>
      <c r="U40" s="485"/>
      <c r="V40" s="442"/>
      <c r="W40" s="441">
        <v>6.5249999999999995</v>
      </c>
      <c r="X40" s="485"/>
      <c r="Y40" s="442"/>
      <c r="Z40" s="441"/>
      <c r="AA40" s="485"/>
      <c r="AB40" s="442"/>
      <c r="AC40" s="672"/>
      <c r="AD40" s="441">
        <v>2590.0171073818328</v>
      </c>
      <c r="AE40" s="674">
        <v>13966.588340285301</v>
      </c>
      <c r="AF40" s="674">
        <v>1.4133362012027222</v>
      </c>
      <c r="AG40" s="674">
        <v>0</v>
      </c>
      <c r="AH40" s="442">
        <v>1.4133362012027222</v>
      </c>
      <c r="AI40" s="442">
        <v>-3.637978807091713E-12</v>
      </c>
    </row>
    <row r="41" spans="1:35" x14ac:dyDescent="0.25">
      <c r="A41" s="587" t="s">
        <v>218</v>
      </c>
      <c r="B41" s="369"/>
      <c r="C41" s="588"/>
      <c r="D41" s="589" t="s">
        <v>1361</v>
      </c>
      <c r="E41" s="44"/>
      <c r="F41" s="214"/>
      <c r="G41" s="587" t="s">
        <v>218</v>
      </c>
      <c r="H41" s="590" t="s">
        <v>21</v>
      </c>
      <c r="I41" s="591" t="s">
        <v>21</v>
      </c>
      <c r="J41" s="592" t="s">
        <v>21</v>
      </c>
      <c r="K41" s="593" t="s">
        <v>21</v>
      </c>
      <c r="L41" s="606" t="s">
        <v>21</v>
      </c>
      <c r="M41" s="608">
        <v>31489.78037254433</v>
      </c>
      <c r="O41" s="673"/>
      <c r="P41" s="361"/>
      <c r="Q41" s="441"/>
      <c r="R41" s="485"/>
      <c r="S41" s="442"/>
      <c r="T41" s="441"/>
      <c r="U41" s="485"/>
      <c r="V41" s="442"/>
      <c r="W41" s="441"/>
      <c r="X41" s="485"/>
      <c r="Y41" s="442"/>
      <c r="Z41" s="441"/>
      <c r="AA41" s="485"/>
      <c r="AB41" s="442"/>
      <c r="AC41" s="672"/>
      <c r="AD41" s="441" t="s">
        <v>21</v>
      </c>
      <c r="AE41" s="674" t="s">
        <v>21</v>
      </c>
      <c r="AF41" s="674" t="s">
        <v>21</v>
      </c>
      <c r="AG41" s="674" t="s">
        <v>21</v>
      </c>
      <c r="AH41" s="442" t="s">
        <v>21</v>
      </c>
      <c r="AI41" s="442" t="s">
        <v>21</v>
      </c>
    </row>
    <row r="42" spans="1:35" ht="36" x14ac:dyDescent="0.25">
      <c r="A42" s="587" t="s">
        <v>222</v>
      </c>
      <c r="B42" s="369" t="s">
        <v>20</v>
      </c>
      <c r="C42" s="588"/>
      <c r="D42" s="589" t="s">
        <v>1365</v>
      </c>
      <c r="E42" s="44" t="s">
        <v>138</v>
      </c>
      <c r="F42" s="214">
        <v>93582</v>
      </c>
      <c r="G42" s="587" t="s">
        <v>81</v>
      </c>
      <c r="H42" s="590" t="s">
        <v>51</v>
      </c>
      <c r="I42" s="591">
        <v>40</v>
      </c>
      <c r="J42" s="592">
        <v>249.24</v>
      </c>
      <c r="K42" s="593">
        <v>0.2033513845915047</v>
      </c>
      <c r="L42" s="606">
        <v>299.92329909558663</v>
      </c>
      <c r="M42" s="608">
        <v>11996.931963823465</v>
      </c>
      <c r="O42" s="673"/>
      <c r="P42" s="361"/>
      <c r="Q42" s="441"/>
      <c r="R42" s="485"/>
      <c r="S42" s="442"/>
      <c r="T42" s="441">
        <v>20</v>
      </c>
      <c r="U42" s="485"/>
      <c r="V42" s="442"/>
      <c r="W42" s="441">
        <v>20</v>
      </c>
      <c r="X42" s="485"/>
      <c r="Y42" s="442"/>
      <c r="Z42" s="441"/>
      <c r="AA42" s="485"/>
      <c r="AB42" s="442"/>
      <c r="AC42" s="672"/>
      <c r="AD42" s="441">
        <v>2126.0812262962709</v>
      </c>
      <c r="AE42" s="674">
        <v>9862.6679481119718</v>
      </c>
      <c r="AF42" s="674">
        <v>4.8134055383660188</v>
      </c>
      <c r="AG42" s="674">
        <v>0</v>
      </c>
      <c r="AH42" s="442">
        <v>3.3693838768562134</v>
      </c>
      <c r="AI42" s="442">
        <v>0</v>
      </c>
    </row>
    <row r="43" spans="1:35" ht="36" x14ac:dyDescent="0.25">
      <c r="A43" s="587" t="s">
        <v>223</v>
      </c>
      <c r="B43" s="369" t="s">
        <v>20</v>
      </c>
      <c r="C43" s="588"/>
      <c r="D43" s="589" t="s">
        <v>1366</v>
      </c>
      <c r="E43" s="44" t="s">
        <v>138</v>
      </c>
      <c r="F43" s="214">
        <v>93583</v>
      </c>
      <c r="G43" s="587" t="s">
        <v>80</v>
      </c>
      <c r="H43" s="590" t="s">
        <v>51</v>
      </c>
      <c r="I43" s="591">
        <v>40</v>
      </c>
      <c r="J43" s="592">
        <v>404.97</v>
      </c>
      <c r="K43" s="593">
        <v>0.2033513845915047</v>
      </c>
      <c r="L43" s="606">
        <v>487.32121021802169</v>
      </c>
      <c r="M43" s="608">
        <v>19492.848408720867</v>
      </c>
      <c r="O43" s="673"/>
      <c r="P43" s="361"/>
      <c r="Q43" s="441"/>
      <c r="R43" s="485"/>
      <c r="S43" s="442"/>
      <c r="T43" s="441">
        <v>20</v>
      </c>
      <c r="U43" s="485"/>
      <c r="V43" s="442"/>
      <c r="W43" s="441">
        <v>20</v>
      </c>
      <c r="X43" s="485"/>
      <c r="Y43" s="442"/>
      <c r="Z43" s="441"/>
      <c r="AA43" s="485"/>
      <c r="AB43" s="442"/>
      <c r="AC43" s="672"/>
      <c r="AD43" s="441">
        <v>3525.8195568531087</v>
      </c>
      <c r="AE43" s="674">
        <v>15953.069975806497</v>
      </c>
      <c r="AF43" s="674">
        <v>8.6641299690588323</v>
      </c>
      <c r="AG43" s="674">
        <v>0</v>
      </c>
      <c r="AH43" s="442">
        <v>5.2947460922026215</v>
      </c>
      <c r="AI43" s="442">
        <v>-3.637978807091713E-12</v>
      </c>
    </row>
    <row r="44" spans="1:35" ht="22.5" x14ac:dyDescent="0.25">
      <c r="A44" s="587" t="s">
        <v>453</v>
      </c>
      <c r="B44" s="369"/>
      <c r="C44" s="588"/>
      <c r="D44" s="589" t="s">
        <v>1362</v>
      </c>
      <c r="E44" s="44"/>
      <c r="F44" s="214"/>
      <c r="G44" s="587" t="s">
        <v>453</v>
      </c>
      <c r="H44" s="590" t="s">
        <v>21</v>
      </c>
      <c r="I44" s="591" t="s">
        <v>21</v>
      </c>
      <c r="J44" s="592" t="s">
        <v>21</v>
      </c>
      <c r="K44" s="593" t="s">
        <v>21</v>
      </c>
      <c r="L44" s="606" t="s">
        <v>21</v>
      </c>
      <c r="M44" s="608">
        <v>38883.748888139147</v>
      </c>
      <c r="O44" s="673" t="s">
        <v>477</v>
      </c>
      <c r="P44" s="361"/>
      <c r="Q44" s="441"/>
      <c r="R44" s="485"/>
      <c r="S44" s="442"/>
      <c r="T44" s="441"/>
      <c r="U44" s="485"/>
      <c r="V44" s="442"/>
      <c r="W44" s="441"/>
      <c r="X44" s="485"/>
      <c r="Y44" s="442"/>
      <c r="Z44" s="441"/>
      <c r="AA44" s="485"/>
      <c r="AB44" s="442"/>
      <c r="AC44" s="672"/>
      <c r="AD44" s="441" t="s">
        <v>21</v>
      </c>
      <c r="AE44" s="674" t="s">
        <v>21</v>
      </c>
      <c r="AF44" s="674" t="s">
        <v>21</v>
      </c>
      <c r="AG44" s="674" t="s">
        <v>21</v>
      </c>
      <c r="AH44" s="442" t="s">
        <v>21</v>
      </c>
      <c r="AI44" s="442" t="str">
        <f t="shared" si="0"/>
        <v/>
      </c>
    </row>
    <row r="45" spans="1:35" ht="24" x14ac:dyDescent="0.25">
      <c r="A45" s="587" t="s">
        <v>473</v>
      </c>
      <c r="B45" s="369" t="s">
        <v>199</v>
      </c>
      <c r="C45" s="588"/>
      <c r="D45" s="589" t="s">
        <v>1367</v>
      </c>
      <c r="E45" s="44" t="s">
        <v>138</v>
      </c>
      <c r="F45" s="214" t="s">
        <v>457</v>
      </c>
      <c r="G45" s="587" t="s">
        <v>454</v>
      </c>
      <c r="H45" s="590" t="s">
        <v>205</v>
      </c>
      <c r="I45" s="591">
        <v>3</v>
      </c>
      <c r="J45" s="592">
        <v>4346.5</v>
      </c>
      <c r="K45" s="593">
        <v>0.2033513845915047</v>
      </c>
      <c r="L45" s="606">
        <v>5230.3667931269756</v>
      </c>
      <c r="M45" s="608">
        <v>15691.100379380927</v>
      </c>
      <c r="O45" s="673"/>
      <c r="P45" s="361"/>
      <c r="Q45" s="441"/>
      <c r="R45" s="485"/>
      <c r="S45" s="442"/>
      <c r="T45" s="441">
        <v>2</v>
      </c>
      <c r="U45" s="485"/>
      <c r="V45" s="442"/>
      <c r="W45" s="441">
        <v>1</v>
      </c>
      <c r="X45" s="485"/>
      <c r="Y45" s="442"/>
      <c r="Z45" s="441"/>
      <c r="AA45" s="485"/>
      <c r="AB45" s="442"/>
      <c r="AC45" s="672"/>
      <c r="AD45" s="441">
        <v>0</v>
      </c>
      <c r="AE45" s="674">
        <v>2111.8816799580909</v>
      </c>
      <c r="AF45" s="674">
        <v>13579.218699422834</v>
      </c>
      <c r="AG45" s="674">
        <v>0</v>
      </c>
      <c r="AH45" s="442">
        <v>0</v>
      </c>
      <c r="AI45" s="442">
        <v>1.8189894035458565E-12</v>
      </c>
    </row>
    <row r="46" spans="1:35" ht="24" x14ac:dyDescent="0.25">
      <c r="A46" s="587" t="s">
        <v>472</v>
      </c>
      <c r="B46" s="369" t="s">
        <v>199</v>
      </c>
      <c r="C46" s="588"/>
      <c r="D46" s="589" t="s">
        <v>1368</v>
      </c>
      <c r="E46" s="44" t="s">
        <v>138</v>
      </c>
      <c r="F46" s="214" t="s">
        <v>459</v>
      </c>
      <c r="G46" s="587" t="s">
        <v>458</v>
      </c>
      <c r="H46" s="590" t="s">
        <v>205</v>
      </c>
      <c r="I46" s="591">
        <v>2</v>
      </c>
      <c r="J46" s="592">
        <v>5635.39</v>
      </c>
      <c r="K46" s="593">
        <v>0.2033513845915047</v>
      </c>
      <c r="L46" s="606">
        <v>6781.35435921312</v>
      </c>
      <c r="M46" s="608">
        <v>13562.70871842624</v>
      </c>
      <c r="O46" s="673"/>
      <c r="P46" s="361"/>
      <c r="Q46" s="441"/>
      <c r="R46" s="485"/>
      <c r="S46" s="442"/>
      <c r="T46" s="441">
        <v>1</v>
      </c>
      <c r="U46" s="485"/>
      <c r="V46" s="442"/>
      <c r="W46" s="441">
        <v>1</v>
      </c>
      <c r="X46" s="485"/>
      <c r="Y46" s="442"/>
      <c r="Z46" s="441"/>
      <c r="AA46" s="485"/>
      <c r="AB46" s="442"/>
      <c r="AC46" s="672"/>
      <c r="AD46" s="441">
        <v>0</v>
      </c>
      <c r="AE46" s="674">
        <v>1407.9211199720605</v>
      </c>
      <c r="AF46" s="674">
        <v>12154.787598454179</v>
      </c>
      <c r="AG46" s="674">
        <v>0</v>
      </c>
      <c r="AH46" s="442">
        <v>0</v>
      </c>
      <c r="AI46" s="442">
        <v>0</v>
      </c>
    </row>
    <row r="47" spans="1:35" ht="24" x14ac:dyDescent="0.25">
      <c r="A47" s="587" t="s">
        <v>471</v>
      </c>
      <c r="B47" s="369" t="s">
        <v>199</v>
      </c>
      <c r="C47" s="588"/>
      <c r="D47" s="589" t="s">
        <v>1369</v>
      </c>
      <c r="E47" s="44" t="s">
        <v>138</v>
      </c>
      <c r="F47" s="214" t="s">
        <v>470</v>
      </c>
      <c r="G47" s="587" t="s">
        <v>460</v>
      </c>
      <c r="H47" s="590" t="s">
        <v>205</v>
      </c>
      <c r="I47" s="591">
        <v>2</v>
      </c>
      <c r="J47" s="592">
        <v>4001.3</v>
      </c>
      <c r="K47" s="593">
        <v>0.2033513845915047</v>
      </c>
      <c r="L47" s="606">
        <v>4814.9698951659884</v>
      </c>
      <c r="M47" s="608">
        <v>9629.9397903319768</v>
      </c>
      <c r="O47" s="673"/>
      <c r="P47" s="361"/>
      <c r="Q47" s="441"/>
      <c r="R47" s="485"/>
      <c r="S47" s="442"/>
      <c r="T47" s="441">
        <v>1</v>
      </c>
      <c r="U47" s="485"/>
      <c r="V47" s="442"/>
      <c r="W47" s="441">
        <v>1</v>
      </c>
      <c r="X47" s="485"/>
      <c r="Y47" s="442"/>
      <c r="Z47" s="441"/>
      <c r="AA47" s="485"/>
      <c r="AB47" s="442"/>
      <c r="AC47" s="672"/>
      <c r="AD47" s="441">
        <v>0</v>
      </c>
      <c r="AE47" s="674">
        <v>1407.9211199720605</v>
      </c>
      <c r="AF47" s="674">
        <v>8222.0186703599156</v>
      </c>
      <c r="AG47" s="674">
        <v>0</v>
      </c>
      <c r="AH47" s="442">
        <v>0</v>
      </c>
      <c r="AI47" s="442">
        <v>0</v>
      </c>
    </row>
    <row r="48" spans="1:35" ht="24" x14ac:dyDescent="0.25">
      <c r="A48" s="587" t="str">
        <f>IF('TRECHO(S) A IMPRIMIR'!$B$1= 1, "LIGAÇÕES PROVISÓRIAS PARA OS CANTEIROS DE OBRAS - TRECHOS 1 e 3", IF('TRECHO(S) A IMPRIMIR'!$B$1= 2, "LIGAÇÕES PROVISÓRIAS PARA O CANTEIRO DE OBRAS PRINCIPAL - TRECHO 1", "LIGAÇÕES PROVISÓRIAS PARA O CANTEIRO DE OBRAS - TRECHO 3"))</f>
        <v>LIGAÇÕES PROVISÓRIAS PARA OS CANTEIROS DE OBRAS - TRECHOS 1 e 3</v>
      </c>
      <c r="B48" s="369"/>
      <c r="C48" s="588"/>
      <c r="D48" s="589" t="s">
        <v>293</v>
      </c>
      <c r="E48" s="44"/>
      <c r="F48" s="214"/>
      <c r="G48" s="587" t="s">
        <v>4145</v>
      </c>
      <c r="H48" s="590" t="s">
        <v>21</v>
      </c>
      <c r="I48" s="591" t="s">
        <v>21</v>
      </c>
      <c r="J48" s="592" t="s">
        <v>21</v>
      </c>
      <c r="K48" s="593" t="s">
        <v>21</v>
      </c>
      <c r="L48" s="606" t="s">
        <v>21</v>
      </c>
      <c r="M48" s="608">
        <v>97517.711710893214</v>
      </c>
      <c r="O48" s="673"/>
      <c r="P48" s="361"/>
      <c r="Q48" s="441"/>
      <c r="R48" s="485"/>
      <c r="S48" s="442"/>
      <c r="T48" s="441"/>
      <c r="U48" s="485"/>
      <c r="V48" s="442"/>
      <c r="W48" s="441"/>
      <c r="X48" s="485"/>
      <c r="Y48" s="442"/>
      <c r="Z48" s="441"/>
      <c r="AA48" s="485"/>
      <c r="AB48" s="442"/>
      <c r="AC48" s="672"/>
      <c r="AD48" s="441" t="s">
        <v>21</v>
      </c>
      <c r="AE48" s="674" t="s">
        <v>21</v>
      </c>
      <c r="AF48" s="674" t="s">
        <v>21</v>
      </c>
      <c r="AG48" s="674" t="s">
        <v>21</v>
      </c>
      <c r="AH48" s="442" t="s">
        <v>21</v>
      </c>
      <c r="AI48" s="442" t="str">
        <f t="shared" si="0"/>
        <v/>
      </c>
    </row>
    <row r="49" spans="1:35" x14ac:dyDescent="0.25">
      <c r="A49" s="587" t="s">
        <v>219</v>
      </c>
      <c r="B49" s="369"/>
      <c r="C49" s="588"/>
      <c r="D49" s="589" t="s">
        <v>308</v>
      </c>
      <c r="E49" s="44"/>
      <c r="F49" s="214"/>
      <c r="G49" s="587" t="s">
        <v>219</v>
      </c>
      <c r="H49" s="590" t="s">
        <v>21</v>
      </c>
      <c r="I49" s="591" t="s">
        <v>21</v>
      </c>
      <c r="J49" s="592" t="s">
        <v>21</v>
      </c>
      <c r="K49" s="593" t="s">
        <v>21</v>
      </c>
      <c r="L49" s="606" t="s">
        <v>21</v>
      </c>
      <c r="M49" s="608">
        <v>25426.886957501567</v>
      </c>
      <c r="O49" s="673"/>
      <c r="P49" s="361"/>
      <c r="Q49" s="441"/>
      <c r="R49" s="485"/>
      <c r="S49" s="442"/>
      <c r="T49" s="441"/>
      <c r="U49" s="485"/>
      <c r="V49" s="442"/>
      <c r="W49" s="441"/>
      <c r="X49" s="485"/>
      <c r="Y49" s="442"/>
      <c r="Z49" s="441"/>
      <c r="AA49" s="485"/>
      <c r="AB49" s="442"/>
      <c r="AC49" s="672"/>
      <c r="AD49" s="441" t="s">
        <v>21</v>
      </c>
      <c r="AE49" s="674" t="s">
        <v>21</v>
      </c>
      <c r="AF49" s="674" t="s">
        <v>21</v>
      </c>
      <c r="AG49" s="674" t="s">
        <v>21</v>
      </c>
      <c r="AH49" s="442" t="s">
        <v>21</v>
      </c>
      <c r="AI49" s="442" t="str">
        <f t="shared" si="0"/>
        <v/>
      </c>
    </row>
    <row r="50" spans="1:35" ht="36" x14ac:dyDescent="0.25">
      <c r="A50" s="587" t="s">
        <v>224</v>
      </c>
      <c r="B50" s="369" t="s">
        <v>39</v>
      </c>
      <c r="C50" s="588"/>
      <c r="D50" s="589" t="s">
        <v>1371</v>
      </c>
      <c r="E50" s="44" t="s">
        <v>27</v>
      </c>
      <c r="F50" s="214">
        <v>93243</v>
      </c>
      <c r="G50" s="587" t="s">
        <v>82</v>
      </c>
      <c r="H50" s="590" t="s">
        <v>41</v>
      </c>
      <c r="I50" s="591">
        <v>2</v>
      </c>
      <c r="J50" s="592">
        <v>7840.86</v>
      </c>
      <c r="K50" s="593">
        <v>0.2033513845915047</v>
      </c>
      <c r="L50" s="606">
        <v>9435.3097373881446</v>
      </c>
      <c r="M50" s="608">
        <v>18870.619474776289</v>
      </c>
      <c r="O50" s="673"/>
      <c r="P50" s="361"/>
      <c r="Q50" s="441"/>
      <c r="R50" s="485"/>
      <c r="S50" s="442"/>
      <c r="T50" s="441">
        <v>1</v>
      </c>
      <c r="U50" s="485"/>
      <c r="V50" s="442"/>
      <c r="W50" s="441">
        <v>1</v>
      </c>
      <c r="X50" s="485"/>
      <c r="Y50" s="442"/>
      <c r="Z50" s="441"/>
      <c r="AA50" s="485"/>
      <c r="AB50" s="442"/>
      <c r="AC50" s="672"/>
      <c r="AD50" s="441">
        <v>915.79853772951867</v>
      </c>
      <c r="AE50" s="674">
        <v>17954.171127299091</v>
      </c>
      <c r="AF50" s="674">
        <v>7.220108307549028E-2</v>
      </c>
      <c r="AG50" s="674">
        <v>0</v>
      </c>
      <c r="AH50" s="442">
        <v>0.57760866460392224</v>
      </c>
      <c r="AI50" s="442">
        <v>0</v>
      </c>
    </row>
    <row r="51" spans="1:35" ht="48" x14ac:dyDescent="0.25">
      <c r="A51" s="587" t="s">
        <v>1402</v>
      </c>
      <c r="B51" s="369" t="s">
        <v>39</v>
      </c>
      <c r="C51" s="588"/>
      <c r="D51" s="589" t="s">
        <v>1372</v>
      </c>
      <c r="E51" s="44" t="s">
        <v>27</v>
      </c>
      <c r="F51" s="214">
        <v>97741</v>
      </c>
      <c r="G51" s="587" t="s">
        <v>594</v>
      </c>
      <c r="H51" s="590" t="s">
        <v>41</v>
      </c>
      <c r="I51" s="591">
        <v>2</v>
      </c>
      <c r="J51" s="592">
        <v>160.02000000000001</v>
      </c>
      <c r="K51" s="593">
        <v>0.2033513845915047</v>
      </c>
      <c r="L51" s="606">
        <v>192.5602885623326</v>
      </c>
      <c r="M51" s="608">
        <v>385.1205771246652</v>
      </c>
      <c r="O51" s="673"/>
      <c r="P51" s="361"/>
      <c r="Q51" s="441"/>
      <c r="R51" s="485"/>
      <c r="S51" s="442"/>
      <c r="T51" s="441">
        <v>1</v>
      </c>
      <c r="U51" s="485"/>
      <c r="V51" s="442"/>
      <c r="W51" s="441">
        <v>1</v>
      </c>
      <c r="X51" s="485"/>
      <c r="Y51" s="442"/>
      <c r="Z51" s="441"/>
      <c r="AA51" s="485"/>
      <c r="AB51" s="442"/>
      <c r="AC51" s="672"/>
      <c r="AD51" s="441">
        <v>105.75051967790142</v>
      </c>
      <c r="AE51" s="674">
        <v>279.37005744676372</v>
      </c>
      <c r="AF51" s="674">
        <v>0</v>
      </c>
      <c r="AG51" s="674">
        <v>0</v>
      </c>
      <c r="AH51" s="442">
        <v>0</v>
      </c>
      <c r="AI51" s="442">
        <v>5.6843418860808015E-14</v>
      </c>
    </row>
    <row r="52" spans="1:35" ht="24" x14ac:dyDescent="0.25">
      <c r="A52" s="587" t="s">
        <v>1403</v>
      </c>
      <c r="B52" s="369" t="s">
        <v>39</v>
      </c>
      <c r="C52" s="588"/>
      <c r="D52" s="589" t="s">
        <v>1400</v>
      </c>
      <c r="E52" s="44" t="s">
        <v>27</v>
      </c>
      <c r="F52" s="214">
        <v>95675</v>
      </c>
      <c r="G52" s="587" t="s">
        <v>592</v>
      </c>
      <c r="H52" s="590" t="s">
        <v>41</v>
      </c>
      <c r="I52" s="591">
        <v>2</v>
      </c>
      <c r="J52" s="592">
        <v>144.57</v>
      </c>
      <c r="K52" s="593">
        <v>0.2033513845915047</v>
      </c>
      <c r="L52" s="606">
        <v>173.96850967039381</v>
      </c>
      <c r="M52" s="608">
        <v>347.93701934078763</v>
      </c>
      <c r="O52" s="673"/>
      <c r="P52" s="361"/>
      <c r="Q52" s="441"/>
      <c r="R52" s="485"/>
      <c r="S52" s="442"/>
      <c r="T52" s="441">
        <v>1</v>
      </c>
      <c r="U52" s="485"/>
      <c r="V52" s="442"/>
      <c r="W52" s="441">
        <v>1</v>
      </c>
      <c r="X52" s="485"/>
      <c r="Y52" s="442"/>
      <c r="Z52" s="441"/>
      <c r="AA52" s="485"/>
      <c r="AB52" s="442"/>
      <c r="AC52" s="672"/>
      <c r="AD52" s="441">
        <v>38.290641057701677</v>
      </c>
      <c r="AE52" s="674">
        <v>309.64637828308599</v>
      </c>
      <c r="AF52" s="674">
        <v>0</v>
      </c>
      <c r="AG52" s="674">
        <v>0</v>
      </c>
      <c r="AH52" s="442">
        <v>0</v>
      </c>
      <c r="AI52" s="442">
        <v>-5.6843418860808015E-14</v>
      </c>
    </row>
    <row r="53" spans="1:35" ht="24" x14ac:dyDescent="0.25">
      <c r="A53" s="587" t="s">
        <v>225</v>
      </c>
      <c r="B53" s="369" t="s">
        <v>26</v>
      </c>
      <c r="C53" s="588"/>
      <c r="D53" s="589" t="s">
        <v>1401</v>
      </c>
      <c r="E53" s="44" t="s">
        <v>27</v>
      </c>
      <c r="F53" s="214" t="s">
        <v>65</v>
      </c>
      <c r="G53" s="587" t="s">
        <v>64</v>
      </c>
      <c r="H53" s="590" t="s">
        <v>22</v>
      </c>
      <c r="I53" s="591">
        <v>200</v>
      </c>
      <c r="J53" s="592">
        <v>24.195799999999998</v>
      </c>
      <c r="K53" s="593">
        <v>0.2033513845915047</v>
      </c>
      <c r="L53" s="606">
        <v>29.116049431299128</v>
      </c>
      <c r="M53" s="608">
        <v>5823.2098862598259</v>
      </c>
      <c r="O53" s="673"/>
      <c r="P53" s="361"/>
      <c r="Q53" s="441"/>
      <c r="R53" s="485"/>
      <c r="S53" s="442"/>
      <c r="T53" s="441">
        <v>100</v>
      </c>
      <c r="U53" s="485"/>
      <c r="V53" s="442"/>
      <c r="W53" s="441">
        <v>100</v>
      </c>
      <c r="X53" s="485"/>
      <c r="Y53" s="442"/>
      <c r="Z53" s="441"/>
      <c r="AA53" s="485"/>
      <c r="AB53" s="442"/>
      <c r="AC53" s="672"/>
      <c r="AD53" s="441">
        <v>2918.945386575921</v>
      </c>
      <c r="AE53" s="674">
        <v>2863.5430888293281</v>
      </c>
      <c r="AF53" s="674">
        <v>40.721410854576511</v>
      </c>
      <c r="AG53" s="674">
        <v>0</v>
      </c>
      <c r="AH53" s="442">
        <v>5.3439536555522014E-14</v>
      </c>
      <c r="AI53" s="442">
        <v>0</v>
      </c>
    </row>
    <row r="54" spans="1:35" x14ac:dyDescent="0.25">
      <c r="A54" s="587" t="s">
        <v>220</v>
      </c>
      <c r="B54" s="369"/>
      <c r="C54" s="588"/>
      <c r="D54" s="589" t="s">
        <v>382</v>
      </c>
      <c r="E54" s="44"/>
      <c r="F54" s="214"/>
      <c r="G54" s="587" t="s">
        <v>220</v>
      </c>
      <c r="H54" s="590" t="s">
        <v>21</v>
      </c>
      <c r="I54" s="591" t="s">
        <v>21</v>
      </c>
      <c r="J54" s="592" t="s">
        <v>21</v>
      </c>
      <c r="K54" s="593" t="s">
        <v>21</v>
      </c>
      <c r="L54" s="606" t="s">
        <v>21</v>
      </c>
      <c r="M54" s="608">
        <v>36311.448554723451</v>
      </c>
      <c r="O54" s="673"/>
      <c r="P54" s="361"/>
      <c r="Q54" s="441"/>
      <c r="R54" s="485"/>
      <c r="S54" s="442"/>
      <c r="T54" s="441"/>
      <c r="U54" s="485"/>
      <c r="V54" s="442"/>
      <c r="W54" s="441"/>
      <c r="X54" s="485"/>
      <c r="Y54" s="442"/>
      <c r="Z54" s="441"/>
      <c r="AA54" s="485"/>
      <c r="AB54" s="442"/>
      <c r="AC54" s="672"/>
      <c r="AD54" s="441" t="s">
        <v>21</v>
      </c>
      <c r="AE54" s="674" t="s">
        <v>21</v>
      </c>
      <c r="AF54" s="674" t="s">
        <v>21</v>
      </c>
      <c r="AG54" s="674" t="s">
        <v>21</v>
      </c>
      <c r="AH54" s="442" t="s">
        <v>21</v>
      </c>
      <c r="AI54" s="442" t="str">
        <f t="shared" si="0"/>
        <v/>
      </c>
    </row>
    <row r="55" spans="1:35" ht="24" x14ac:dyDescent="0.25">
      <c r="A55" s="587" t="s">
        <v>1409</v>
      </c>
      <c r="B55" s="369" t="s">
        <v>39</v>
      </c>
      <c r="C55" s="588"/>
      <c r="D55" s="589" t="s">
        <v>1373</v>
      </c>
      <c r="E55" s="44" t="s">
        <v>138</v>
      </c>
      <c r="F55" s="214" t="s">
        <v>1412</v>
      </c>
      <c r="G55" s="587" t="s">
        <v>1530</v>
      </c>
      <c r="H55" s="590" t="s">
        <v>41</v>
      </c>
      <c r="I55" s="591">
        <v>2</v>
      </c>
      <c r="J55" s="592">
        <v>1204.72</v>
      </c>
      <c r="K55" s="593">
        <v>0.2033513845915047</v>
      </c>
      <c r="L55" s="606">
        <v>1449.7014800450777</v>
      </c>
      <c r="M55" s="608">
        <v>2899.4029600901554</v>
      </c>
      <c r="O55" s="673"/>
      <c r="P55" s="361"/>
      <c r="Q55" s="441"/>
      <c r="R55" s="485"/>
      <c r="S55" s="442"/>
      <c r="T55" s="441">
        <v>1</v>
      </c>
      <c r="U55" s="485"/>
      <c r="V55" s="442"/>
      <c r="W55" s="441">
        <v>1</v>
      </c>
      <c r="X55" s="485"/>
      <c r="Y55" s="442"/>
      <c r="Z55" s="441"/>
      <c r="AA55" s="485"/>
      <c r="AB55" s="442"/>
      <c r="AC55" s="672"/>
      <c r="AD55" s="441">
        <v>0</v>
      </c>
      <c r="AE55" s="674">
        <v>2899.4029600901554</v>
      </c>
      <c r="AF55" s="674">
        <v>0</v>
      </c>
      <c r="AG55" s="674">
        <v>0</v>
      </c>
      <c r="AH55" s="442">
        <v>0</v>
      </c>
      <c r="AI55" s="442">
        <v>0</v>
      </c>
    </row>
    <row r="56" spans="1:35" ht="36" x14ac:dyDescent="0.25">
      <c r="A56" s="587" t="s">
        <v>1413</v>
      </c>
      <c r="B56" s="369" t="s">
        <v>23</v>
      </c>
      <c r="C56" s="588"/>
      <c r="D56" s="589" t="s">
        <v>1374</v>
      </c>
      <c r="E56" s="44" t="s">
        <v>27</v>
      </c>
      <c r="F56" s="214">
        <v>101009</v>
      </c>
      <c r="G56" s="587" t="s">
        <v>771</v>
      </c>
      <c r="H56" s="590" t="s">
        <v>55</v>
      </c>
      <c r="I56" s="591">
        <v>2.2000000000000002</v>
      </c>
      <c r="J56" s="592">
        <v>27.42</v>
      </c>
      <c r="K56" s="593">
        <v>0.2033513845915047</v>
      </c>
      <c r="L56" s="606">
        <v>32.995894965499062</v>
      </c>
      <c r="M56" s="608">
        <v>72.590968924097936</v>
      </c>
      <c r="O56" s="673"/>
      <c r="P56" s="361"/>
      <c r="Q56" s="441"/>
      <c r="R56" s="485"/>
      <c r="S56" s="442"/>
      <c r="T56" s="441">
        <v>1.1000000000000001</v>
      </c>
      <c r="U56" s="485">
        <v>1.1000000000000001</v>
      </c>
      <c r="V56" s="442"/>
      <c r="W56" s="441">
        <v>1.1000000000000001</v>
      </c>
      <c r="X56" s="485">
        <v>1.1000000000000001</v>
      </c>
      <c r="Y56" s="442"/>
      <c r="Z56" s="441"/>
      <c r="AA56" s="485"/>
      <c r="AB56" s="442"/>
      <c r="AC56" s="672"/>
      <c r="AD56" s="441">
        <v>7.1214334940125248</v>
      </c>
      <c r="AE56" s="674">
        <v>47.785083482128663</v>
      </c>
      <c r="AF56" s="674">
        <v>17.684451947956752</v>
      </c>
      <c r="AG56" s="674">
        <v>0</v>
      </c>
      <c r="AH56" s="442">
        <v>0</v>
      </c>
      <c r="AI56" s="442">
        <v>-1.4210854715202004E-14</v>
      </c>
    </row>
    <row r="57" spans="1:35" ht="48" x14ac:dyDescent="0.25">
      <c r="A57" s="587" t="s">
        <v>1410</v>
      </c>
      <c r="B57" s="369" t="s">
        <v>25</v>
      </c>
      <c r="C57" s="588"/>
      <c r="D57" s="589" t="s">
        <v>1374</v>
      </c>
      <c r="E57" s="44" t="s">
        <v>27</v>
      </c>
      <c r="F57" s="214">
        <v>100952</v>
      </c>
      <c r="G57" s="587" t="s">
        <v>797</v>
      </c>
      <c r="H57" s="590" t="s">
        <v>42</v>
      </c>
      <c r="I57" s="591">
        <v>17.600000000000001</v>
      </c>
      <c r="J57" s="592">
        <v>1.81</v>
      </c>
      <c r="K57" s="593">
        <v>0.2033513845915047</v>
      </c>
      <c r="L57" s="606">
        <v>2.1780660061106234</v>
      </c>
      <c r="M57" s="608">
        <v>38.333961707546976</v>
      </c>
      <c r="O57" s="673"/>
      <c r="P57" s="361"/>
      <c r="Q57" s="441"/>
      <c r="R57" s="485"/>
      <c r="S57" s="442"/>
      <c r="T57" s="441">
        <v>8.8000000000000007</v>
      </c>
      <c r="U57" s="485"/>
      <c r="V57" s="442">
        <v>8</v>
      </c>
      <c r="W57" s="441">
        <v>8.8000000000000007</v>
      </c>
      <c r="X57" s="485"/>
      <c r="Y57" s="442">
        <v>8</v>
      </c>
      <c r="Z57" s="441"/>
      <c r="AA57" s="485"/>
      <c r="AB57" s="442"/>
      <c r="AC57" s="672"/>
      <c r="AD57" s="441">
        <v>3.6004273426977824</v>
      </c>
      <c r="AE57" s="674">
        <v>26.261940617324999</v>
      </c>
      <c r="AF57" s="674">
        <v>8.471593747524194</v>
      </c>
      <c r="AG57" s="674">
        <v>0</v>
      </c>
      <c r="AH57" s="442">
        <v>0</v>
      </c>
      <c r="AI57" s="442">
        <v>0</v>
      </c>
    </row>
    <row r="58" spans="1:35" ht="60" x14ac:dyDescent="0.25">
      <c r="A58" s="587" t="s">
        <v>1411</v>
      </c>
      <c r="B58" s="369" t="s">
        <v>39</v>
      </c>
      <c r="C58" s="588"/>
      <c r="D58" s="589" t="s">
        <v>1375</v>
      </c>
      <c r="E58" s="44" t="s">
        <v>27</v>
      </c>
      <c r="F58" s="214">
        <v>100602</v>
      </c>
      <c r="G58" s="587" t="s">
        <v>515</v>
      </c>
      <c r="H58" s="590" t="s">
        <v>41</v>
      </c>
      <c r="I58" s="591">
        <v>2</v>
      </c>
      <c r="J58" s="592">
        <v>777.58</v>
      </c>
      <c r="K58" s="593">
        <v>0.2033513845915047</v>
      </c>
      <c r="L58" s="606">
        <v>935.70196963066223</v>
      </c>
      <c r="M58" s="608">
        <v>1871.4039392613245</v>
      </c>
      <c r="O58" s="673"/>
      <c r="P58" s="361"/>
      <c r="Q58" s="441"/>
      <c r="R58" s="485"/>
      <c r="S58" s="442"/>
      <c r="T58" s="441">
        <v>1</v>
      </c>
      <c r="U58" s="485"/>
      <c r="V58" s="442"/>
      <c r="W58" s="441">
        <v>1</v>
      </c>
      <c r="X58" s="485"/>
      <c r="Y58" s="442"/>
      <c r="Z58" s="441"/>
      <c r="AA58" s="485"/>
      <c r="AB58" s="442"/>
      <c r="AC58" s="672"/>
      <c r="AD58" s="441">
        <v>529.06546974950095</v>
      </c>
      <c r="AE58" s="674">
        <v>1332.663524379708</v>
      </c>
      <c r="AF58" s="674">
        <v>8.471593747524194</v>
      </c>
      <c r="AG58" s="674">
        <v>0</v>
      </c>
      <c r="AH58" s="442">
        <v>1.2033513845915047</v>
      </c>
      <c r="AI58" s="442">
        <v>0</v>
      </c>
    </row>
    <row r="59" spans="1:35" ht="36" x14ac:dyDescent="0.25">
      <c r="A59" s="587" t="s">
        <v>226</v>
      </c>
      <c r="B59" s="369" t="s">
        <v>39</v>
      </c>
      <c r="C59" s="588"/>
      <c r="D59" s="589" t="s">
        <v>1404</v>
      </c>
      <c r="E59" s="44" t="s">
        <v>27</v>
      </c>
      <c r="F59" s="214">
        <v>101512</v>
      </c>
      <c r="G59" s="587" t="s">
        <v>785</v>
      </c>
      <c r="H59" s="590" t="s">
        <v>41</v>
      </c>
      <c r="I59" s="591">
        <v>2</v>
      </c>
      <c r="J59" s="592">
        <v>2196.42</v>
      </c>
      <c r="K59" s="593">
        <v>0.2033513845915047</v>
      </c>
      <c r="L59" s="606">
        <v>2643.0650481444727</v>
      </c>
      <c r="M59" s="608">
        <v>5286.1300962889454</v>
      </c>
      <c r="O59" s="673"/>
      <c r="P59" s="361"/>
      <c r="Q59" s="441"/>
      <c r="R59" s="485"/>
      <c r="S59" s="442"/>
      <c r="T59" s="441">
        <v>1</v>
      </c>
      <c r="U59" s="485"/>
      <c r="V59" s="442"/>
      <c r="W59" s="441">
        <v>1</v>
      </c>
      <c r="X59" s="485"/>
      <c r="Y59" s="442"/>
      <c r="Z59" s="441"/>
      <c r="AA59" s="485"/>
      <c r="AB59" s="442"/>
      <c r="AC59" s="672"/>
      <c r="AD59" s="441">
        <v>708.82209957977989</v>
      </c>
      <c r="AE59" s="674">
        <v>4569.8953521800813</v>
      </c>
      <c r="AF59" s="674">
        <v>7.4126445290836696</v>
      </c>
      <c r="AG59" s="674">
        <v>0</v>
      </c>
      <c r="AH59" s="442">
        <v>0</v>
      </c>
      <c r="AI59" s="442">
        <v>0</v>
      </c>
    </row>
    <row r="60" spans="1:35" ht="36" x14ac:dyDescent="0.25">
      <c r="A60" s="587" t="s">
        <v>1405</v>
      </c>
      <c r="B60" s="369" t="s">
        <v>39</v>
      </c>
      <c r="C60" s="588"/>
      <c r="D60" s="589" t="s">
        <v>1406</v>
      </c>
      <c r="E60" s="44" t="s">
        <v>27</v>
      </c>
      <c r="F60" s="214">
        <v>101946</v>
      </c>
      <c r="G60" s="587" t="s">
        <v>1172</v>
      </c>
      <c r="H60" s="590" t="s">
        <v>41</v>
      </c>
      <c r="I60" s="591">
        <v>2</v>
      </c>
      <c r="J60" s="592">
        <v>161.53</v>
      </c>
      <c r="K60" s="593">
        <v>0.2033513845915047</v>
      </c>
      <c r="L60" s="606">
        <v>194.37734915306575</v>
      </c>
      <c r="M60" s="608">
        <v>388.7546983061315</v>
      </c>
      <c r="O60" s="673"/>
      <c r="P60" s="361"/>
      <c r="Q60" s="441"/>
      <c r="R60" s="485"/>
      <c r="S60" s="442"/>
      <c r="T60" s="441">
        <v>1</v>
      </c>
      <c r="U60" s="485"/>
      <c r="V60" s="442"/>
      <c r="W60" s="441">
        <v>1</v>
      </c>
      <c r="X60" s="485"/>
      <c r="Y60" s="442"/>
      <c r="Z60" s="441"/>
      <c r="AA60" s="485"/>
      <c r="AB60" s="442"/>
      <c r="AC60" s="672"/>
      <c r="AD60" s="441">
        <v>112.15234904392824</v>
      </c>
      <c r="AE60" s="674">
        <v>276.60234926220329</v>
      </c>
      <c r="AF60" s="674">
        <v>0</v>
      </c>
      <c r="AG60" s="674">
        <v>0</v>
      </c>
      <c r="AH60" s="442">
        <v>0</v>
      </c>
      <c r="AI60" s="442">
        <v>-5.6843418860808015E-14</v>
      </c>
    </row>
    <row r="61" spans="1:35" ht="36" x14ac:dyDescent="0.25">
      <c r="A61" s="587" t="s">
        <v>227</v>
      </c>
      <c r="B61" s="369" t="s">
        <v>39</v>
      </c>
      <c r="C61" s="588"/>
      <c r="D61" s="589" t="s">
        <v>1407</v>
      </c>
      <c r="E61" s="44" t="s">
        <v>138</v>
      </c>
      <c r="F61" s="214">
        <v>97892</v>
      </c>
      <c r="G61" s="587" t="s">
        <v>1290</v>
      </c>
      <c r="H61" s="590" t="s">
        <v>41</v>
      </c>
      <c r="I61" s="591">
        <v>10</v>
      </c>
      <c r="J61" s="592">
        <v>343.33</v>
      </c>
      <c r="K61" s="593">
        <v>0.2033513845915047</v>
      </c>
      <c r="L61" s="606">
        <v>413.14663087180128</v>
      </c>
      <c r="M61" s="608">
        <v>4131.4663087180124</v>
      </c>
      <c r="O61" s="673"/>
      <c r="P61" s="361"/>
      <c r="Q61" s="441"/>
      <c r="R61" s="485"/>
      <c r="S61" s="442"/>
      <c r="T61" s="441">
        <v>5</v>
      </c>
      <c r="U61" s="485"/>
      <c r="V61" s="442"/>
      <c r="W61" s="441">
        <v>5</v>
      </c>
      <c r="X61" s="485"/>
      <c r="Y61" s="442"/>
      <c r="Z61" s="441"/>
      <c r="AA61" s="485"/>
      <c r="AB61" s="442"/>
      <c r="AC61" s="672"/>
      <c r="AD61" s="441">
        <v>1856.8915215631507</v>
      </c>
      <c r="AE61" s="674">
        <v>2236.9098888171479</v>
      </c>
      <c r="AF61" s="674">
        <v>34.415849599317035</v>
      </c>
      <c r="AG61" s="674">
        <v>0</v>
      </c>
      <c r="AH61" s="442">
        <v>3.2490487383970628</v>
      </c>
      <c r="AI61" s="442">
        <v>-9.0949470177292824E-13</v>
      </c>
    </row>
    <row r="62" spans="1:35" ht="24" x14ac:dyDescent="0.25">
      <c r="A62" s="587" t="s">
        <v>381</v>
      </c>
      <c r="B62" s="369" t="s">
        <v>39</v>
      </c>
      <c r="C62" s="588"/>
      <c r="D62" s="589" t="s">
        <v>1408</v>
      </c>
      <c r="E62" s="44" t="s">
        <v>138</v>
      </c>
      <c r="F62" s="214" t="s">
        <v>377</v>
      </c>
      <c r="G62" s="587" t="s">
        <v>379</v>
      </c>
      <c r="H62" s="590" t="s">
        <v>41</v>
      </c>
      <c r="I62" s="591">
        <v>24</v>
      </c>
      <c r="J62" s="592">
        <v>748.72026499999993</v>
      </c>
      <c r="K62" s="593">
        <v>0.2033513845915047</v>
      </c>
      <c r="L62" s="606">
        <v>900.97356755946828</v>
      </c>
      <c r="M62" s="608">
        <v>21623.365621427238</v>
      </c>
      <c r="O62" s="673"/>
      <c r="P62" s="361"/>
      <c r="Q62" s="441"/>
      <c r="R62" s="485"/>
      <c r="S62" s="442"/>
      <c r="T62" s="441">
        <v>12</v>
      </c>
      <c r="U62" s="485"/>
      <c r="V62" s="442"/>
      <c r="W62" s="441">
        <v>12</v>
      </c>
      <c r="X62" s="485"/>
      <c r="Y62" s="442"/>
      <c r="Z62" s="441"/>
      <c r="AA62" s="485"/>
      <c r="AB62" s="442"/>
      <c r="AC62" s="672"/>
      <c r="AD62" s="441">
        <v>163.65963902887532</v>
      </c>
      <c r="AE62" s="674">
        <v>21459.705982398362</v>
      </c>
      <c r="AF62" s="674">
        <v>0</v>
      </c>
      <c r="AG62" s="674">
        <v>0</v>
      </c>
      <c r="AH62" s="442">
        <v>0</v>
      </c>
      <c r="AI62" s="442">
        <v>0</v>
      </c>
    </row>
    <row r="63" spans="1:35" x14ac:dyDescent="0.25">
      <c r="A63" s="587" t="s">
        <v>221</v>
      </c>
      <c r="B63" s="369"/>
      <c r="C63" s="588"/>
      <c r="D63" s="589" t="s">
        <v>1370</v>
      </c>
      <c r="E63" s="44"/>
      <c r="F63" s="214"/>
      <c r="G63" s="587" t="s">
        <v>221</v>
      </c>
      <c r="H63" s="590" t="s">
        <v>21</v>
      </c>
      <c r="I63" s="591" t="s">
        <v>21</v>
      </c>
      <c r="J63" s="592" t="s">
        <v>21</v>
      </c>
      <c r="K63" s="593" t="s">
        <v>21</v>
      </c>
      <c r="L63" s="606" t="s">
        <v>21</v>
      </c>
      <c r="M63" s="608">
        <v>35779.376198668193</v>
      </c>
      <c r="O63" s="673"/>
      <c r="P63" s="361"/>
      <c r="Q63" s="441"/>
      <c r="R63" s="485"/>
      <c r="S63" s="442"/>
      <c r="T63" s="441"/>
      <c r="U63" s="485"/>
      <c r="V63" s="442"/>
      <c r="W63" s="441"/>
      <c r="X63" s="485"/>
      <c r="Y63" s="442"/>
      <c r="Z63" s="441"/>
      <c r="AA63" s="485"/>
      <c r="AB63" s="442"/>
      <c r="AC63" s="672"/>
      <c r="AD63" s="441" t="s">
        <v>21</v>
      </c>
      <c r="AE63" s="674" t="s">
        <v>21</v>
      </c>
      <c r="AF63" s="674" t="s">
        <v>21</v>
      </c>
      <c r="AG63" s="674" t="s">
        <v>21</v>
      </c>
      <c r="AH63" s="442" t="s">
        <v>21</v>
      </c>
      <c r="AI63" s="442" t="str">
        <f t="shared" si="0"/>
        <v/>
      </c>
    </row>
    <row r="64" spans="1:35" ht="48" x14ac:dyDescent="0.25">
      <c r="A64" s="587" t="s">
        <v>228</v>
      </c>
      <c r="B64" s="369" t="s">
        <v>39</v>
      </c>
      <c r="C64" s="588"/>
      <c r="D64" s="589" t="s">
        <v>1376</v>
      </c>
      <c r="E64" s="44" t="s">
        <v>27</v>
      </c>
      <c r="F64" s="214">
        <v>98082</v>
      </c>
      <c r="G64" s="587" t="s">
        <v>1310</v>
      </c>
      <c r="H64" s="590" t="s">
        <v>41</v>
      </c>
      <c r="I64" s="591">
        <v>2</v>
      </c>
      <c r="J64" s="592">
        <v>3568.15</v>
      </c>
      <c r="K64" s="593">
        <v>0.2033513845915047</v>
      </c>
      <c r="L64" s="606">
        <v>4293.7382429301779</v>
      </c>
      <c r="M64" s="608">
        <v>8587.4764858603558</v>
      </c>
      <c r="O64" s="673"/>
      <c r="P64" s="361"/>
      <c r="Q64" s="441"/>
      <c r="R64" s="485"/>
      <c r="S64" s="442"/>
      <c r="T64" s="441">
        <v>1</v>
      </c>
      <c r="U64" s="485"/>
      <c r="V64" s="442"/>
      <c r="W64" s="441">
        <v>1</v>
      </c>
      <c r="X64" s="485"/>
      <c r="Y64" s="442"/>
      <c r="Z64" s="441"/>
      <c r="AA64" s="485"/>
      <c r="AB64" s="442"/>
      <c r="AC64" s="672"/>
      <c r="AD64" s="441">
        <v>3000.8936158666029</v>
      </c>
      <c r="AE64" s="674">
        <v>5541.5534611823387</v>
      </c>
      <c r="AF64" s="674">
        <v>38.049970780783383</v>
      </c>
      <c r="AG64" s="674">
        <v>0</v>
      </c>
      <c r="AH64" s="442">
        <v>6.9794380306307273</v>
      </c>
      <c r="AI64" s="442">
        <v>0</v>
      </c>
    </row>
    <row r="65" spans="1:35" ht="48" x14ac:dyDescent="0.25">
      <c r="A65" s="587" t="s">
        <v>229</v>
      </c>
      <c r="B65" s="369" t="s">
        <v>39</v>
      </c>
      <c r="C65" s="588"/>
      <c r="D65" s="589" t="s">
        <v>1377</v>
      </c>
      <c r="E65" s="44" t="s">
        <v>138</v>
      </c>
      <c r="F65" s="214">
        <v>98078</v>
      </c>
      <c r="G65" s="587" t="s">
        <v>1309</v>
      </c>
      <c r="H65" s="590" t="s">
        <v>41</v>
      </c>
      <c r="I65" s="591">
        <v>2</v>
      </c>
      <c r="J65" s="592">
        <v>4508.54</v>
      </c>
      <c r="K65" s="593">
        <v>0.2033513845915047</v>
      </c>
      <c r="L65" s="606">
        <v>5425.3578514861829</v>
      </c>
      <c r="M65" s="608">
        <v>10850.715702972366</v>
      </c>
      <c r="O65" s="673"/>
      <c r="P65" s="361"/>
      <c r="Q65" s="441"/>
      <c r="R65" s="485"/>
      <c r="S65" s="442"/>
      <c r="T65" s="441">
        <v>1</v>
      </c>
      <c r="U65" s="485"/>
      <c r="V65" s="442"/>
      <c r="W65" s="441">
        <v>1</v>
      </c>
      <c r="X65" s="485"/>
      <c r="Y65" s="442"/>
      <c r="Z65" s="441"/>
      <c r="AA65" s="485"/>
      <c r="AB65" s="442"/>
      <c r="AC65" s="672"/>
      <c r="AD65" s="441">
        <v>3341.7789960936839</v>
      </c>
      <c r="AE65" s="674">
        <v>7461.9097347688448</v>
      </c>
      <c r="AF65" s="674">
        <v>43.055912540684041</v>
      </c>
      <c r="AG65" s="674">
        <v>0</v>
      </c>
      <c r="AH65" s="442">
        <v>3.9710595691519655</v>
      </c>
      <c r="AI65" s="442">
        <v>1.8189894035458565E-12</v>
      </c>
    </row>
    <row r="66" spans="1:35" ht="48" x14ac:dyDescent="0.25">
      <c r="A66" s="587" t="s">
        <v>230</v>
      </c>
      <c r="B66" s="369" t="s">
        <v>39</v>
      </c>
      <c r="C66" s="588"/>
      <c r="D66" s="589" t="s">
        <v>1378</v>
      </c>
      <c r="E66" s="44" t="s">
        <v>138</v>
      </c>
      <c r="F66" s="214">
        <v>73658</v>
      </c>
      <c r="G66" s="587" t="s">
        <v>63</v>
      </c>
      <c r="H66" s="590" t="s">
        <v>41</v>
      </c>
      <c r="I66" s="591">
        <v>12</v>
      </c>
      <c r="J66" s="592">
        <v>660.02730000000008</v>
      </c>
      <c r="K66" s="593">
        <v>0.2033513845915047</v>
      </c>
      <c r="L66" s="606">
        <v>794.2447653231925</v>
      </c>
      <c r="M66" s="608">
        <v>9530.93718387831</v>
      </c>
      <c r="O66" s="673"/>
      <c r="P66" s="361"/>
      <c r="Q66" s="441"/>
      <c r="R66" s="485"/>
      <c r="S66" s="442"/>
      <c r="T66" s="441">
        <v>6</v>
      </c>
      <c r="U66" s="485"/>
      <c r="V66" s="442"/>
      <c r="W66" s="441">
        <v>6</v>
      </c>
      <c r="X66" s="485"/>
      <c r="Y66" s="442"/>
      <c r="Z66" s="441"/>
      <c r="AA66" s="485"/>
      <c r="AB66" s="442"/>
      <c r="AC66" s="672"/>
      <c r="AD66" s="441">
        <v>4236.7595548697691</v>
      </c>
      <c r="AE66" s="674">
        <v>5096.8231885299938</v>
      </c>
      <c r="AF66" s="674">
        <v>197.35444047854511</v>
      </c>
      <c r="AG66" s="674">
        <v>0</v>
      </c>
      <c r="AH66" s="442">
        <v>4.1041564074640904E-13</v>
      </c>
      <c r="AI66" s="442">
        <v>3.637978807091713E-12</v>
      </c>
    </row>
    <row r="67" spans="1:35" ht="48" x14ac:dyDescent="0.25">
      <c r="A67" s="587" t="s">
        <v>231</v>
      </c>
      <c r="B67" s="369" t="s">
        <v>39</v>
      </c>
      <c r="C67" s="588"/>
      <c r="D67" s="589" t="s">
        <v>1379</v>
      </c>
      <c r="E67" s="44" t="s">
        <v>138</v>
      </c>
      <c r="F67" s="214">
        <v>97902</v>
      </c>
      <c r="G67" s="587" t="s">
        <v>1291</v>
      </c>
      <c r="H67" s="590" t="s">
        <v>41</v>
      </c>
      <c r="I67" s="591">
        <v>10</v>
      </c>
      <c r="J67" s="592">
        <v>565.94000000000005</v>
      </c>
      <c r="K67" s="593">
        <v>0.2033513845915047</v>
      </c>
      <c r="L67" s="606">
        <v>681.02468259571629</v>
      </c>
      <c r="M67" s="608">
        <v>6810.2468259571633</v>
      </c>
      <c r="O67" s="673"/>
      <c r="P67" s="361"/>
      <c r="Q67" s="441"/>
      <c r="R67" s="485"/>
      <c r="S67" s="442"/>
      <c r="T67" s="441">
        <v>5</v>
      </c>
      <c r="U67" s="485"/>
      <c r="V67" s="442"/>
      <c r="W67" s="441">
        <v>5</v>
      </c>
      <c r="X67" s="485"/>
      <c r="Y67" s="442"/>
      <c r="Z67" s="441"/>
      <c r="AA67" s="485"/>
      <c r="AB67" s="442"/>
      <c r="AC67" s="672"/>
      <c r="AD67" s="441">
        <v>2821.61832659016</v>
      </c>
      <c r="AE67" s="674">
        <v>3964.2004662597942</v>
      </c>
      <c r="AF67" s="674">
        <v>19.734962707300674</v>
      </c>
      <c r="AG67" s="674">
        <v>0</v>
      </c>
      <c r="AH67" s="442">
        <v>4.693070399906869</v>
      </c>
      <c r="AI67" s="442">
        <v>1.8189894035458565E-12</v>
      </c>
    </row>
    <row r="68" spans="1:35" x14ac:dyDescent="0.25">
      <c r="A68" s="587" t="s">
        <v>232</v>
      </c>
      <c r="B68" s="369"/>
      <c r="C68" s="588"/>
      <c r="D68" s="589" t="s">
        <v>294</v>
      </c>
      <c r="E68" s="44"/>
      <c r="F68" s="214"/>
      <c r="G68" s="587" t="s">
        <v>232</v>
      </c>
      <c r="H68" s="590" t="s">
        <v>21</v>
      </c>
      <c r="I68" s="591" t="s">
        <v>21</v>
      </c>
      <c r="J68" s="592" t="s">
        <v>21</v>
      </c>
      <c r="K68" s="593" t="s">
        <v>21</v>
      </c>
      <c r="L68" s="606" t="s">
        <v>21</v>
      </c>
      <c r="M68" s="608">
        <v>20855.790058963972</v>
      </c>
      <c r="O68" s="673"/>
      <c r="P68" s="361"/>
      <c r="Q68" s="441"/>
      <c r="R68" s="485"/>
      <c r="S68" s="442"/>
      <c r="T68" s="441"/>
      <c r="U68" s="485"/>
      <c r="V68" s="442"/>
      <c r="W68" s="441"/>
      <c r="X68" s="485"/>
      <c r="Y68" s="442"/>
      <c r="Z68" s="441"/>
      <c r="AA68" s="485"/>
      <c r="AB68" s="442"/>
      <c r="AC68" s="672"/>
      <c r="AD68" s="441" t="s">
        <v>21</v>
      </c>
      <c r="AE68" s="674" t="s">
        <v>21</v>
      </c>
      <c r="AF68" s="674" t="s">
        <v>21</v>
      </c>
      <c r="AG68" s="674" t="s">
        <v>21</v>
      </c>
      <c r="AH68" s="442" t="s">
        <v>21</v>
      </c>
      <c r="AI68" s="442" t="str">
        <f t="shared" si="0"/>
        <v/>
      </c>
    </row>
    <row r="69" spans="1:35" x14ac:dyDescent="0.25">
      <c r="A69" s="587" t="s">
        <v>233</v>
      </c>
      <c r="B69" s="369" t="s">
        <v>20</v>
      </c>
      <c r="C69" s="588"/>
      <c r="D69" s="589" t="s">
        <v>1380</v>
      </c>
      <c r="E69" s="44" t="s">
        <v>138</v>
      </c>
      <c r="F69" s="214" t="s">
        <v>444</v>
      </c>
      <c r="G69" s="587" t="s">
        <v>77</v>
      </c>
      <c r="H69" s="590" t="s">
        <v>51</v>
      </c>
      <c r="I69" s="591">
        <v>45</v>
      </c>
      <c r="J69" s="592">
        <v>385.14269999999999</v>
      </c>
      <c r="K69" s="593">
        <v>0.2033513845915047</v>
      </c>
      <c r="L69" s="606">
        <v>463.46200131031048</v>
      </c>
      <c r="M69" s="608">
        <v>20855.790058963972</v>
      </c>
      <c r="O69" s="673"/>
      <c r="P69" s="361"/>
      <c r="Q69" s="441"/>
      <c r="R69" s="485"/>
      <c r="S69" s="442"/>
      <c r="T69" s="441">
        <v>22.5</v>
      </c>
      <c r="U69" s="485"/>
      <c r="V69" s="442"/>
      <c r="W69" s="441">
        <v>22.5</v>
      </c>
      <c r="X69" s="485"/>
      <c r="Y69" s="442"/>
      <c r="Z69" s="441"/>
      <c r="AA69" s="485"/>
      <c r="AB69" s="442"/>
      <c r="AC69" s="672"/>
      <c r="AD69" s="441">
        <v>2234.9014953562651</v>
      </c>
      <c r="AE69" s="674">
        <v>13557.034916647894</v>
      </c>
      <c r="AF69" s="674">
        <v>5063.2525729432145</v>
      </c>
      <c r="AG69" s="674">
        <v>0</v>
      </c>
      <c r="AH69" s="442">
        <v>0.6010740166034505</v>
      </c>
      <c r="AI69" s="442">
        <v>-3.637978807091713E-12</v>
      </c>
    </row>
    <row r="70" spans="1:35" x14ac:dyDescent="0.25">
      <c r="A70" s="587" t="s">
        <v>3413</v>
      </c>
      <c r="B70" s="369"/>
      <c r="C70" s="588"/>
      <c r="D70" s="589" t="s">
        <v>181</v>
      </c>
      <c r="E70" s="44"/>
      <c r="F70" s="214"/>
      <c r="G70" s="587" t="s">
        <v>3413</v>
      </c>
      <c r="H70" s="590" t="s">
        <v>21</v>
      </c>
      <c r="I70" s="591" t="s">
        <v>21</v>
      </c>
      <c r="J70" s="592" t="s">
        <v>21</v>
      </c>
      <c r="K70" s="593" t="s">
        <v>21</v>
      </c>
      <c r="L70" s="606" t="s">
        <v>21</v>
      </c>
      <c r="M70" s="608">
        <v>78053.510615731691</v>
      </c>
      <c r="O70" s="673"/>
      <c r="P70" s="361"/>
      <c r="Q70" s="441"/>
      <c r="R70" s="485"/>
      <c r="S70" s="442"/>
      <c r="T70" s="441"/>
      <c r="U70" s="485"/>
      <c r="V70" s="442"/>
      <c r="W70" s="441"/>
      <c r="X70" s="485"/>
      <c r="Y70" s="442"/>
      <c r="Z70" s="441"/>
      <c r="AA70" s="485"/>
      <c r="AB70" s="442"/>
      <c r="AC70" s="672"/>
      <c r="AD70" s="441" t="s">
        <v>21</v>
      </c>
      <c r="AE70" s="674" t="s">
        <v>21</v>
      </c>
      <c r="AF70" s="674" t="s">
        <v>21</v>
      </c>
      <c r="AG70" s="674" t="s">
        <v>21</v>
      </c>
      <c r="AH70" s="442" t="s">
        <v>21</v>
      </c>
      <c r="AI70" s="442" t="s">
        <v>21</v>
      </c>
    </row>
    <row r="71" spans="1:35" x14ac:dyDescent="0.25">
      <c r="A71" s="587" t="s">
        <v>370</v>
      </c>
      <c r="B71" s="369"/>
      <c r="C71" s="588"/>
      <c r="D71" s="589" t="s">
        <v>295</v>
      </c>
      <c r="E71" s="44"/>
      <c r="F71" s="214"/>
      <c r="G71" s="587" t="s">
        <v>370</v>
      </c>
      <c r="H71" s="590" t="s">
        <v>21</v>
      </c>
      <c r="I71" s="591" t="s">
        <v>21</v>
      </c>
      <c r="J71" s="592" t="s">
        <v>21</v>
      </c>
      <c r="K71" s="593" t="s">
        <v>21</v>
      </c>
      <c r="L71" s="606" t="s">
        <v>21</v>
      </c>
      <c r="M71" s="608">
        <v>23567.215074090185</v>
      </c>
      <c r="O71" s="673"/>
      <c r="P71" s="361"/>
      <c r="Q71" s="441"/>
      <c r="R71" s="485"/>
      <c r="S71" s="442"/>
      <c r="T71" s="441"/>
      <c r="U71" s="485"/>
      <c r="V71" s="442"/>
      <c r="W71" s="441"/>
      <c r="X71" s="485"/>
      <c r="Y71" s="442"/>
      <c r="Z71" s="441"/>
      <c r="AA71" s="485"/>
      <c r="AB71" s="442"/>
      <c r="AC71" s="672"/>
      <c r="AD71" s="441" t="s">
        <v>21</v>
      </c>
      <c r="AE71" s="674" t="s">
        <v>21</v>
      </c>
      <c r="AF71" s="674" t="s">
        <v>21</v>
      </c>
      <c r="AG71" s="674" t="s">
        <v>21</v>
      </c>
      <c r="AH71" s="442" t="s">
        <v>21</v>
      </c>
      <c r="AI71" s="442" t="s">
        <v>21</v>
      </c>
    </row>
    <row r="72" spans="1:35" x14ac:dyDescent="0.25">
      <c r="A72" s="587" t="s">
        <v>372</v>
      </c>
      <c r="B72" s="369"/>
      <c r="C72" s="588"/>
      <c r="D72" s="589" t="s">
        <v>3393</v>
      </c>
      <c r="E72" s="44"/>
      <c r="F72" s="214"/>
      <c r="G72" s="587" t="s">
        <v>372</v>
      </c>
      <c r="H72" s="590" t="s">
        <v>21</v>
      </c>
      <c r="I72" s="591" t="str">
        <f>IF($F72="","",IF('TRECHO(S) A IMPRIMIR'!$B$1= 1, SUM(Q72, T72, W72, Z72), IF('TRECHO(S) A IMPRIMIR'!$B$1= 2, T72, IF('TRECHO(S) A IMPRIMIR'!$B$1= 3, W72, 0))))</f>
        <v/>
      </c>
      <c r="J72" s="592" t="s">
        <v>21</v>
      </c>
      <c r="K72" s="593" t="str">
        <f>IF(AND(F72&lt;&gt;"",J72&lt;&gt;""),
  IF(OR(F72= "CP9001", F72= "CP9091", F72= "CP9092"), 0,
  IF($M$1 = "ENCARGOS SOCIAIS SEM DESONERAÇÃO",'BDI obras SD'!$H$23,'BDI obras CD'!$H$23)), "")</f>
        <v/>
      </c>
      <c r="L72" s="606" t="str">
        <f t="shared" ref="L70:L96" si="5">IF(J72="","",
  IF(AND(J72&lt;&gt;"",K72=""),J72,J72 * (1 + K72)))</f>
        <v/>
      </c>
      <c r="M72" s="608" t="str">
        <f t="shared" ref="M72:M85" si="6">IF(F72="", "", IF(AND(F72&lt;&gt; "", OR(I72= "", J72= "")), 0, I72*L72))</f>
        <v/>
      </c>
      <c r="O72" s="673"/>
      <c r="P72" s="361"/>
      <c r="Q72" s="441"/>
      <c r="R72" s="485"/>
      <c r="S72" s="442"/>
      <c r="T72" s="441"/>
      <c r="U72" s="485"/>
      <c r="V72" s="442"/>
      <c r="W72" s="441"/>
      <c r="X72" s="485"/>
      <c r="Y72" s="442"/>
      <c r="Z72" s="441"/>
      <c r="AA72" s="485"/>
      <c r="AB72" s="442"/>
      <c r="AC72" s="672"/>
      <c r="AD72" s="441" t="s">
        <v>21</v>
      </c>
      <c r="AE72" s="674" t="s">
        <v>21</v>
      </c>
      <c r="AF72" s="674" t="s">
        <v>21</v>
      </c>
      <c r="AG72" s="674" t="s">
        <v>21</v>
      </c>
      <c r="AH72" s="442" t="s">
        <v>21</v>
      </c>
      <c r="AI72" s="442" t="s">
        <v>21</v>
      </c>
    </row>
    <row r="73" spans="1:35" ht="36" x14ac:dyDescent="0.25">
      <c r="A73" s="587" t="s">
        <v>371</v>
      </c>
      <c r="B73" s="369" t="s">
        <v>20</v>
      </c>
      <c r="C73" s="588"/>
      <c r="D73" s="589" t="s">
        <v>3394</v>
      </c>
      <c r="E73" s="44" t="s">
        <v>27</v>
      </c>
      <c r="F73" s="214">
        <v>98525</v>
      </c>
      <c r="G73" s="587" t="s">
        <v>597</v>
      </c>
      <c r="H73" s="590" t="s">
        <v>51</v>
      </c>
      <c r="I73" s="591">
        <v>100</v>
      </c>
      <c r="J73" s="592">
        <v>0.3</v>
      </c>
      <c r="K73" s="593">
        <v>0.2033513845915047</v>
      </c>
      <c r="L73" s="606">
        <v>0.3610054153774514</v>
      </c>
      <c r="M73" s="608">
        <v>36.100541537745137</v>
      </c>
      <c r="O73" s="675">
        <v>0.1</v>
      </c>
      <c r="P73" s="361"/>
      <c r="Q73" s="441"/>
      <c r="R73" s="485"/>
      <c r="S73" s="442"/>
      <c r="T73" s="441">
        <v>100</v>
      </c>
      <c r="U73" s="485"/>
      <c r="V73" s="442"/>
      <c r="W73" s="441"/>
      <c r="X73" s="485"/>
      <c r="Y73" s="442"/>
      <c r="Z73" s="441"/>
      <c r="AA73" s="485"/>
      <c r="AB73" s="442"/>
      <c r="AC73" s="672"/>
      <c r="AD73" s="441">
        <v>19.253622153464075</v>
      </c>
      <c r="AE73" s="674">
        <v>2.4067027691830094</v>
      </c>
      <c r="AF73" s="674">
        <v>14.440216615098056</v>
      </c>
      <c r="AG73" s="674">
        <v>0</v>
      </c>
      <c r="AH73" s="442">
        <v>0</v>
      </c>
      <c r="AI73" s="442">
        <v>-7.1054273576010019E-15</v>
      </c>
    </row>
    <row r="74" spans="1:35" ht="48" x14ac:dyDescent="0.25">
      <c r="A74" s="587" t="s">
        <v>724</v>
      </c>
      <c r="B74" s="369" t="s">
        <v>23</v>
      </c>
      <c r="C74" s="588"/>
      <c r="D74" s="589" t="s">
        <v>3395</v>
      </c>
      <c r="E74" s="44" t="s">
        <v>27</v>
      </c>
      <c r="F74" s="214">
        <v>100999</v>
      </c>
      <c r="G74" s="587" t="s">
        <v>769</v>
      </c>
      <c r="H74" s="590" t="s">
        <v>55</v>
      </c>
      <c r="I74" s="591">
        <v>15</v>
      </c>
      <c r="J74" s="592">
        <v>4.24</v>
      </c>
      <c r="K74" s="593">
        <v>0.2033513845915047</v>
      </c>
      <c r="L74" s="606">
        <v>5.1022098706679806</v>
      </c>
      <c r="M74" s="608">
        <v>76.533148060019712</v>
      </c>
      <c r="O74" s="673"/>
      <c r="P74" s="361"/>
      <c r="Q74" s="441"/>
      <c r="R74" s="485"/>
      <c r="S74" s="442"/>
      <c r="T74" s="441">
        <v>15</v>
      </c>
      <c r="U74" s="485">
        <v>1.5</v>
      </c>
      <c r="V74" s="442"/>
      <c r="W74" s="441"/>
      <c r="X74" s="485"/>
      <c r="Y74" s="442"/>
      <c r="Z74" s="441"/>
      <c r="AA74" s="485"/>
      <c r="AB74" s="442"/>
      <c r="AC74" s="672"/>
      <c r="AD74" s="441">
        <v>8.122621845992656</v>
      </c>
      <c r="AE74" s="674">
        <v>35.017525291612785</v>
      </c>
      <c r="AF74" s="674">
        <v>33.393000922414252</v>
      </c>
      <c r="AG74" s="674">
        <v>0</v>
      </c>
      <c r="AH74" s="442">
        <v>0</v>
      </c>
      <c r="AI74" s="442">
        <v>1.4210854715202004E-14</v>
      </c>
    </row>
    <row r="75" spans="1:35" ht="36" x14ac:dyDescent="0.25">
      <c r="A75" s="587" t="s">
        <v>723</v>
      </c>
      <c r="B75" s="369" t="s">
        <v>726</v>
      </c>
      <c r="C75" s="588"/>
      <c r="D75" s="589" t="s">
        <v>3396</v>
      </c>
      <c r="E75" s="44" t="s">
        <v>27</v>
      </c>
      <c r="F75" s="214">
        <v>95879</v>
      </c>
      <c r="G75" s="587" t="s">
        <v>789</v>
      </c>
      <c r="H75" s="590" t="s">
        <v>42</v>
      </c>
      <c r="I75" s="591">
        <v>330</v>
      </c>
      <c r="J75" s="592">
        <v>1.04</v>
      </c>
      <c r="K75" s="593">
        <v>0.2033513845915047</v>
      </c>
      <c r="L75" s="606">
        <v>1.2514854399751649</v>
      </c>
      <c r="M75" s="608">
        <v>412.99019519180445</v>
      </c>
      <c r="O75" s="673"/>
      <c r="P75" s="361"/>
      <c r="Q75" s="441"/>
      <c r="R75" s="485"/>
      <c r="S75" s="442"/>
      <c r="T75" s="441">
        <v>330</v>
      </c>
      <c r="U75" s="485"/>
      <c r="V75" s="442">
        <v>22</v>
      </c>
      <c r="W75" s="441"/>
      <c r="X75" s="485"/>
      <c r="Y75" s="442"/>
      <c r="Z75" s="441"/>
      <c r="AA75" s="485"/>
      <c r="AB75" s="442"/>
      <c r="AC75" s="672"/>
      <c r="AD75" s="441">
        <v>27.797416984063759</v>
      </c>
      <c r="AE75" s="674">
        <v>238.26357414911794</v>
      </c>
      <c r="AF75" s="674">
        <v>146.92920405862273</v>
      </c>
      <c r="AG75" s="674">
        <v>0</v>
      </c>
      <c r="AH75" s="442">
        <v>0</v>
      </c>
      <c r="AI75" s="442">
        <v>0</v>
      </c>
    </row>
    <row r="76" spans="1:35" ht="36" hidden="1" x14ac:dyDescent="0.25">
      <c r="A76" s="587"/>
      <c r="B76" s="369"/>
      <c r="C76" s="588"/>
      <c r="D76" s="589" t="s">
        <v>3397</v>
      </c>
      <c r="E76" s="44" t="s">
        <v>27</v>
      </c>
      <c r="F76" s="214">
        <v>93599</v>
      </c>
      <c r="G76" s="587" t="s">
        <v>788</v>
      </c>
      <c r="H76" s="590" t="s">
        <v>42</v>
      </c>
      <c r="I76" s="591">
        <f>IF($F76="","",IF('TRECHO(S) A IMPRIMIR'!$B$1= 1, SUM(Q76, T76, W76, Z76), IF('TRECHO(S) A IMPRIMIR'!$B$1= 2, T76, IF('TRECHO(S) A IMPRIMIR'!$B$1= 3, W76, 0))))</f>
        <v>0</v>
      </c>
      <c r="J76" s="592">
        <v>0.41</v>
      </c>
      <c r="K76" s="593">
        <f>IF(AND(F76&lt;&gt;"",J76&lt;&gt;""),
  IF(OR(F76= "CP9001", F76= "CP9091", F76= "CP9092"), 0,
  IF($M$1 = "ENCARGOS SOCIAIS SEM DESONERAÇÃO",'BDI obras SD'!$H$23,'BDI obras CD'!$H$23)), "")</f>
        <v>0.2033513845915047</v>
      </c>
      <c r="L76" s="606">
        <f t="shared" ref="L73:L89" si="7">IF(J76="","",
  IF(AND(J76&lt;&gt;"",K76=""),J76,J76 * (1 + K76)))</f>
        <v>0.4933740676825169</v>
      </c>
      <c r="M76" s="608">
        <f t="shared" ref="M73:M77" si="8">IF(F76="", "", IF(AND(F76&lt;&gt; "", OR(I76= "", J76= "")), 0, I76*L76))</f>
        <v>0</v>
      </c>
      <c r="O76" s="673"/>
      <c r="P76" s="361"/>
      <c r="Q76" s="441"/>
      <c r="R76" s="485"/>
      <c r="S76" s="442"/>
      <c r="T76" s="441">
        <f>T74 * V76</f>
        <v>0</v>
      </c>
      <c r="U76" s="485"/>
      <c r="V76" s="442">
        <f>IF('MLQ-DMT-TR1'!$E$7 &gt; 30, 'MLQ-DMT-TR1'!$E$7 - 30, 0)</f>
        <v>0</v>
      </c>
      <c r="W76" s="441"/>
      <c r="X76" s="485"/>
      <c r="Y76" s="442"/>
      <c r="Z76" s="441"/>
      <c r="AA76" s="485"/>
      <c r="AB76" s="442"/>
      <c r="AC76" s="672"/>
      <c r="AD76" s="441" t="s">
        <v>21</v>
      </c>
      <c r="AE76" s="674" t="s">
        <v>21</v>
      </c>
      <c r="AF76" s="674" t="s">
        <v>21</v>
      </c>
      <c r="AG76" s="674" t="s">
        <v>21</v>
      </c>
      <c r="AH76" s="442" t="s">
        <v>21</v>
      </c>
      <c r="AI76" s="442" t="str">
        <f t="shared" ref="AI73:AI89" si="9">IF(SUM(AD76:AH76)=0,"",M76 - SUM(AD76:AH76))</f>
        <v/>
      </c>
    </row>
    <row r="77" spans="1:35" ht="24" x14ac:dyDescent="0.25">
      <c r="A77" s="587" t="s">
        <v>316</v>
      </c>
      <c r="B77" s="369" t="s">
        <v>23</v>
      </c>
      <c r="C77" s="588"/>
      <c r="D77" s="589" t="s">
        <v>3398</v>
      </c>
      <c r="E77" s="44" t="s">
        <v>138</v>
      </c>
      <c r="F77" s="214" t="s">
        <v>164</v>
      </c>
      <c r="G77" s="587" t="s">
        <v>3638</v>
      </c>
      <c r="H77" s="590" t="s">
        <v>55</v>
      </c>
      <c r="I77" s="591">
        <v>15</v>
      </c>
      <c r="J77" s="592">
        <v>12.23</v>
      </c>
      <c r="K77" s="593">
        <v>0</v>
      </c>
      <c r="L77" s="606">
        <v>12.23</v>
      </c>
      <c r="M77" s="608">
        <v>183.45000000000002</v>
      </c>
      <c r="O77" s="673"/>
      <c r="P77" s="361"/>
      <c r="Q77" s="441"/>
      <c r="R77" s="485"/>
      <c r="S77" s="442"/>
      <c r="T77" s="441">
        <v>15</v>
      </c>
      <c r="U77" s="485"/>
      <c r="V77" s="442"/>
      <c r="W77" s="441"/>
      <c r="X77" s="485"/>
      <c r="Y77" s="442"/>
      <c r="Z77" s="441"/>
      <c r="AA77" s="485"/>
      <c r="AB77" s="442"/>
      <c r="AC77" s="672"/>
      <c r="AD77" s="441">
        <v>0</v>
      </c>
      <c r="AE77" s="674">
        <v>0</v>
      </c>
      <c r="AF77" s="674">
        <v>0</v>
      </c>
      <c r="AG77" s="674">
        <v>183.45000000000002</v>
      </c>
      <c r="AH77" s="442">
        <v>0</v>
      </c>
      <c r="AI77" s="442">
        <v>0</v>
      </c>
    </row>
    <row r="78" spans="1:35" x14ac:dyDescent="0.25">
      <c r="A78" s="587" t="s">
        <v>373</v>
      </c>
      <c r="B78" s="369"/>
      <c r="C78" s="588"/>
      <c r="D78" s="589" t="s">
        <v>3399</v>
      </c>
      <c r="E78" s="44"/>
      <c r="F78" s="214"/>
      <c r="G78" s="587" t="s">
        <v>373</v>
      </c>
      <c r="H78" s="590" t="s">
        <v>21</v>
      </c>
      <c r="I78" s="591" t="s">
        <v>21</v>
      </c>
      <c r="J78" s="592" t="s">
        <v>21</v>
      </c>
      <c r="K78" s="593" t="s">
        <v>21</v>
      </c>
      <c r="L78" s="606" t="s">
        <v>21</v>
      </c>
      <c r="M78" s="608" t="s">
        <v>21</v>
      </c>
      <c r="O78" s="673"/>
      <c r="P78" s="361"/>
      <c r="Q78" s="441"/>
      <c r="R78" s="485"/>
      <c r="S78" s="442"/>
      <c r="T78" s="441"/>
      <c r="U78" s="485"/>
      <c r="V78" s="442"/>
      <c r="W78" s="441"/>
      <c r="X78" s="485"/>
      <c r="Y78" s="442"/>
      <c r="Z78" s="441"/>
      <c r="AA78" s="485"/>
      <c r="AB78" s="442"/>
      <c r="AC78" s="672"/>
      <c r="AD78" s="441" t="s">
        <v>21</v>
      </c>
      <c r="AE78" s="674" t="s">
        <v>21</v>
      </c>
      <c r="AF78" s="674" t="s">
        <v>21</v>
      </c>
      <c r="AG78" s="674" t="s">
        <v>21</v>
      </c>
      <c r="AH78" s="442" t="s">
        <v>21</v>
      </c>
      <c r="AI78" s="442" t="s">
        <v>21</v>
      </c>
    </row>
    <row r="79" spans="1:35" ht="24" x14ac:dyDescent="0.25">
      <c r="A79" s="587" t="s">
        <v>374</v>
      </c>
      <c r="B79" s="369" t="s">
        <v>20</v>
      </c>
      <c r="C79" s="588"/>
      <c r="D79" s="589" t="s">
        <v>3400</v>
      </c>
      <c r="E79" s="44" t="s">
        <v>27</v>
      </c>
      <c r="F79" s="214">
        <v>100577</v>
      </c>
      <c r="G79" s="587" t="s">
        <v>635</v>
      </c>
      <c r="H79" s="590" t="s">
        <v>51</v>
      </c>
      <c r="I79" s="591">
        <v>50</v>
      </c>
      <c r="J79" s="592">
        <v>0.77</v>
      </c>
      <c r="K79" s="593">
        <v>0.2033513845915047</v>
      </c>
      <c r="L79" s="606">
        <v>0.92658056613545869</v>
      </c>
      <c r="M79" s="608">
        <v>46.329028306772933</v>
      </c>
      <c r="O79" s="673"/>
      <c r="P79" s="361"/>
      <c r="Q79" s="441"/>
      <c r="R79" s="485"/>
      <c r="S79" s="442"/>
      <c r="T79" s="441">
        <v>50</v>
      </c>
      <c r="U79" s="485"/>
      <c r="V79" s="442"/>
      <c r="W79" s="441"/>
      <c r="X79" s="485"/>
      <c r="Y79" s="442"/>
      <c r="Z79" s="441"/>
      <c r="AA79" s="485"/>
      <c r="AB79" s="442"/>
      <c r="AC79" s="672"/>
      <c r="AD79" s="441">
        <v>10.830162461323543</v>
      </c>
      <c r="AE79" s="674">
        <v>13.838540922802304</v>
      </c>
      <c r="AF79" s="674">
        <v>21.660324922647085</v>
      </c>
      <c r="AG79" s="674">
        <v>0</v>
      </c>
      <c r="AH79" s="442">
        <v>0</v>
      </c>
      <c r="AI79" s="442">
        <v>0</v>
      </c>
    </row>
    <row r="80" spans="1:35" ht="48" hidden="1" x14ac:dyDescent="0.25">
      <c r="A80" s="587" t="s">
        <v>1391</v>
      </c>
      <c r="B80" s="369" t="s">
        <v>23</v>
      </c>
      <c r="C80" s="588"/>
      <c r="D80" s="589" t="s">
        <v>3401</v>
      </c>
      <c r="E80" s="44" t="s">
        <v>27</v>
      </c>
      <c r="F80" s="214">
        <v>100991</v>
      </c>
      <c r="G80" s="587" t="s">
        <v>774</v>
      </c>
      <c r="H80" s="590" t="s">
        <v>55</v>
      </c>
      <c r="I80" s="591">
        <f>IF($F80="","",IF('TRECHO(S) A IMPRIMIR'!$B$1= 1, SUM(Q80, T80, W80, Z80), IF('TRECHO(S) A IMPRIMIR'!$B$1= 2, T80, IF('TRECHO(S) A IMPRIMIR'!$B$1= 3, W80, 0))))</f>
        <v>0</v>
      </c>
      <c r="J80" s="592">
        <v>4.1500000000000004</v>
      </c>
      <c r="K80" s="593">
        <f>IF(AND(F80&lt;&gt;"",J80&lt;&gt;""),
  IF(OR(F80= "CP9001", F80= "CP9091", F80= "CP9092"), 0,
  IF($M$1 = "ENCARGOS SOCIAIS SEM DESONERAÇÃO",'BDI obras SD'!$H$23,'BDI obras CD'!$H$23)), "")</f>
        <v>0.2033513845915047</v>
      </c>
      <c r="L80" s="606">
        <f t="shared" si="7"/>
        <v>4.9939082460547448</v>
      </c>
      <c r="M80" s="608">
        <f t="shared" ref="M79:M84" si="10">IF(F80="", "", IF(AND(F80&lt;&gt; "", OR(I80= "", J80= "")), 0, I80*L80))</f>
        <v>0</v>
      </c>
      <c r="O80" s="673"/>
      <c r="P80" s="361"/>
      <c r="Q80" s="441"/>
      <c r="R80" s="485"/>
      <c r="S80" s="442"/>
      <c r="T80" s="441">
        <f>T84 * U84</f>
        <v>0</v>
      </c>
      <c r="U80" s="485"/>
      <c r="V80" s="442"/>
      <c r="W80" s="441"/>
      <c r="X80" s="485"/>
      <c r="Y80" s="442"/>
      <c r="Z80" s="441"/>
      <c r="AA80" s="485"/>
      <c r="AB80" s="442"/>
      <c r="AC80" s="672"/>
      <c r="AD80" s="441" t="s">
        <v>21</v>
      </c>
      <c r="AE80" s="674" t="s">
        <v>21</v>
      </c>
      <c r="AF80" s="674" t="s">
        <v>21</v>
      </c>
      <c r="AG80" s="674" t="s">
        <v>21</v>
      </c>
      <c r="AH80" s="442" t="s">
        <v>21</v>
      </c>
      <c r="AI80" s="442" t="str">
        <f t="shared" si="9"/>
        <v/>
      </c>
    </row>
    <row r="81" spans="1:35" ht="36" hidden="1" x14ac:dyDescent="0.25">
      <c r="A81" s="587" t="s">
        <v>1389</v>
      </c>
      <c r="B81" s="369" t="s">
        <v>25</v>
      </c>
      <c r="C81" s="588"/>
      <c r="D81" s="589" t="s">
        <v>3402</v>
      </c>
      <c r="E81" s="44" t="s">
        <v>27</v>
      </c>
      <c r="F81" s="214">
        <v>93597</v>
      </c>
      <c r="G81" s="587" t="s">
        <v>787</v>
      </c>
      <c r="H81" s="590" t="s">
        <v>42</v>
      </c>
      <c r="I81" s="591">
        <f>IF($F81="","",IF('TRECHO(S) A IMPRIMIR'!$B$1= 1, SUM(Q81, T81, W81, Z81), IF('TRECHO(S) A IMPRIMIR'!$B$1= 2, T81, IF('TRECHO(S) A IMPRIMIR'!$B$1= 3, W81, 0))))</f>
        <v>0</v>
      </c>
      <c r="J81" s="592">
        <v>1.3</v>
      </c>
      <c r="K81" s="593">
        <f>IF(AND(F81&lt;&gt;"",J81&lt;&gt;""),
  IF(OR(F81= "CP9001", F81= "CP9091", F81= "CP9092"), 0,
  IF($M$1 = "ENCARGOS SOCIAIS SEM DESONERAÇÃO",'BDI obras SD'!$H$23,'BDI obras CD'!$H$23)), "")</f>
        <v>0.2033513845915047</v>
      </c>
      <c r="L81" s="606">
        <f t="shared" si="7"/>
        <v>1.5643567999689563</v>
      </c>
      <c r="M81" s="608">
        <f t="shared" si="10"/>
        <v>0</v>
      </c>
      <c r="O81" s="673"/>
      <c r="P81" s="361"/>
      <c r="Q81" s="441"/>
      <c r="R81" s="485"/>
      <c r="S81" s="442"/>
      <c r="T81" s="441">
        <f>T80 * V81</f>
        <v>0</v>
      </c>
      <c r="U81" s="485"/>
      <c r="V81" s="442">
        <f>'MLQ-DMT-TR1'!$N$9</f>
        <v>0</v>
      </c>
      <c r="W81" s="441"/>
      <c r="X81" s="485"/>
      <c r="Y81" s="442"/>
      <c r="Z81" s="441"/>
      <c r="AA81" s="485"/>
      <c r="AB81" s="442"/>
      <c r="AC81" s="672"/>
      <c r="AD81" s="441" t="s">
        <v>21</v>
      </c>
      <c r="AE81" s="674" t="s">
        <v>21</v>
      </c>
      <c r="AF81" s="674" t="s">
        <v>21</v>
      </c>
      <c r="AG81" s="674" t="s">
        <v>21</v>
      </c>
      <c r="AH81" s="442" t="s">
        <v>21</v>
      </c>
      <c r="AI81" s="442" t="str">
        <f t="shared" si="9"/>
        <v/>
      </c>
    </row>
    <row r="82" spans="1:35" ht="36" hidden="1" x14ac:dyDescent="0.25">
      <c r="A82" s="587" t="s">
        <v>969</v>
      </c>
      <c r="B82" s="369" t="s">
        <v>25</v>
      </c>
      <c r="C82" s="588"/>
      <c r="D82" s="589" t="s">
        <v>3403</v>
      </c>
      <c r="E82" s="44" t="s">
        <v>27</v>
      </c>
      <c r="F82" s="214">
        <v>95879</v>
      </c>
      <c r="G82" s="587" t="s">
        <v>789</v>
      </c>
      <c r="H82" s="590" t="s">
        <v>42</v>
      </c>
      <c r="I82" s="591">
        <f>IF($F82="","",IF('TRECHO(S) A IMPRIMIR'!$B$1= 1, SUM(Q82, T82, W82, Z82), IF('TRECHO(S) A IMPRIMIR'!$B$1= 2, T82, IF('TRECHO(S) A IMPRIMIR'!$B$1= 3, W82, 0))))</f>
        <v>0</v>
      </c>
      <c r="J82" s="592">
        <v>1.04</v>
      </c>
      <c r="K82" s="593">
        <f>IF(AND(F82&lt;&gt;"",J82&lt;&gt;""),
  IF(OR(F82= "CP9001", F82= "CP9091", F82= "CP9092"), 0,
  IF($M$1 = "ENCARGOS SOCIAIS SEM DESONERAÇÃO",'BDI obras SD'!$H$23,'BDI obras CD'!$H$23)), "")</f>
        <v>0.2033513845915047</v>
      </c>
      <c r="L82" s="606">
        <f t="shared" si="7"/>
        <v>1.2514854399751649</v>
      </c>
      <c r="M82" s="608">
        <f t="shared" si="10"/>
        <v>0</v>
      </c>
      <c r="O82" s="673"/>
      <c r="P82" s="361"/>
      <c r="Q82" s="441"/>
      <c r="R82" s="485"/>
      <c r="S82" s="442"/>
      <c r="T82" s="441">
        <f>T80 * V82</f>
        <v>0</v>
      </c>
      <c r="U82" s="485"/>
      <c r="V82" s="442">
        <f>IF('MLQ-DMT-TR1'!$O$9 &lt;= 30, 'MLQ-DMT-TR1'!$O$9, 30)</f>
        <v>30</v>
      </c>
      <c r="W82" s="441"/>
      <c r="X82" s="485"/>
      <c r="Y82" s="442"/>
      <c r="Z82" s="441"/>
      <c r="AA82" s="485"/>
      <c r="AB82" s="442"/>
      <c r="AC82" s="672"/>
      <c r="AD82" s="441" t="s">
        <v>21</v>
      </c>
      <c r="AE82" s="674" t="s">
        <v>21</v>
      </c>
      <c r="AF82" s="674" t="s">
        <v>21</v>
      </c>
      <c r="AG82" s="674" t="s">
        <v>21</v>
      </c>
      <c r="AH82" s="442" t="s">
        <v>21</v>
      </c>
      <c r="AI82" s="442" t="str">
        <f t="shared" si="9"/>
        <v/>
      </c>
    </row>
    <row r="83" spans="1:35" ht="36" hidden="1" x14ac:dyDescent="0.25">
      <c r="A83" s="587" t="s">
        <v>970</v>
      </c>
      <c r="B83" s="369" t="s">
        <v>25</v>
      </c>
      <c r="C83" s="588"/>
      <c r="D83" s="589" t="s">
        <v>3404</v>
      </c>
      <c r="E83" s="44" t="s">
        <v>27</v>
      </c>
      <c r="F83" s="214">
        <v>93599</v>
      </c>
      <c r="G83" s="587" t="s">
        <v>788</v>
      </c>
      <c r="H83" s="590" t="s">
        <v>42</v>
      </c>
      <c r="I83" s="591">
        <f>IF($F83="","",IF('TRECHO(S) A IMPRIMIR'!$B$1= 1, SUM(Q83, T83, W83, Z83), IF('TRECHO(S) A IMPRIMIR'!$B$1= 2, T83, IF('TRECHO(S) A IMPRIMIR'!$B$1= 3, W83, 0))))</f>
        <v>0</v>
      </c>
      <c r="J83" s="592">
        <v>0.41</v>
      </c>
      <c r="K83" s="593">
        <f>IF(AND(F83&lt;&gt;"",J83&lt;&gt;""),
  IF(OR(F83= "CP9001", F83= "CP9091", F83= "CP9092"), 0,
  IF($M$1 = "ENCARGOS SOCIAIS SEM DESONERAÇÃO",'BDI obras SD'!$H$23,'BDI obras CD'!$H$23)), "")</f>
        <v>0.2033513845915047</v>
      </c>
      <c r="L83" s="606">
        <f t="shared" si="7"/>
        <v>0.4933740676825169</v>
      </c>
      <c r="M83" s="608">
        <f t="shared" si="10"/>
        <v>0</v>
      </c>
      <c r="O83" s="673"/>
      <c r="P83" s="361"/>
      <c r="Q83" s="441"/>
      <c r="R83" s="485"/>
      <c r="S83" s="442"/>
      <c r="T83" s="441">
        <f>T80 * V83</f>
        <v>0</v>
      </c>
      <c r="U83" s="485"/>
      <c r="V83" s="442">
        <f>IF('MLQ-DMT-TR1'!$O$9 &gt; 30, 'MLQ-DMT-TR1'!$O$9 - 30, 0)</f>
        <v>27</v>
      </c>
      <c r="W83" s="441"/>
      <c r="X83" s="485"/>
      <c r="Y83" s="442"/>
      <c r="Z83" s="441"/>
      <c r="AA83" s="485"/>
      <c r="AB83" s="442"/>
      <c r="AC83" s="672"/>
      <c r="AD83" s="441" t="s">
        <v>21</v>
      </c>
      <c r="AE83" s="674" t="s">
        <v>21</v>
      </c>
      <c r="AF83" s="674" t="s">
        <v>21</v>
      </c>
      <c r="AG83" s="674" t="s">
        <v>21</v>
      </c>
      <c r="AH83" s="442" t="s">
        <v>21</v>
      </c>
      <c r="AI83" s="442" t="str">
        <f t="shared" si="9"/>
        <v/>
      </c>
    </row>
    <row r="84" spans="1:35" ht="36" hidden="1" x14ac:dyDescent="0.25">
      <c r="A84" s="587" t="s">
        <v>987</v>
      </c>
      <c r="B84" s="369" t="s">
        <v>28</v>
      </c>
      <c r="C84" s="588"/>
      <c r="D84" s="589" t="s">
        <v>3405</v>
      </c>
      <c r="E84" s="44" t="s">
        <v>27</v>
      </c>
      <c r="F84" s="214">
        <v>100324</v>
      </c>
      <c r="G84" s="587" t="s">
        <v>1305</v>
      </c>
      <c r="H84" s="590" t="s">
        <v>44</v>
      </c>
      <c r="I84" s="591">
        <f>IF($F84="","",IF('TRECHO(S) A IMPRIMIR'!$B$1= 1, SUM(Q84, T84, W84, Z84), IF('TRECHO(S) A IMPRIMIR'!$B$1= 2, T84, IF('TRECHO(S) A IMPRIMIR'!$B$1= 3, W84, 0))))</f>
        <v>0</v>
      </c>
      <c r="J84" s="592">
        <v>175.61</v>
      </c>
      <c r="K84" s="593">
        <f>IF(AND(F84&lt;&gt;"",J84&lt;&gt;""),
  IF(OR(F84= "CP9001", F84= "CP9091", F84= "CP9092"), 0,
  IF($M$1 = "ENCARGOS SOCIAIS SEM DESONERAÇÃO",'BDI obras SD'!$H$23,'BDI obras CD'!$H$23)), "")</f>
        <v>0.2033513845915047</v>
      </c>
      <c r="L84" s="606">
        <f t="shared" si="7"/>
        <v>211.32053664811417</v>
      </c>
      <c r="M84" s="608">
        <f t="shared" si="10"/>
        <v>0</v>
      </c>
      <c r="O84" s="673"/>
      <c r="P84" s="361"/>
      <c r="Q84" s="441"/>
      <c r="R84" s="485"/>
      <c r="S84" s="442"/>
      <c r="T84" s="441">
        <f>(T79 - (COUNTA(T90:T96,T102:T104) * 2.3 * 6) - SUM(T98:T101)) * ($O84/100)</f>
        <v>0</v>
      </c>
      <c r="U84" s="485">
        <f>'MLQ-PESP'!$C$23</f>
        <v>1.8644999999999998</v>
      </c>
      <c r="V84" s="442"/>
      <c r="W84" s="441"/>
      <c r="X84" s="485"/>
      <c r="Y84" s="442"/>
      <c r="Z84" s="441"/>
      <c r="AA84" s="485"/>
      <c r="AB84" s="442"/>
      <c r="AC84" s="672"/>
      <c r="AD84" s="441" t="s">
        <v>21</v>
      </c>
      <c r="AE84" s="674" t="s">
        <v>21</v>
      </c>
      <c r="AF84" s="674" t="s">
        <v>21</v>
      </c>
      <c r="AG84" s="674" t="s">
        <v>21</v>
      </c>
      <c r="AH84" s="442" t="s">
        <v>21</v>
      </c>
      <c r="AI84" s="442" t="str">
        <f t="shared" si="9"/>
        <v/>
      </c>
    </row>
    <row r="85" spans="1:35" x14ac:dyDescent="0.25">
      <c r="A85" s="587" t="s">
        <v>376</v>
      </c>
      <c r="B85" s="369"/>
      <c r="C85" s="588"/>
      <c r="D85" s="589" t="s">
        <v>3406</v>
      </c>
      <c r="E85" s="44"/>
      <c r="F85" s="214"/>
      <c r="G85" s="587" t="s">
        <v>376</v>
      </c>
      <c r="H85" s="590" t="s">
        <v>21</v>
      </c>
      <c r="I85" s="591" t="s">
        <v>21</v>
      </c>
      <c r="J85" s="592" t="s">
        <v>21</v>
      </c>
      <c r="K85" s="593" t="s">
        <v>21</v>
      </c>
      <c r="L85" s="606" t="s">
        <v>21</v>
      </c>
      <c r="M85" s="608" t="s">
        <v>21</v>
      </c>
      <c r="O85" s="673"/>
      <c r="P85" s="361"/>
      <c r="Q85" s="441"/>
      <c r="R85" s="485"/>
      <c r="S85" s="442"/>
      <c r="T85" s="441"/>
      <c r="U85" s="485"/>
      <c r="V85" s="442"/>
      <c r="W85" s="441"/>
      <c r="X85" s="485"/>
      <c r="Y85" s="442"/>
      <c r="Z85" s="441"/>
      <c r="AA85" s="485"/>
      <c r="AB85" s="442"/>
      <c r="AC85" s="672"/>
      <c r="AD85" s="441" t="s">
        <v>21</v>
      </c>
      <c r="AE85" s="674" t="s">
        <v>21</v>
      </c>
      <c r="AF85" s="674" t="s">
        <v>21</v>
      </c>
      <c r="AG85" s="674" t="s">
        <v>21</v>
      </c>
      <c r="AH85" s="442" t="s">
        <v>21</v>
      </c>
      <c r="AI85" s="442" t="s">
        <v>21</v>
      </c>
    </row>
    <row r="86" spans="1:35" x14ac:dyDescent="0.25">
      <c r="A86" s="587" t="s">
        <v>375</v>
      </c>
      <c r="B86" s="369" t="s">
        <v>20</v>
      </c>
      <c r="C86" s="588"/>
      <c r="D86" s="589" t="s">
        <v>3407</v>
      </c>
      <c r="E86" s="44" t="s">
        <v>27</v>
      </c>
      <c r="F86" s="214">
        <v>98458</v>
      </c>
      <c r="G86" s="587" t="s">
        <v>654</v>
      </c>
      <c r="H86" s="590" t="s">
        <v>51</v>
      </c>
      <c r="I86" s="591">
        <v>101.20000000000002</v>
      </c>
      <c r="J86" s="592">
        <v>123.34</v>
      </c>
      <c r="K86" s="593">
        <v>0.2033513845915047</v>
      </c>
      <c r="L86" s="606">
        <v>148.42135977551618</v>
      </c>
      <c r="M86" s="608">
        <v>15020.24160928224</v>
      </c>
      <c r="O86" s="673"/>
      <c r="P86" s="361"/>
      <c r="Q86" s="441"/>
      <c r="R86" s="485"/>
      <c r="S86" s="442"/>
      <c r="T86" s="441">
        <v>101.20000000000002</v>
      </c>
      <c r="U86" s="485"/>
      <c r="V86" s="442"/>
      <c r="W86" s="441"/>
      <c r="X86" s="485"/>
      <c r="Y86" s="442"/>
      <c r="Z86" s="441"/>
      <c r="AA86" s="485"/>
      <c r="AB86" s="442"/>
      <c r="AC86" s="672"/>
      <c r="AD86" s="441">
        <v>1710.9971996952772</v>
      </c>
      <c r="AE86" s="674">
        <v>13309.244409586965</v>
      </c>
      <c r="AF86" s="674">
        <v>0</v>
      </c>
      <c r="AG86" s="674">
        <v>0</v>
      </c>
      <c r="AH86" s="442">
        <v>0</v>
      </c>
      <c r="AI86" s="442">
        <v>-1.8189894035458565E-12</v>
      </c>
    </row>
    <row r="87" spans="1:35" ht="24" x14ac:dyDescent="0.25">
      <c r="A87" s="587" t="s">
        <v>388</v>
      </c>
      <c r="B87" s="369" t="s">
        <v>20</v>
      </c>
      <c r="C87" s="588"/>
      <c r="D87" s="589" t="s">
        <v>3408</v>
      </c>
      <c r="E87" s="44" t="s">
        <v>138</v>
      </c>
      <c r="F87" s="214" t="s">
        <v>380</v>
      </c>
      <c r="G87" s="587" t="s">
        <v>384</v>
      </c>
      <c r="H87" s="590" t="s">
        <v>51</v>
      </c>
      <c r="I87" s="591">
        <v>8.8000000000000007</v>
      </c>
      <c r="J87" s="592">
        <v>735.78321000000005</v>
      </c>
      <c r="K87" s="593">
        <v>0.2033513845915047</v>
      </c>
      <c r="L87" s="606">
        <v>885.40574451268196</v>
      </c>
      <c r="M87" s="608">
        <v>7791.5705517116021</v>
      </c>
      <c r="O87" s="673"/>
      <c r="P87" s="361"/>
      <c r="Q87" s="441"/>
      <c r="R87" s="485"/>
      <c r="S87" s="442"/>
      <c r="T87" s="441">
        <v>8.8000000000000007</v>
      </c>
      <c r="U87" s="485"/>
      <c r="V87" s="442"/>
      <c r="W87" s="441"/>
      <c r="X87" s="485"/>
      <c r="Y87" s="442"/>
      <c r="Z87" s="441"/>
      <c r="AA87" s="485"/>
      <c r="AB87" s="442"/>
      <c r="AC87" s="672"/>
      <c r="AD87" s="441">
        <v>5791.2830390375884</v>
      </c>
      <c r="AE87" s="674">
        <v>1226.9236615816685</v>
      </c>
      <c r="AF87" s="674">
        <v>773.36385109234539</v>
      </c>
      <c r="AG87" s="674">
        <v>0</v>
      </c>
      <c r="AH87" s="442">
        <v>0</v>
      </c>
      <c r="AI87" s="442">
        <v>-9.0949470177292824E-13</v>
      </c>
    </row>
    <row r="88" spans="1:35" x14ac:dyDescent="0.25">
      <c r="A88" s="587" t="s">
        <v>203</v>
      </c>
      <c r="B88" s="369"/>
      <c r="C88" s="588"/>
      <c r="D88" s="589" t="s">
        <v>309</v>
      </c>
      <c r="E88" s="44"/>
      <c r="F88" s="214"/>
      <c r="G88" s="587" t="s">
        <v>203</v>
      </c>
      <c r="H88" s="590" t="s">
        <v>21</v>
      </c>
      <c r="I88" s="591" t="s">
        <v>21</v>
      </c>
      <c r="J88" s="592" t="s">
        <v>21</v>
      </c>
      <c r="K88" s="593" t="s">
        <v>21</v>
      </c>
      <c r="L88" s="606" t="s">
        <v>21</v>
      </c>
      <c r="M88" s="608">
        <v>44058.400512159526</v>
      </c>
      <c r="O88" s="673"/>
      <c r="P88" s="361"/>
      <c r="Q88" s="441"/>
      <c r="R88" s="485"/>
      <c r="S88" s="442"/>
      <c r="T88" s="441"/>
      <c r="U88" s="485"/>
      <c r="V88" s="442"/>
      <c r="W88" s="441"/>
      <c r="X88" s="485"/>
      <c r="Y88" s="442"/>
      <c r="Z88" s="441"/>
      <c r="AA88" s="485"/>
      <c r="AB88" s="442"/>
      <c r="AC88" s="672"/>
      <c r="AD88" s="441" t="s">
        <v>21</v>
      </c>
      <c r="AE88" s="674" t="s">
        <v>21</v>
      </c>
      <c r="AF88" s="674" t="s">
        <v>21</v>
      </c>
      <c r="AG88" s="674" t="s">
        <v>21</v>
      </c>
      <c r="AH88" s="442" t="s">
        <v>21</v>
      </c>
      <c r="AI88" s="442" t="s">
        <v>21</v>
      </c>
    </row>
    <row r="89" spans="1:35" x14ac:dyDescent="0.25">
      <c r="A89" s="587" t="s">
        <v>3414</v>
      </c>
      <c r="B89" s="369"/>
      <c r="C89" s="588"/>
      <c r="D89" s="589" t="s">
        <v>3409</v>
      </c>
      <c r="E89" s="44"/>
      <c r="F89" s="214"/>
      <c r="G89" s="587" t="s">
        <v>3414</v>
      </c>
      <c r="H89" s="590" t="s">
        <v>21</v>
      </c>
      <c r="I89" s="591" t="str">
        <f>IF($F89="","",IF('TRECHO(S) A IMPRIMIR'!$B$1= 1, SUM(Q89, T89, W89, Z89), IF('TRECHO(S) A IMPRIMIR'!$B$1= 2, T89, IF('TRECHO(S) A IMPRIMIR'!$B$1= 3, W89, 0))))</f>
        <v/>
      </c>
      <c r="J89" s="592" t="s">
        <v>21</v>
      </c>
      <c r="K89" s="593" t="str">
        <f>IF(AND(F89&lt;&gt;"",J89&lt;&gt;""),
  IF(OR(F89= "CP9001", F89= "CP9091", F89= "CP9092"), 0,
  IF($M$1 = "ENCARGOS SOCIAIS SEM DESONERAÇÃO",'BDI obras SD'!$H$23,'BDI obras CD'!$H$23)), "")</f>
        <v/>
      </c>
      <c r="L89" s="606" t="str">
        <f t="shared" si="7"/>
        <v/>
      </c>
      <c r="M89" s="608" t="str">
        <f t="shared" ref="M89:M93" si="11">IF(F89="", "", IF(AND(F89&lt;&gt; "", OR(I89= "", J89= "")), 0, I89*L89))</f>
        <v/>
      </c>
      <c r="O89" s="673"/>
      <c r="P89" s="361"/>
      <c r="Q89" s="441"/>
      <c r="R89" s="485"/>
      <c r="S89" s="442"/>
      <c r="T89" s="441"/>
      <c r="U89" s="485"/>
      <c r="V89" s="442"/>
      <c r="W89" s="441"/>
      <c r="X89" s="485"/>
      <c r="Y89" s="442"/>
      <c r="Z89" s="441"/>
      <c r="AA89" s="485"/>
      <c r="AB89" s="442"/>
      <c r="AC89" s="672"/>
      <c r="AD89" s="441" t="s">
        <v>21</v>
      </c>
      <c r="AE89" s="674" t="s">
        <v>21</v>
      </c>
      <c r="AF89" s="674" t="s">
        <v>21</v>
      </c>
      <c r="AG89" s="674" t="s">
        <v>21</v>
      </c>
      <c r="AH89" s="442" t="s">
        <v>21</v>
      </c>
      <c r="AI89" s="442" t="s">
        <v>21</v>
      </c>
    </row>
    <row r="90" spans="1:35" ht="36" x14ac:dyDescent="0.25">
      <c r="A90" s="587" t="s">
        <v>391</v>
      </c>
      <c r="B90" s="369" t="s">
        <v>199</v>
      </c>
      <c r="C90" s="588"/>
      <c r="D90" s="589" t="s">
        <v>3410</v>
      </c>
      <c r="E90" s="44" t="s">
        <v>138</v>
      </c>
      <c r="F90" s="214" t="s">
        <v>324</v>
      </c>
      <c r="G90" s="587" t="s">
        <v>123</v>
      </c>
      <c r="H90" s="590" t="s">
        <v>205</v>
      </c>
      <c r="I90" s="591">
        <v>18</v>
      </c>
      <c r="J90" s="592">
        <v>457.03</v>
      </c>
      <c r="K90" s="593">
        <v>0.2033513845915047</v>
      </c>
      <c r="L90" s="606">
        <v>549.96768329985537</v>
      </c>
      <c r="M90" s="608">
        <v>9899.4182993973973</v>
      </c>
      <c r="O90" s="673"/>
      <c r="P90" s="361"/>
      <c r="Q90" s="441"/>
      <c r="R90" s="485"/>
      <c r="S90" s="442"/>
      <c r="T90" s="441">
        <v>18</v>
      </c>
      <c r="U90" s="485"/>
      <c r="V90" s="442"/>
      <c r="W90" s="441"/>
      <c r="X90" s="485"/>
      <c r="Y90" s="442"/>
      <c r="Z90" s="441"/>
      <c r="AA90" s="485"/>
      <c r="AB90" s="442"/>
      <c r="AC90" s="672"/>
      <c r="AD90" s="441">
        <v>0</v>
      </c>
      <c r="AE90" s="674">
        <v>9899.4182993973955</v>
      </c>
      <c r="AF90" s="674">
        <v>0</v>
      </c>
      <c r="AG90" s="674">
        <v>0</v>
      </c>
      <c r="AH90" s="442">
        <v>0</v>
      </c>
      <c r="AI90" s="442">
        <v>1.8189894035458565E-12</v>
      </c>
    </row>
    <row r="91" spans="1:35" x14ac:dyDescent="0.25">
      <c r="A91" s="587" t="s">
        <v>3390</v>
      </c>
      <c r="B91" s="369"/>
      <c r="C91" s="588"/>
      <c r="D91" s="589" t="s">
        <v>3411</v>
      </c>
      <c r="E91" s="44"/>
      <c r="F91" s="214"/>
      <c r="G91" s="587" t="s">
        <v>3390</v>
      </c>
      <c r="H91" s="590" t="s">
        <v>21</v>
      </c>
      <c r="I91" s="591" t="s">
        <v>21</v>
      </c>
      <c r="J91" s="592" t="s">
        <v>21</v>
      </c>
      <c r="K91" s="593" t="s">
        <v>21</v>
      </c>
      <c r="L91" s="606" t="s">
        <v>21</v>
      </c>
      <c r="M91" s="608" t="s">
        <v>21</v>
      </c>
      <c r="O91" s="673"/>
      <c r="P91" s="361"/>
      <c r="Q91" s="441"/>
      <c r="R91" s="485"/>
      <c r="S91" s="442"/>
      <c r="T91" s="441"/>
      <c r="U91" s="485"/>
      <c r="V91" s="442"/>
      <c r="W91" s="441"/>
      <c r="X91" s="485"/>
      <c r="Y91" s="442"/>
      <c r="Z91" s="441"/>
      <c r="AA91" s="485"/>
      <c r="AB91" s="442"/>
      <c r="AC91" s="672"/>
      <c r="AD91" s="441" t="s">
        <v>21</v>
      </c>
      <c r="AE91" s="674" t="s">
        <v>21</v>
      </c>
      <c r="AF91" s="674" t="s">
        <v>21</v>
      </c>
      <c r="AG91" s="674" t="s">
        <v>21</v>
      </c>
      <c r="AH91" s="442" t="s">
        <v>21</v>
      </c>
      <c r="AI91" s="442" t="s">
        <v>21</v>
      </c>
    </row>
    <row r="92" spans="1:35" ht="36" x14ac:dyDescent="0.25">
      <c r="A92" s="587" t="s">
        <v>208</v>
      </c>
      <c r="B92" s="369" t="s">
        <v>199</v>
      </c>
      <c r="C92" s="588"/>
      <c r="D92" s="589" t="s">
        <v>3412</v>
      </c>
      <c r="E92" s="44" t="s">
        <v>138</v>
      </c>
      <c r="F92" s="214" t="s">
        <v>325</v>
      </c>
      <c r="G92" s="587" t="s">
        <v>206</v>
      </c>
      <c r="H92" s="590" t="s">
        <v>205</v>
      </c>
      <c r="I92" s="591">
        <v>18</v>
      </c>
      <c r="J92" s="592">
        <v>457.03</v>
      </c>
      <c r="K92" s="593">
        <v>0.2033513845915047</v>
      </c>
      <c r="L92" s="606">
        <v>549.96768329985537</v>
      </c>
      <c r="M92" s="608">
        <v>9899.4182993973973</v>
      </c>
      <c r="O92" s="673"/>
      <c r="P92" s="361"/>
      <c r="Q92" s="441"/>
      <c r="R92" s="485"/>
      <c r="S92" s="442"/>
      <c r="T92" s="441">
        <v>18</v>
      </c>
      <c r="U92" s="485"/>
      <c r="V92" s="442"/>
      <c r="W92" s="441"/>
      <c r="X92" s="485"/>
      <c r="Y92" s="442"/>
      <c r="Z92" s="441"/>
      <c r="AA92" s="485"/>
      <c r="AB92" s="442"/>
      <c r="AC92" s="672"/>
      <c r="AD92" s="441">
        <v>0</v>
      </c>
      <c r="AE92" s="674">
        <v>9899.4182993973955</v>
      </c>
      <c r="AF92" s="674">
        <v>0</v>
      </c>
      <c r="AG92" s="674">
        <v>0</v>
      </c>
      <c r="AH92" s="442">
        <v>0</v>
      </c>
      <c r="AI92" s="442">
        <v>1.8189894035458565E-12</v>
      </c>
    </row>
    <row r="93" spans="1:35" x14ac:dyDescent="0.25">
      <c r="A93" s="587" t="s">
        <v>3415</v>
      </c>
      <c r="B93" s="369"/>
      <c r="C93" s="588"/>
      <c r="D93" s="589" t="s">
        <v>3416</v>
      </c>
      <c r="E93" s="44"/>
      <c r="F93" s="214"/>
      <c r="G93" s="587" t="s">
        <v>3415</v>
      </c>
      <c r="H93" s="590" t="s">
        <v>21</v>
      </c>
      <c r="I93" s="591" t="s">
        <v>21</v>
      </c>
      <c r="J93" s="592" t="s">
        <v>21</v>
      </c>
      <c r="K93" s="593" t="s">
        <v>21</v>
      </c>
      <c r="L93" s="606" t="s">
        <v>21</v>
      </c>
      <c r="M93" s="608" t="s">
        <v>21</v>
      </c>
      <c r="O93" s="673"/>
      <c r="P93" s="361"/>
      <c r="Q93" s="441"/>
      <c r="R93" s="485"/>
      <c r="S93" s="442"/>
      <c r="T93" s="441"/>
      <c r="U93" s="485"/>
      <c r="V93" s="442"/>
      <c r="W93" s="441"/>
      <c r="X93" s="485"/>
      <c r="Y93" s="442"/>
      <c r="Z93" s="441"/>
      <c r="AA93" s="485"/>
      <c r="AB93" s="442"/>
      <c r="AC93" s="672"/>
      <c r="AD93" s="441" t="s">
        <v>21</v>
      </c>
      <c r="AE93" s="674" t="s">
        <v>21</v>
      </c>
      <c r="AF93" s="674" t="s">
        <v>21</v>
      </c>
      <c r="AG93" s="674" t="s">
        <v>21</v>
      </c>
      <c r="AH93" s="442" t="s">
        <v>21</v>
      </c>
      <c r="AI93" s="442" t="s">
        <v>21</v>
      </c>
    </row>
    <row r="94" spans="1:35" ht="24" x14ac:dyDescent="0.25">
      <c r="A94" s="587" t="s">
        <v>3426</v>
      </c>
      <c r="B94" s="369" t="s">
        <v>3427</v>
      </c>
      <c r="C94" s="588"/>
      <c r="D94" s="589" t="s">
        <v>3417</v>
      </c>
      <c r="E94" s="44" t="s">
        <v>138</v>
      </c>
      <c r="F94" s="214" t="s">
        <v>3425</v>
      </c>
      <c r="G94" s="587" t="s">
        <v>3419</v>
      </c>
      <c r="H94" s="590" t="s">
        <v>3428</v>
      </c>
      <c r="I94" s="591">
        <v>36</v>
      </c>
      <c r="J94" s="592">
        <v>560</v>
      </c>
      <c r="K94" s="593">
        <v>0.2033513845915047</v>
      </c>
      <c r="L94" s="606">
        <v>673.87677537124262</v>
      </c>
      <c r="M94" s="608">
        <v>24259.563913364735</v>
      </c>
      <c r="O94" s="673"/>
      <c r="P94" s="361"/>
      <c r="Q94" s="441"/>
      <c r="R94" s="485"/>
      <c r="S94" s="442"/>
      <c r="T94" s="441">
        <v>36</v>
      </c>
      <c r="U94" s="485"/>
      <c r="V94" s="442"/>
      <c r="W94" s="441"/>
      <c r="X94" s="485"/>
      <c r="Y94" s="442"/>
      <c r="Z94" s="441"/>
      <c r="AA94" s="485"/>
      <c r="AB94" s="442"/>
      <c r="AC94" s="672"/>
      <c r="AD94" s="441">
        <v>0</v>
      </c>
      <c r="AE94" s="674">
        <v>0</v>
      </c>
      <c r="AF94" s="674">
        <v>0</v>
      </c>
      <c r="AG94" s="674">
        <v>24259.563913364735</v>
      </c>
      <c r="AH94" s="442">
        <v>0</v>
      </c>
      <c r="AI94" s="442">
        <v>0</v>
      </c>
    </row>
    <row r="95" spans="1:35" x14ac:dyDescent="0.25">
      <c r="A95" s="587" t="s">
        <v>232</v>
      </c>
      <c r="B95" s="369"/>
      <c r="C95" s="588"/>
      <c r="D95" s="589" t="s">
        <v>293</v>
      </c>
      <c r="E95" s="44"/>
      <c r="F95" s="214"/>
      <c r="G95" s="587" t="s">
        <v>232</v>
      </c>
      <c r="H95" s="590" t="s">
        <v>21</v>
      </c>
      <c r="I95" s="591" t="s">
        <v>21</v>
      </c>
      <c r="J95" s="592" t="s">
        <v>21</v>
      </c>
      <c r="K95" s="593" t="s">
        <v>21</v>
      </c>
      <c r="L95" s="606" t="s">
        <v>21</v>
      </c>
      <c r="M95" s="608">
        <v>10427.895029481986</v>
      </c>
      <c r="O95" s="673"/>
      <c r="P95" s="361"/>
      <c r="Q95" s="441"/>
      <c r="R95" s="485"/>
      <c r="S95" s="442"/>
      <c r="T95" s="441"/>
      <c r="U95" s="485"/>
      <c r="V95" s="442"/>
      <c r="W95" s="441"/>
      <c r="X95" s="485"/>
      <c r="Y95" s="442"/>
      <c r="Z95" s="441"/>
      <c r="AA95" s="485"/>
      <c r="AB95" s="442"/>
      <c r="AC95" s="672"/>
      <c r="AD95" s="441" t="s">
        <v>21</v>
      </c>
      <c r="AE95" s="674" t="s">
        <v>21</v>
      </c>
      <c r="AF95" s="674" t="s">
        <v>21</v>
      </c>
      <c r="AG95" s="674" t="s">
        <v>21</v>
      </c>
      <c r="AH95" s="442" t="s">
        <v>21</v>
      </c>
      <c r="AI95" s="442" t="s">
        <v>21</v>
      </c>
    </row>
    <row r="96" spans="1:35" x14ac:dyDescent="0.25">
      <c r="A96" s="587" t="s">
        <v>233</v>
      </c>
      <c r="B96" s="369" t="s">
        <v>20</v>
      </c>
      <c r="C96" s="588"/>
      <c r="D96" s="589" t="s">
        <v>308</v>
      </c>
      <c r="E96" s="44" t="s">
        <v>138</v>
      </c>
      <c r="F96" s="214" t="s">
        <v>444</v>
      </c>
      <c r="G96" s="587" t="s">
        <v>77</v>
      </c>
      <c r="H96" s="590" t="s">
        <v>51</v>
      </c>
      <c r="I96" s="591">
        <v>22.5</v>
      </c>
      <c r="J96" s="592">
        <v>385.14269999999999</v>
      </c>
      <c r="K96" s="593">
        <v>0.2033513845915047</v>
      </c>
      <c r="L96" s="606">
        <v>463.46200131031048</v>
      </c>
      <c r="M96" s="608">
        <v>10427.895029481986</v>
      </c>
      <c r="O96" s="673"/>
      <c r="P96" s="361"/>
      <c r="Q96" s="441"/>
      <c r="R96" s="485"/>
      <c r="S96" s="442"/>
      <c r="T96" s="441">
        <v>22.5</v>
      </c>
      <c r="U96" s="485"/>
      <c r="V96" s="442"/>
      <c r="W96" s="441"/>
      <c r="X96" s="485"/>
      <c r="Y96" s="442"/>
      <c r="Z96" s="441"/>
      <c r="AA96" s="485"/>
      <c r="AB96" s="442"/>
      <c r="AC96" s="672"/>
      <c r="AD96" s="441">
        <v>1117.4507476781325</v>
      </c>
      <c r="AE96" s="674">
        <v>6778.5174583239468</v>
      </c>
      <c r="AF96" s="674">
        <v>2531.6262864716073</v>
      </c>
      <c r="AG96" s="674">
        <v>0</v>
      </c>
      <c r="AH96" s="442">
        <v>0.30053700830172525</v>
      </c>
      <c r="AI96" s="442">
        <v>-1.8189894035458565E-12</v>
      </c>
    </row>
    <row r="97" spans="1:35" x14ac:dyDescent="0.25">
      <c r="A97" s="587" t="s">
        <v>234</v>
      </c>
      <c r="B97" s="369"/>
      <c r="C97" s="588"/>
      <c r="D97" s="589" t="s">
        <v>182</v>
      </c>
      <c r="E97" s="44"/>
      <c r="F97" s="214"/>
      <c r="G97" s="587" t="s">
        <v>234</v>
      </c>
      <c r="H97" s="590" t="s">
        <v>21</v>
      </c>
      <c r="I97" s="591" t="str">
        <f>IF($F97="","",IF('TRECHO(S) A IMPRIMIR'!$B$1= 1, SUM(Q97, T97, W97, Z97), IF('TRECHO(S) A IMPRIMIR'!$B$1= 2, T97, IF('TRECHO(S) A IMPRIMIR'!$B$1= 3, W97, 0))))</f>
        <v/>
      </c>
      <c r="J97" s="592" t="s">
        <v>21</v>
      </c>
      <c r="K97" s="593" t="str">
        <f>IF(AND(F97&lt;&gt;"",J97&lt;&gt;""),
  IF(OR(F97= "CP9001", F97= "CP9091", F97= "CP9092"), 0,
  IF($M$1 = "ENCARGOS SOCIAIS SEM DESONERAÇÃO",'BDI obras SD'!$H$23,'BDI obras CD'!$H$23)), "")</f>
        <v/>
      </c>
      <c r="L97" s="606" t="str">
        <f t="shared" si="3"/>
        <v/>
      </c>
      <c r="M97" s="608">
        <v>86927.215979567292</v>
      </c>
      <c r="O97" s="673"/>
      <c r="P97" s="361"/>
      <c r="Q97" s="441"/>
      <c r="R97" s="485"/>
      <c r="S97" s="442"/>
      <c r="T97" s="441"/>
      <c r="U97" s="485"/>
      <c r="V97" s="442"/>
      <c r="W97" s="441"/>
      <c r="X97" s="485"/>
      <c r="Y97" s="442"/>
      <c r="Z97" s="441"/>
      <c r="AA97" s="485"/>
      <c r="AB97" s="442"/>
      <c r="AC97" s="672"/>
      <c r="AD97" s="441" t="s">
        <v>21</v>
      </c>
      <c r="AE97" s="674" t="s">
        <v>21</v>
      </c>
      <c r="AF97" s="674" t="s">
        <v>21</v>
      </c>
      <c r="AG97" s="674" t="s">
        <v>21</v>
      </c>
      <c r="AH97" s="442" t="s">
        <v>21</v>
      </c>
      <c r="AI97" s="442" t="s">
        <v>21</v>
      </c>
    </row>
    <row r="98" spans="1:35" ht="36" x14ac:dyDescent="0.25">
      <c r="A98" s="587" t="s">
        <v>235</v>
      </c>
      <c r="B98" s="369" t="s">
        <v>200</v>
      </c>
      <c r="C98" s="588"/>
      <c r="D98" s="589" t="s">
        <v>296</v>
      </c>
      <c r="E98" s="44" t="s">
        <v>138</v>
      </c>
      <c r="F98" s="214" t="s">
        <v>237</v>
      </c>
      <c r="G98" s="587" t="s">
        <v>238</v>
      </c>
      <c r="H98" s="590" t="s">
        <v>46</v>
      </c>
      <c r="I98" s="591">
        <v>88</v>
      </c>
      <c r="J98" s="592">
        <v>290.7</v>
      </c>
      <c r="K98" s="593">
        <v>0.2033513845915047</v>
      </c>
      <c r="L98" s="606">
        <v>349.81424750075041</v>
      </c>
      <c r="M98" s="608">
        <v>30783.653780066037</v>
      </c>
      <c r="O98" s="673"/>
      <c r="P98" s="361"/>
      <c r="Q98" s="441"/>
      <c r="R98" s="485"/>
      <c r="S98" s="442"/>
      <c r="T98" s="441">
        <v>44</v>
      </c>
      <c r="U98" s="485"/>
      <c r="V98" s="442"/>
      <c r="W98" s="441">
        <v>44</v>
      </c>
      <c r="X98" s="485"/>
      <c r="Y98" s="442"/>
      <c r="Z98" s="441"/>
      <c r="AA98" s="485"/>
      <c r="AB98" s="442"/>
      <c r="AC98" s="672"/>
      <c r="AD98" s="441">
        <v>2456.7621867820158</v>
      </c>
      <c r="AE98" s="674">
        <v>1272.85696056551</v>
      </c>
      <c r="AF98" s="674">
        <v>27054.034632718507</v>
      </c>
      <c r="AG98" s="674">
        <v>0</v>
      </c>
      <c r="AH98" s="442">
        <v>0</v>
      </c>
      <c r="AI98" s="442">
        <v>3.637978807091713E-12</v>
      </c>
    </row>
    <row r="99" spans="1:35" ht="48" x14ac:dyDescent="0.25">
      <c r="A99" s="587" t="s">
        <v>236</v>
      </c>
      <c r="B99" s="369" t="s">
        <v>200</v>
      </c>
      <c r="C99" s="588"/>
      <c r="D99" s="589" t="s">
        <v>313</v>
      </c>
      <c r="E99" s="44" t="s">
        <v>138</v>
      </c>
      <c r="F99" s="214" t="s">
        <v>239</v>
      </c>
      <c r="G99" s="587" t="s">
        <v>240</v>
      </c>
      <c r="H99" s="590" t="s">
        <v>46</v>
      </c>
      <c r="I99" s="591">
        <v>88</v>
      </c>
      <c r="J99" s="592">
        <v>427.68000000000006</v>
      </c>
      <c r="K99" s="593">
        <v>0.2033513845915047</v>
      </c>
      <c r="L99" s="606">
        <v>514.6493201620948</v>
      </c>
      <c r="M99" s="608">
        <v>45289.140174264343</v>
      </c>
      <c r="O99" s="673"/>
      <c r="P99" s="361"/>
      <c r="Q99" s="441"/>
      <c r="R99" s="485"/>
      <c r="S99" s="442"/>
      <c r="T99" s="441">
        <v>44</v>
      </c>
      <c r="U99" s="485"/>
      <c r="V99" s="442"/>
      <c r="W99" s="441">
        <v>44</v>
      </c>
      <c r="X99" s="485"/>
      <c r="Y99" s="442"/>
      <c r="Z99" s="441"/>
      <c r="AA99" s="485"/>
      <c r="AB99" s="442"/>
      <c r="AC99" s="672"/>
      <c r="AD99" s="441">
        <v>4913.5243735640315</v>
      </c>
      <c r="AE99" s="674">
        <v>2545.71392113102</v>
      </c>
      <c r="AF99" s="674">
        <v>37829.90187956929</v>
      </c>
      <c r="AG99" s="674">
        <v>0</v>
      </c>
      <c r="AH99" s="442">
        <v>0</v>
      </c>
      <c r="AI99" s="442">
        <v>0</v>
      </c>
    </row>
    <row r="100" spans="1:35" ht="24" hidden="1" x14ac:dyDescent="0.25">
      <c r="A100" s="587" t="s">
        <v>3389</v>
      </c>
      <c r="B100" s="369" t="s">
        <v>200</v>
      </c>
      <c r="C100" s="588"/>
      <c r="D100" s="589" t="s">
        <v>314</v>
      </c>
      <c r="E100" s="44" t="s">
        <v>138</v>
      </c>
      <c r="F100" s="214" t="s">
        <v>3348</v>
      </c>
      <c r="G100" s="587" t="s">
        <v>3349</v>
      </c>
      <c r="H100" s="590" t="s">
        <v>46</v>
      </c>
      <c r="I100" s="591">
        <f>IF($F100="","",IF('TRECHO(S) A IMPRIMIR'!$B$1= 1, SUM(Q100, T100, W100, Z100), IF('TRECHO(S) A IMPRIMIR'!$B$1= 2, T100, IF('TRECHO(S) A IMPRIMIR'!$B$1= 3, W100, 0))))</f>
        <v>0</v>
      </c>
      <c r="J100" s="592">
        <v>0</v>
      </c>
      <c r="K100" s="593">
        <f>IF(AND(F100&lt;&gt;"",J100&lt;&gt;""),
  IF(OR(F100= "CP9001", F100= "CP9091", F100= "CP9092"), 0,
  IF($M$1 = "ENCARGOS SOCIAIS SEM DESONERAÇÃO",'BDI obras SD'!$H$23,'BDI obras CD'!$H$23)), "")</f>
        <v>0.2033513845915047</v>
      </c>
      <c r="L100" s="606">
        <f t="shared" si="3"/>
        <v>0</v>
      </c>
      <c r="M100" s="608">
        <f t="shared" ref="M99:M101" si="12">IF(F100="", "", IF(AND(F100&lt;&gt; "", OR(I100= "", J100= "")), 0, I100*L100))</f>
        <v>0</v>
      </c>
      <c r="O100" s="673"/>
      <c r="P100" s="361"/>
      <c r="Q100" s="441"/>
      <c r="R100" s="485"/>
      <c r="S100" s="442"/>
      <c r="T100" s="441">
        <v>0</v>
      </c>
      <c r="U100" s="485"/>
      <c r="V100" s="442"/>
      <c r="W100" s="441"/>
      <c r="X100" s="485"/>
      <c r="Y100" s="442"/>
      <c r="Z100" s="441"/>
      <c r="AA100" s="485"/>
      <c r="AB100" s="442"/>
      <c r="AC100" s="672"/>
      <c r="AD100" s="441" t="s">
        <v>21</v>
      </c>
      <c r="AE100" s="674" t="s">
        <v>21</v>
      </c>
      <c r="AF100" s="674" t="s">
        <v>21</v>
      </c>
      <c r="AG100" s="674" t="s">
        <v>21</v>
      </c>
      <c r="AH100" s="442" t="s">
        <v>21</v>
      </c>
      <c r="AI100" s="442" t="str">
        <f t="shared" ref="AI97:AI112" si="13">IF(SUM(AD100:AH100)=0,"",M100 - SUM(AD100:AH100))</f>
        <v/>
      </c>
    </row>
    <row r="101" spans="1:35" ht="24" x14ac:dyDescent="0.25">
      <c r="A101" s="587" t="s">
        <v>3385</v>
      </c>
      <c r="B101" s="369" t="s">
        <v>200</v>
      </c>
      <c r="C101" s="588"/>
      <c r="D101" s="589" t="s">
        <v>1276</v>
      </c>
      <c r="E101" s="44" t="s">
        <v>138</v>
      </c>
      <c r="F101" s="214" t="s">
        <v>3388</v>
      </c>
      <c r="G101" s="587" t="s">
        <v>3387</v>
      </c>
      <c r="H101" s="590" t="s">
        <v>46</v>
      </c>
      <c r="I101" s="605">
        <v>464</v>
      </c>
      <c r="J101" s="606">
        <v>19.440000000000001</v>
      </c>
      <c r="K101" s="593">
        <v>0.2033513845915047</v>
      </c>
      <c r="L101" s="606">
        <v>23.393150916458854</v>
      </c>
      <c r="M101" s="608">
        <v>10854.422025236909</v>
      </c>
      <c r="O101" s="673"/>
      <c r="P101" s="361"/>
      <c r="Q101" s="441"/>
      <c r="R101" s="485"/>
      <c r="S101" s="442"/>
      <c r="T101" s="441">
        <v>0</v>
      </c>
      <c r="U101" s="485"/>
      <c r="V101" s="442"/>
      <c r="W101" s="582">
        <v>464</v>
      </c>
      <c r="X101" s="1607" t="s">
        <v>3607</v>
      </c>
      <c r="Y101" s="1608">
        <v>464</v>
      </c>
      <c r="Z101" s="582"/>
      <c r="AA101" s="485"/>
      <c r="AB101" s="442"/>
      <c r="AC101" s="672"/>
      <c r="AD101" s="441">
        <v>0</v>
      </c>
      <c r="AE101" s="674">
        <v>0</v>
      </c>
      <c r="AF101" s="674">
        <v>0</v>
      </c>
      <c r="AG101" s="674">
        <v>0</v>
      </c>
      <c r="AH101" s="442">
        <v>18626.724216147282</v>
      </c>
      <c r="AI101" s="442">
        <v>-7772.3021909103736</v>
      </c>
    </row>
    <row r="102" spans="1:35" x14ac:dyDescent="0.25">
      <c r="A102" s="587" t="s">
        <v>241</v>
      </c>
      <c r="B102" s="369"/>
      <c r="C102" s="588"/>
      <c r="D102" s="589" t="s">
        <v>183</v>
      </c>
      <c r="E102" s="44"/>
      <c r="F102" s="214"/>
      <c r="G102" s="587" t="s">
        <v>241</v>
      </c>
      <c r="H102" s="590" t="s">
        <v>21</v>
      </c>
      <c r="I102" s="591" t="s">
        <v>21</v>
      </c>
      <c r="J102" s="592" t="s">
        <v>21</v>
      </c>
      <c r="K102" s="593" t="s">
        <v>21</v>
      </c>
      <c r="L102" s="606" t="s">
        <v>21</v>
      </c>
      <c r="M102" s="608">
        <v>610637.05005680525</v>
      </c>
      <c r="O102" s="673"/>
      <c r="P102" s="361"/>
      <c r="Q102" s="441"/>
      <c r="R102" s="485"/>
      <c r="S102" s="442"/>
      <c r="T102" s="441"/>
      <c r="U102" s="485"/>
      <c r="V102" s="442"/>
      <c r="W102" s="441"/>
      <c r="X102" s="485"/>
      <c r="Y102" s="442"/>
      <c r="Z102" s="441"/>
      <c r="AA102" s="485"/>
      <c r="AB102" s="442"/>
      <c r="AC102" s="672"/>
      <c r="AD102" s="441" t="s">
        <v>21</v>
      </c>
      <c r="AE102" s="674" t="s">
        <v>21</v>
      </c>
      <c r="AF102" s="674" t="s">
        <v>21</v>
      </c>
      <c r="AG102" s="674" t="s">
        <v>21</v>
      </c>
      <c r="AH102" s="442" t="s">
        <v>21</v>
      </c>
      <c r="AI102" s="442" t="s">
        <v>21</v>
      </c>
    </row>
    <row r="103" spans="1:35" x14ac:dyDescent="0.25">
      <c r="A103" s="587" t="s">
        <v>249</v>
      </c>
      <c r="B103" s="369" t="s">
        <v>199</v>
      </c>
      <c r="C103" s="588"/>
      <c r="D103" s="589" t="s">
        <v>297</v>
      </c>
      <c r="E103" s="44" t="s">
        <v>138</v>
      </c>
      <c r="F103" s="214" t="s">
        <v>1481</v>
      </c>
      <c r="G103" s="587" t="s">
        <v>2591</v>
      </c>
      <c r="H103" s="590" t="s">
        <v>205</v>
      </c>
      <c r="I103" s="591">
        <v>36</v>
      </c>
      <c r="J103" s="592">
        <v>3211</v>
      </c>
      <c r="K103" s="593">
        <v>0.2033513845915047</v>
      </c>
      <c r="L103" s="606">
        <v>3863.9612959233218</v>
      </c>
      <c r="M103" s="608">
        <v>139102.60665323958</v>
      </c>
      <c r="O103" s="673"/>
      <c r="P103" s="361"/>
      <c r="Q103" s="441"/>
      <c r="R103" s="485"/>
      <c r="S103" s="442"/>
      <c r="T103" s="441">
        <v>18</v>
      </c>
      <c r="U103" s="485"/>
      <c r="V103" s="442"/>
      <c r="W103" s="441">
        <v>18</v>
      </c>
      <c r="X103" s="485"/>
      <c r="Y103" s="442"/>
      <c r="Z103" s="441"/>
      <c r="AA103" s="485"/>
      <c r="AB103" s="442"/>
      <c r="AC103" s="672"/>
      <c r="AD103" s="441">
        <v>0</v>
      </c>
      <c r="AE103" s="674">
        <v>139102.60665323958</v>
      </c>
      <c r="AF103" s="674">
        <v>0</v>
      </c>
      <c r="AG103" s="674">
        <v>0</v>
      </c>
      <c r="AH103" s="442">
        <v>0</v>
      </c>
      <c r="AI103" s="442">
        <v>0</v>
      </c>
    </row>
    <row r="104" spans="1:35" x14ac:dyDescent="0.25">
      <c r="A104" s="587" t="s">
        <v>250</v>
      </c>
      <c r="B104" s="369" t="s">
        <v>199</v>
      </c>
      <c r="C104" s="588"/>
      <c r="D104" s="589" t="s">
        <v>3429</v>
      </c>
      <c r="E104" s="44" t="s">
        <v>138</v>
      </c>
      <c r="F104" s="214" t="s">
        <v>1488</v>
      </c>
      <c r="G104" s="587" t="s">
        <v>2594</v>
      </c>
      <c r="H104" s="590" t="s">
        <v>205</v>
      </c>
      <c r="I104" s="591">
        <v>36</v>
      </c>
      <c r="J104" s="592">
        <v>5179.46</v>
      </c>
      <c r="K104" s="593">
        <v>0.2033513845915047</v>
      </c>
      <c r="L104" s="606">
        <v>6232.7103624363153</v>
      </c>
      <c r="M104" s="608">
        <v>224377.57304770735</v>
      </c>
      <c r="O104" s="673"/>
      <c r="P104" s="361"/>
      <c r="Q104" s="441"/>
      <c r="R104" s="485"/>
      <c r="S104" s="442"/>
      <c r="T104" s="441">
        <v>18</v>
      </c>
      <c r="U104" s="485"/>
      <c r="V104" s="442"/>
      <c r="W104" s="441">
        <v>18</v>
      </c>
      <c r="X104" s="485"/>
      <c r="Y104" s="442"/>
      <c r="Z104" s="441"/>
      <c r="AA104" s="485"/>
      <c r="AB104" s="442"/>
      <c r="AC104" s="672"/>
      <c r="AD104" s="441">
        <v>0</v>
      </c>
      <c r="AE104" s="674">
        <v>224377.57304770732</v>
      </c>
      <c r="AF104" s="674">
        <v>0</v>
      </c>
      <c r="AG104" s="674">
        <v>0</v>
      </c>
      <c r="AH104" s="442">
        <v>0</v>
      </c>
      <c r="AI104" s="442">
        <v>2.9103830456733704E-11</v>
      </c>
    </row>
    <row r="105" spans="1:35" x14ac:dyDescent="0.25">
      <c r="A105" s="587" t="s">
        <v>251</v>
      </c>
      <c r="B105" s="369" t="s">
        <v>199</v>
      </c>
      <c r="C105" s="588"/>
      <c r="D105" s="589" t="s">
        <v>3430</v>
      </c>
      <c r="E105" s="44" t="s">
        <v>138</v>
      </c>
      <c r="F105" s="214" t="s">
        <v>248</v>
      </c>
      <c r="G105" s="587" t="s">
        <v>245</v>
      </c>
      <c r="H105" s="590" t="s">
        <v>205</v>
      </c>
      <c r="I105" s="591">
        <v>36</v>
      </c>
      <c r="J105" s="592">
        <v>169.98</v>
      </c>
      <c r="K105" s="593">
        <v>0.2033513845915047</v>
      </c>
      <c r="L105" s="606">
        <v>204.54566835286397</v>
      </c>
      <c r="M105" s="608">
        <v>7363.6440607031027</v>
      </c>
      <c r="O105" s="673"/>
      <c r="P105" s="361"/>
      <c r="Q105" s="441"/>
      <c r="R105" s="485"/>
      <c r="S105" s="442"/>
      <c r="T105" s="441">
        <v>18</v>
      </c>
      <c r="U105" s="485"/>
      <c r="V105" s="442"/>
      <c r="W105" s="441">
        <v>18</v>
      </c>
      <c r="X105" s="485"/>
      <c r="Y105" s="442"/>
      <c r="Z105" s="441"/>
      <c r="AA105" s="485"/>
      <c r="AB105" s="442"/>
      <c r="AC105" s="672"/>
      <c r="AD105" s="441">
        <v>0</v>
      </c>
      <c r="AE105" s="674">
        <v>7363.6440607031027</v>
      </c>
      <c r="AF105" s="674">
        <v>0</v>
      </c>
      <c r="AG105" s="674">
        <v>0</v>
      </c>
      <c r="AH105" s="442">
        <v>0</v>
      </c>
      <c r="AI105" s="442">
        <v>0</v>
      </c>
    </row>
    <row r="106" spans="1:35" ht="48" x14ac:dyDescent="0.25">
      <c r="A106" s="587" t="s">
        <v>256</v>
      </c>
      <c r="B106" s="369" t="s">
        <v>199</v>
      </c>
      <c r="C106" s="588"/>
      <c r="D106" s="589" t="s">
        <v>3431</v>
      </c>
      <c r="E106" s="44" t="s">
        <v>138</v>
      </c>
      <c r="F106" s="214" t="s">
        <v>252</v>
      </c>
      <c r="G106" s="587" t="s">
        <v>254</v>
      </c>
      <c r="H106" s="590" t="s">
        <v>205</v>
      </c>
      <c r="I106" s="591">
        <v>36</v>
      </c>
      <c r="J106" s="592">
        <v>2000</v>
      </c>
      <c r="K106" s="593">
        <v>0.2033513845915047</v>
      </c>
      <c r="L106" s="606">
        <v>2406.7027691830094</v>
      </c>
      <c r="M106" s="608">
        <v>86641.299690588334</v>
      </c>
      <c r="O106" s="673"/>
      <c r="P106" s="361"/>
      <c r="Q106" s="441"/>
      <c r="R106" s="485"/>
      <c r="S106" s="442"/>
      <c r="T106" s="441">
        <v>18</v>
      </c>
      <c r="U106" s="485"/>
      <c r="V106" s="442"/>
      <c r="W106" s="441">
        <v>18</v>
      </c>
      <c r="X106" s="485"/>
      <c r="Y106" s="442"/>
      <c r="Z106" s="441"/>
      <c r="AA106" s="485"/>
      <c r="AB106" s="442"/>
      <c r="AC106" s="672"/>
      <c r="AD106" s="441">
        <v>0</v>
      </c>
      <c r="AE106" s="674">
        <v>86641.299690588334</v>
      </c>
      <c r="AF106" s="674">
        <v>0</v>
      </c>
      <c r="AG106" s="674">
        <v>0</v>
      </c>
      <c r="AH106" s="442">
        <v>0</v>
      </c>
      <c r="AI106" s="442">
        <v>0</v>
      </c>
    </row>
    <row r="107" spans="1:35" x14ac:dyDescent="0.25">
      <c r="A107" s="587" t="s">
        <v>260</v>
      </c>
      <c r="B107" s="369" t="s">
        <v>199</v>
      </c>
      <c r="C107" s="588"/>
      <c r="D107" s="589" t="s">
        <v>3432</v>
      </c>
      <c r="E107" s="44" t="s">
        <v>138</v>
      </c>
      <c r="F107" s="214" t="s">
        <v>259</v>
      </c>
      <c r="G107" s="587" t="s">
        <v>1055</v>
      </c>
      <c r="H107" s="590" t="s">
        <v>205</v>
      </c>
      <c r="I107" s="591">
        <v>36</v>
      </c>
      <c r="J107" s="592">
        <v>3535.31</v>
      </c>
      <c r="K107" s="593">
        <v>0.2033513845915047</v>
      </c>
      <c r="L107" s="606">
        <v>4254.2201834601929</v>
      </c>
      <c r="M107" s="608">
        <v>153151.92660456695</v>
      </c>
      <c r="O107" s="673"/>
      <c r="P107" s="361"/>
      <c r="Q107" s="441"/>
      <c r="R107" s="485"/>
      <c r="S107" s="442"/>
      <c r="T107" s="441">
        <v>18</v>
      </c>
      <c r="U107" s="485"/>
      <c r="V107" s="442"/>
      <c r="W107" s="441">
        <v>18</v>
      </c>
      <c r="X107" s="485"/>
      <c r="Y107" s="442"/>
      <c r="Z107" s="441"/>
      <c r="AA107" s="485"/>
      <c r="AB107" s="442"/>
      <c r="AC107" s="672"/>
      <c r="AD107" s="441">
        <v>0</v>
      </c>
      <c r="AE107" s="674">
        <v>36118.591808514015</v>
      </c>
      <c r="AF107" s="674">
        <v>117033.33479605292</v>
      </c>
      <c r="AG107" s="674">
        <v>0</v>
      </c>
      <c r="AH107" s="442">
        <v>0</v>
      </c>
      <c r="AI107" s="442">
        <v>2.9103830456733704E-11</v>
      </c>
    </row>
    <row r="108" spans="1:35" ht="24" hidden="1" x14ac:dyDescent="0.25">
      <c r="A108" s="587" t="s">
        <v>265</v>
      </c>
      <c r="B108" s="369" t="s">
        <v>268</v>
      </c>
      <c r="C108" s="588"/>
      <c r="D108" s="589" t="s">
        <v>3433</v>
      </c>
      <c r="E108" s="44" t="s">
        <v>27</v>
      </c>
      <c r="F108" s="214">
        <v>7030</v>
      </c>
      <c r="G108" s="587" t="s">
        <v>653</v>
      </c>
      <c r="H108" s="590" t="s">
        <v>76</v>
      </c>
      <c r="I108" s="591">
        <f>IF($F108="","",IF('TRECHO(S) A IMPRIMIR'!$B$1= 1, SUM(Q108, T108, W108, Z108), IF('TRECHO(S) A IMPRIMIR'!$B$1= 2, T108, IF('TRECHO(S) A IMPRIMIR'!$B$1= 3, W108, 0))))</f>
        <v>0</v>
      </c>
      <c r="J108" s="592">
        <v>176.84</v>
      </c>
      <c r="K108" s="593">
        <f>IF(AND(F108&lt;&gt;"",J108&lt;&gt;""),
  IF(OR(F108= "CP9001", F108= "CP9091", F108= "CP9092"), 0,
  IF($M$1 = "ENCARGOS SOCIAIS SEM DESONERAÇÃO",'BDI obras SD'!$H$23,'BDI obras CD'!$H$23)), "")</f>
        <v>0.2033513845915047</v>
      </c>
      <c r="L108" s="606">
        <f t="shared" ref="L106:L110" si="14">IF(J108="","",
  IF(AND(J108&lt;&gt;"",K108=""),J108,J108 * (1 + K108)))</f>
        <v>212.8006588511617</v>
      </c>
      <c r="M108" s="608">
        <f t="shared" ref="M103:M109" si="15">IF(F108="", "", IF(AND(F108&lt;&gt; "", OR(I108= "", J108= "")), 0, I108*L108))</f>
        <v>0</v>
      </c>
      <c r="O108" s="673"/>
      <c r="P108" s="361"/>
      <c r="Q108" s="441"/>
      <c r="R108" s="485"/>
      <c r="S108" s="442"/>
      <c r="T108" s="441">
        <f>(V$6 * 0%) * (188 * 10%)</f>
        <v>0</v>
      </c>
      <c r="U108" s="485"/>
      <c r="V108" s="442"/>
      <c r="W108" s="441">
        <f>(Y$6 * 0%) * (188 * 10%)</f>
        <v>0</v>
      </c>
      <c r="X108" s="485"/>
      <c r="Y108" s="442"/>
      <c r="Z108" s="441"/>
      <c r="AA108" s="485"/>
      <c r="AB108" s="442"/>
      <c r="AC108" s="672"/>
      <c r="AD108" s="441" t="s">
        <v>21</v>
      </c>
      <c r="AE108" s="674" t="s">
        <v>21</v>
      </c>
      <c r="AF108" s="674" t="s">
        <v>21</v>
      </c>
      <c r="AG108" s="674" t="s">
        <v>21</v>
      </c>
      <c r="AH108" s="442" t="s">
        <v>21</v>
      </c>
      <c r="AI108" s="442" t="str">
        <f t="shared" si="13"/>
        <v/>
      </c>
    </row>
    <row r="109" spans="1:35" ht="24" hidden="1" x14ac:dyDescent="0.25">
      <c r="A109" s="587" t="s">
        <v>266</v>
      </c>
      <c r="B109" s="369" t="s">
        <v>267</v>
      </c>
      <c r="C109" s="588"/>
      <c r="D109" s="589" t="s">
        <v>3434</v>
      </c>
      <c r="E109" s="44" t="s">
        <v>27</v>
      </c>
      <c r="F109" s="214">
        <v>7031</v>
      </c>
      <c r="G109" s="587" t="s">
        <v>652</v>
      </c>
      <c r="H109" s="590" t="s">
        <v>75</v>
      </c>
      <c r="I109" s="591">
        <f>IF($F109="","",IF('TRECHO(S) A IMPRIMIR'!$B$1= 1, SUM(Q109, T109, W109, Z109), IF('TRECHO(S) A IMPRIMIR'!$B$1= 2, T109, IF('TRECHO(S) A IMPRIMIR'!$B$1= 3, W109, 0))))</f>
        <v>0</v>
      </c>
      <c r="J109" s="592">
        <v>5.36</v>
      </c>
      <c r="K109" s="593">
        <f>IF(AND(F109&lt;&gt;"",J109&lt;&gt;""),
  IF(OR(F109= "CP9001", F109= "CP9091", F109= "CP9092"), 0,
  IF($M$1 = "ENCARGOS SOCIAIS SEM DESONERAÇÃO",'BDI obras SD'!$H$23,'BDI obras CD'!$H$23)), "")</f>
        <v>0.2033513845915047</v>
      </c>
      <c r="L109" s="606">
        <f t="shared" si="14"/>
        <v>6.449963421410466</v>
      </c>
      <c r="M109" s="608">
        <f t="shared" si="15"/>
        <v>0</v>
      </c>
      <c r="O109" s="673"/>
      <c r="P109" s="361"/>
      <c r="Q109" s="441"/>
      <c r="R109" s="485"/>
      <c r="S109" s="442"/>
      <c r="T109" s="441">
        <f>(V$6 * 0%) * (188 * 90%)</f>
        <v>0</v>
      </c>
      <c r="U109" s="485"/>
      <c r="V109" s="442"/>
      <c r="W109" s="441">
        <f>(Y$6 * 0%) * (188 * 90%)</f>
        <v>0</v>
      </c>
      <c r="X109" s="485"/>
      <c r="Y109" s="442"/>
      <c r="Z109" s="441"/>
      <c r="AA109" s="485"/>
      <c r="AB109" s="442"/>
      <c r="AC109" s="672"/>
      <c r="AD109" s="441" t="s">
        <v>21</v>
      </c>
      <c r="AE109" s="674" t="s">
        <v>21</v>
      </c>
      <c r="AF109" s="674" t="s">
        <v>21</v>
      </c>
      <c r="AG109" s="674" t="s">
        <v>21</v>
      </c>
      <c r="AH109" s="442" t="s">
        <v>21</v>
      </c>
      <c r="AI109" s="442" t="str">
        <f t="shared" si="13"/>
        <v/>
      </c>
    </row>
    <row r="110" spans="1:35" x14ac:dyDescent="0.25">
      <c r="A110" s="587" t="s">
        <v>257</v>
      </c>
      <c r="B110" s="369"/>
      <c r="C110" s="588"/>
      <c r="D110" s="589" t="s">
        <v>3435</v>
      </c>
      <c r="E110" s="44"/>
      <c r="F110" s="214"/>
      <c r="G110" s="587" t="s">
        <v>257</v>
      </c>
      <c r="H110" s="590" t="s">
        <v>21</v>
      </c>
      <c r="I110" s="591" t="str">
        <f>IF($F110="","",IF('TRECHO(S) A IMPRIMIR'!$B$1= 1, SUM(Q110, T110, W110, Z110), IF('TRECHO(S) A IMPRIMIR'!$B$1= 2, T110, IF('TRECHO(S) A IMPRIMIR'!$B$1= 3, W110, 0))))</f>
        <v/>
      </c>
      <c r="J110" s="592" t="s">
        <v>21</v>
      </c>
      <c r="K110" s="593" t="str">
        <f>IF(AND(F110&lt;&gt;"",J110&lt;&gt;""),
  IF(OR(F110= "CP9001", F110= "CP9091", F110= "CP9092"), 0,
  IF($M$1 = "ENCARGOS SOCIAIS SEM DESONERAÇÃO",'BDI obras SD'!$H$23,'BDI obras CD'!$H$23)), "")</f>
        <v/>
      </c>
      <c r="L110" s="592" t="str">
        <f t="shared" si="14"/>
        <v/>
      </c>
      <c r="M110" s="608">
        <v>0</v>
      </c>
      <c r="O110" s="673"/>
      <c r="P110" s="361"/>
      <c r="Q110" s="441"/>
      <c r="R110" s="485"/>
      <c r="S110" s="442"/>
      <c r="T110" s="441"/>
      <c r="U110" s="485"/>
      <c r="V110" s="442"/>
      <c r="W110" s="441"/>
      <c r="X110" s="485"/>
      <c r="Y110" s="442"/>
      <c r="Z110" s="441"/>
      <c r="AA110" s="485"/>
      <c r="AB110" s="442"/>
      <c r="AC110" s="672"/>
      <c r="AD110" s="441" t="s">
        <v>21</v>
      </c>
      <c r="AE110" s="674" t="s">
        <v>21</v>
      </c>
      <c r="AF110" s="674" t="s">
        <v>21</v>
      </c>
      <c r="AG110" s="674" t="s">
        <v>21</v>
      </c>
      <c r="AH110" s="442" t="s">
        <v>21</v>
      </c>
      <c r="AI110" s="442" t="str">
        <f t="shared" si="13"/>
        <v/>
      </c>
    </row>
    <row r="111" spans="1:35" ht="72.75" thickBot="1" x14ac:dyDescent="0.3">
      <c r="A111" s="587" t="s">
        <v>258</v>
      </c>
      <c r="B111" s="369" t="s">
        <v>147</v>
      </c>
      <c r="C111" s="588"/>
      <c r="D111" s="589" t="s">
        <v>3436</v>
      </c>
      <c r="E111" s="44"/>
      <c r="F111" s="214"/>
      <c r="G111" s="587" t="s">
        <v>258</v>
      </c>
      <c r="H111" s="590"/>
      <c r="I111" s="591" t="str">
        <f>IF($F111="","",IF('TRECHO(S) A IMPRIMIR'!$B$1= 1, SUM(Q111, T111, W111, Z111), IF('TRECHO(S) A IMPRIMIR'!$B$1= 2, T111, IF('TRECHO(S) A IMPRIMIR'!$B$1= 3, W111, 0))))</f>
        <v/>
      </c>
      <c r="J111" s="592" t="s">
        <v>21</v>
      </c>
      <c r="K111" s="593" t="str">
        <f>IF(AND(F111&lt;&gt;"",J111&lt;&gt;""),
  IF(OR(F111= "CP9001", F111= "CP9091", F111= "CP9092"), 0,
  IF($M$1 = "ENCARGOS SOCIAIS SEM DESONERAÇÃO",'BDI obras SD'!$H$23,'BDI obras CD'!$H$23)), "")</f>
        <v/>
      </c>
      <c r="L111" s="592" t="str">
        <f>IF(J111="","",
  IF(AND(J111&lt;&gt;"",K111=""),J111,J111 * (1 + K111)))</f>
        <v/>
      </c>
      <c r="M111" s="608" t="str">
        <f t="shared" ref="M111:M112" si="16">IF(F111="", "", IF(AND(F111&lt;&gt; "", OR(I111= "", J111= "")), 0, I111*L111))</f>
        <v/>
      </c>
      <c r="O111" s="673"/>
      <c r="P111" s="361"/>
      <c r="Q111" s="441"/>
      <c r="R111" s="485"/>
      <c r="S111" s="442"/>
      <c r="T111" s="441"/>
      <c r="U111" s="485"/>
      <c r="V111" s="442"/>
      <c r="W111" s="441"/>
      <c r="X111" s="485"/>
      <c r="Y111" s="442"/>
      <c r="Z111" s="441"/>
      <c r="AA111" s="485"/>
      <c r="AB111" s="442"/>
      <c r="AC111" s="672"/>
      <c r="AD111" s="441" t="s">
        <v>21</v>
      </c>
      <c r="AE111" s="674" t="s">
        <v>21</v>
      </c>
      <c r="AF111" s="674" t="s">
        <v>21</v>
      </c>
      <c r="AG111" s="674" t="s">
        <v>21</v>
      </c>
      <c r="AH111" s="442" t="s">
        <v>21</v>
      </c>
      <c r="AI111" s="442" t="str">
        <f t="shared" si="13"/>
        <v/>
      </c>
    </row>
    <row r="112" spans="1:35" ht="13.5" hidden="1" thickBot="1" x14ac:dyDescent="0.3">
      <c r="A112" s="587"/>
      <c r="B112" s="369"/>
      <c r="C112" s="588"/>
      <c r="D112" s="589"/>
      <c r="E112" s="44"/>
      <c r="F112" s="214" t="s">
        <v>147</v>
      </c>
      <c r="G112" s="587" t="s">
        <v>21</v>
      </c>
      <c r="H112" s="590" t="s">
        <v>21</v>
      </c>
      <c r="I112" s="591">
        <f>IF($F112="","",IF('TRECHO(S) A IMPRIMIR'!$B$1= 1, SUM(Q112, T112, W112, Z112), IF('TRECHO(S) A IMPRIMIR'!$B$1= 2, T112, IF('TRECHO(S) A IMPRIMIR'!$B$1= 3, W112, 0))))</f>
        <v>0</v>
      </c>
      <c r="J112" s="592" t="s">
        <v>21</v>
      </c>
      <c r="K112" s="593" t="str">
        <f>IF(AND(F112&lt;&gt;"",J112&lt;&gt;""),
  IF(OR(F112= "CP9001", F112= "CP9091", F112= "CP9092"), 0,
  IF($M$1 = "ENCARGOS SOCIAIS SEM DESONERAÇÃO",'BDI obras SD'!$H$23,'BDI obras CD'!$H$23)), "")</f>
        <v/>
      </c>
      <c r="L112" s="592" t="str">
        <f>IF(J112="","",
  IF(AND(J112&lt;&gt;"",K112=""),J112,J112 * (1 + K112)))</f>
        <v/>
      </c>
      <c r="M112" s="608">
        <f t="shared" si="16"/>
        <v>0</v>
      </c>
      <c r="O112" s="673"/>
      <c r="P112" s="361"/>
      <c r="Q112" s="441"/>
      <c r="R112" s="485"/>
      <c r="S112" s="442"/>
      <c r="T112" s="441"/>
      <c r="U112" s="485"/>
      <c r="V112" s="442"/>
      <c r="W112" s="441"/>
      <c r="X112" s="485"/>
      <c r="Y112" s="442"/>
      <c r="Z112" s="441"/>
      <c r="AA112" s="485"/>
      <c r="AB112" s="442"/>
      <c r="AC112" s="672"/>
      <c r="AD112" s="441" t="s">
        <v>21</v>
      </c>
      <c r="AE112" s="674" t="s">
        <v>21</v>
      </c>
      <c r="AF112" s="674" t="s">
        <v>21</v>
      </c>
      <c r="AG112" s="674" t="s">
        <v>21</v>
      </c>
      <c r="AH112" s="442" t="s">
        <v>21</v>
      </c>
      <c r="AI112" s="442" t="str">
        <f t="shared" si="13"/>
        <v/>
      </c>
    </row>
    <row r="113" spans="1:35" x14ac:dyDescent="0.25">
      <c r="A113" s="616"/>
      <c r="B113" s="617"/>
      <c r="C113" s="588"/>
      <c r="D113" s="618" t="s">
        <v>1383</v>
      </c>
      <c r="E113" s="513" t="s">
        <v>1384</v>
      </c>
      <c r="F113" s="514"/>
      <c r="G113" s="512"/>
      <c r="H113" s="512"/>
      <c r="I113" s="619"/>
      <c r="J113" s="620"/>
      <c r="K113" s="621"/>
      <c r="L113" s="620"/>
      <c r="M113" s="622"/>
      <c r="O113" s="688"/>
      <c r="P113" s="361"/>
      <c r="Q113" s="440">
        <v>0</v>
      </c>
      <c r="T113" s="440">
        <v>906119.8888377496</v>
      </c>
      <c r="W113" s="440">
        <v>833690.43345412775</v>
      </c>
      <c r="Z113" s="440">
        <v>0</v>
      </c>
      <c r="AC113" s="672"/>
      <c r="AD113" s="689">
        <v>125381.51689279579</v>
      </c>
      <c r="AE113" s="690">
        <v>1205861.3862381836</v>
      </c>
      <c r="AF113" s="690">
        <v>305508.59056831431</v>
      </c>
      <c r="AG113" s="690">
        <v>92172.753913364737</v>
      </c>
      <c r="AH113" s="691">
        <v>18658.37687012973</v>
      </c>
      <c r="AI113" s="692">
        <v>-7772.3021909102972</v>
      </c>
    </row>
    <row r="114" spans="1:35" x14ac:dyDescent="0.25">
      <c r="A114" s="623"/>
      <c r="B114" s="624"/>
      <c r="C114" s="588"/>
      <c r="D114" s="625" t="s">
        <v>1385</v>
      </c>
      <c r="E114" s="517"/>
      <c r="F114" s="518"/>
      <c r="G114" s="626"/>
      <c r="H114" s="517"/>
      <c r="I114" s="627"/>
      <c r="J114" s="628"/>
      <c r="K114" s="629"/>
      <c r="L114" s="628"/>
      <c r="M114" s="630"/>
      <c r="O114" s="688"/>
      <c r="P114" s="361"/>
      <c r="AC114" s="672"/>
      <c r="AD114" s="440"/>
      <c r="AE114" s="440"/>
      <c r="AF114" s="440"/>
      <c r="AG114" s="440"/>
      <c r="AH114" s="440"/>
      <c r="AI114" s="440"/>
    </row>
    <row r="115" spans="1:35" x14ac:dyDescent="0.25">
      <c r="A115" s="623"/>
      <c r="B115" s="624"/>
      <c r="C115" s="588"/>
      <c r="D115" s="631" t="s">
        <v>1386</v>
      </c>
      <c r="E115" s="521"/>
      <c r="F115" s="522"/>
      <c r="G115" s="632"/>
      <c r="H115" s="521"/>
      <c r="I115" s="633"/>
      <c r="J115" s="634"/>
      <c r="K115" s="635"/>
      <c r="L115" s="634"/>
      <c r="M115" s="636"/>
      <c r="O115" s="688"/>
      <c r="P115" s="361"/>
      <c r="AC115" s="672"/>
      <c r="AD115" s="440"/>
      <c r="AE115" s="440"/>
      <c r="AF115" s="440"/>
      <c r="AG115" s="440"/>
      <c r="AH115" s="440"/>
      <c r="AI115" s="440"/>
    </row>
    <row r="116" spans="1:35" x14ac:dyDescent="0.25">
      <c r="A116" s="623"/>
      <c r="B116" s="624"/>
      <c r="C116" s="588"/>
      <c r="D116" s="631" t="s">
        <v>1535</v>
      </c>
      <c r="E116" s="521"/>
      <c r="F116" s="522"/>
      <c r="G116" s="632"/>
      <c r="H116" s="521"/>
      <c r="I116" s="633"/>
      <c r="J116" s="634"/>
      <c r="K116" s="635"/>
      <c r="L116" s="634"/>
      <c r="M116" s="636"/>
      <c r="O116" s="688"/>
      <c r="P116" s="361"/>
      <c r="AC116" s="672"/>
      <c r="AD116" s="440"/>
      <c r="AE116" s="440"/>
      <c r="AF116" s="440"/>
      <c r="AG116" s="440"/>
      <c r="AH116" s="440"/>
      <c r="AI116" s="440"/>
    </row>
    <row r="117" spans="1:35" x14ac:dyDescent="0.25">
      <c r="A117" s="623"/>
      <c r="B117" s="624"/>
      <c r="C117" s="588"/>
      <c r="D117" s="631"/>
      <c r="E117" s="521"/>
      <c r="F117" s="522"/>
      <c r="G117" s="632"/>
      <c r="H117" s="521"/>
      <c r="I117" s="633"/>
      <c r="J117" s="634"/>
      <c r="K117" s="635"/>
      <c r="L117" s="634"/>
      <c r="M117" s="636"/>
      <c r="O117" s="688"/>
      <c r="P117" s="361"/>
      <c r="AC117" s="672"/>
      <c r="AD117" s="440"/>
      <c r="AE117" s="440"/>
      <c r="AF117" s="440"/>
      <c r="AG117" s="440"/>
      <c r="AH117" s="440"/>
      <c r="AI117" s="440"/>
    </row>
    <row r="118" spans="1:35" ht="13.5" thickBot="1" x14ac:dyDescent="0.3">
      <c r="A118" s="623"/>
      <c r="B118" s="624"/>
      <c r="C118" s="588"/>
      <c r="D118" s="637"/>
      <c r="E118" s="523"/>
      <c r="F118" s="524"/>
      <c r="G118" s="638"/>
      <c r="H118" s="523"/>
      <c r="I118" s="639"/>
      <c r="J118" s="640"/>
      <c r="K118" s="641"/>
      <c r="L118" s="640"/>
      <c r="M118" s="642"/>
      <c r="O118" s="688"/>
      <c r="P118" s="361"/>
      <c r="AC118" s="672"/>
      <c r="AD118" s="440"/>
      <c r="AE118" s="440"/>
      <c r="AF118" s="440"/>
      <c r="AG118" s="440"/>
      <c r="AH118" s="440"/>
      <c r="AI118" s="440"/>
    </row>
    <row r="119" spans="1:35" x14ac:dyDescent="0.25">
      <c r="A119" s="643"/>
      <c r="B119" s="644"/>
      <c r="C119" s="588"/>
      <c r="D119" s="123" t="str">
        <f>'PSP-RESUMO'!$A$16</f>
        <v>RRT DO ORÇAMENTO: 0</v>
      </c>
      <c r="E119" s="588"/>
      <c r="F119" s="645"/>
      <c r="G119" s="588"/>
      <c r="H119" s="646"/>
      <c r="I119" s="647"/>
      <c r="J119" s="648"/>
      <c r="K119" s="649"/>
      <c r="L119" s="648"/>
      <c r="M119" s="650"/>
      <c r="O119" s="672"/>
      <c r="P119" s="361"/>
      <c r="AC119" s="672"/>
      <c r="AD119" s="440"/>
      <c r="AE119" s="440"/>
      <c r="AF119" s="440"/>
      <c r="AG119" s="440"/>
      <c r="AH119" s="440"/>
      <c r="AI119" s="440"/>
    </row>
    <row r="120" spans="1:35" x14ac:dyDescent="0.25">
      <c r="A120" s="643"/>
      <c r="B120" s="644"/>
      <c r="C120" s="588"/>
      <c r="D120" s="693"/>
      <c r="E120" s="588"/>
      <c r="F120" s="645"/>
      <c r="G120" s="588"/>
      <c r="H120" s="646"/>
      <c r="I120" s="647"/>
      <c r="J120" s="643"/>
      <c r="K120" s="694"/>
      <c r="L120" s="647"/>
      <c r="M120" s="647"/>
      <c r="O120" s="672"/>
      <c r="P120" s="361"/>
      <c r="AC120" s="672"/>
      <c r="AD120" s="440"/>
      <c r="AE120" s="440"/>
      <c r="AF120" s="440"/>
      <c r="AG120" s="440"/>
      <c r="AH120" s="440"/>
      <c r="AI120" s="440"/>
    </row>
    <row r="121" spans="1:35" x14ac:dyDescent="0.25">
      <c r="A121" s="492"/>
      <c r="B121" s="644"/>
      <c r="C121" s="588"/>
      <c r="D121" s="588"/>
      <c r="E121" s="588"/>
      <c r="F121" s="645"/>
      <c r="G121" s="588"/>
      <c r="H121" s="646"/>
      <c r="I121" s="647"/>
      <c r="J121" s="492"/>
      <c r="K121" s="354" t="s">
        <v>135</v>
      </c>
      <c r="L121" s="354"/>
      <c r="M121" s="355"/>
      <c r="O121" s="672"/>
      <c r="P121" s="361"/>
      <c r="AC121" s="672"/>
      <c r="AD121" s="440"/>
      <c r="AE121" s="440"/>
      <c r="AF121" s="440"/>
      <c r="AG121" s="440"/>
      <c r="AH121" s="440"/>
      <c r="AI121" s="440"/>
    </row>
    <row r="122" spans="1:35" x14ac:dyDescent="0.25">
      <c r="A122" s="492"/>
      <c r="B122" s="644"/>
      <c r="C122" s="588"/>
      <c r="D122" s="695"/>
      <c r="E122" s="695"/>
      <c r="F122" s="696"/>
      <c r="G122" s="695"/>
      <c r="H122" s="644"/>
      <c r="I122" s="643"/>
      <c r="J122" s="492"/>
      <c r="K122" s="492" t="s">
        <v>136</v>
      </c>
      <c r="L122" s="492"/>
      <c r="M122" s="383"/>
      <c r="O122" s="672"/>
      <c r="P122" s="361"/>
      <c r="AC122" s="672"/>
      <c r="AD122" s="440"/>
      <c r="AE122" s="440"/>
      <c r="AF122" s="440"/>
      <c r="AG122" s="440"/>
      <c r="AH122" s="440"/>
      <c r="AI122" s="440"/>
    </row>
    <row r="123" spans="1:35" x14ac:dyDescent="0.25">
      <c r="A123" s="491"/>
      <c r="B123" s="284"/>
      <c r="D123" s="493"/>
      <c r="E123" s="493"/>
      <c r="F123" s="494"/>
      <c r="G123" s="493"/>
      <c r="H123" s="495"/>
      <c r="I123" s="496"/>
      <c r="J123" s="496"/>
      <c r="K123" s="497"/>
      <c r="L123" s="496"/>
      <c r="M123" s="496"/>
    </row>
    <row r="124" spans="1:35" x14ac:dyDescent="0.25">
      <c r="A124" s="491"/>
      <c r="B124" s="284"/>
      <c r="D124" s="116"/>
      <c r="E124" s="118"/>
      <c r="F124" s="117"/>
      <c r="G124" s="118"/>
      <c r="H124" s="119"/>
      <c r="I124" s="120"/>
      <c r="J124" s="121" t="s">
        <v>417</v>
      </c>
      <c r="K124" s="407"/>
      <c r="L124" s="121"/>
      <c r="M124" s="128">
        <v>7205013.7787119495</v>
      </c>
    </row>
    <row r="125" spans="1:35" x14ac:dyDescent="0.25">
      <c r="A125" s="283"/>
      <c r="B125" s="284"/>
      <c r="J125" s="279" t="s">
        <v>392</v>
      </c>
      <c r="K125" s="408"/>
      <c r="L125" s="279"/>
      <c r="M125" s="2">
        <v>1739810.3222918774</v>
      </c>
      <c r="O125" s="141"/>
    </row>
    <row r="126" spans="1:35" x14ac:dyDescent="0.25">
      <c r="J126" s="279" t="s">
        <v>393</v>
      </c>
      <c r="K126" s="408"/>
      <c r="L126" s="279"/>
      <c r="M126" s="2">
        <v>-5465203.4564200724</v>
      </c>
      <c r="O126" s="141"/>
    </row>
    <row r="127" spans="1:35" x14ac:dyDescent="0.25">
      <c r="J127" s="144"/>
      <c r="K127" s="409"/>
      <c r="L127" s="144"/>
      <c r="M127" s="144"/>
      <c r="O127" s="141"/>
    </row>
  </sheetData>
  <autoFilter ref="A7:AI112" xr:uid="{E47B9BC4-2C4F-4038-811B-CAFC59C4A9CD}">
    <filterColumn colId="8">
      <filters blank="1">
        <filter val="10,00"/>
        <filter val="100,00"/>
        <filter val="101,20"/>
        <filter val="12,00"/>
        <filter val="121.836,00"/>
        <filter val="13,05"/>
        <filter val="15,00"/>
        <filter val="152,93"/>
        <filter val="17,60"/>
        <filter val="18,00"/>
        <filter val="2,00"/>
        <filter val="2,20"/>
        <filter val="2.560,80"/>
        <filter val="200,00"/>
        <filter val="22,50"/>
        <filter val="24,00"/>
        <filter val="285,13"/>
        <filter val="3,00"/>
        <filter val="3.400,00"/>
        <filter val="330,00"/>
        <filter val="36,00"/>
        <filter val="36.920,00"/>
        <filter val="40,00"/>
        <filter val="45,00"/>
        <filter val="464,00"/>
        <filter val="5.538,00"/>
        <filter val="50,00"/>
        <filter val="7.698,60"/>
        <filter val="72,00"/>
        <filter val="8,80"/>
        <filter val="8.554,00"/>
        <filter val="88,00"/>
        <filter val="SERVIÇO"/>
      </filters>
    </filterColumn>
  </autoFilter>
  <mergeCells count="14">
    <mergeCell ref="D5:D6"/>
    <mergeCell ref="E5:I6"/>
    <mergeCell ref="O7:O8"/>
    <mergeCell ref="M7:M8"/>
    <mergeCell ref="H7:H8"/>
    <mergeCell ref="G7:G8"/>
    <mergeCell ref="B7:B8"/>
    <mergeCell ref="A7:A8"/>
    <mergeCell ref="E7:E8"/>
    <mergeCell ref="K7:K8"/>
    <mergeCell ref="L7:L8"/>
    <mergeCell ref="J7:J8"/>
    <mergeCell ref="F7:F8"/>
    <mergeCell ref="D7:D8"/>
  </mergeCells>
  <phoneticPr fontId="45" type="noConversion"/>
  <conditionalFormatting sqref="A9:V69 Z9:AI69 W13:Y69 A74:S89 T73:V92 A93:V94 W73:AI94 A96:AI96 W102:Y102 Z102:AI109 A102:V109 A110:AI112">
    <cfRule type="expression" dxfId="2103" priority="55">
      <formula>LEN($D9)= 3</formula>
    </cfRule>
    <cfRule type="expression" dxfId="2102" priority="56">
      <formula>AND(LEN($D9)=5,$H9="")</formula>
    </cfRule>
    <cfRule type="expression" dxfId="2101" priority="57">
      <formula>AND($D9&lt;&gt;"",$H9="")</formula>
    </cfRule>
  </conditionalFormatting>
  <conditionalFormatting sqref="Z97:AI99 A97:V98 A99:C99 E99:V99 D99:D101">
    <cfRule type="expression" dxfId="2100" priority="52">
      <formula>LEN($D97)= 3</formula>
    </cfRule>
    <cfRule type="expression" dxfId="2099" priority="53">
      <formula>AND(LEN($D97)=5,$H97="")</formula>
    </cfRule>
    <cfRule type="expression" dxfId="2098" priority="54">
      <formula>AND($D97&lt;&gt;"",$H97="")</formula>
    </cfRule>
  </conditionalFormatting>
  <conditionalFormatting sqref="A101:C101 E101:V101 Z101:AI101">
    <cfRule type="expression" dxfId="2097" priority="49">
      <formula>LEN($D101)= 3</formula>
    </cfRule>
    <cfRule type="expression" dxfId="2096" priority="50">
      <formula>AND(LEN($D101)=5,$H101="")</formula>
    </cfRule>
    <cfRule type="expression" dxfId="2095" priority="51">
      <formula>AND($D101&lt;&gt;"",$H101="")</formula>
    </cfRule>
  </conditionalFormatting>
  <conditionalFormatting sqref="A100:C100 E100:V100 Z100:AI100">
    <cfRule type="expression" dxfId="2094" priority="43">
      <formula>LEN($D100)= 3</formula>
    </cfRule>
    <cfRule type="expression" dxfId="2093" priority="44">
      <formula>AND(LEN($D100)=5,$H100="")</formula>
    </cfRule>
    <cfRule type="expression" dxfId="2092" priority="45">
      <formula>AND($D100&lt;&gt;"",$H100="")</formula>
    </cfRule>
  </conditionalFormatting>
  <conditionalFormatting sqref="W9:Y9">
    <cfRule type="expression" dxfId="2091" priority="40">
      <formula>LEN($D9)= 3</formula>
    </cfRule>
    <cfRule type="expression" dxfId="2090" priority="41">
      <formula>AND(LEN($D9)=5,$H9="")</formula>
    </cfRule>
    <cfRule type="expression" dxfId="2089" priority="42">
      <formula>AND($D9&lt;&gt;"",$H9="")</formula>
    </cfRule>
  </conditionalFormatting>
  <conditionalFormatting sqref="W10:Y12 W97:Y99 X103:Y109">
    <cfRule type="expression" dxfId="2088" priority="37">
      <formula>LEN($D10)= 3</formula>
    </cfRule>
    <cfRule type="expression" dxfId="2087" priority="38">
      <formula>AND(LEN($D10)=5,$H10="")</formula>
    </cfRule>
    <cfRule type="expression" dxfId="2086" priority="39">
      <formula>AND($D10&lt;&gt;"",$H10="")</formula>
    </cfRule>
  </conditionalFormatting>
  <conditionalFormatting sqref="W101:Y101">
    <cfRule type="expression" dxfId="2085" priority="34">
      <formula>LEN($D101)= 3</formula>
    </cfRule>
    <cfRule type="expression" dxfId="2084" priority="35">
      <formula>AND(LEN($D101)=5,$H101="")</formula>
    </cfRule>
    <cfRule type="expression" dxfId="2083" priority="36">
      <formula>AND($D101&lt;&gt;"",$H101="")</formula>
    </cfRule>
  </conditionalFormatting>
  <conditionalFormatting sqref="W100:Y100">
    <cfRule type="expression" dxfId="2082" priority="31">
      <formula>LEN($D100)= 3</formula>
    </cfRule>
    <cfRule type="expression" dxfId="2081" priority="32">
      <formula>AND(LEN($D100)=5,$H100="")</formula>
    </cfRule>
    <cfRule type="expression" dxfId="2080" priority="33">
      <formula>AND($D100&lt;&gt;"",$H100="")</formula>
    </cfRule>
  </conditionalFormatting>
  <conditionalFormatting sqref="W103:W109">
    <cfRule type="expression" dxfId="2079" priority="25">
      <formula>LEN($D103)= 3</formula>
    </cfRule>
    <cfRule type="expression" dxfId="2078" priority="26">
      <formula>AND(LEN($D103)=5,$H103="")</formula>
    </cfRule>
    <cfRule type="expression" dxfId="2077" priority="27">
      <formula>AND($D103&lt;&gt;"",$H103="")</formula>
    </cfRule>
  </conditionalFormatting>
  <conditionalFormatting sqref="A70:V72 Z70:AI72 A90:S92">
    <cfRule type="expression" dxfId="2076" priority="22">
      <formula>LEN($D70)= 3</formula>
    </cfRule>
    <cfRule type="expression" dxfId="2075" priority="23">
      <formula>AND(LEN($D70)=5,$H70="")</formula>
    </cfRule>
    <cfRule type="expression" dxfId="2074" priority="24">
      <formula>AND($D70&lt;&gt;"",$H70="")</formula>
    </cfRule>
  </conditionalFormatting>
  <conditionalFormatting sqref="W70:Y72">
    <cfRule type="expression" dxfId="2073" priority="19">
      <formula>LEN($D70)= 3</formula>
    </cfRule>
    <cfRule type="expression" dxfId="2072" priority="20">
      <formula>AND(LEN($D70)=5,$H70="")</formula>
    </cfRule>
    <cfRule type="expression" dxfId="2071" priority="21">
      <formula>AND($D70&lt;&gt;"",$H70="")</formula>
    </cfRule>
  </conditionalFormatting>
  <conditionalFormatting sqref="A73:N73 P73:S73">
    <cfRule type="expression" dxfId="2070" priority="16">
      <formula>LEN($D73)= 3</formula>
    </cfRule>
    <cfRule type="expression" dxfId="2069" priority="17">
      <formula>AND(LEN($D73)=5,$H73="")</formula>
    </cfRule>
    <cfRule type="expression" dxfId="2068" priority="18">
      <formula>AND($D73&lt;&gt;"",$H73="")</formula>
    </cfRule>
  </conditionalFormatting>
  <conditionalFormatting sqref="O73">
    <cfRule type="expression" dxfId="2067" priority="10">
      <formula>LEN($D73)= 3</formula>
    </cfRule>
    <cfRule type="expression" dxfId="2066" priority="11">
      <formula>AND(LEN($D73)=5,$H73="")</formula>
    </cfRule>
    <cfRule type="expression" dxfId="2065" priority="12">
      <formula>AND($D73&lt;&gt;"",$H73="")</formula>
    </cfRule>
  </conditionalFormatting>
  <conditionalFormatting sqref="Z95:AI95 A95:V95">
    <cfRule type="expression" dxfId="2064" priority="4">
      <formula>LEN($D95)= 3</formula>
    </cfRule>
    <cfRule type="expression" dxfId="2063" priority="5">
      <formula>AND(LEN($D95)=5,$H95="")</formula>
    </cfRule>
    <cfRule type="expression" dxfId="2062" priority="6">
      <formula>AND($D95&lt;&gt;"",$H95="")</formula>
    </cfRule>
  </conditionalFormatting>
  <conditionalFormatting sqref="W95:Y95">
    <cfRule type="expression" dxfId="2061" priority="1">
      <formula>LEN($D95)= 3</formula>
    </cfRule>
    <cfRule type="expression" dxfId="2060" priority="2">
      <formula>AND(LEN($D95)=5,$H95="")</formula>
    </cfRule>
    <cfRule type="expression" dxfId="2059" priority="3">
      <formula>AND($D95&lt;&gt;"",$H95="")</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02D2A-4569-475E-AE7D-DDDC3A41D780}">
  <sheetPr filterMode="1">
    <tabColor rgb="FF002060"/>
    <outlinePr summaryBelow="0" summaryRight="0"/>
    <pageSetUpPr fitToPage="1"/>
  </sheetPr>
  <dimension ref="A1:AI57"/>
  <sheetViews>
    <sheetView showGridLines="0" zoomScale="70" zoomScaleNormal="70" workbookViewId="0">
      <pane xSplit="9" ySplit="9" topLeftCell="S10" activePane="bottomRight" state="frozen"/>
      <selection activeCell="P26" sqref="P26"/>
      <selection pane="topRight" activeCell="P26" sqref="P26"/>
      <selection pane="bottomLeft" activeCell="P26" sqref="P26"/>
      <selection pane="bottomRight" activeCell="AB52" sqref="AB52"/>
    </sheetView>
  </sheetViews>
  <sheetFormatPr defaultColWidth="9.140625" defaultRowHeight="12.75" x14ac:dyDescent="0.25"/>
  <cols>
    <col min="1" max="1" width="50.7109375" style="3" customWidth="1"/>
    <col min="2" max="2" width="9.7109375" style="4" customWidth="1"/>
    <col min="3" max="3" width="1.7109375" style="3" customWidth="1"/>
    <col min="4" max="4" width="17.7109375" style="3" customWidth="1"/>
    <col min="5" max="5" width="15.7109375" style="3" customWidth="1"/>
    <col min="6" max="6" width="12.7109375" style="115" customWidth="1"/>
    <col min="7" max="7" width="50.7109375" style="3" customWidth="1"/>
    <col min="8" max="8" width="9.7109375" style="4" customWidth="1"/>
    <col min="9" max="9" width="12.7109375" style="2" customWidth="1"/>
    <col min="10" max="10" width="14.7109375" style="2" customWidth="1"/>
    <col min="11" max="11" width="14.7109375" style="410" customWidth="1"/>
    <col min="12" max="13" width="14.7109375" style="2" customWidth="1"/>
    <col min="14" max="14" width="1.7109375" style="40" customWidth="1"/>
    <col min="15" max="15" width="50.7109375" style="3" customWidth="1"/>
    <col min="16" max="16" width="1.7109375" style="40" customWidth="1"/>
    <col min="17" max="17" width="10.7109375" style="440" customWidth="1"/>
    <col min="18" max="18" width="10.7109375" style="471" customWidth="1"/>
    <col min="19" max="20" width="10.7109375" style="440" customWidth="1"/>
    <col min="21" max="21" width="10.7109375" style="471" customWidth="1"/>
    <col min="22" max="23" width="10.7109375" style="440" customWidth="1"/>
    <col min="24" max="24" width="10.7109375" style="471" customWidth="1"/>
    <col min="25" max="26" width="10.7109375" style="440" customWidth="1"/>
    <col min="27" max="27" width="10.7109375" style="471" customWidth="1"/>
    <col min="28" max="28" width="10.7109375" style="440" customWidth="1"/>
    <col min="29" max="29" width="1.7109375" style="3" customWidth="1"/>
    <col min="30" max="35" width="11.7109375" style="499" customWidth="1"/>
    <col min="36" max="16384" width="9.140625" style="3"/>
  </cols>
  <sheetData>
    <row r="1" spans="1:35" s="41" customFormat="1" ht="15" x14ac:dyDescent="0.25">
      <c r="A1" s="487"/>
      <c r="B1" s="487"/>
      <c r="D1" s="726" t="s">
        <v>1531</v>
      </c>
      <c r="E1" s="726"/>
      <c r="F1" s="726"/>
      <c r="G1" s="726"/>
      <c r="H1" s="726"/>
      <c r="I1" s="726"/>
      <c r="K1" s="727"/>
      <c r="L1" s="728"/>
      <c r="M1" s="757" t="str">
        <f>'PSP-RESUMO'!$C$3</f>
        <v>ENCARGOS SOCIAIS SEM DESONERAÇÃO</v>
      </c>
      <c r="O1" s="488"/>
      <c r="Q1" s="394"/>
      <c r="R1" s="489"/>
      <c r="S1" s="394"/>
      <c r="T1" s="394"/>
      <c r="U1" s="489"/>
      <c r="V1" s="394"/>
      <c r="W1" s="394"/>
      <c r="X1" s="489"/>
      <c r="Y1" s="394"/>
      <c r="Z1" s="394"/>
      <c r="AA1" s="489"/>
      <c r="AB1" s="394"/>
      <c r="AD1" s="498"/>
      <c r="AE1" s="498"/>
      <c r="AF1" s="498"/>
      <c r="AG1" s="498"/>
      <c r="AH1" s="498"/>
      <c r="AI1" s="498"/>
    </row>
    <row r="2" spans="1:35" s="41" customFormat="1" ht="15" x14ac:dyDescent="0.25">
      <c r="A2" s="487"/>
      <c r="B2" s="487"/>
      <c r="D2" s="729" t="s">
        <v>1147</v>
      </c>
      <c r="E2" s="744" t="str">
        <f>IF('TRECHO(S) A IMPRIMIR'!$B$1= 1, 'PSP-RESUMO'!$B$2, IF('TRECHO(S) A IMPRIMIR'!$B$1= 2,#REF!,#REF!))</f>
        <v>URBANIZAÇÃO DO SETOR SOL NASCENTE - TRECHOS 1 e 3</v>
      </c>
      <c r="F2" s="730"/>
      <c r="G2" s="730"/>
      <c r="H2" s="730"/>
      <c r="I2" s="730"/>
      <c r="J2" s="730"/>
      <c r="K2" s="731"/>
      <c r="L2" s="807" t="s">
        <v>156</v>
      </c>
      <c r="M2" s="808" t="str">
        <f>'PSP-RESUMO'!$D$4</f>
        <v>28/JAN/2022</v>
      </c>
      <c r="O2" s="488"/>
      <c r="Q2" s="394"/>
      <c r="R2" s="489"/>
      <c r="S2" s="394"/>
      <c r="T2" s="394"/>
      <c r="U2" s="489"/>
      <c r="V2" s="394"/>
      <c r="W2" s="394"/>
      <c r="X2" s="489"/>
      <c r="Y2" s="394"/>
      <c r="Z2" s="394"/>
      <c r="AA2" s="489"/>
      <c r="AB2" s="394"/>
      <c r="AD2" s="498"/>
      <c r="AE2" s="498"/>
      <c r="AF2" s="498"/>
      <c r="AG2" s="498"/>
      <c r="AH2" s="498"/>
      <c r="AI2" s="498"/>
    </row>
    <row r="3" spans="1:35" s="41" customFormat="1" ht="15" x14ac:dyDescent="0.25">
      <c r="A3" s="487"/>
      <c r="B3" s="487"/>
      <c r="D3" s="741" t="s">
        <v>34</v>
      </c>
      <c r="E3" s="742" t="str">
        <f>'PSP-RESUMO'!B3</f>
        <v>SETOR SOL NASCENTE, CEILÂNDIA/DF</v>
      </c>
      <c r="F3" s="742"/>
      <c r="G3" s="742"/>
      <c r="H3" s="742"/>
      <c r="I3" s="734"/>
      <c r="J3" s="734"/>
      <c r="K3" s="735"/>
      <c r="L3" s="807" t="s">
        <v>1978</v>
      </c>
      <c r="M3" s="809" t="str">
        <f>'PSP-RESUMO'!$D$18</f>
        <v>JUNHO/2021</v>
      </c>
      <c r="O3" s="488"/>
      <c r="Q3" s="394"/>
      <c r="R3" s="489"/>
      <c r="S3" s="394"/>
      <c r="T3" s="394"/>
      <c r="U3" s="489"/>
      <c r="V3" s="394"/>
      <c r="W3" s="394"/>
      <c r="X3" s="489"/>
      <c r="Y3" s="394"/>
      <c r="Z3" s="394"/>
      <c r="AA3" s="489"/>
      <c r="AB3" s="394"/>
      <c r="AD3" s="498"/>
      <c r="AE3" s="498"/>
      <c r="AF3" s="498"/>
      <c r="AG3" s="498"/>
      <c r="AH3" s="498"/>
      <c r="AI3" s="498"/>
    </row>
    <row r="4" spans="1:35" s="41" customFormat="1" ht="15" x14ac:dyDescent="0.25">
      <c r="A4" s="487"/>
      <c r="B4" s="487"/>
      <c r="D4" s="732" t="s">
        <v>33</v>
      </c>
      <c r="E4" s="742" t="str">
        <f>'PSP-RESUMO'!B4</f>
        <v>ARIA</v>
      </c>
      <c r="F4" s="737"/>
      <c r="G4" s="736"/>
      <c r="H4" s="734"/>
      <c r="I4" s="736"/>
      <c r="J4" s="736"/>
      <c r="K4" s="738"/>
      <c r="L4" s="807" t="s">
        <v>1979</v>
      </c>
      <c r="M4" s="810">
        <f>IF('PSP-RESUMO'!$C$3 = "ENCARGOS SOCIAIS SEM DESONERAÇÃO", 'BDI obras SD'!$H$23, 'BDI obras CD'!$H$23)</f>
        <v>0.2033513845915047</v>
      </c>
      <c r="O4" s="488"/>
      <c r="Q4" s="394"/>
      <c r="R4" s="489"/>
      <c r="S4" s="394"/>
      <c r="T4" s="394"/>
      <c r="U4" s="489"/>
      <c r="V4" s="394"/>
      <c r="W4" s="394"/>
      <c r="X4" s="489"/>
      <c r="Y4" s="394"/>
      <c r="Z4" s="394"/>
      <c r="AA4" s="489"/>
      <c r="AB4" s="394"/>
      <c r="AD4" s="498"/>
      <c r="AE4" s="498"/>
      <c r="AF4" s="498"/>
      <c r="AG4" s="498"/>
      <c r="AH4" s="498"/>
      <c r="AI4" s="498"/>
    </row>
    <row r="5" spans="1:35" s="41" customFormat="1" ht="15" customHeight="1" x14ac:dyDescent="0.25">
      <c r="A5" s="487"/>
      <c r="B5" s="487"/>
      <c r="D5" s="1946" t="s">
        <v>1284</v>
      </c>
      <c r="E5" s="1938" t="str">
        <f>$G$9</f>
        <v>ADMINISTRAÇÃO LOCAL - TRECHOS 1 e 3</v>
      </c>
      <c r="F5" s="1938"/>
      <c r="G5" s="1938"/>
      <c r="H5" s="1938"/>
      <c r="I5" s="1938"/>
      <c r="J5" s="734"/>
      <c r="K5" s="803"/>
      <c r="L5" s="807" t="s">
        <v>1980</v>
      </c>
      <c r="M5" s="811">
        <f>IF('PSP-RESUMO'!$C$3 = "ENCARGOS SOCIAIS SEM DESONERAÇÃO", 'BDI-Difer SD'!$H$23, 'BDI-Difer CD'!$H$23)</f>
        <v>0.11096635744680849</v>
      </c>
      <c r="O5" s="488"/>
      <c r="Q5" s="394"/>
      <c r="R5" s="489"/>
      <c r="S5" s="394"/>
      <c r="T5" s="394"/>
      <c r="U5" s="489"/>
      <c r="V5" s="394"/>
      <c r="W5" s="394"/>
      <c r="X5" s="489"/>
      <c r="Y5" s="394"/>
      <c r="Z5" s="394"/>
      <c r="AA5" s="489"/>
      <c r="AB5" s="394"/>
      <c r="AD5" s="498"/>
      <c r="AE5" s="498"/>
      <c r="AF5" s="498"/>
      <c r="AG5" s="498"/>
      <c r="AH5" s="498"/>
      <c r="AI5" s="498"/>
    </row>
    <row r="6" spans="1:35" s="41" customFormat="1" ht="15" customHeight="1" thickBot="1" x14ac:dyDescent="0.3">
      <c r="A6" s="487"/>
      <c r="B6" s="487"/>
      <c r="D6" s="1947"/>
      <c r="E6" s="1939"/>
      <c r="F6" s="1939"/>
      <c r="G6" s="1939"/>
      <c r="H6" s="1939"/>
      <c r="I6" s="1939"/>
      <c r="J6" s="739"/>
      <c r="K6" s="743"/>
      <c r="L6" s="813" t="s">
        <v>1339</v>
      </c>
      <c r="M6" s="802">
        <f>'01-CO'!M6</f>
        <v>18</v>
      </c>
      <c r="O6" s="488"/>
      <c r="Q6" s="394"/>
      <c r="R6" s="489"/>
      <c r="S6" s="394"/>
      <c r="T6" s="394"/>
      <c r="U6" s="812" t="s">
        <v>1339</v>
      </c>
      <c r="V6" s="1482">
        <f>'01-CO'!V6</f>
        <v>18</v>
      </c>
      <c r="W6" s="394"/>
      <c r="X6" s="812" t="s">
        <v>1339</v>
      </c>
      <c r="Y6" s="1482">
        <f>'01-CO'!Y6</f>
        <v>18</v>
      </c>
      <c r="Z6" s="394"/>
      <c r="AA6" s="489"/>
      <c r="AB6" s="394"/>
      <c r="AD6" s="498"/>
      <c r="AE6" s="498"/>
      <c r="AF6" s="498"/>
      <c r="AG6" s="498"/>
      <c r="AH6" s="498"/>
      <c r="AI6" s="498"/>
    </row>
    <row r="7" spans="1:35" ht="27" customHeight="1" x14ac:dyDescent="0.25">
      <c r="A7" s="1924" t="s">
        <v>31</v>
      </c>
      <c r="B7" s="1922" t="s">
        <v>1322</v>
      </c>
      <c r="D7" s="1934" t="s">
        <v>0</v>
      </c>
      <c r="E7" s="1924" t="s">
        <v>32</v>
      </c>
      <c r="F7" s="1932" t="s">
        <v>1206</v>
      </c>
      <c r="G7" s="1924" t="s">
        <v>30</v>
      </c>
      <c r="H7" s="1944" t="s">
        <v>1</v>
      </c>
      <c r="I7" s="472" t="s">
        <v>29</v>
      </c>
      <c r="J7" s="1930" t="s">
        <v>1204</v>
      </c>
      <c r="K7" s="1926" t="s">
        <v>1202</v>
      </c>
      <c r="L7" s="1928" t="s">
        <v>1203</v>
      </c>
      <c r="M7" s="1942" t="s">
        <v>1205</v>
      </c>
      <c r="N7" s="215"/>
      <c r="O7" s="1940" t="s">
        <v>160</v>
      </c>
      <c r="P7" s="215"/>
      <c r="Q7" s="465" t="s">
        <v>1283</v>
      </c>
      <c r="R7" s="469"/>
      <c r="S7" s="466"/>
      <c r="T7" s="465" t="s">
        <v>1717</v>
      </c>
      <c r="U7" s="469"/>
      <c r="V7" s="466"/>
      <c r="W7" s="465" t="s">
        <v>1804</v>
      </c>
      <c r="X7" s="469"/>
      <c r="Y7" s="466"/>
      <c r="Z7" s="467" t="s">
        <v>147</v>
      </c>
      <c r="AA7" s="469"/>
      <c r="AB7" s="468"/>
    </row>
    <row r="8" spans="1:35" ht="27" customHeight="1" thickBot="1" x14ac:dyDescent="0.3">
      <c r="A8" s="1925"/>
      <c r="B8" s="1923"/>
      <c r="D8" s="1935"/>
      <c r="E8" s="1925"/>
      <c r="F8" s="1933"/>
      <c r="G8" s="1925"/>
      <c r="H8" s="1945"/>
      <c r="I8" s="473" t="s">
        <v>8</v>
      </c>
      <c r="J8" s="1931"/>
      <c r="K8" s="1927"/>
      <c r="L8" s="1929"/>
      <c r="M8" s="1943"/>
      <c r="N8" s="215"/>
      <c r="O8" s="1941"/>
      <c r="P8" s="215"/>
      <c r="Q8" s="445" t="s">
        <v>1053</v>
      </c>
      <c r="R8" s="470" t="s">
        <v>1054</v>
      </c>
      <c r="S8" s="446" t="s">
        <v>288</v>
      </c>
      <c r="T8" s="445" t="s">
        <v>1053</v>
      </c>
      <c r="U8" s="470" t="s">
        <v>1054</v>
      </c>
      <c r="V8" s="446" t="s">
        <v>288</v>
      </c>
      <c r="W8" s="445" t="s">
        <v>1053</v>
      </c>
      <c r="X8" s="470" t="s">
        <v>1054</v>
      </c>
      <c r="Y8" s="446" t="s">
        <v>288</v>
      </c>
      <c r="Z8" s="445" t="s">
        <v>1053</v>
      </c>
      <c r="AA8" s="470" t="s">
        <v>1054</v>
      </c>
      <c r="AB8" s="446" t="s">
        <v>288</v>
      </c>
      <c r="AD8" s="503" t="s">
        <v>1340</v>
      </c>
      <c r="AE8" s="504" t="s">
        <v>1341</v>
      </c>
      <c r="AF8" s="504" t="s">
        <v>1342</v>
      </c>
      <c r="AG8" s="504" t="s">
        <v>1343</v>
      </c>
      <c r="AH8" s="505" t="s">
        <v>997</v>
      </c>
      <c r="AI8" s="505" t="s">
        <v>1381</v>
      </c>
    </row>
    <row r="9" spans="1:35" x14ac:dyDescent="0.25">
      <c r="A9" s="587" t="str">
        <f>IF('TRECHO(S) A IMPRIMIR'!$B$1= 1, "ADMINISTRAÇÃO LOCAL - TRECHOS 1 e 3", IF('TRECHO(S) A IMPRIMIR'!$B$1= 2, "ADMINISTRAÇÃO LOCAL - TRECHO 1", "ADMINISTRAÇÃO LOCAL - TRECHO 3"))</f>
        <v>ADMINISTRAÇÃO LOCAL - TRECHOS 1 e 3</v>
      </c>
      <c r="B9" s="369"/>
      <c r="C9" s="588"/>
      <c r="D9" s="589" t="s">
        <v>139</v>
      </c>
      <c r="E9" s="44"/>
      <c r="F9" s="214"/>
      <c r="G9" s="587" t="s">
        <v>4153</v>
      </c>
      <c r="H9" s="590" t="s">
        <v>21</v>
      </c>
      <c r="I9" s="591" t="s">
        <v>21</v>
      </c>
      <c r="J9" s="592" t="s">
        <v>21</v>
      </c>
      <c r="K9" s="593" t="s">
        <v>21</v>
      </c>
      <c r="L9" s="592" t="s">
        <v>21</v>
      </c>
      <c r="M9" s="594">
        <v>3571835.7619339433</v>
      </c>
      <c r="O9" s="673"/>
      <c r="P9" s="361"/>
      <c r="Q9" s="441"/>
      <c r="R9" s="485"/>
      <c r="S9" s="442"/>
      <c r="T9" s="441"/>
      <c r="U9" s="485"/>
      <c r="V9" s="442"/>
      <c r="W9" s="441"/>
      <c r="X9" s="485"/>
      <c r="Y9" s="442"/>
      <c r="Z9" s="441"/>
      <c r="AA9" s="485"/>
      <c r="AB9" s="442"/>
      <c r="AC9" s="672"/>
      <c r="AD9" s="441" t="s">
        <v>21</v>
      </c>
      <c r="AE9" s="674" t="s">
        <v>21</v>
      </c>
      <c r="AF9" s="674" t="s">
        <v>21</v>
      </c>
      <c r="AG9" s="674" t="s">
        <v>21</v>
      </c>
      <c r="AH9" s="442" t="s">
        <v>21</v>
      </c>
      <c r="AI9" s="442" t="str">
        <f>IF(SUM(AD9:AH9)=0,"",M9 - SUM(AD9:AH9))</f>
        <v/>
      </c>
    </row>
    <row r="10" spans="1:35" x14ac:dyDescent="0.25">
      <c r="A10" s="587" t="s">
        <v>1191</v>
      </c>
      <c r="B10" s="369"/>
      <c r="C10" s="588"/>
      <c r="D10" s="589" t="s">
        <v>187</v>
      </c>
      <c r="E10" s="44"/>
      <c r="F10" s="214"/>
      <c r="G10" s="587" t="s">
        <v>1191</v>
      </c>
      <c r="H10" s="590" t="s">
        <v>21</v>
      </c>
      <c r="I10" s="591" t="s">
        <v>21</v>
      </c>
      <c r="J10" s="592" t="s">
        <v>21</v>
      </c>
      <c r="K10" s="593" t="s">
        <v>21</v>
      </c>
      <c r="L10" s="592" t="s">
        <v>21</v>
      </c>
      <c r="M10" s="594">
        <v>62630.107503003295</v>
      </c>
      <c r="O10" s="673"/>
      <c r="P10" s="361"/>
      <c r="Q10" s="441"/>
      <c r="R10" s="485"/>
      <c r="S10" s="442"/>
      <c r="T10" s="441"/>
      <c r="U10" s="485"/>
      <c r="V10" s="442"/>
      <c r="W10" s="441"/>
      <c r="X10" s="485"/>
      <c r="Y10" s="442"/>
      <c r="Z10" s="441"/>
      <c r="AA10" s="485"/>
      <c r="AB10" s="442"/>
      <c r="AC10" s="672"/>
      <c r="AD10" s="441" t="s">
        <v>21</v>
      </c>
      <c r="AE10" s="674" t="s">
        <v>21</v>
      </c>
      <c r="AF10" s="674" t="s">
        <v>21</v>
      </c>
      <c r="AG10" s="674" t="s">
        <v>21</v>
      </c>
      <c r="AH10" s="442" t="s">
        <v>21</v>
      </c>
      <c r="AI10" s="442" t="str">
        <f t="shared" ref="AI10:AI42" si="0">IF(SUM(AD10:AH10)=0,"",M10 - SUM(AD10:AH10))</f>
        <v/>
      </c>
    </row>
    <row r="11" spans="1:35" x14ac:dyDescent="0.25">
      <c r="A11" s="587" t="s">
        <v>1192</v>
      </c>
      <c r="B11" s="369"/>
      <c r="C11" s="588"/>
      <c r="D11" s="589" t="s">
        <v>188</v>
      </c>
      <c r="E11" s="44"/>
      <c r="F11" s="214"/>
      <c r="G11" s="587" t="s">
        <v>1192</v>
      </c>
      <c r="H11" s="590" t="s">
        <v>21</v>
      </c>
      <c r="I11" s="591" t="s">
        <v>21</v>
      </c>
      <c r="J11" s="592" t="s">
        <v>21</v>
      </c>
      <c r="K11" s="593" t="s">
        <v>21</v>
      </c>
      <c r="L11" s="592" t="s">
        <v>21</v>
      </c>
      <c r="M11" s="594">
        <v>62630.107503003295</v>
      </c>
      <c r="O11" s="673"/>
      <c r="P11" s="361"/>
      <c r="Q11" s="441"/>
      <c r="R11" s="485"/>
      <c r="S11" s="442"/>
      <c r="T11" s="441"/>
      <c r="U11" s="485"/>
      <c r="V11" s="442"/>
      <c r="W11" s="441"/>
      <c r="X11" s="485"/>
      <c r="Y11" s="442"/>
      <c r="Z11" s="441"/>
      <c r="AA11" s="485"/>
      <c r="AB11" s="442"/>
      <c r="AC11" s="672"/>
      <c r="AD11" s="441" t="s">
        <v>21</v>
      </c>
      <c r="AE11" s="674" t="s">
        <v>21</v>
      </c>
      <c r="AF11" s="674" t="s">
        <v>21</v>
      </c>
      <c r="AG11" s="674" t="s">
        <v>21</v>
      </c>
      <c r="AH11" s="442" t="s">
        <v>21</v>
      </c>
      <c r="AI11" s="442" t="str">
        <f t="shared" si="0"/>
        <v/>
      </c>
    </row>
    <row r="12" spans="1:35" ht="24" x14ac:dyDescent="0.25">
      <c r="A12" s="587" t="s">
        <v>3448</v>
      </c>
      <c r="B12" s="369" t="s">
        <v>39</v>
      </c>
      <c r="C12" s="588"/>
      <c r="D12" s="589" t="s">
        <v>1323</v>
      </c>
      <c r="E12" s="44" t="s">
        <v>138</v>
      </c>
      <c r="F12" s="214" t="s">
        <v>3437</v>
      </c>
      <c r="G12" s="587" t="s">
        <v>3446</v>
      </c>
      <c r="H12" s="590" t="s">
        <v>41</v>
      </c>
      <c r="I12" s="591">
        <v>1</v>
      </c>
      <c r="J12" s="592">
        <v>34649.930000000008</v>
      </c>
      <c r="K12" s="593">
        <v>0.2033513845915047</v>
      </c>
      <c r="L12" s="592">
        <v>41696.041241498722</v>
      </c>
      <c r="M12" s="594">
        <v>41696.041241498722</v>
      </c>
      <c r="O12" s="673"/>
      <c r="P12" s="361"/>
      <c r="Q12" s="441"/>
      <c r="R12" s="485"/>
      <c r="S12" s="442"/>
      <c r="T12" s="441">
        <v>1</v>
      </c>
      <c r="U12" s="485"/>
      <c r="V12" s="442"/>
      <c r="W12" s="441"/>
      <c r="X12" s="485"/>
      <c r="Y12" s="442"/>
      <c r="Z12" s="441"/>
      <c r="AA12" s="485"/>
      <c r="AB12" s="442"/>
      <c r="AC12" s="672"/>
      <c r="AD12" s="441">
        <v>40867.148740764394</v>
      </c>
      <c r="AE12" s="674">
        <v>828.89250073432015</v>
      </c>
      <c r="AF12" s="674">
        <v>0</v>
      </c>
      <c r="AG12" s="674">
        <v>0</v>
      </c>
      <c r="AH12" s="442">
        <v>6.5666502519425446E-12</v>
      </c>
      <c r="AI12" s="442">
        <v>0</v>
      </c>
    </row>
    <row r="13" spans="1:35" ht="24" x14ac:dyDescent="0.25">
      <c r="A13" s="587" t="s">
        <v>3449</v>
      </c>
      <c r="B13" s="369" t="s">
        <v>39</v>
      </c>
      <c r="C13" s="588"/>
      <c r="D13" s="589" t="s">
        <v>3450</v>
      </c>
      <c r="E13" s="44" t="s">
        <v>138</v>
      </c>
      <c r="F13" s="214" t="s">
        <v>3445</v>
      </c>
      <c r="G13" s="587" t="s">
        <v>3447</v>
      </c>
      <c r="H13" s="590" t="s">
        <v>41</v>
      </c>
      <c r="I13" s="591">
        <v>1</v>
      </c>
      <c r="J13" s="592">
        <v>17396.47</v>
      </c>
      <c r="K13" s="593">
        <v>0.2033513845915047</v>
      </c>
      <c r="L13" s="592">
        <v>20934.066261504577</v>
      </c>
      <c r="M13" s="594">
        <v>20934.066261504577</v>
      </c>
      <c r="O13" s="673"/>
      <c r="P13" s="361"/>
      <c r="Q13" s="441"/>
      <c r="R13" s="485"/>
      <c r="S13" s="442"/>
      <c r="T13" s="441"/>
      <c r="U13" s="485"/>
      <c r="V13" s="442"/>
      <c r="W13" s="441">
        <v>1</v>
      </c>
      <c r="X13" s="485"/>
      <c r="Y13" s="442"/>
      <c r="Z13" s="441"/>
      <c r="AA13" s="485"/>
      <c r="AB13" s="442"/>
      <c r="AC13" s="672"/>
      <c r="AD13" s="441">
        <v>20518.212090017441</v>
      </c>
      <c r="AE13" s="674">
        <v>415.85417148713219</v>
      </c>
      <c r="AF13" s="674">
        <v>0</v>
      </c>
      <c r="AG13" s="674">
        <v>0</v>
      </c>
      <c r="AH13" s="442">
        <v>-1.6416625629856362E-12</v>
      </c>
      <c r="AI13" s="442">
        <v>3.637978807091713E-12</v>
      </c>
    </row>
    <row r="14" spans="1:35" x14ac:dyDescent="0.25">
      <c r="A14" s="587" t="s">
        <v>1193</v>
      </c>
      <c r="B14" s="369"/>
      <c r="C14" s="588"/>
      <c r="D14" s="589" t="s">
        <v>159</v>
      </c>
      <c r="E14" s="44"/>
      <c r="F14" s="214"/>
      <c r="G14" s="587" t="s">
        <v>1193</v>
      </c>
      <c r="H14" s="590" t="s">
        <v>21</v>
      </c>
      <c r="I14" s="591" t="s">
        <v>21</v>
      </c>
      <c r="J14" s="592" t="s">
        <v>21</v>
      </c>
      <c r="K14" s="593" t="s">
        <v>21</v>
      </c>
      <c r="L14" s="592" t="s">
        <v>21</v>
      </c>
      <c r="M14" s="594">
        <v>0</v>
      </c>
      <c r="O14" s="673"/>
      <c r="P14" s="361"/>
      <c r="Q14" s="441"/>
      <c r="R14" s="485"/>
      <c r="S14" s="442"/>
      <c r="T14" s="441"/>
      <c r="U14" s="485"/>
      <c r="V14" s="442"/>
      <c r="W14" s="441"/>
      <c r="X14" s="485"/>
      <c r="Y14" s="442"/>
      <c r="Z14" s="441"/>
      <c r="AA14" s="485"/>
      <c r="AB14" s="442"/>
      <c r="AC14" s="672"/>
      <c r="AD14" s="441" t="s">
        <v>21</v>
      </c>
      <c r="AE14" s="674" t="s">
        <v>21</v>
      </c>
      <c r="AF14" s="674" t="s">
        <v>21</v>
      </c>
      <c r="AG14" s="674" t="s">
        <v>21</v>
      </c>
      <c r="AH14" s="442" t="s">
        <v>21</v>
      </c>
      <c r="AI14" s="442" t="str">
        <f t="shared" si="0"/>
        <v/>
      </c>
    </row>
    <row r="15" spans="1:35" hidden="1" x14ac:dyDescent="0.25">
      <c r="A15" s="587"/>
      <c r="B15" s="369"/>
      <c r="C15" s="588"/>
      <c r="D15" s="589" t="s">
        <v>189</v>
      </c>
      <c r="E15" s="44"/>
      <c r="F15" s="214" t="s">
        <v>147</v>
      </c>
      <c r="G15" s="587" t="s">
        <v>21</v>
      </c>
      <c r="H15" s="590" t="s">
        <v>21</v>
      </c>
      <c r="I15" s="591">
        <f>IF($F15="","",IF('TRECHO(S) A IMPRIMIR'!$B$1= 1, SUM(Q15, T15, W15, Z15), IF('TRECHO(S) A IMPRIMIR'!$B$1= 2, T15, IF('TRECHO(S) A IMPRIMIR'!$B$1= 3, W15, 0))))</f>
        <v>0</v>
      </c>
      <c r="J15" s="592" t="s">
        <v>21</v>
      </c>
      <c r="K15" s="593" t="str">
        <f>IF(AND(F15&lt;&gt;"",J15&lt;&gt;""),
  IF(OR(F15= "CP9001", F15= "CP9091", F15= "CP9092"), 0,
  IF($M$1 = "ENCARGOS SOCIAIS SEM DESONERAÇÃO",'BDI obras SD'!$H$23,'BDI obras CD'!$H$23)),"")</f>
        <v/>
      </c>
      <c r="L15" s="592" t="str">
        <f t="shared" ref="L9:L41" si="1">IF(J15="","",
  IF(AND(J15&lt;&gt;"",K15=""),J15,J15 * (1 + K15)))</f>
        <v/>
      </c>
      <c r="M15" s="594">
        <f t="shared" ref="M12:M27" si="2">IF(F15="", "", IF(AND(F15&lt;&gt; "", OR(I15= "", J15= "")), 0, I15*L15))</f>
        <v>0</v>
      </c>
      <c r="O15" s="673"/>
      <c r="P15" s="361"/>
      <c r="Q15" s="441"/>
      <c r="R15" s="485"/>
      <c r="S15" s="442"/>
      <c r="T15" s="441"/>
      <c r="U15" s="485"/>
      <c r="V15" s="442"/>
      <c r="W15" s="441"/>
      <c r="X15" s="485"/>
      <c r="Y15" s="442"/>
      <c r="Z15" s="441"/>
      <c r="AA15" s="485"/>
      <c r="AB15" s="442"/>
      <c r="AC15" s="672"/>
      <c r="AD15" s="441" t="s">
        <v>21</v>
      </c>
      <c r="AE15" s="674" t="s">
        <v>21</v>
      </c>
      <c r="AF15" s="674" t="s">
        <v>21</v>
      </c>
      <c r="AG15" s="674" t="s">
        <v>21</v>
      </c>
      <c r="AH15" s="442" t="s">
        <v>21</v>
      </c>
      <c r="AI15" s="442" t="str">
        <f t="shared" si="0"/>
        <v/>
      </c>
    </row>
    <row r="16" spans="1:35" x14ac:dyDescent="0.25">
      <c r="A16" s="587" t="s">
        <v>1194</v>
      </c>
      <c r="B16" s="369"/>
      <c r="C16" s="588"/>
      <c r="D16" s="589" t="s">
        <v>298</v>
      </c>
      <c r="E16" s="44"/>
      <c r="F16" s="214"/>
      <c r="G16" s="587" t="s">
        <v>1194</v>
      </c>
      <c r="H16" s="590" t="s">
        <v>21</v>
      </c>
      <c r="I16" s="591" t="str">
        <f>IF($F16="","",IF('TRECHO(S) A IMPRIMIR'!$B$1= 1, SUM(Q16, T16, W16, Z16), IF('TRECHO(S) A IMPRIMIR'!$B$1= 2, T16, IF('TRECHO(S) A IMPRIMIR'!$B$1= 3, W16, 0))))</f>
        <v/>
      </c>
      <c r="J16" s="592" t="s">
        <v>21</v>
      </c>
      <c r="K16" s="593" t="str">
        <f>IF(AND(F16&lt;&gt;"",J16&lt;&gt;""),
  IF(OR(F16= "CP9001", F16= "CP9091", F16= "CP9092"), 0,
  IF($M$1 = "ENCARGOS SOCIAIS SEM DESONERAÇÃO",'BDI obras SD'!$H$23,'BDI obras CD'!$H$23)),"")</f>
        <v/>
      </c>
      <c r="L16" s="592" t="str">
        <f t="shared" si="1"/>
        <v/>
      </c>
      <c r="M16" s="594">
        <v>0</v>
      </c>
      <c r="O16" s="673"/>
      <c r="P16" s="361"/>
      <c r="Q16" s="441"/>
      <c r="R16" s="485"/>
      <c r="S16" s="442"/>
      <c r="T16" s="441"/>
      <c r="U16" s="485"/>
      <c r="V16" s="442"/>
      <c r="W16" s="441"/>
      <c r="X16" s="485"/>
      <c r="Y16" s="442"/>
      <c r="Z16" s="441"/>
      <c r="AA16" s="485"/>
      <c r="AB16" s="442"/>
      <c r="AC16" s="672"/>
      <c r="AD16" s="441" t="s">
        <v>21</v>
      </c>
      <c r="AE16" s="674" t="s">
        <v>21</v>
      </c>
      <c r="AF16" s="674" t="s">
        <v>21</v>
      </c>
      <c r="AG16" s="674" t="s">
        <v>21</v>
      </c>
      <c r="AH16" s="442" t="s">
        <v>21</v>
      </c>
      <c r="AI16" s="442" t="str">
        <f t="shared" si="0"/>
        <v/>
      </c>
    </row>
    <row r="17" spans="1:35" x14ac:dyDescent="0.25">
      <c r="A17" s="587" t="s">
        <v>1195</v>
      </c>
      <c r="B17" s="369"/>
      <c r="C17" s="588"/>
      <c r="D17" s="589" t="s">
        <v>299</v>
      </c>
      <c r="E17" s="44"/>
      <c r="F17" s="214"/>
      <c r="G17" s="587" t="s">
        <v>1195</v>
      </c>
      <c r="H17" s="590" t="s">
        <v>21</v>
      </c>
      <c r="I17" s="591" t="str">
        <f>IF($F17="","",IF('TRECHO(S) A IMPRIMIR'!$B$1= 1, SUM(Q17, T17, W17, Z17), IF('TRECHO(S) A IMPRIMIR'!$B$1= 2, T17, IF('TRECHO(S) A IMPRIMIR'!$B$1= 3, W17, 0))))</f>
        <v/>
      </c>
      <c r="J17" s="592" t="s">
        <v>21</v>
      </c>
      <c r="K17" s="593" t="str">
        <f>IF(AND(F17&lt;&gt;"",J17&lt;&gt;""),
  IF(OR(F17= "CP9001", F17= "CP9091", F17= "CP9092"), 0,
  IF($M$1 = "ENCARGOS SOCIAIS SEM DESONERAÇÃO",'BDI obras SD'!$H$23,'BDI obras CD'!$H$23)),"")</f>
        <v/>
      </c>
      <c r="L17" s="592" t="str">
        <f t="shared" si="1"/>
        <v/>
      </c>
      <c r="M17" s="594">
        <v>0</v>
      </c>
      <c r="O17" s="673"/>
      <c r="P17" s="361"/>
      <c r="Q17" s="441"/>
      <c r="R17" s="485"/>
      <c r="S17" s="442"/>
      <c r="T17" s="441"/>
      <c r="U17" s="485"/>
      <c r="V17" s="442"/>
      <c r="W17" s="441"/>
      <c r="X17" s="485"/>
      <c r="Y17" s="442"/>
      <c r="Z17" s="441"/>
      <c r="AA17" s="485"/>
      <c r="AB17" s="442"/>
      <c r="AC17" s="672"/>
      <c r="AD17" s="441" t="s">
        <v>21</v>
      </c>
      <c r="AE17" s="674" t="s">
        <v>21</v>
      </c>
      <c r="AF17" s="674" t="s">
        <v>21</v>
      </c>
      <c r="AG17" s="674" t="s">
        <v>21</v>
      </c>
      <c r="AH17" s="442" t="s">
        <v>21</v>
      </c>
      <c r="AI17" s="442" t="str">
        <f t="shared" si="0"/>
        <v/>
      </c>
    </row>
    <row r="18" spans="1:35" hidden="1" x14ac:dyDescent="0.25">
      <c r="A18" s="587"/>
      <c r="B18" s="369"/>
      <c r="C18" s="588"/>
      <c r="D18" s="589"/>
      <c r="E18" s="44"/>
      <c r="F18" s="214" t="s">
        <v>147</v>
      </c>
      <c r="G18" s="587" t="s">
        <v>21</v>
      </c>
      <c r="H18" s="590" t="s">
        <v>21</v>
      </c>
      <c r="I18" s="591">
        <f>IF($F18="","",IF('TRECHO(S) A IMPRIMIR'!$B$1= 1, SUM(Q18, T18, W18, Z18), IF('TRECHO(S) A IMPRIMIR'!$B$1= 2, T18, IF('TRECHO(S) A IMPRIMIR'!$B$1= 3, W18, 0))))</f>
        <v>0</v>
      </c>
      <c r="J18" s="592" t="s">
        <v>21</v>
      </c>
      <c r="K18" s="593" t="str">
        <f>IF(AND(F18&lt;&gt;"",J18&lt;&gt;""),
  IF(OR(F18= "CP9001", F18= "CP9091", F18= "CP9092"), 0,
  IF($M$1 = "ENCARGOS SOCIAIS SEM DESONERAÇÃO",'BDI obras SD'!$H$23,'BDI obras CD'!$H$23)),"")</f>
        <v/>
      </c>
      <c r="L18" s="592" t="str">
        <f t="shared" si="1"/>
        <v/>
      </c>
      <c r="M18" s="594">
        <f t="shared" si="2"/>
        <v>0</v>
      </c>
      <c r="O18" s="673"/>
      <c r="P18" s="361"/>
      <c r="Q18" s="441"/>
      <c r="R18" s="485"/>
      <c r="S18" s="442"/>
      <c r="T18" s="441"/>
      <c r="U18" s="485"/>
      <c r="V18" s="442"/>
      <c r="W18" s="441"/>
      <c r="X18" s="485"/>
      <c r="Y18" s="442"/>
      <c r="Z18" s="441"/>
      <c r="AA18" s="485"/>
      <c r="AB18" s="442"/>
      <c r="AC18" s="672"/>
      <c r="AD18" s="441" t="s">
        <v>21</v>
      </c>
      <c r="AE18" s="674" t="s">
        <v>21</v>
      </c>
      <c r="AF18" s="674" t="s">
        <v>21</v>
      </c>
      <c r="AG18" s="674" t="s">
        <v>21</v>
      </c>
      <c r="AH18" s="442" t="s">
        <v>21</v>
      </c>
      <c r="AI18" s="442" t="str">
        <f t="shared" si="0"/>
        <v/>
      </c>
    </row>
    <row r="19" spans="1:35" x14ac:dyDescent="0.25">
      <c r="A19" s="587" t="s">
        <v>1196</v>
      </c>
      <c r="B19" s="369"/>
      <c r="C19" s="588"/>
      <c r="D19" s="589" t="s">
        <v>300</v>
      </c>
      <c r="E19" s="44"/>
      <c r="F19" s="214"/>
      <c r="G19" s="587" t="s">
        <v>1196</v>
      </c>
      <c r="H19" s="590" t="s">
        <v>21</v>
      </c>
      <c r="I19" s="591" t="str">
        <f>IF($F19="","",IF('TRECHO(S) A IMPRIMIR'!$B$1= 1, SUM(Q19, T19, W19, Z19), IF('TRECHO(S) A IMPRIMIR'!$B$1= 2, T19, IF('TRECHO(S) A IMPRIMIR'!$B$1= 3, W19, 0))))</f>
        <v/>
      </c>
      <c r="J19" s="592" t="s">
        <v>21</v>
      </c>
      <c r="K19" s="593" t="str">
        <f>IF(AND(F19&lt;&gt;"",J19&lt;&gt;""),
  IF(OR(F19= "CP9001", F19= "CP9091", F19= "CP9092"), 0,
  IF($M$1 = "ENCARGOS SOCIAIS SEM DESONERAÇÃO",'BDI obras SD'!$H$23,'BDI obras CD'!$H$23)),"")</f>
        <v/>
      </c>
      <c r="L19" s="592" t="str">
        <f t="shared" si="1"/>
        <v/>
      </c>
      <c r="M19" s="594">
        <v>0</v>
      </c>
      <c r="O19" s="673"/>
      <c r="P19" s="361"/>
      <c r="Q19" s="441"/>
      <c r="R19" s="485"/>
      <c r="S19" s="442"/>
      <c r="T19" s="441"/>
      <c r="U19" s="485"/>
      <c r="V19" s="442"/>
      <c r="W19" s="441"/>
      <c r="X19" s="485"/>
      <c r="Y19" s="442"/>
      <c r="Z19" s="441"/>
      <c r="AA19" s="485"/>
      <c r="AB19" s="442"/>
      <c r="AC19" s="672"/>
      <c r="AD19" s="441" t="s">
        <v>21</v>
      </c>
      <c r="AE19" s="674" t="s">
        <v>21</v>
      </c>
      <c r="AF19" s="674" t="s">
        <v>21</v>
      </c>
      <c r="AG19" s="674" t="s">
        <v>21</v>
      </c>
      <c r="AH19" s="442" t="s">
        <v>21</v>
      </c>
      <c r="AI19" s="442" t="str">
        <f t="shared" si="0"/>
        <v/>
      </c>
    </row>
    <row r="20" spans="1:35" x14ac:dyDescent="0.25">
      <c r="A20" s="587" t="s">
        <v>1197</v>
      </c>
      <c r="B20" s="369"/>
      <c r="C20" s="588"/>
      <c r="D20" s="589" t="s">
        <v>1324</v>
      </c>
      <c r="E20" s="44"/>
      <c r="F20" s="214"/>
      <c r="G20" s="587" t="s">
        <v>1197</v>
      </c>
      <c r="H20" s="590" t="s">
        <v>21</v>
      </c>
      <c r="I20" s="591" t="str">
        <f>IF($F20="","",IF('TRECHO(S) A IMPRIMIR'!$B$1= 1, SUM(Q20, T20, W20, Z20), IF('TRECHO(S) A IMPRIMIR'!$B$1= 2, T20, IF('TRECHO(S) A IMPRIMIR'!$B$1= 3, W20, 0))))</f>
        <v/>
      </c>
      <c r="J20" s="592" t="s">
        <v>21</v>
      </c>
      <c r="K20" s="593" t="str">
        <f>IF(AND(F20&lt;&gt;"",J20&lt;&gt;""),
  IF(OR(F20= "CP9001", F20= "CP9091", F20= "CP9092"), 0,
  IF($M$1 = "ENCARGOS SOCIAIS SEM DESONERAÇÃO",'BDI obras SD'!$H$23,'BDI obras CD'!$H$23)),"")</f>
        <v/>
      </c>
      <c r="L20" s="592" t="str">
        <f t="shared" si="1"/>
        <v/>
      </c>
      <c r="M20" s="594">
        <v>0</v>
      </c>
      <c r="O20" s="673"/>
      <c r="P20" s="361"/>
      <c r="Q20" s="441"/>
      <c r="R20" s="485"/>
      <c r="S20" s="442"/>
      <c r="T20" s="441"/>
      <c r="U20" s="485"/>
      <c r="V20" s="442"/>
      <c r="W20" s="441"/>
      <c r="X20" s="485"/>
      <c r="Y20" s="442"/>
      <c r="Z20" s="441"/>
      <c r="AA20" s="485"/>
      <c r="AB20" s="442"/>
      <c r="AC20" s="672"/>
      <c r="AD20" s="441" t="s">
        <v>21</v>
      </c>
      <c r="AE20" s="674" t="s">
        <v>21</v>
      </c>
      <c r="AF20" s="674" t="s">
        <v>21</v>
      </c>
      <c r="AG20" s="674" t="s">
        <v>21</v>
      </c>
      <c r="AH20" s="442" t="s">
        <v>21</v>
      </c>
      <c r="AI20" s="442" t="str">
        <f t="shared" si="0"/>
        <v/>
      </c>
    </row>
    <row r="21" spans="1:35" hidden="1" x14ac:dyDescent="0.25">
      <c r="A21" s="587"/>
      <c r="B21" s="369"/>
      <c r="C21" s="588"/>
      <c r="D21" s="589"/>
      <c r="E21" s="44"/>
      <c r="F21" s="214" t="s">
        <v>147</v>
      </c>
      <c r="G21" s="587" t="s">
        <v>21</v>
      </c>
      <c r="H21" s="590" t="s">
        <v>21</v>
      </c>
      <c r="I21" s="591">
        <f>IF($F21="","",IF('TRECHO(S) A IMPRIMIR'!$B$1= 1, SUM(Q21, T21, W21, Z21), IF('TRECHO(S) A IMPRIMIR'!$B$1= 2, T21, IF('TRECHO(S) A IMPRIMIR'!$B$1= 3, W21, 0))))</f>
        <v>0</v>
      </c>
      <c r="J21" s="592" t="s">
        <v>21</v>
      </c>
      <c r="K21" s="593" t="str">
        <f>IF(AND(F21&lt;&gt;"",J21&lt;&gt;""),
  IF(OR(F21= "CP9001", F21= "CP9091", F21= "CP9092"), 0,
  IF($M$1 = "ENCARGOS SOCIAIS SEM DESONERAÇÃO",'BDI obras SD'!$H$23,'BDI obras CD'!$H$23)),"")</f>
        <v/>
      </c>
      <c r="L21" s="592" t="str">
        <f t="shared" si="1"/>
        <v/>
      </c>
      <c r="M21" s="594">
        <f t="shared" si="2"/>
        <v>0</v>
      </c>
      <c r="O21" s="673"/>
      <c r="P21" s="361"/>
      <c r="Q21" s="441"/>
      <c r="R21" s="485"/>
      <c r="S21" s="442"/>
      <c r="T21" s="441"/>
      <c r="U21" s="485"/>
      <c r="V21" s="442"/>
      <c r="W21" s="441"/>
      <c r="X21" s="485"/>
      <c r="Y21" s="442"/>
      <c r="Z21" s="441"/>
      <c r="AA21" s="485"/>
      <c r="AB21" s="442"/>
      <c r="AC21" s="672"/>
      <c r="AD21" s="441" t="s">
        <v>21</v>
      </c>
      <c r="AE21" s="674" t="s">
        <v>21</v>
      </c>
      <c r="AF21" s="674" t="s">
        <v>21</v>
      </c>
      <c r="AG21" s="674" t="s">
        <v>21</v>
      </c>
      <c r="AH21" s="442" t="s">
        <v>21</v>
      </c>
      <c r="AI21" s="442" t="str">
        <f t="shared" si="0"/>
        <v/>
      </c>
    </row>
    <row r="22" spans="1:35" x14ac:dyDescent="0.25">
      <c r="A22" s="587" t="s">
        <v>1198</v>
      </c>
      <c r="B22" s="369"/>
      <c r="C22" s="588"/>
      <c r="D22" s="589" t="s">
        <v>1325</v>
      </c>
      <c r="E22" s="44"/>
      <c r="F22" s="214"/>
      <c r="G22" s="587" t="s">
        <v>1198</v>
      </c>
      <c r="H22" s="590" t="s">
        <v>21</v>
      </c>
      <c r="I22" s="591" t="str">
        <f>IF($F22="","",IF('TRECHO(S) A IMPRIMIR'!$B$1= 1, SUM(Q22, T22, W22, Z22), IF('TRECHO(S) A IMPRIMIR'!$B$1= 2, T22, IF('TRECHO(S) A IMPRIMIR'!$B$1= 3, W22, 0))))</f>
        <v/>
      </c>
      <c r="J22" s="592" t="s">
        <v>21</v>
      </c>
      <c r="K22" s="593" t="str">
        <f>IF(AND(F22&lt;&gt;"",J22&lt;&gt;""),
  IF(OR(F22= "CP9001", F22= "CP9091", F22= "CP9092"), 0,
  IF($M$1 = "ENCARGOS SOCIAIS SEM DESONERAÇÃO",'BDI obras SD'!$H$23,'BDI obras CD'!$H$23)),"")</f>
        <v/>
      </c>
      <c r="L22" s="592" t="str">
        <f t="shared" si="1"/>
        <v/>
      </c>
      <c r="M22" s="594">
        <v>0</v>
      </c>
      <c r="O22" s="673"/>
      <c r="P22" s="361"/>
      <c r="Q22" s="441"/>
      <c r="R22" s="485"/>
      <c r="S22" s="442"/>
      <c r="T22" s="441"/>
      <c r="U22" s="485"/>
      <c r="V22" s="442"/>
      <c r="W22" s="441"/>
      <c r="X22" s="485"/>
      <c r="Y22" s="442"/>
      <c r="Z22" s="441"/>
      <c r="AA22" s="485"/>
      <c r="AB22" s="442"/>
      <c r="AC22" s="672"/>
      <c r="AD22" s="441" t="s">
        <v>21</v>
      </c>
      <c r="AE22" s="674" t="s">
        <v>21</v>
      </c>
      <c r="AF22" s="674" t="s">
        <v>21</v>
      </c>
      <c r="AG22" s="674" t="s">
        <v>21</v>
      </c>
      <c r="AH22" s="442" t="s">
        <v>21</v>
      </c>
      <c r="AI22" s="442" t="str">
        <f t="shared" si="0"/>
        <v/>
      </c>
    </row>
    <row r="23" spans="1:35" hidden="1" x14ac:dyDescent="0.25">
      <c r="A23" s="587"/>
      <c r="B23" s="369"/>
      <c r="C23" s="588"/>
      <c r="D23" s="589"/>
      <c r="E23" s="44"/>
      <c r="F23" s="214" t="s">
        <v>147</v>
      </c>
      <c r="G23" s="587" t="s">
        <v>21</v>
      </c>
      <c r="H23" s="590" t="s">
        <v>21</v>
      </c>
      <c r="I23" s="591">
        <f>IF($F23="","",IF('TRECHO(S) A IMPRIMIR'!$B$1= 1, SUM(Q23, T23, W23, Z23), IF('TRECHO(S) A IMPRIMIR'!$B$1= 2, T23, IF('TRECHO(S) A IMPRIMIR'!$B$1= 3, W23, 0))))</f>
        <v>0</v>
      </c>
      <c r="J23" s="592" t="s">
        <v>21</v>
      </c>
      <c r="K23" s="593" t="str">
        <f>IF(AND(F23&lt;&gt;"",J23&lt;&gt;""),
  IF(OR(F23= "CP9001", F23= "CP9091", F23= "CP9092"), 0,
  IF($M$1 = "ENCARGOS SOCIAIS SEM DESONERAÇÃO",'BDI obras SD'!$H$23,'BDI obras CD'!$H$23)),"")</f>
        <v/>
      </c>
      <c r="L23" s="592" t="str">
        <f t="shared" si="1"/>
        <v/>
      </c>
      <c r="M23" s="594">
        <f t="shared" si="2"/>
        <v>0</v>
      </c>
      <c r="O23" s="673"/>
      <c r="P23" s="361"/>
      <c r="Q23" s="441"/>
      <c r="R23" s="485"/>
      <c r="S23" s="442"/>
      <c r="T23" s="441"/>
      <c r="U23" s="485"/>
      <c r="V23" s="442"/>
      <c r="W23" s="441"/>
      <c r="X23" s="485"/>
      <c r="Y23" s="442"/>
      <c r="Z23" s="441"/>
      <c r="AA23" s="485"/>
      <c r="AB23" s="442"/>
      <c r="AC23" s="672"/>
      <c r="AD23" s="441" t="s">
        <v>21</v>
      </c>
      <c r="AE23" s="674" t="s">
        <v>21</v>
      </c>
      <c r="AF23" s="674" t="s">
        <v>21</v>
      </c>
      <c r="AG23" s="674" t="s">
        <v>21</v>
      </c>
      <c r="AH23" s="442" t="s">
        <v>21</v>
      </c>
      <c r="AI23" s="442" t="str">
        <f t="shared" si="0"/>
        <v/>
      </c>
    </row>
    <row r="24" spans="1:35" x14ac:dyDescent="0.25">
      <c r="A24" s="587" t="s">
        <v>1199</v>
      </c>
      <c r="B24" s="369"/>
      <c r="C24" s="588"/>
      <c r="D24" s="589" t="s">
        <v>301</v>
      </c>
      <c r="E24" s="44"/>
      <c r="F24" s="214"/>
      <c r="G24" s="587" t="s">
        <v>1199</v>
      </c>
      <c r="H24" s="590" t="s">
        <v>21</v>
      </c>
      <c r="I24" s="591" t="str">
        <f>IF($F24="","",IF('TRECHO(S) A IMPRIMIR'!$B$1= 1, SUM(Q24, T24, W24, Z24), IF('TRECHO(S) A IMPRIMIR'!$B$1= 2, T24, IF('TRECHO(S) A IMPRIMIR'!$B$1= 3, W24, 0))))</f>
        <v/>
      </c>
      <c r="J24" s="592" t="s">
        <v>21</v>
      </c>
      <c r="K24" s="593" t="str">
        <f>IF(AND(F24&lt;&gt;"",J24&lt;&gt;""),
  IF(OR(F24= "CP9001", F24= "CP9091", F24= "CP9092"), 0,
  IF($M$1 = "ENCARGOS SOCIAIS SEM DESONERAÇÃO",'BDI obras SD'!$H$23,'BDI obras CD'!$H$23)),"")</f>
        <v/>
      </c>
      <c r="L24" s="592" t="str">
        <f t="shared" si="1"/>
        <v/>
      </c>
      <c r="M24" s="594">
        <v>0</v>
      </c>
      <c r="O24" s="673"/>
      <c r="P24" s="361"/>
      <c r="Q24" s="441"/>
      <c r="R24" s="485"/>
      <c r="S24" s="442"/>
      <c r="T24" s="441"/>
      <c r="U24" s="485"/>
      <c r="V24" s="442"/>
      <c r="W24" s="441"/>
      <c r="X24" s="485"/>
      <c r="Y24" s="442"/>
      <c r="Z24" s="441"/>
      <c r="AA24" s="485"/>
      <c r="AB24" s="442"/>
      <c r="AC24" s="672"/>
      <c r="AD24" s="441" t="s">
        <v>21</v>
      </c>
      <c r="AE24" s="674" t="s">
        <v>21</v>
      </c>
      <c r="AF24" s="674" t="s">
        <v>21</v>
      </c>
      <c r="AG24" s="674" t="s">
        <v>21</v>
      </c>
      <c r="AH24" s="442" t="s">
        <v>21</v>
      </c>
      <c r="AI24" s="442" t="str">
        <f t="shared" si="0"/>
        <v/>
      </c>
    </row>
    <row r="25" spans="1:35" hidden="1" x14ac:dyDescent="0.25">
      <c r="A25" s="587"/>
      <c r="B25" s="369"/>
      <c r="C25" s="588"/>
      <c r="D25" s="589"/>
      <c r="E25" s="44"/>
      <c r="F25" s="214" t="s">
        <v>147</v>
      </c>
      <c r="G25" s="587" t="s">
        <v>21</v>
      </c>
      <c r="H25" s="590" t="s">
        <v>21</v>
      </c>
      <c r="I25" s="591">
        <f>IF($F25="","",IF('TRECHO(S) A IMPRIMIR'!$B$1= 1, SUM(Q25, T25, W25, Z25), IF('TRECHO(S) A IMPRIMIR'!$B$1= 2, T25, IF('TRECHO(S) A IMPRIMIR'!$B$1= 3, W25, 0))))</f>
        <v>0</v>
      </c>
      <c r="J25" s="592" t="s">
        <v>21</v>
      </c>
      <c r="K25" s="593" t="str">
        <f>IF(AND(F25&lt;&gt;"",J25&lt;&gt;""),
  IF(OR(F25= "CP9001", F25= "CP9091", F25= "CP9092"), 0,
  IF($M$1 = "ENCARGOS SOCIAIS SEM DESONERAÇÃO",'BDI obras SD'!$H$23,'BDI obras CD'!$H$23)),"")</f>
        <v/>
      </c>
      <c r="L25" s="592" t="str">
        <f t="shared" si="1"/>
        <v/>
      </c>
      <c r="M25" s="594">
        <f t="shared" si="2"/>
        <v>0</v>
      </c>
      <c r="O25" s="673"/>
      <c r="P25" s="361"/>
      <c r="Q25" s="441"/>
      <c r="R25" s="485"/>
      <c r="S25" s="442"/>
      <c r="T25" s="441"/>
      <c r="U25" s="485"/>
      <c r="V25" s="442"/>
      <c r="W25" s="441"/>
      <c r="X25" s="485"/>
      <c r="Y25" s="442"/>
      <c r="Z25" s="441"/>
      <c r="AA25" s="485"/>
      <c r="AB25" s="442"/>
      <c r="AC25" s="672"/>
      <c r="AD25" s="441" t="s">
        <v>21</v>
      </c>
      <c r="AE25" s="674" t="s">
        <v>21</v>
      </c>
      <c r="AF25" s="674" t="s">
        <v>21</v>
      </c>
      <c r="AG25" s="674" t="s">
        <v>21</v>
      </c>
      <c r="AH25" s="442" t="s">
        <v>21</v>
      </c>
      <c r="AI25" s="442" t="str">
        <f t="shared" si="0"/>
        <v/>
      </c>
    </row>
    <row r="26" spans="1:35" x14ac:dyDescent="0.25">
      <c r="A26" s="587" t="s">
        <v>1200</v>
      </c>
      <c r="B26" s="369"/>
      <c r="C26" s="588"/>
      <c r="D26" s="589" t="s">
        <v>302</v>
      </c>
      <c r="E26" s="44"/>
      <c r="F26" s="214"/>
      <c r="G26" s="587" t="s">
        <v>1200</v>
      </c>
      <c r="H26" s="590" t="s">
        <v>21</v>
      </c>
      <c r="I26" s="591" t="str">
        <f>IF($F26="","",IF('TRECHO(S) A IMPRIMIR'!$B$1= 1, SUM(Q26, T26, W26, Z26), IF('TRECHO(S) A IMPRIMIR'!$B$1= 2, T26, IF('TRECHO(S) A IMPRIMIR'!$B$1= 3, W26, 0))))</f>
        <v/>
      </c>
      <c r="J26" s="592" t="s">
        <v>21</v>
      </c>
      <c r="K26" s="593" t="str">
        <f>IF(AND(F26&lt;&gt;"",J26&lt;&gt;""),
  IF(OR(F26= "CP9001", F26= "CP9091", F26= "CP9092"), 0,
  IF($M$1 = "ENCARGOS SOCIAIS SEM DESONERAÇÃO",'BDI obras SD'!$H$23,'BDI obras CD'!$H$23)),"")</f>
        <v/>
      </c>
      <c r="L26" s="592" t="str">
        <f t="shared" si="1"/>
        <v/>
      </c>
      <c r="M26" s="594">
        <v>0</v>
      </c>
      <c r="O26" s="673"/>
      <c r="P26" s="361"/>
      <c r="Q26" s="441"/>
      <c r="R26" s="485"/>
      <c r="S26" s="442"/>
      <c r="T26" s="441"/>
      <c r="U26" s="485"/>
      <c r="V26" s="442"/>
      <c r="W26" s="441"/>
      <c r="X26" s="485"/>
      <c r="Y26" s="442"/>
      <c r="Z26" s="441"/>
      <c r="AA26" s="485"/>
      <c r="AB26" s="442"/>
      <c r="AC26" s="672"/>
      <c r="AD26" s="441" t="s">
        <v>21</v>
      </c>
      <c r="AE26" s="674" t="s">
        <v>21</v>
      </c>
      <c r="AF26" s="674" t="s">
        <v>21</v>
      </c>
      <c r="AG26" s="674" t="s">
        <v>21</v>
      </c>
      <c r="AH26" s="442" t="s">
        <v>21</v>
      </c>
      <c r="AI26" s="442" t="str">
        <f t="shared" si="0"/>
        <v/>
      </c>
    </row>
    <row r="27" spans="1:35" hidden="1" x14ac:dyDescent="0.25">
      <c r="A27" s="587"/>
      <c r="B27" s="369"/>
      <c r="C27" s="588"/>
      <c r="D27" s="589"/>
      <c r="E27" s="44"/>
      <c r="F27" s="214" t="s">
        <v>147</v>
      </c>
      <c r="G27" s="587" t="s">
        <v>21</v>
      </c>
      <c r="H27" s="590" t="s">
        <v>21</v>
      </c>
      <c r="I27" s="591">
        <f>IF($F27="","",IF('TRECHO(S) A IMPRIMIR'!$B$1= 1, SUM(Q27, T27, W27, Z27), IF('TRECHO(S) A IMPRIMIR'!$B$1= 2, T27, IF('TRECHO(S) A IMPRIMIR'!$B$1= 3, W27, 0))))</f>
        <v>0</v>
      </c>
      <c r="J27" s="592" t="s">
        <v>21</v>
      </c>
      <c r="K27" s="593" t="str">
        <f>IF(AND(F27&lt;&gt;"",J27&lt;&gt;""),
  IF(OR(F27= "CP9001", F27= "CP9091", F27= "CP9092"), 0,
  IF($M$1 = "ENCARGOS SOCIAIS SEM DESONERAÇÃO",'BDI obras SD'!$H$23,'BDI obras CD'!$H$23)),"")</f>
        <v/>
      </c>
      <c r="L27" s="592" t="str">
        <f t="shared" si="1"/>
        <v/>
      </c>
      <c r="M27" s="594">
        <f t="shared" si="2"/>
        <v>0</v>
      </c>
      <c r="O27" s="673"/>
      <c r="P27" s="361"/>
      <c r="Q27" s="441"/>
      <c r="R27" s="485"/>
      <c r="S27" s="442"/>
      <c r="T27" s="441"/>
      <c r="U27" s="485"/>
      <c r="V27" s="442"/>
      <c r="W27" s="441"/>
      <c r="X27" s="485"/>
      <c r="Y27" s="442"/>
      <c r="Z27" s="441"/>
      <c r="AA27" s="485"/>
      <c r="AB27" s="442"/>
      <c r="AC27" s="672"/>
      <c r="AD27" s="441" t="s">
        <v>21</v>
      </c>
      <c r="AE27" s="674" t="s">
        <v>21</v>
      </c>
      <c r="AF27" s="674" t="s">
        <v>21</v>
      </c>
      <c r="AG27" s="674" t="s">
        <v>21</v>
      </c>
      <c r="AH27" s="442" t="s">
        <v>21</v>
      </c>
      <c r="AI27" s="442" t="str">
        <f t="shared" si="0"/>
        <v/>
      </c>
    </row>
    <row r="28" spans="1:35" x14ac:dyDescent="0.25">
      <c r="A28" s="587" t="s">
        <v>1201</v>
      </c>
      <c r="B28" s="369"/>
      <c r="C28" s="588"/>
      <c r="D28" s="589" t="s">
        <v>303</v>
      </c>
      <c r="E28" s="44"/>
      <c r="F28" s="214"/>
      <c r="G28" s="587" t="s">
        <v>1201</v>
      </c>
      <c r="H28" s="590" t="s">
        <v>21</v>
      </c>
      <c r="I28" s="591" t="str">
        <f>IF($F28="","",IF('TRECHO(S) A IMPRIMIR'!$B$1= 1, SUM(Q28, T28, W28, Z28), IF('TRECHO(S) A IMPRIMIR'!$B$1= 2, T28, IF('TRECHO(S) A IMPRIMIR'!$B$1= 3, W28, 0))))</f>
        <v/>
      </c>
      <c r="J28" s="592" t="s">
        <v>21</v>
      </c>
      <c r="K28" s="593" t="str">
        <f>IF(AND(F28&lt;&gt;"",J28&lt;&gt;""),
  IF(OR(F28= "CP9001", F28= "CP9091", F28= "CP9092"), 0,
  IF($M$1 = "ENCARGOS SOCIAIS SEM DESONERAÇÃO",'BDI obras SD'!$H$23,'BDI obras CD'!$H$23)),"")</f>
        <v/>
      </c>
      <c r="L28" s="592" t="str">
        <f t="shared" si="1"/>
        <v/>
      </c>
      <c r="M28" s="594">
        <v>3509205.6544309398</v>
      </c>
      <c r="O28" s="673"/>
      <c r="P28" s="361"/>
      <c r="Q28" s="441"/>
      <c r="R28" s="485"/>
      <c r="S28" s="442"/>
      <c r="T28" s="441"/>
      <c r="U28" s="485"/>
      <c r="V28" s="442"/>
      <c r="W28" s="441"/>
      <c r="X28" s="485"/>
      <c r="Y28" s="442"/>
      <c r="Z28" s="441"/>
      <c r="AA28" s="485"/>
      <c r="AB28" s="442"/>
      <c r="AC28" s="672"/>
      <c r="AD28" s="441" t="s">
        <v>21</v>
      </c>
      <c r="AE28" s="674" t="s">
        <v>21</v>
      </c>
      <c r="AF28" s="674" t="s">
        <v>21</v>
      </c>
      <c r="AG28" s="674" t="s">
        <v>21</v>
      </c>
      <c r="AH28" s="442" t="s">
        <v>21</v>
      </c>
      <c r="AI28" s="442" t="str">
        <f t="shared" si="0"/>
        <v/>
      </c>
    </row>
    <row r="29" spans="1:35" x14ac:dyDescent="0.25">
      <c r="A29" s="587" t="s">
        <v>173</v>
      </c>
      <c r="B29" s="369"/>
      <c r="C29" s="588"/>
      <c r="D29" s="589" t="s">
        <v>1326</v>
      </c>
      <c r="E29" s="44"/>
      <c r="F29" s="214"/>
      <c r="G29" s="587" t="s">
        <v>173</v>
      </c>
      <c r="H29" s="590" t="s">
        <v>21</v>
      </c>
      <c r="I29" s="591" t="str">
        <f>IF($F29="","",IF('TRECHO(S) A IMPRIMIR'!$B$1= 1, SUM(Q29, T29, W29, Z29), IF('TRECHO(S) A IMPRIMIR'!$B$1= 2, T29, IF('TRECHO(S) A IMPRIMIR'!$B$1= 3, W29, 0))))</f>
        <v/>
      </c>
      <c r="J29" s="592" t="s">
        <v>21</v>
      </c>
      <c r="K29" s="593" t="str">
        <f>IF(AND(F29&lt;&gt;"",J29&lt;&gt;""),
  IF(OR(F29= "CP9001", F29= "CP9091", F29= "CP9092"), 0,
  IF($M$1 = "ENCARGOS SOCIAIS SEM DESONERAÇÃO",'BDI obras SD'!$H$23,'BDI obras CD'!$H$23)),"")</f>
        <v/>
      </c>
      <c r="L29" s="592" t="str">
        <f t="shared" si="1"/>
        <v/>
      </c>
      <c r="M29" s="594">
        <v>3509205.6544309398</v>
      </c>
      <c r="O29" s="673"/>
      <c r="P29" s="361"/>
      <c r="Q29" s="441"/>
      <c r="R29" s="485"/>
      <c r="S29" s="442"/>
      <c r="T29" s="441"/>
      <c r="U29" s="485"/>
      <c r="V29" s="442"/>
      <c r="W29" s="441"/>
      <c r="X29" s="485"/>
      <c r="Y29" s="442"/>
      <c r="Z29" s="441"/>
      <c r="AA29" s="485"/>
      <c r="AB29" s="442"/>
      <c r="AC29" s="672"/>
      <c r="AD29" s="441" t="s">
        <v>21</v>
      </c>
      <c r="AE29" s="674" t="s">
        <v>21</v>
      </c>
      <c r="AF29" s="674" t="s">
        <v>21</v>
      </c>
      <c r="AG29" s="674" t="s">
        <v>21</v>
      </c>
      <c r="AH29" s="442" t="s">
        <v>21</v>
      </c>
      <c r="AI29" s="442" t="str">
        <f t="shared" si="0"/>
        <v/>
      </c>
    </row>
    <row r="30" spans="1:35" x14ac:dyDescent="0.25">
      <c r="A30" s="587" t="s">
        <v>193</v>
      </c>
      <c r="B30" s="369" t="s">
        <v>199</v>
      </c>
      <c r="C30" s="588"/>
      <c r="D30" s="589" t="s">
        <v>1327</v>
      </c>
      <c r="E30" s="44" t="s">
        <v>138</v>
      </c>
      <c r="F30" s="214" t="s">
        <v>401</v>
      </c>
      <c r="G30" s="587" t="s">
        <v>402</v>
      </c>
      <c r="H30" s="590" t="s">
        <v>205</v>
      </c>
      <c r="I30" s="591">
        <v>9</v>
      </c>
      <c r="J30" s="592">
        <v>25761.91</v>
      </c>
      <c r="K30" s="593">
        <v>0.2033513845915047</v>
      </c>
      <c r="L30" s="592">
        <v>31000.63006822173</v>
      </c>
      <c r="M30" s="594">
        <v>279005.67061399558</v>
      </c>
      <c r="O30" s="673"/>
      <c r="P30" s="361"/>
      <c r="Q30" s="441"/>
      <c r="R30" s="485"/>
      <c r="S30" s="442"/>
      <c r="T30" s="441">
        <v>4.5</v>
      </c>
      <c r="U30" s="485"/>
      <c r="V30" s="442"/>
      <c r="W30" s="441">
        <v>4.5</v>
      </c>
      <c r="X30" s="485"/>
      <c r="Y30" s="442"/>
      <c r="Z30" s="441"/>
      <c r="AA30" s="485"/>
      <c r="AB30" s="442"/>
      <c r="AC30" s="672"/>
      <c r="AD30" s="441">
        <v>276626.82542936585</v>
      </c>
      <c r="AE30" s="674">
        <v>2378.8451846297162</v>
      </c>
      <c r="AF30" s="674">
        <v>0</v>
      </c>
      <c r="AG30" s="674">
        <v>0</v>
      </c>
      <c r="AH30" s="442">
        <v>0</v>
      </c>
      <c r="AI30" s="442">
        <v>0</v>
      </c>
    </row>
    <row r="31" spans="1:35" x14ac:dyDescent="0.25">
      <c r="A31" s="587" t="s">
        <v>194</v>
      </c>
      <c r="B31" s="369" t="s">
        <v>199</v>
      </c>
      <c r="C31" s="588"/>
      <c r="D31" s="589" t="s">
        <v>1328</v>
      </c>
      <c r="E31" s="44" t="s">
        <v>138</v>
      </c>
      <c r="F31" s="214" t="s">
        <v>403</v>
      </c>
      <c r="G31" s="587" t="s">
        <v>404</v>
      </c>
      <c r="H31" s="590" t="s">
        <v>205</v>
      </c>
      <c r="I31" s="591">
        <v>36</v>
      </c>
      <c r="J31" s="592">
        <v>18858.12</v>
      </c>
      <c r="K31" s="593">
        <v>0.2033513845915047</v>
      </c>
      <c r="L31" s="592">
        <v>22692.944812792746</v>
      </c>
      <c r="M31" s="594">
        <v>816946.01326053892</v>
      </c>
      <c r="O31" s="673"/>
      <c r="P31" s="361"/>
      <c r="Q31" s="441"/>
      <c r="R31" s="485"/>
      <c r="S31" s="442"/>
      <c r="T31" s="441">
        <v>18</v>
      </c>
      <c r="U31" s="485"/>
      <c r="V31" s="442"/>
      <c r="W31" s="441">
        <v>18</v>
      </c>
      <c r="X31" s="485"/>
      <c r="Y31" s="442"/>
      <c r="Z31" s="441"/>
      <c r="AA31" s="485"/>
      <c r="AB31" s="442"/>
      <c r="AC31" s="672"/>
      <c r="AD31" s="441">
        <v>807430.63252202002</v>
      </c>
      <c r="AE31" s="674">
        <v>9515.3807385188647</v>
      </c>
      <c r="AF31" s="674">
        <v>0</v>
      </c>
      <c r="AG31" s="674">
        <v>0</v>
      </c>
      <c r="AH31" s="442">
        <v>-1.5759960604662108E-10</v>
      </c>
      <c r="AI31" s="442">
        <v>1.1641532182693481E-10</v>
      </c>
    </row>
    <row r="32" spans="1:35" x14ac:dyDescent="0.25">
      <c r="A32" s="587" t="s">
        <v>1090</v>
      </c>
      <c r="B32" s="369" t="s">
        <v>199</v>
      </c>
      <c r="C32" s="588"/>
      <c r="D32" s="589" t="s">
        <v>1329</v>
      </c>
      <c r="E32" s="44" t="s">
        <v>138</v>
      </c>
      <c r="F32" s="214" t="s">
        <v>1089</v>
      </c>
      <c r="G32" s="587" t="s">
        <v>1064</v>
      </c>
      <c r="H32" s="590" t="s">
        <v>205</v>
      </c>
      <c r="I32" s="591">
        <v>36</v>
      </c>
      <c r="J32" s="592">
        <v>19331.11</v>
      </c>
      <c r="K32" s="593">
        <v>0.2033513845915047</v>
      </c>
      <c r="L32" s="592">
        <v>23262.117984190681</v>
      </c>
      <c r="M32" s="594">
        <v>837436.24743086449</v>
      </c>
      <c r="O32" s="673"/>
      <c r="P32" s="361"/>
      <c r="Q32" s="441"/>
      <c r="R32" s="485"/>
      <c r="S32" s="442"/>
      <c r="T32" s="441">
        <v>18</v>
      </c>
      <c r="U32" s="485"/>
      <c r="V32" s="442"/>
      <c r="W32" s="441">
        <v>18</v>
      </c>
      <c r="X32" s="485"/>
      <c r="Y32" s="442"/>
      <c r="Z32" s="441"/>
      <c r="AA32" s="485"/>
      <c r="AB32" s="442"/>
      <c r="AC32" s="672"/>
      <c r="AD32" s="441">
        <v>837436.24743086449</v>
      </c>
      <c r="AE32" s="674">
        <v>0</v>
      </c>
      <c r="AF32" s="674">
        <v>0</v>
      </c>
      <c r="AG32" s="674">
        <v>0</v>
      </c>
      <c r="AH32" s="442">
        <v>0</v>
      </c>
      <c r="AI32" s="442">
        <v>0</v>
      </c>
    </row>
    <row r="33" spans="1:35" x14ac:dyDescent="0.25">
      <c r="A33" s="587" t="s">
        <v>406</v>
      </c>
      <c r="B33" s="369" t="s">
        <v>199</v>
      </c>
      <c r="C33" s="588"/>
      <c r="D33" s="589" t="s">
        <v>1330</v>
      </c>
      <c r="E33" s="44" t="s">
        <v>138</v>
      </c>
      <c r="F33" s="214" t="s">
        <v>405</v>
      </c>
      <c r="G33" s="587" t="s">
        <v>338</v>
      </c>
      <c r="H33" s="590" t="s">
        <v>205</v>
      </c>
      <c r="I33" s="591">
        <v>36</v>
      </c>
      <c r="J33" s="592">
        <v>3465.25</v>
      </c>
      <c r="K33" s="593">
        <v>0.2033513845915047</v>
      </c>
      <c r="L33" s="592">
        <v>4169.9133854557112</v>
      </c>
      <c r="M33" s="594">
        <v>150116.88187640562</v>
      </c>
      <c r="O33" s="673"/>
      <c r="P33" s="361"/>
      <c r="Q33" s="441"/>
      <c r="R33" s="485"/>
      <c r="S33" s="442"/>
      <c r="T33" s="441">
        <v>18</v>
      </c>
      <c r="U33" s="485"/>
      <c r="V33" s="442"/>
      <c r="W33" s="441">
        <v>18</v>
      </c>
      <c r="X33" s="485"/>
      <c r="Y33" s="442"/>
      <c r="Z33" s="441"/>
      <c r="AA33" s="485"/>
      <c r="AB33" s="442"/>
      <c r="AC33" s="672"/>
      <c r="AD33" s="441">
        <v>136815.7095479065</v>
      </c>
      <c r="AE33" s="674">
        <v>13301.172328499122</v>
      </c>
      <c r="AF33" s="674">
        <v>0</v>
      </c>
      <c r="AG33" s="674">
        <v>0</v>
      </c>
      <c r="AH33" s="442">
        <v>0</v>
      </c>
      <c r="AI33" s="442">
        <v>0</v>
      </c>
    </row>
    <row r="34" spans="1:35" x14ac:dyDescent="0.25">
      <c r="A34" s="587" t="s">
        <v>195</v>
      </c>
      <c r="B34" s="369" t="s">
        <v>199</v>
      </c>
      <c r="C34" s="588"/>
      <c r="D34" s="589" t="s">
        <v>1331</v>
      </c>
      <c r="E34" s="44" t="s">
        <v>138</v>
      </c>
      <c r="F34" s="214" t="s">
        <v>407</v>
      </c>
      <c r="G34" s="587" t="s">
        <v>336</v>
      </c>
      <c r="H34" s="590" t="s">
        <v>205</v>
      </c>
      <c r="I34" s="591">
        <v>36</v>
      </c>
      <c r="J34" s="592">
        <v>5886.22</v>
      </c>
      <c r="K34" s="593">
        <v>0.2033513845915047</v>
      </c>
      <c r="L34" s="592">
        <v>7083.1909870102072</v>
      </c>
      <c r="M34" s="594">
        <v>254994.87553236747</v>
      </c>
      <c r="O34" s="673"/>
      <c r="P34" s="361"/>
      <c r="Q34" s="441"/>
      <c r="R34" s="485"/>
      <c r="S34" s="442"/>
      <c r="T34" s="441">
        <v>18</v>
      </c>
      <c r="U34" s="485"/>
      <c r="V34" s="442"/>
      <c r="W34" s="441">
        <v>18</v>
      </c>
      <c r="X34" s="485"/>
      <c r="Y34" s="442"/>
      <c r="Z34" s="441"/>
      <c r="AA34" s="485"/>
      <c r="AB34" s="442"/>
      <c r="AC34" s="672"/>
      <c r="AD34" s="441">
        <v>244964.8454736865</v>
      </c>
      <c r="AE34" s="674">
        <v>10030.030058680959</v>
      </c>
      <c r="AF34" s="674">
        <v>0</v>
      </c>
      <c r="AG34" s="674">
        <v>0</v>
      </c>
      <c r="AH34" s="442">
        <v>3.9399901511655271E-11</v>
      </c>
      <c r="AI34" s="442">
        <v>0</v>
      </c>
    </row>
    <row r="35" spans="1:35" x14ac:dyDescent="0.25">
      <c r="A35" s="587" t="s">
        <v>196</v>
      </c>
      <c r="B35" s="369" t="s">
        <v>199</v>
      </c>
      <c r="C35" s="588"/>
      <c r="D35" s="589" t="s">
        <v>1332</v>
      </c>
      <c r="E35" s="44" t="s">
        <v>138</v>
      </c>
      <c r="F35" s="214" t="s">
        <v>396</v>
      </c>
      <c r="G35" s="587" t="s">
        <v>397</v>
      </c>
      <c r="H35" s="590" t="s">
        <v>205</v>
      </c>
      <c r="I35" s="591">
        <v>36</v>
      </c>
      <c r="J35" s="592">
        <v>3238.81</v>
      </c>
      <c r="K35" s="593">
        <v>0.2033513845915047</v>
      </c>
      <c r="L35" s="592">
        <v>3897.4264979288114</v>
      </c>
      <c r="M35" s="594">
        <v>140307.3539254372</v>
      </c>
      <c r="O35" s="673"/>
      <c r="P35" s="361"/>
      <c r="Q35" s="441"/>
      <c r="R35" s="485"/>
      <c r="S35" s="442"/>
      <c r="T35" s="441">
        <v>18</v>
      </c>
      <c r="U35" s="485"/>
      <c r="V35" s="442"/>
      <c r="W35" s="441">
        <v>18</v>
      </c>
      <c r="X35" s="485"/>
      <c r="Y35" s="442"/>
      <c r="Z35" s="441"/>
      <c r="AA35" s="485"/>
      <c r="AB35" s="442"/>
      <c r="AC35" s="672"/>
      <c r="AD35" s="441">
        <v>130277.32386675625</v>
      </c>
      <c r="AE35" s="674">
        <v>10030.030058680959</v>
      </c>
      <c r="AF35" s="674">
        <v>0</v>
      </c>
      <c r="AG35" s="674">
        <v>0</v>
      </c>
      <c r="AH35" s="442">
        <v>-1.9699950755827636E-11</v>
      </c>
      <c r="AI35" s="442">
        <v>2.9103830456733704E-11</v>
      </c>
    </row>
    <row r="36" spans="1:35" x14ac:dyDescent="0.25">
      <c r="A36" s="587" t="s">
        <v>197</v>
      </c>
      <c r="B36" s="369" t="s">
        <v>199</v>
      </c>
      <c r="C36" s="588"/>
      <c r="D36" s="589" t="s">
        <v>1333</v>
      </c>
      <c r="E36" s="44" t="s">
        <v>138</v>
      </c>
      <c r="F36" s="214" t="s">
        <v>400</v>
      </c>
      <c r="G36" s="587" t="s">
        <v>337</v>
      </c>
      <c r="H36" s="590" t="s">
        <v>205</v>
      </c>
      <c r="I36" s="591">
        <v>108</v>
      </c>
      <c r="J36" s="592">
        <v>3264.4</v>
      </c>
      <c r="K36" s="593">
        <v>0.2033513845915047</v>
      </c>
      <c r="L36" s="592">
        <v>3928.2202598605081</v>
      </c>
      <c r="M36" s="594">
        <v>424247.7880649349</v>
      </c>
      <c r="O36" s="673"/>
      <c r="P36" s="361"/>
      <c r="Q36" s="441"/>
      <c r="R36" s="485"/>
      <c r="S36" s="442"/>
      <c r="T36" s="441">
        <v>54</v>
      </c>
      <c r="U36" s="485"/>
      <c r="V36" s="442"/>
      <c r="W36" s="441">
        <v>54</v>
      </c>
      <c r="X36" s="485"/>
      <c r="Y36" s="442"/>
      <c r="Z36" s="441"/>
      <c r="AA36" s="485"/>
      <c r="AB36" s="442"/>
      <c r="AC36" s="672"/>
      <c r="AD36" s="441">
        <v>276756.57077565254</v>
      </c>
      <c r="AE36" s="674">
        <v>147491.21728928236</v>
      </c>
      <c r="AF36" s="674">
        <v>0</v>
      </c>
      <c r="AG36" s="674">
        <v>0</v>
      </c>
      <c r="AH36" s="442">
        <v>0</v>
      </c>
      <c r="AI36" s="442">
        <v>0</v>
      </c>
    </row>
    <row r="37" spans="1:35" x14ac:dyDescent="0.25">
      <c r="A37" s="587" t="s">
        <v>198</v>
      </c>
      <c r="B37" s="369" t="s">
        <v>199</v>
      </c>
      <c r="C37" s="588"/>
      <c r="D37" s="589" t="s">
        <v>1334</v>
      </c>
      <c r="E37" s="44" t="s">
        <v>138</v>
      </c>
      <c r="F37" s="214" t="s">
        <v>398</v>
      </c>
      <c r="G37" s="587" t="s">
        <v>399</v>
      </c>
      <c r="H37" s="590" t="s">
        <v>205</v>
      </c>
      <c r="I37" s="591">
        <v>36</v>
      </c>
      <c r="J37" s="592">
        <v>3195.41</v>
      </c>
      <c r="K37" s="593">
        <v>0.2033513845915047</v>
      </c>
      <c r="L37" s="592">
        <v>3845.20104783754</v>
      </c>
      <c r="M37" s="594">
        <v>138427.23772215145</v>
      </c>
      <c r="O37" s="673"/>
      <c r="P37" s="361"/>
      <c r="Q37" s="441"/>
      <c r="R37" s="485"/>
      <c r="S37" s="442"/>
      <c r="T37" s="441">
        <v>18</v>
      </c>
      <c r="U37" s="485"/>
      <c r="V37" s="442"/>
      <c r="W37" s="441">
        <v>18</v>
      </c>
      <c r="X37" s="485"/>
      <c r="Y37" s="442"/>
      <c r="Z37" s="441"/>
      <c r="AA37" s="485"/>
      <c r="AB37" s="442"/>
      <c r="AC37" s="672"/>
      <c r="AD37" s="441">
        <v>89263.498625723994</v>
      </c>
      <c r="AE37" s="674">
        <v>49163.739096427453</v>
      </c>
      <c r="AF37" s="674">
        <v>0</v>
      </c>
      <c r="AG37" s="674">
        <v>0</v>
      </c>
      <c r="AH37" s="442">
        <v>-1.9699950755827636E-11</v>
      </c>
      <c r="AI37" s="442">
        <v>2.9103830456733704E-11</v>
      </c>
    </row>
    <row r="38" spans="1:35" x14ac:dyDescent="0.25">
      <c r="A38" s="587" t="s">
        <v>202</v>
      </c>
      <c r="B38" s="369" t="s">
        <v>199</v>
      </c>
      <c r="C38" s="588"/>
      <c r="D38" s="589" t="s">
        <v>1335</v>
      </c>
      <c r="E38" s="44" t="s">
        <v>138</v>
      </c>
      <c r="F38" s="214" t="s">
        <v>330</v>
      </c>
      <c r="G38" s="587" t="s">
        <v>409</v>
      </c>
      <c r="H38" s="590" t="s">
        <v>205</v>
      </c>
      <c r="I38" s="591">
        <v>36</v>
      </c>
      <c r="J38" s="592">
        <v>7084.73</v>
      </c>
      <c r="K38" s="593">
        <v>0.2033513845915047</v>
      </c>
      <c r="L38" s="592">
        <v>8525.4196549569697</v>
      </c>
      <c r="M38" s="594">
        <v>306915.10757845093</v>
      </c>
      <c r="O38" s="673"/>
      <c r="P38" s="361"/>
      <c r="Q38" s="441"/>
      <c r="R38" s="485"/>
      <c r="S38" s="442"/>
      <c r="T38" s="441">
        <v>36</v>
      </c>
      <c r="U38" s="485"/>
      <c r="V38" s="442"/>
      <c r="W38" s="441">
        <v>0</v>
      </c>
      <c r="X38" s="485"/>
      <c r="Y38" s="442"/>
      <c r="Z38" s="441"/>
      <c r="AA38" s="485"/>
      <c r="AB38" s="442"/>
      <c r="AC38" s="672"/>
      <c r="AD38" s="441">
        <v>296885.07751976995</v>
      </c>
      <c r="AE38" s="674">
        <v>10030.030058680959</v>
      </c>
      <c r="AF38" s="674">
        <v>0</v>
      </c>
      <c r="AG38" s="674">
        <v>0</v>
      </c>
      <c r="AH38" s="442">
        <v>0</v>
      </c>
      <c r="AI38" s="442">
        <v>0</v>
      </c>
    </row>
    <row r="39" spans="1:35" ht="24" x14ac:dyDescent="0.25">
      <c r="A39" s="587" t="s">
        <v>476</v>
      </c>
      <c r="B39" s="369" t="s">
        <v>199</v>
      </c>
      <c r="C39" s="588"/>
      <c r="D39" s="589" t="s">
        <v>1336</v>
      </c>
      <c r="E39" s="44" t="s">
        <v>138</v>
      </c>
      <c r="F39" s="214" t="s">
        <v>461</v>
      </c>
      <c r="G39" s="587" t="s">
        <v>462</v>
      </c>
      <c r="H39" s="590" t="s">
        <v>205</v>
      </c>
      <c r="I39" s="591">
        <v>3</v>
      </c>
      <c r="J39" s="592">
        <v>19090.55</v>
      </c>
      <c r="K39" s="593">
        <v>0.2033513845915047</v>
      </c>
      <c r="L39" s="592">
        <v>22972.639775113348</v>
      </c>
      <c r="M39" s="594">
        <v>68917.919325340044</v>
      </c>
      <c r="O39" s="673"/>
      <c r="P39" s="361"/>
      <c r="Q39" s="441"/>
      <c r="R39" s="485"/>
      <c r="S39" s="442"/>
      <c r="T39" s="441">
        <v>2</v>
      </c>
      <c r="U39" s="485"/>
      <c r="V39" s="442"/>
      <c r="W39" s="441">
        <v>1</v>
      </c>
      <c r="X39" s="485"/>
      <c r="Y39" s="442"/>
      <c r="Z39" s="441"/>
      <c r="AA39" s="485"/>
      <c r="AB39" s="442"/>
      <c r="AC39" s="672"/>
      <c r="AD39" s="441">
        <v>66410.411810669801</v>
      </c>
      <c r="AE39" s="674">
        <v>2507.5075146702397</v>
      </c>
      <c r="AF39" s="674">
        <v>0</v>
      </c>
      <c r="AG39" s="674">
        <v>0</v>
      </c>
      <c r="AH39" s="442">
        <v>0</v>
      </c>
      <c r="AI39" s="442">
        <v>0</v>
      </c>
    </row>
    <row r="40" spans="1:35" x14ac:dyDescent="0.25">
      <c r="A40" s="587" t="s">
        <v>474</v>
      </c>
      <c r="B40" s="369" t="s">
        <v>199</v>
      </c>
      <c r="C40" s="588"/>
      <c r="D40" s="589" t="s">
        <v>1337</v>
      </c>
      <c r="E40" s="44" t="s">
        <v>138</v>
      </c>
      <c r="F40" s="214" t="s">
        <v>463</v>
      </c>
      <c r="G40" s="587" t="s">
        <v>468</v>
      </c>
      <c r="H40" s="590" t="s">
        <v>205</v>
      </c>
      <c r="I40" s="591">
        <v>2</v>
      </c>
      <c r="J40" s="592">
        <v>19090.55</v>
      </c>
      <c r="K40" s="593">
        <v>0.2033513845915047</v>
      </c>
      <c r="L40" s="592">
        <v>22972.639775113348</v>
      </c>
      <c r="M40" s="594">
        <v>45945.279550226696</v>
      </c>
      <c r="O40" s="673"/>
      <c r="P40" s="361"/>
      <c r="Q40" s="441"/>
      <c r="R40" s="485"/>
      <c r="S40" s="442"/>
      <c r="T40" s="441">
        <v>1</v>
      </c>
      <c r="U40" s="485"/>
      <c r="V40" s="442"/>
      <c r="W40" s="441">
        <v>1</v>
      </c>
      <c r="X40" s="485"/>
      <c r="Y40" s="442"/>
      <c r="Z40" s="441"/>
      <c r="AA40" s="485"/>
      <c r="AB40" s="442"/>
      <c r="AC40" s="672"/>
      <c r="AD40" s="441">
        <v>44273.607873779874</v>
      </c>
      <c r="AE40" s="674">
        <v>1671.6716764468265</v>
      </c>
      <c r="AF40" s="674">
        <v>0</v>
      </c>
      <c r="AG40" s="674">
        <v>0</v>
      </c>
      <c r="AH40" s="442">
        <v>0</v>
      </c>
      <c r="AI40" s="442">
        <v>-7.2759576141834259E-12</v>
      </c>
    </row>
    <row r="41" spans="1:35" ht="13.5" thickBot="1" x14ac:dyDescent="0.3">
      <c r="A41" s="587" t="s">
        <v>475</v>
      </c>
      <c r="B41" s="369" t="s">
        <v>199</v>
      </c>
      <c r="C41" s="588"/>
      <c r="D41" s="589" t="s">
        <v>1338</v>
      </c>
      <c r="E41" s="44" t="s">
        <v>138</v>
      </c>
      <c r="F41" s="214" t="s">
        <v>464</v>
      </c>
      <c r="G41" s="587" t="s">
        <v>465</v>
      </c>
      <c r="H41" s="590" t="s">
        <v>205</v>
      </c>
      <c r="I41" s="591">
        <v>2</v>
      </c>
      <c r="J41" s="592">
        <v>19090.55</v>
      </c>
      <c r="K41" s="593">
        <v>0.2033513845915047</v>
      </c>
      <c r="L41" s="592">
        <v>22972.639775113348</v>
      </c>
      <c r="M41" s="594">
        <v>45945.279550226696</v>
      </c>
      <c r="O41" s="673"/>
      <c r="P41" s="361"/>
      <c r="Q41" s="441"/>
      <c r="R41" s="485"/>
      <c r="S41" s="442"/>
      <c r="T41" s="441">
        <v>1</v>
      </c>
      <c r="U41" s="485"/>
      <c r="V41" s="442"/>
      <c r="W41" s="441">
        <v>1</v>
      </c>
      <c r="X41" s="485"/>
      <c r="Y41" s="442"/>
      <c r="Z41" s="441"/>
      <c r="AA41" s="485"/>
      <c r="AB41" s="442"/>
      <c r="AC41" s="672"/>
      <c r="AD41" s="441">
        <v>44273.607873779874</v>
      </c>
      <c r="AE41" s="674">
        <v>1671.6716764468265</v>
      </c>
      <c r="AF41" s="674">
        <v>0</v>
      </c>
      <c r="AG41" s="674">
        <v>0</v>
      </c>
      <c r="AH41" s="442">
        <v>0</v>
      </c>
      <c r="AI41" s="442">
        <v>-7.2759576141834259E-12</v>
      </c>
    </row>
    <row r="42" spans="1:35" ht="13.5" hidden="1" thickBot="1" x14ac:dyDescent="0.3">
      <c r="A42" s="587"/>
      <c r="B42" s="369"/>
      <c r="C42" s="588"/>
      <c r="D42" s="589"/>
      <c r="E42" s="44"/>
      <c r="F42" s="214" t="s">
        <v>147</v>
      </c>
      <c r="G42" s="587" t="s">
        <v>21</v>
      </c>
      <c r="H42" s="590" t="s">
        <v>21</v>
      </c>
      <c r="I42" s="591">
        <f>IF($F42="","",IF('TRECHO(S) A IMPRIMIR'!$B$1= 1, SUM(Q42, T42, W42, Z42), IF('TRECHO(S) A IMPRIMIR'!$B$1= 2, T42, IF('TRECHO(S) A IMPRIMIR'!$B$1= 3, W42, 0))))</f>
        <v>0</v>
      </c>
      <c r="J42" s="592" t="s">
        <v>21</v>
      </c>
      <c r="K42" s="593" t="str">
        <f>IF(AND(F42&lt;&gt;"",J42&lt;&gt;""),
  IF(OR(F42= "CP9001", F42= "CP9091", F42= "CP9092"), 0,
  IF($M$1 = "ENCARGOS SOCIAIS SEM DESONERAÇÃO",'BDI obras SD'!$H$23,'BDI obras CD'!$H$23)),"")</f>
        <v/>
      </c>
      <c r="L42" s="592" t="str">
        <f>IF(J42="","",
  IF(AND(J42&lt;&gt;"",K42=""),J42,J42 * (1 + K42)))</f>
        <v/>
      </c>
      <c r="M42" s="594">
        <f t="shared" ref="M42" si="3">IF(F42="", "", IF(AND(F42&lt;&gt; "", OR(I42= "", J42= "")), 0, I42*L42))</f>
        <v>0</v>
      </c>
      <c r="O42" s="673"/>
      <c r="P42" s="361"/>
      <c r="Q42" s="441"/>
      <c r="R42" s="485"/>
      <c r="S42" s="442"/>
      <c r="T42" s="441"/>
      <c r="U42" s="485"/>
      <c r="V42" s="442"/>
      <c r="W42" s="441"/>
      <c r="X42" s="485"/>
      <c r="Y42" s="442"/>
      <c r="Z42" s="441"/>
      <c r="AA42" s="485"/>
      <c r="AB42" s="442"/>
      <c r="AC42" s="672"/>
      <c r="AD42" s="441" t="s">
        <v>21</v>
      </c>
      <c r="AE42" s="674" t="s">
        <v>21</v>
      </c>
      <c r="AF42" s="674" t="s">
        <v>21</v>
      </c>
      <c r="AG42" s="674" t="s">
        <v>21</v>
      </c>
      <c r="AH42" s="442" t="s">
        <v>21</v>
      </c>
      <c r="AI42" s="442" t="str">
        <f t="shared" si="0"/>
        <v/>
      </c>
    </row>
    <row r="43" spans="1:35" x14ac:dyDescent="0.25">
      <c r="A43" s="616"/>
      <c r="B43" s="617"/>
      <c r="C43" s="588"/>
      <c r="D43" s="651" t="s">
        <v>1383</v>
      </c>
      <c r="E43" s="515" t="s">
        <v>1384</v>
      </c>
      <c r="F43" s="516"/>
      <c r="G43" s="652"/>
      <c r="H43" s="652"/>
      <c r="I43" s="653"/>
      <c r="J43" s="654"/>
      <c r="K43" s="655"/>
      <c r="L43" s="654"/>
      <c r="M43" s="656"/>
      <c r="O43" s="688"/>
      <c r="P43" s="361"/>
      <c r="AC43" s="672"/>
      <c r="AD43" s="797">
        <v>3312799.7195807574</v>
      </c>
      <c r="AE43" s="798">
        <v>259036.04235318571</v>
      </c>
      <c r="AF43" s="798">
        <v>0</v>
      </c>
      <c r="AG43" s="798">
        <v>0</v>
      </c>
      <c r="AH43" s="799">
        <v>-1.5267461835766418E-10</v>
      </c>
      <c r="AI43" s="800">
        <v>1.6370904631912708E-10</v>
      </c>
    </row>
    <row r="44" spans="1:35" x14ac:dyDescent="0.25">
      <c r="A44" s="623"/>
      <c r="B44" s="624"/>
      <c r="C44" s="588"/>
      <c r="D44" s="625" t="s">
        <v>1385</v>
      </c>
      <c r="E44" s="519"/>
      <c r="F44" s="520"/>
      <c r="G44" s="657"/>
      <c r="H44" s="519"/>
      <c r="I44" s="658"/>
      <c r="J44" s="659"/>
      <c r="K44" s="660"/>
      <c r="L44" s="659"/>
      <c r="M44" s="661"/>
      <c r="O44" s="688"/>
      <c r="P44" s="361"/>
      <c r="AC44" s="672"/>
      <c r="AD44" s="440"/>
      <c r="AE44" s="440"/>
      <c r="AF44" s="440"/>
      <c r="AG44" s="440"/>
      <c r="AH44" s="440"/>
      <c r="AI44" s="440"/>
    </row>
    <row r="45" spans="1:35" x14ac:dyDescent="0.25">
      <c r="A45" s="623"/>
      <c r="B45" s="624"/>
      <c r="C45" s="588"/>
      <c r="D45" s="631" t="s">
        <v>1386</v>
      </c>
      <c r="E45" s="525"/>
      <c r="F45" s="526"/>
      <c r="G45" s="662"/>
      <c r="H45" s="525"/>
      <c r="I45" s="663"/>
      <c r="J45" s="664"/>
      <c r="K45" s="665"/>
      <c r="L45" s="664"/>
      <c r="M45" s="666"/>
      <c r="O45" s="688"/>
      <c r="P45" s="361"/>
      <c r="AC45" s="672"/>
      <c r="AD45" s="440"/>
      <c r="AE45" s="440"/>
      <c r="AF45" s="440"/>
      <c r="AG45" s="440"/>
      <c r="AH45" s="440"/>
      <c r="AI45" s="440"/>
    </row>
    <row r="46" spans="1:35" x14ac:dyDescent="0.25">
      <c r="A46" s="623"/>
      <c r="B46" s="624"/>
      <c r="C46" s="588"/>
      <c r="D46" s="631" t="s">
        <v>1535</v>
      </c>
      <c r="E46" s="525"/>
      <c r="F46" s="526"/>
      <c r="G46" s="662"/>
      <c r="H46" s="525"/>
      <c r="I46" s="663"/>
      <c r="J46" s="664"/>
      <c r="K46" s="665"/>
      <c r="L46" s="664"/>
      <c r="M46" s="666"/>
      <c r="O46" s="688"/>
      <c r="P46" s="361"/>
      <c r="AC46" s="672"/>
      <c r="AD46" s="440"/>
      <c r="AE46" s="440"/>
      <c r="AF46" s="440"/>
      <c r="AG46" s="440"/>
      <c r="AH46" s="440"/>
      <c r="AI46" s="440"/>
    </row>
    <row r="47" spans="1:35" x14ac:dyDescent="0.25">
      <c r="A47" s="623"/>
      <c r="B47" s="624"/>
      <c r="C47" s="588"/>
      <c r="D47" s="631"/>
      <c r="E47" s="525"/>
      <c r="F47" s="526"/>
      <c r="G47" s="662"/>
      <c r="H47" s="525"/>
      <c r="I47" s="663"/>
      <c r="J47" s="664"/>
      <c r="K47" s="665"/>
      <c r="L47" s="664"/>
      <c r="M47" s="666"/>
      <c r="O47" s="688"/>
      <c r="P47" s="361"/>
      <c r="AC47" s="672"/>
      <c r="AD47" s="440"/>
      <c r="AE47" s="440"/>
      <c r="AF47" s="440"/>
      <c r="AG47" s="440"/>
      <c r="AH47" s="440"/>
      <c r="AI47" s="440"/>
    </row>
    <row r="48" spans="1:35" ht="13.5" thickBot="1" x14ac:dyDescent="0.3">
      <c r="A48" s="623"/>
      <c r="B48" s="624"/>
      <c r="C48" s="588"/>
      <c r="D48" s="637"/>
      <c r="E48" s="527"/>
      <c r="F48" s="528"/>
      <c r="G48" s="667"/>
      <c r="H48" s="527"/>
      <c r="I48" s="668"/>
      <c r="J48" s="669"/>
      <c r="K48" s="670"/>
      <c r="L48" s="669"/>
      <c r="M48" s="671"/>
      <c r="O48" s="688"/>
      <c r="P48" s="361"/>
      <c r="AC48" s="672"/>
      <c r="AD48" s="440"/>
      <c r="AE48" s="440"/>
      <c r="AF48" s="440"/>
      <c r="AG48" s="440"/>
      <c r="AH48" s="440"/>
      <c r="AI48" s="440"/>
    </row>
    <row r="49" spans="1:35" x14ac:dyDescent="0.25">
      <c r="A49" s="643"/>
      <c r="B49" s="644"/>
      <c r="C49" s="588"/>
      <c r="D49" s="123" t="str">
        <f>'PSP-RESUMO'!$A$16</f>
        <v>RRT DO ORÇAMENTO: 0</v>
      </c>
      <c r="E49" s="588"/>
      <c r="F49" s="645"/>
      <c r="G49" s="588"/>
      <c r="H49" s="646"/>
      <c r="I49" s="647"/>
      <c r="J49" s="648"/>
      <c r="K49" s="649"/>
      <c r="L49" s="648"/>
      <c r="M49" s="650"/>
      <c r="O49" s="672"/>
      <c r="P49" s="361"/>
      <c r="AC49" s="672"/>
      <c r="AD49" s="440"/>
      <c r="AE49" s="440"/>
      <c r="AF49" s="440"/>
      <c r="AG49" s="440"/>
      <c r="AH49" s="440"/>
      <c r="AI49" s="440"/>
    </row>
    <row r="50" spans="1:35" x14ac:dyDescent="0.25">
      <c r="A50" s="643"/>
      <c r="B50" s="644"/>
      <c r="C50" s="588"/>
      <c r="D50" s="693"/>
      <c r="E50" s="588"/>
      <c r="F50" s="645"/>
      <c r="G50" s="588"/>
      <c r="H50" s="646"/>
      <c r="I50" s="647"/>
      <c r="J50" s="643"/>
      <c r="K50" s="694"/>
      <c r="L50" s="647"/>
      <c r="M50" s="647"/>
      <c r="O50" s="672"/>
      <c r="P50" s="361"/>
      <c r="AC50" s="672"/>
      <c r="AD50" s="440"/>
      <c r="AE50" s="440"/>
      <c r="AF50" s="440"/>
      <c r="AG50" s="440"/>
      <c r="AH50" s="440"/>
      <c r="AI50" s="440"/>
    </row>
    <row r="51" spans="1:35" x14ac:dyDescent="0.25">
      <c r="A51" s="492"/>
      <c r="B51" s="644"/>
      <c r="C51" s="588"/>
      <c r="D51" s="588"/>
      <c r="E51" s="588"/>
      <c r="F51" s="645"/>
      <c r="G51" s="588"/>
      <c r="H51" s="646"/>
      <c r="I51" s="647"/>
      <c r="J51" s="492"/>
      <c r="K51" s="354" t="s">
        <v>135</v>
      </c>
      <c r="L51" s="354"/>
      <c r="M51" s="355"/>
      <c r="O51" s="672"/>
      <c r="P51" s="361"/>
      <c r="AC51" s="672"/>
      <c r="AD51" s="440"/>
      <c r="AE51" s="440"/>
      <c r="AF51" s="440"/>
      <c r="AG51" s="440"/>
      <c r="AH51" s="440"/>
      <c r="AI51" s="440"/>
    </row>
    <row r="52" spans="1:35" x14ac:dyDescent="0.25">
      <c r="A52" s="492"/>
      <c r="B52" s="644"/>
      <c r="C52" s="588"/>
      <c r="D52" s="695"/>
      <c r="E52" s="695"/>
      <c r="F52" s="696"/>
      <c r="G52" s="695"/>
      <c r="H52" s="644"/>
      <c r="I52" s="643"/>
      <c r="J52" s="492"/>
      <c r="K52" s="492" t="s">
        <v>136</v>
      </c>
      <c r="L52" s="492"/>
      <c r="M52" s="383"/>
      <c r="O52" s="672"/>
      <c r="P52" s="361"/>
      <c r="AC52" s="672"/>
      <c r="AD52" s="440"/>
      <c r="AE52" s="440"/>
      <c r="AF52" s="440"/>
      <c r="AG52" s="440"/>
      <c r="AH52" s="440"/>
      <c r="AI52" s="440"/>
    </row>
    <row r="53" spans="1:35" s="40" customFormat="1" x14ac:dyDescent="0.25">
      <c r="A53" s="491"/>
      <c r="B53" s="284"/>
      <c r="C53" s="3"/>
      <c r="D53" s="493"/>
      <c r="E53" s="493"/>
      <c r="F53" s="494"/>
      <c r="G53" s="493"/>
      <c r="H53" s="495"/>
      <c r="I53" s="496"/>
      <c r="J53" s="496"/>
      <c r="K53" s="497"/>
      <c r="L53" s="496"/>
      <c r="M53" s="496"/>
      <c r="O53" s="3"/>
      <c r="Q53" s="440"/>
      <c r="R53" s="471"/>
      <c r="S53" s="440"/>
      <c r="T53" s="440"/>
      <c r="U53" s="471"/>
      <c r="V53" s="440"/>
      <c r="W53" s="440"/>
      <c r="X53" s="471"/>
      <c r="Y53" s="440"/>
      <c r="Z53" s="440"/>
      <c r="AA53" s="471"/>
      <c r="AB53" s="440"/>
      <c r="AD53" s="498"/>
      <c r="AE53" s="498"/>
      <c r="AF53" s="498"/>
      <c r="AG53" s="498"/>
      <c r="AH53" s="498"/>
      <c r="AI53" s="498"/>
    </row>
    <row r="54" spans="1:35" s="40" customFormat="1" x14ac:dyDescent="0.25">
      <c r="A54" s="491"/>
      <c r="B54" s="284"/>
      <c r="C54" s="3"/>
      <c r="D54" s="116"/>
      <c r="E54" s="118"/>
      <c r="F54" s="117"/>
      <c r="G54" s="118"/>
      <c r="H54" s="119"/>
      <c r="I54" s="120"/>
      <c r="J54" s="121" t="s">
        <v>417</v>
      </c>
      <c r="K54" s="407"/>
      <c r="L54" s="121"/>
      <c r="M54" s="128">
        <v>14287343.047735771</v>
      </c>
      <c r="O54" s="3"/>
      <c r="Q54" s="440"/>
      <c r="R54" s="471"/>
      <c r="S54" s="440"/>
      <c r="T54" s="440"/>
      <c r="U54" s="471"/>
      <c r="V54" s="440"/>
      <c r="W54" s="440"/>
      <c r="X54" s="471"/>
      <c r="Y54" s="440"/>
      <c r="Z54" s="440"/>
      <c r="AA54" s="471"/>
      <c r="AB54" s="440"/>
      <c r="AD54" s="498"/>
      <c r="AE54" s="498"/>
      <c r="AF54" s="498"/>
      <c r="AG54" s="498"/>
      <c r="AH54" s="498"/>
      <c r="AI54" s="498"/>
    </row>
    <row r="55" spans="1:35" s="40" customFormat="1" x14ac:dyDescent="0.25">
      <c r="A55" s="283"/>
      <c r="B55" s="284"/>
      <c r="C55" s="3"/>
      <c r="D55" s="3"/>
      <c r="E55" s="3"/>
      <c r="F55" s="115"/>
      <c r="G55" s="3"/>
      <c r="H55" s="4"/>
      <c r="I55" s="2"/>
      <c r="J55" s="279" t="s">
        <v>392</v>
      </c>
      <c r="K55" s="408"/>
      <c r="L55" s="279"/>
      <c r="M55" s="2">
        <v>3571835.7619339433</v>
      </c>
      <c r="O55" s="141"/>
      <c r="Q55" s="440"/>
      <c r="R55" s="471"/>
      <c r="S55" s="440"/>
      <c r="T55" s="440"/>
      <c r="U55" s="471"/>
      <c r="V55" s="440"/>
      <c r="W55" s="440"/>
      <c r="X55" s="471"/>
      <c r="Y55" s="440"/>
      <c r="Z55" s="440"/>
      <c r="AA55" s="471"/>
      <c r="AB55" s="440"/>
      <c r="AD55" s="498"/>
      <c r="AE55" s="498"/>
      <c r="AF55" s="498"/>
      <c r="AG55" s="498"/>
      <c r="AH55" s="498"/>
      <c r="AI55" s="498"/>
    </row>
    <row r="56" spans="1:35" s="40" customFormat="1" x14ac:dyDescent="0.25">
      <c r="A56" s="3"/>
      <c r="B56" s="4"/>
      <c r="C56" s="3"/>
      <c r="D56" s="3"/>
      <c r="E56" s="3"/>
      <c r="F56" s="115"/>
      <c r="G56" s="3"/>
      <c r="H56" s="4"/>
      <c r="I56" s="2"/>
      <c r="J56" s="279" t="s">
        <v>393</v>
      </c>
      <c r="K56" s="408"/>
      <c r="L56" s="279"/>
      <c r="M56" s="2">
        <v>-10715507.285801828</v>
      </c>
      <c r="O56" s="141"/>
      <c r="Q56" s="440"/>
      <c r="R56" s="471"/>
      <c r="S56" s="440"/>
      <c r="T56" s="440"/>
      <c r="U56" s="471"/>
      <c r="V56" s="440"/>
      <c r="W56" s="440"/>
      <c r="X56" s="471"/>
      <c r="Y56" s="440"/>
      <c r="Z56" s="440"/>
      <c r="AA56" s="471"/>
      <c r="AB56" s="440"/>
      <c r="AD56" s="498"/>
      <c r="AE56" s="498"/>
      <c r="AF56" s="498"/>
      <c r="AG56" s="498"/>
      <c r="AH56" s="498"/>
      <c r="AI56" s="498"/>
    </row>
    <row r="57" spans="1:35" s="40" customFormat="1" x14ac:dyDescent="0.25">
      <c r="A57" s="3"/>
      <c r="B57" s="4"/>
      <c r="C57" s="3"/>
      <c r="D57" s="3"/>
      <c r="E57" s="3"/>
      <c r="F57" s="115"/>
      <c r="G57" s="3"/>
      <c r="H57" s="4"/>
      <c r="I57" s="2"/>
      <c r="J57" s="144"/>
      <c r="K57" s="409"/>
      <c r="L57" s="144"/>
      <c r="M57" s="144"/>
      <c r="O57" s="141"/>
      <c r="Q57" s="440"/>
      <c r="R57" s="471"/>
      <c r="S57" s="440"/>
      <c r="T57" s="440"/>
      <c r="U57" s="471"/>
      <c r="V57" s="440"/>
      <c r="W57" s="440"/>
      <c r="X57" s="471"/>
      <c r="Y57" s="440"/>
      <c r="Z57" s="440"/>
      <c r="AA57" s="471"/>
      <c r="AB57" s="440"/>
      <c r="AD57" s="498"/>
      <c r="AE57" s="498"/>
      <c r="AF57" s="498"/>
      <c r="AG57" s="498"/>
      <c r="AH57" s="498"/>
      <c r="AI57" s="498"/>
    </row>
  </sheetData>
  <autoFilter ref="D7:P49" xr:uid="{AB4FC3FB-B14A-43FD-8944-1860AF2FC45B}">
    <filterColumn colId="5">
      <filters blank="1">
        <filter val="1,00"/>
        <filter val="108,00"/>
        <filter val="2,00"/>
        <filter val="3,00"/>
        <filter val="36,00"/>
        <filter val="9,00"/>
        <filter val="SERVIÇO"/>
      </filters>
    </filterColumn>
  </autoFilter>
  <mergeCells count="14">
    <mergeCell ref="D5:D6"/>
    <mergeCell ref="E5:I6"/>
    <mergeCell ref="O7:O8"/>
    <mergeCell ref="D7:D8"/>
    <mergeCell ref="F7:F8"/>
    <mergeCell ref="E7:E8"/>
    <mergeCell ref="K7:K8"/>
    <mergeCell ref="L7:L8"/>
    <mergeCell ref="M7:M8"/>
    <mergeCell ref="A7:A8"/>
    <mergeCell ref="B7:B8"/>
    <mergeCell ref="G7:G8"/>
    <mergeCell ref="H7:H8"/>
    <mergeCell ref="J7:J8"/>
  </mergeCells>
  <phoneticPr fontId="45" type="noConversion"/>
  <conditionalFormatting sqref="A9:S12 W9:AI12 D13 F13 A14:AI14 A15:L15 N15:AI15 A16:AI42">
    <cfRule type="expression" dxfId="2058" priority="13">
      <formula>LEN($D9)= 3</formula>
    </cfRule>
    <cfRule type="expression" dxfId="2057" priority="14">
      <formula>AND(LEN($D9)=5,$H9="")</formula>
    </cfRule>
    <cfRule type="expression" dxfId="2056" priority="15">
      <formula>AND($D9&lt;&gt;"",$H9="")</formula>
    </cfRule>
  </conditionalFormatting>
  <conditionalFormatting sqref="T9:V12">
    <cfRule type="expression" dxfId="2055" priority="10">
      <formula>LEN($D9)= 3</formula>
    </cfRule>
    <cfRule type="expression" dxfId="2054" priority="11">
      <formula>AND(LEN($D9)=5,$H9="")</formula>
    </cfRule>
    <cfRule type="expression" dxfId="2053" priority="12">
      <formula>AND($D9&lt;&gt;"",$H9="")</formula>
    </cfRule>
  </conditionalFormatting>
  <conditionalFormatting sqref="A13:C13 W13:AI13 E13 G13:S13">
    <cfRule type="expression" dxfId="2052" priority="7">
      <formula>LEN($D13)= 3</formula>
    </cfRule>
    <cfRule type="expression" dxfId="2051" priority="8">
      <formula>AND(LEN($D13)=5,$H13="")</formula>
    </cfRule>
    <cfRule type="expression" dxfId="2050" priority="9">
      <formula>AND($D13&lt;&gt;"",$H13="")</formula>
    </cfRule>
  </conditionalFormatting>
  <conditionalFormatting sqref="T13:V13">
    <cfRule type="expression" dxfId="2049" priority="4">
      <formula>LEN($D13)= 3</formula>
    </cfRule>
    <cfRule type="expression" dxfId="2048" priority="5">
      <formula>AND(LEN($D13)=5,$H13="")</formula>
    </cfRule>
    <cfRule type="expression" dxfId="2047" priority="6">
      <formula>AND($D13&lt;&gt;"",$H13="")</formula>
    </cfRule>
  </conditionalFormatting>
  <conditionalFormatting sqref="M15">
    <cfRule type="expression" dxfId="2046" priority="1">
      <formula>LEN($D15)= 3</formula>
    </cfRule>
    <cfRule type="expression" dxfId="2045" priority="2">
      <formula>AND(LEN($D15)=5,$H15="")</formula>
    </cfRule>
    <cfRule type="expression" dxfId="2044" priority="3">
      <formula>AND($D15&lt;&gt;"",$H15="")</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B2F1E-8880-4175-863B-D7CA37A0602B}">
  <sheetPr filterMode="1">
    <tabColor rgb="FF002060"/>
    <outlinePr summaryBelow="0" summaryRight="0"/>
    <pageSetUpPr fitToPage="1"/>
  </sheetPr>
  <dimension ref="A1:AI65"/>
  <sheetViews>
    <sheetView showGridLines="0" zoomScale="70" zoomScaleNormal="70" workbookViewId="0">
      <pane xSplit="9" ySplit="9" topLeftCell="R10" activePane="bottomRight" state="frozen"/>
      <selection activeCell="P26" sqref="P26"/>
      <selection pane="topRight" activeCell="P26" sqref="P26"/>
      <selection pane="bottomLeft" activeCell="P26" sqref="P26"/>
      <selection pane="bottomRight" activeCell="AB64" sqref="AB64"/>
    </sheetView>
  </sheetViews>
  <sheetFormatPr defaultColWidth="9.140625" defaultRowHeight="12.75" x14ac:dyDescent="0.25"/>
  <cols>
    <col min="1" max="1" width="50.7109375" style="3" customWidth="1"/>
    <col min="2" max="2" width="9.7109375" style="4" customWidth="1"/>
    <col min="3" max="3" width="1.7109375" style="3" customWidth="1"/>
    <col min="4" max="4" width="17.7109375" style="3" customWidth="1"/>
    <col min="5" max="5" width="15.7109375" style="3" customWidth="1"/>
    <col min="6" max="6" width="12.7109375" style="115" customWidth="1"/>
    <col min="7" max="7" width="50.7109375" style="3" customWidth="1"/>
    <col min="8" max="8" width="9.7109375" style="4" customWidth="1"/>
    <col min="9" max="9" width="12.7109375" style="2" customWidth="1"/>
    <col min="10" max="10" width="14.7109375" style="2" customWidth="1"/>
    <col min="11" max="11" width="14.7109375" style="410" customWidth="1"/>
    <col min="12" max="13" width="14.7109375" style="2" customWidth="1"/>
    <col min="14" max="14" width="1.7109375" style="40" customWidth="1"/>
    <col min="15" max="15" width="50.7109375" style="3" customWidth="1"/>
    <col min="16" max="16" width="1.7109375" style="40" customWidth="1"/>
    <col min="17" max="17" width="10.7109375" style="440" customWidth="1"/>
    <col min="18" max="18" width="10.7109375" style="471" customWidth="1"/>
    <col min="19" max="20" width="10.7109375" style="440" customWidth="1"/>
    <col min="21" max="21" width="10.7109375" style="471" customWidth="1"/>
    <col min="22" max="23" width="10.7109375" style="440" customWidth="1"/>
    <col min="24" max="24" width="10.7109375" style="471" customWidth="1"/>
    <col min="25" max="26" width="10.7109375" style="440" customWidth="1"/>
    <col min="27" max="27" width="10.7109375" style="471" customWidth="1"/>
    <col min="28" max="28" width="10.7109375" style="440" customWidth="1"/>
    <col min="29" max="29" width="1.7109375" style="3" customWidth="1"/>
    <col min="30" max="35" width="11.7109375" style="499" customWidth="1"/>
    <col min="36" max="16384" width="9.140625" style="3"/>
  </cols>
  <sheetData>
    <row r="1" spans="1:35" s="41" customFormat="1" ht="15" x14ac:dyDescent="0.25">
      <c r="A1" s="487"/>
      <c r="B1" s="487"/>
      <c r="D1" s="726" t="s">
        <v>1531</v>
      </c>
      <c r="E1" s="726"/>
      <c r="F1" s="726"/>
      <c r="G1" s="726"/>
      <c r="H1" s="726"/>
      <c r="I1" s="726"/>
      <c r="K1" s="727"/>
      <c r="L1" s="728"/>
      <c r="M1" s="757" t="str">
        <f>'PSP-RESUMO'!$C$3</f>
        <v>ENCARGOS SOCIAIS SEM DESONERAÇÃO</v>
      </c>
      <c r="O1" s="488"/>
      <c r="Q1" s="394"/>
      <c r="R1" s="489"/>
      <c r="S1" s="394"/>
      <c r="T1" s="394"/>
      <c r="U1" s="489"/>
      <c r="V1" s="394"/>
      <c r="W1" s="394"/>
      <c r="X1" s="489"/>
      <c r="Y1" s="394"/>
      <c r="Z1" s="394"/>
      <c r="AA1" s="489"/>
      <c r="AB1" s="394"/>
      <c r="AD1" s="498"/>
      <c r="AE1" s="498"/>
      <c r="AF1" s="498"/>
      <c r="AG1" s="498"/>
      <c r="AH1" s="498"/>
      <c r="AI1" s="498"/>
    </row>
    <row r="2" spans="1:35" s="41" customFormat="1" ht="15" x14ac:dyDescent="0.25">
      <c r="A2" s="487"/>
      <c r="B2" s="487"/>
      <c r="D2" s="729" t="s">
        <v>1147</v>
      </c>
      <c r="E2" s="744" t="str">
        <f>IF('TRECHO(S) A IMPRIMIR'!$B$1= 1, 'PSP-RESUMO'!$B$2, IF('TRECHO(S) A IMPRIMIR'!$B$1= 2,#REF!,#REF!))</f>
        <v>URBANIZAÇÃO DO SETOR SOL NASCENTE - TRECHOS 1 e 3</v>
      </c>
      <c r="F2" s="730"/>
      <c r="G2" s="730"/>
      <c r="H2" s="730"/>
      <c r="I2" s="730"/>
      <c r="J2" s="730"/>
      <c r="K2" s="731"/>
      <c r="L2" s="807" t="s">
        <v>156</v>
      </c>
      <c r="M2" s="808" t="str">
        <f>'PSP-RESUMO'!$D$4</f>
        <v>28/JAN/2022</v>
      </c>
      <c r="O2" s="488"/>
      <c r="Q2" s="394"/>
      <c r="R2" s="489"/>
      <c r="S2" s="394"/>
      <c r="T2" s="394"/>
      <c r="U2" s="489"/>
      <c r="V2" s="394"/>
      <c r="W2" s="394"/>
      <c r="X2" s="489"/>
      <c r="Y2" s="394"/>
      <c r="Z2" s="394"/>
      <c r="AA2" s="489"/>
      <c r="AB2" s="394"/>
      <c r="AD2" s="498"/>
      <c r="AE2" s="498"/>
      <c r="AF2" s="498"/>
      <c r="AG2" s="498"/>
      <c r="AH2" s="498"/>
      <c r="AI2" s="498"/>
    </row>
    <row r="3" spans="1:35" s="41" customFormat="1" ht="15" x14ac:dyDescent="0.25">
      <c r="A3" s="487"/>
      <c r="B3" s="487"/>
      <c r="D3" s="741" t="s">
        <v>34</v>
      </c>
      <c r="E3" s="742" t="str">
        <f>'PSP-RESUMO'!B3</f>
        <v>SETOR SOL NASCENTE, CEILÂNDIA/DF</v>
      </c>
      <c r="F3" s="742"/>
      <c r="G3" s="742"/>
      <c r="H3" s="742"/>
      <c r="I3" s="734"/>
      <c r="J3" s="734"/>
      <c r="K3" s="735"/>
      <c r="L3" s="807" t="s">
        <v>1978</v>
      </c>
      <c r="M3" s="809" t="str">
        <f>'PSP-RESUMO'!$D$18</f>
        <v>JUNHO/2021</v>
      </c>
      <c r="O3" s="488"/>
      <c r="Q3" s="394"/>
      <c r="R3" s="489"/>
      <c r="S3" s="394"/>
      <c r="T3" s="394"/>
      <c r="U3" s="489"/>
      <c r="V3" s="394"/>
      <c r="W3" s="394"/>
      <c r="X3" s="489"/>
      <c r="Y3" s="394"/>
      <c r="Z3" s="394"/>
      <c r="AA3" s="489"/>
      <c r="AB3" s="394"/>
      <c r="AD3" s="498"/>
      <c r="AE3" s="498"/>
      <c r="AF3" s="498"/>
      <c r="AG3" s="498"/>
      <c r="AH3" s="498"/>
      <c r="AI3" s="498"/>
    </row>
    <row r="4" spans="1:35" s="41" customFormat="1" ht="15" x14ac:dyDescent="0.25">
      <c r="A4" s="487"/>
      <c r="B4" s="487"/>
      <c r="D4" s="732" t="s">
        <v>33</v>
      </c>
      <c r="E4" s="742" t="str">
        <f>'PSP-RESUMO'!B4</f>
        <v>ARIA</v>
      </c>
      <c r="F4" s="737"/>
      <c r="G4" s="736"/>
      <c r="H4" s="734"/>
      <c r="I4" s="736"/>
      <c r="J4" s="736"/>
      <c r="K4" s="738"/>
      <c r="L4" s="807" t="s">
        <v>1979</v>
      </c>
      <c r="M4" s="810">
        <f>IF('PSP-RESUMO'!$C$3 = "ENCARGOS SOCIAIS SEM DESONERAÇÃO", 'BDI obras SD'!$H$23, 'BDI obras CD'!$H$23)</f>
        <v>0.2033513845915047</v>
      </c>
      <c r="O4" s="488"/>
      <c r="Q4" s="394"/>
      <c r="R4" s="489"/>
      <c r="S4" s="394"/>
      <c r="T4" s="394"/>
      <c r="U4" s="489"/>
      <c r="V4" s="394"/>
      <c r="W4" s="394"/>
      <c r="X4" s="489"/>
      <c r="Y4" s="394"/>
      <c r="Z4" s="394"/>
      <c r="AA4" s="489"/>
      <c r="AB4" s="394"/>
      <c r="AD4" s="498"/>
      <c r="AE4" s="498"/>
      <c r="AF4" s="498"/>
      <c r="AG4" s="498"/>
      <c r="AH4" s="498"/>
      <c r="AI4" s="498"/>
    </row>
    <row r="5" spans="1:35" s="41" customFormat="1" ht="15" customHeight="1" x14ac:dyDescent="0.25">
      <c r="A5" s="487"/>
      <c r="B5" s="487"/>
      <c r="D5" s="1946" t="s">
        <v>1284</v>
      </c>
      <c r="E5" s="1938" t="str">
        <f>$G$9</f>
        <v>SERVIÇOS PRELIMINARES DE OBRAS - TRECHOS 1 e 3</v>
      </c>
      <c r="F5" s="1938"/>
      <c r="G5" s="1938"/>
      <c r="H5" s="1938"/>
      <c r="I5" s="1938"/>
      <c r="J5" s="734"/>
      <c r="K5" s="803"/>
      <c r="L5" s="807" t="s">
        <v>1980</v>
      </c>
      <c r="M5" s="811">
        <f>IF('PSP-RESUMO'!$C$3 = "ENCARGOS SOCIAIS SEM DESONERAÇÃO", 'BDI-Difer SD'!$H$23, 'BDI-Difer CD'!$H$23)</f>
        <v>0.11096635744680849</v>
      </c>
      <c r="O5" s="488"/>
      <c r="Q5" s="394"/>
      <c r="R5" s="489"/>
      <c r="S5" s="394"/>
      <c r="T5" s="394"/>
      <c r="U5" s="489"/>
      <c r="V5" s="394"/>
      <c r="W5" s="394"/>
      <c r="X5" s="489"/>
      <c r="Y5" s="394"/>
      <c r="Z5" s="394"/>
      <c r="AA5" s="489"/>
      <c r="AB5" s="394"/>
      <c r="AD5" s="498"/>
      <c r="AE5" s="498"/>
      <c r="AF5" s="498"/>
      <c r="AG5" s="498"/>
      <c r="AH5" s="498"/>
      <c r="AI5" s="498"/>
    </row>
    <row r="6" spans="1:35" s="41" customFormat="1" ht="15" customHeight="1" thickBot="1" x14ac:dyDescent="0.3">
      <c r="A6" s="487"/>
      <c r="B6" s="487"/>
      <c r="D6" s="1947"/>
      <c r="E6" s="1939"/>
      <c r="F6" s="1939"/>
      <c r="G6" s="1939"/>
      <c r="H6" s="1939"/>
      <c r="I6" s="1939"/>
      <c r="J6" s="739"/>
      <c r="K6" s="743"/>
      <c r="L6" s="813" t="s">
        <v>1339</v>
      </c>
      <c r="M6" s="802">
        <f>'01-CO'!M6</f>
        <v>18</v>
      </c>
      <c r="O6" s="488"/>
      <c r="Q6" s="394"/>
      <c r="R6" s="489"/>
      <c r="S6" s="394"/>
      <c r="T6" s="394"/>
      <c r="U6" s="489"/>
      <c r="V6" s="394"/>
      <c r="W6" s="394"/>
      <c r="X6" s="489"/>
      <c r="Y6" s="394"/>
      <c r="Z6" s="394"/>
      <c r="AA6" s="489"/>
      <c r="AB6" s="394"/>
      <c r="AD6" s="498"/>
      <c r="AE6" s="498"/>
      <c r="AF6" s="498"/>
      <c r="AG6" s="498"/>
      <c r="AH6" s="498"/>
      <c r="AI6" s="498"/>
    </row>
    <row r="7" spans="1:35" ht="27" customHeight="1" x14ac:dyDescent="0.25">
      <c r="A7" s="1924" t="s">
        <v>31</v>
      </c>
      <c r="B7" s="1922" t="s">
        <v>1322</v>
      </c>
      <c r="D7" s="1934" t="s">
        <v>0</v>
      </c>
      <c r="E7" s="1924" t="s">
        <v>32</v>
      </c>
      <c r="F7" s="1932" t="s">
        <v>1206</v>
      </c>
      <c r="G7" s="1924" t="s">
        <v>30</v>
      </c>
      <c r="H7" s="1944" t="s">
        <v>1</v>
      </c>
      <c r="I7" s="472" t="s">
        <v>29</v>
      </c>
      <c r="J7" s="1930" t="s">
        <v>1204</v>
      </c>
      <c r="K7" s="1926" t="s">
        <v>1202</v>
      </c>
      <c r="L7" s="1928" t="s">
        <v>1203</v>
      </c>
      <c r="M7" s="1942" t="s">
        <v>1205</v>
      </c>
      <c r="N7" s="215"/>
      <c r="O7" s="1940" t="s">
        <v>160</v>
      </c>
      <c r="P7" s="215"/>
      <c r="Q7" s="465" t="s">
        <v>1283</v>
      </c>
      <c r="R7" s="469"/>
      <c r="S7" s="466"/>
      <c r="T7" s="465" t="s">
        <v>1717</v>
      </c>
      <c r="U7" s="469"/>
      <c r="V7" s="466"/>
      <c r="W7" s="465" t="s">
        <v>1804</v>
      </c>
      <c r="X7" s="469"/>
      <c r="Y7" s="466"/>
      <c r="Z7" s="467" t="s">
        <v>147</v>
      </c>
      <c r="AA7" s="469"/>
      <c r="AB7" s="468"/>
    </row>
    <row r="8" spans="1:35" ht="27" customHeight="1" thickBot="1" x14ac:dyDescent="0.3">
      <c r="A8" s="1925"/>
      <c r="B8" s="1923"/>
      <c r="D8" s="1935"/>
      <c r="E8" s="1925"/>
      <c r="F8" s="1933"/>
      <c r="G8" s="1925"/>
      <c r="H8" s="1945"/>
      <c r="I8" s="473" t="s">
        <v>8</v>
      </c>
      <c r="J8" s="1931"/>
      <c r="K8" s="1927"/>
      <c r="L8" s="1929"/>
      <c r="M8" s="1943"/>
      <c r="N8" s="215"/>
      <c r="O8" s="1941"/>
      <c r="P8" s="215"/>
      <c r="Q8" s="445" t="s">
        <v>1053</v>
      </c>
      <c r="R8" s="470" t="s">
        <v>1054</v>
      </c>
      <c r="S8" s="446" t="s">
        <v>288</v>
      </c>
      <c r="T8" s="445" t="s">
        <v>1053</v>
      </c>
      <c r="U8" s="470" t="s">
        <v>1054</v>
      </c>
      <c r="V8" s="446" t="s">
        <v>288</v>
      </c>
      <c r="W8" s="445" t="s">
        <v>1053</v>
      </c>
      <c r="X8" s="470" t="s">
        <v>1054</v>
      </c>
      <c r="Y8" s="446" t="s">
        <v>288</v>
      </c>
      <c r="Z8" s="445" t="s">
        <v>1053</v>
      </c>
      <c r="AA8" s="470" t="s">
        <v>1054</v>
      </c>
      <c r="AB8" s="446" t="s">
        <v>288</v>
      </c>
      <c r="AD8" s="503" t="s">
        <v>1340</v>
      </c>
      <c r="AE8" s="504" t="s">
        <v>1341</v>
      </c>
      <c r="AF8" s="504" t="s">
        <v>1342</v>
      </c>
      <c r="AG8" s="504" t="s">
        <v>1343</v>
      </c>
      <c r="AH8" s="505" t="s">
        <v>997</v>
      </c>
      <c r="AI8" s="505" t="s">
        <v>1381</v>
      </c>
    </row>
    <row r="9" spans="1:35" x14ac:dyDescent="0.25">
      <c r="A9" s="587" t="str">
        <f>IF('TRECHO(S) A IMPRIMIR'!$B$1= 1, "SERVIÇOS PRELIMINARES DE OBRAS - TRECHOS 1 e 3", IF('TRECHO(S) A IMPRIMIR'!$B$1= 2, "SERVIÇOS PRELIMINARES DE OBRAS - TRECHO 1", "SERVIÇOS PRELIMINARES DE OBRAS - TRECHO 3"))</f>
        <v>SERVIÇOS PRELIMINARES DE OBRAS - TRECHOS 1 e 3</v>
      </c>
      <c r="B9" s="369"/>
      <c r="C9" s="588"/>
      <c r="D9" s="589" t="s">
        <v>142</v>
      </c>
      <c r="E9" s="44"/>
      <c r="F9" s="214"/>
      <c r="G9" s="587" t="s">
        <v>4152</v>
      </c>
      <c r="H9" s="590" t="s">
        <v>21</v>
      </c>
      <c r="I9" s="591" t="s">
        <v>21</v>
      </c>
      <c r="J9" s="592" t="s">
        <v>21</v>
      </c>
      <c r="K9" s="593" t="s">
        <v>21</v>
      </c>
      <c r="L9" s="592" t="s">
        <v>21</v>
      </c>
      <c r="M9" s="594">
        <v>703821.75660940469</v>
      </c>
      <c r="O9" s="673"/>
      <c r="P9" s="361"/>
      <c r="Q9" s="441"/>
      <c r="R9" s="485"/>
      <c r="S9" s="442"/>
      <c r="T9" s="441"/>
      <c r="U9" s="485"/>
      <c r="V9" s="442"/>
      <c r="W9" s="441"/>
      <c r="X9" s="485"/>
      <c r="Y9" s="442"/>
      <c r="Z9" s="441"/>
      <c r="AA9" s="485"/>
      <c r="AB9" s="442"/>
      <c r="AC9" s="672"/>
      <c r="AD9" s="441" t="s">
        <v>21</v>
      </c>
      <c r="AE9" s="674" t="s">
        <v>21</v>
      </c>
      <c r="AF9" s="674" t="s">
        <v>21</v>
      </c>
      <c r="AG9" s="674" t="s">
        <v>21</v>
      </c>
      <c r="AH9" s="442" t="s">
        <v>21</v>
      </c>
      <c r="AI9" s="442" t="str">
        <f>IF(SUM(AD9:AH9)=0,"",M9 - SUM(AD9:AH9))</f>
        <v/>
      </c>
    </row>
    <row r="10" spans="1:35" ht="24" x14ac:dyDescent="0.25">
      <c r="A10" s="587" t="s">
        <v>4016</v>
      </c>
      <c r="B10" s="369"/>
      <c r="C10" s="588"/>
      <c r="D10" s="589" t="s">
        <v>129</v>
      </c>
      <c r="E10" s="44"/>
      <c r="F10" s="214"/>
      <c r="G10" s="587" t="s">
        <v>4016</v>
      </c>
      <c r="H10" s="590" t="s">
        <v>21</v>
      </c>
      <c r="I10" s="591" t="s">
        <v>21</v>
      </c>
      <c r="J10" s="592" t="s">
        <v>21</v>
      </c>
      <c r="K10" s="593" t="s">
        <v>21</v>
      </c>
      <c r="L10" s="592" t="s">
        <v>21</v>
      </c>
      <c r="M10" s="594">
        <v>545698.34603346395</v>
      </c>
      <c r="O10" s="673"/>
      <c r="P10" s="361"/>
      <c r="Q10" s="441"/>
      <c r="R10" s="485"/>
      <c r="S10" s="442"/>
      <c r="T10" s="441"/>
      <c r="U10" s="485"/>
      <c r="V10" s="442"/>
      <c r="W10" s="441"/>
      <c r="X10" s="485"/>
      <c r="Y10" s="442"/>
      <c r="Z10" s="441"/>
      <c r="AA10" s="485"/>
      <c r="AB10" s="442"/>
      <c r="AC10" s="672"/>
      <c r="AD10" s="441" t="s">
        <v>21</v>
      </c>
      <c r="AE10" s="674" t="s">
        <v>21</v>
      </c>
      <c r="AF10" s="674" t="s">
        <v>21</v>
      </c>
      <c r="AG10" s="674" t="s">
        <v>21</v>
      </c>
      <c r="AH10" s="442" t="s">
        <v>21</v>
      </c>
      <c r="AI10" s="442" t="str">
        <f t="shared" ref="AI10:AI50" si="0">IF(SUM(AD10:AH10)=0,"",M10 - SUM(AD10:AH10))</f>
        <v/>
      </c>
    </row>
    <row r="11" spans="1:35" ht="72" x14ac:dyDescent="0.25">
      <c r="A11" s="587" t="s">
        <v>2042</v>
      </c>
      <c r="B11" s="369" t="s">
        <v>28</v>
      </c>
      <c r="C11" s="588"/>
      <c r="D11" s="589" t="s">
        <v>1007</v>
      </c>
      <c r="E11" s="44" t="s">
        <v>27</v>
      </c>
      <c r="F11" s="214">
        <v>102306</v>
      </c>
      <c r="G11" s="587" t="s">
        <v>1296</v>
      </c>
      <c r="H11" s="590" t="s">
        <v>44</v>
      </c>
      <c r="I11" s="591">
        <v>3842.76</v>
      </c>
      <c r="J11" s="592">
        <v>11.32</v>
      </c>
      <c r="K11" s="593">
        <v>0.2033513845915047</v>
      </c>
      <c r="L11" s="592">
        <v>13.621937673575834</v>
      </c>
      <c r="M11" s="594">
        <v>52345.837214510277</v>
      </c>
      <c r="O11" s="817">
        <v>0.6</v>
      </c>
      <c r="P11" s="361"/>
      <c r="Q11" s="441"/>
      <c r="R11" s="485">
        <v>1.5</v>
      </c>
      <c r="S11" s="442"/>
      <c r="T11" s="441">
        <v>2557.96</v>
      </c>
      <c r="U11" s="485">
        <v>1.5</v>
      </c>
      <c r="V11" s="442"/>
      <c r="W11" s="441">
        <v>1284.8000000000002</v>
      </c>
      <c r="X11" s="485">
        <v>1.5</v>
      </c>
      <c r="Y11" s="442"/>
      <c r="Z11" s="441"/>
      <c r="AA11" s="485">
        <v>1.5</v>
      </c>
      <c r="AB11" s="442"/>
      <c r="AC11" s="672"/>
      <c r="AD11" s="441">
        <v>12809.007869628396</v>
      </c>
      <c r="AE11" s="674">
        <v>14889.893624622182</v>
      </c>
      <c r="AF11" s="674">
        <v>24646.935720259695</v>
      </c>
      <c r="AG11" s="674">
        <v>0</v>
      </c>
      <c r="AH11" s="442">
        <v>0</v>
      </c>
      <c r="AI11" s="442">
        <v>0</v>
      </c>
    </row>
    <row r="12" spans="1:35" ht="48" x14ac:dyDescent="0.25">
      <c r="A12" s="587" t="s">
        <v>1052</v>
      </c>
      <c r="B12" s="369" t="s">
        <v>23</v>
      </c>
      <c r="C12" s="588"/>
      <c r="D12" s="589" t="s">
        <v>1031</v>
      </c>
      <c r="E12" s="44" t="s">
        <v>27</v>
      </c>
      <c r="F12" s="214">
        <v>100999</v>
      </c>
      <c r="G12" s="587" t="s">
        <v>769</v>
      </c>
      <c r="H12" s="590" t="s">
        <v>55</v>
      </c>
      <c r="I12" s="591">
        <v>5764.14</v>
      </c>
      <c r="J12" s="592">
        <v>4.24</v>
      </c>
      <c r="K12" s="593">
        <v>0.2033513845915047</v>
      </c>
      <c r="L12" s="592">
        <v>5.1022098706679806</v>
      </c>
      <c r="M12" s="594">
        <v>29409.852003912136</v>
      </c>
      <c r="O12" s="673"/>
      <c r="P12" s="361"/>
      <c r="Q12" s="441">
        <v>0</v>
      </c>
      <c r="R12" s="485"/>
      <c r="S12" s="442"/>
      <c r="T12" s="441">
        <v>3836.94</v>
      </c>
      <c r="U12" s="485"/>
      <c r="V12" s="442"/>
      <c r="W12" s="441">
        <v>1927.2000000000003</v>
      </c>
      <c r="X12" s="485"/>
      <c r="Y12" s="442"/>
      <c r="Z12" s="441">
        <v>0</v>
      </c>
      <c r="AA12" s="485"/>
      <c r="AB12" s="442"/>
      <c r="AC12" s="672"/>
      <c r="AD12" s="441">
        <v>3121.3286324906744</v>
      </c>
      <c r="AE12" s="674">
        <v>13456.394548959795</v>
      </c>
      <c r="AF12" s="674">
        <v>12832.128822461662</v>
      </c>
      <c r="AG12" s="674">
        <v>0</v>
      </c>
      <c r="AH12" s="442">
        <v>0</v>
      </c>
      <c r="AI12" s="442">
        <v>3.637978807091713E-12</v>
      </c>
    </row>
    <row r="13" spans="1:35" ht="36" x14ac:dyDescent="0.25">
      <c r="A13" s="587" t="s">
        <v>1274</v>
      </c>
      <c r="B13" s="369" t="s">
        <v>25</v>
      </c>
      <c r="C13" s="588"/>
      <c r="D13" s="589" t="s">
        <v>1032</v>
      </c>
      <c r="E13" s="44" t="s">
        <v>27</v>
      </c>
      <c r="F13" s="214">
        <v>95879</v>
      </c>
      <c r="G13" s="587" t="s">
        <v>789</v>
      </c>
      <c r="H13" s="590" t="s">
        <v>42</v>
      </c>
      <c r="I13" s="591">
        <v>126811.08000000002</v>
      </c>
      <c r="J13" s="592">
        <v>1.04</v>
      </c>
      <c r="K13" s="593">
        <v>0.2033513845915047</v>
      </c>
      <c r="L13" s="592">
        <v>1.2514854399751649</v>
      </c>
      <c r="M13" s="594">
        <v>158702.22024752587</v>
      </c>
      <c r="O13" s="673"/>
      <c r="P13" s="361"/>
      <c r="Q13" s="441">
        <v>0</v>
      </c>
      <c r="R13" s="485"/>
      <c r="S13" s="442">
        <v>22</v>
      </c>
      <c r="T13" s="441">
        <v>84412.680000000008</v>
      </c>
      <c r="U13" s="485"/>
      <c r="V13" s="442">
        <v>22</v>
      </c>
      <c r="W13" s="441">
        <v>42398.400000000009</v>
      </c>
      <c r="X13" s="485"/>
      <c r="Y13" s="442">
        <v>22</v>
      </c>
      <c r="Z13" s="441">
        <v>0</v>
      </c>
      <c r="AA13" s="485"/>
      <c r="AB13" s="442">
        <v>22</v>
      </c>
      <c r="AC13" s="672"/>
      <c r="AD13" s="441">
        <v>10681.880208968088</v>
      </c>
      <c r="AE13" s="674">
        <v>91558.973219726438</v>
      </c>
      <c r="AF13" s="674">
        <v>56461.366818831317</v>
      </c>
      <c r="AG13" s="674">
        <v>0</v>
      </c>
      <c r="AH13" s="442">
        <v>0</v>
      </c>
      <c r="AI13" s="442">
        <v>2.9103830456733704E-11</v>
      </c>
    </row>
    <row r="14" spans="1:35" ht="36" hidden="1" x14ac:dyDescent="0.25">
      <c r="A14" s="587" t="s">
        <v>1275</v>
      </c>
      <c r="B14" s="369" t="s">
        <v>25</v>
      </c>
      <c r="C14" s="588"/>
      <c r="D14" s="589" t="s">
        <v>1033</v>
      </c>
      <c r="E14" s="44" t="s">
        <v>27</v>
      </c>
      <c r="F14" s="214">
        <v>93599</v>
      </c>
      <c r="G14" s="587" t="s">
        <v>788</v>
      </c>
      <c r="H14" s="590" t="s">
        <v>42</v>
      </c>
      <c r="I14" s="591">
        <f>IF($F14="","",IF('TRECHO(S) A IMPRIMIR'!$B$1= 1, SUM(Q14, T14, W14, Z14), IF('TRECHO(S) A IMPRIMIR'!$B$1= 2, T14, IF('TRECHO(S) A IMPRIMIR'!$B$1= 3, W14, 0))))</f>
        <v>0</v>
      </c>
      <c r="J14" s="592">
        <v>0.41</v>
      </c>
      <c r="K14" s="593">
        <f>IF(AND(F14&lt;&gt;"",J14&lt;&gt;""),
  IF(OR(F14= "CP9001", F14= "CP9091", F14= "CP9092"), 0,
  IF($M$1 = "ENCARGOS SOCIAIS SEM DESONERAÇÃO",'BDI obras SD'!$H$23,'BDI obras CD'!$H$23)),"")</f>
        <v>0.2033513845915047</v>
      </c>
      <c r="L14" s="592">
        <f t="shared" ref="L11:L21" si="1">IF(J14="","",
  IF(AND(J14&lt;&gt;"",K14=""),J14,J14 * (1 + K14)))</f>
        <v>0.4933740676825169</v>
      </c>
      <c r="M14" s="594">
        <f t="shared" ref="M11:M20" si="2">IF(OR(I14="",L14=""),"",I14*L14)</f>
        <v>0</v>
      </c>
      <c r="O14" s="673"/>
      <c r="P14" s="361"/>
      <c r="Q14" s="441">
        <f>Q12 * S14</f>
        <v>0</v>
      </c>
      <c r="R14" s="485"/>
      <c r="S14" s="442">
        <f>IF('MLQ-DMT-TR1'!$E$7 &gt; 30, 'MLQ-DMT-TR1'!$E$7 - 30, 0)</f>
        <v>0</v>
      </c>
      <c r="T14" s="441">
        <f>T12 * V14</f>
        <v>0</v>
      </c>
      <c r="U14" s="485"/>
      <c r="V14" s="442">
        <f>IF('MLQ-DMT-TR1'!$E$7 &gt; 30, 'MLQ-DMT-TR1'!$E$7 - 30, 0)</f>
        <v>0</v>
      </c>
      <c r="W14" s="441">
        <f>W12 * Y14</f>
        <v>0</v>
      </c>
      <c r="X14" s="485"/>
      <c r="Y14" s="442">
        <f>IF('MLQ-DMT-TR1'!$E$7 &gt; 30, 'MLQ-DMT-TR1'!$E$7 - 30, 0)</f>
        <v>0</v>
      </c>
      <c r="Z14" s="441">
        <f>Z12 * AB14</f>
        <v>0</v>
      </c>
      <c r="AA14" s="485"/>
      <c r="AB14" s="442">
        <f>IF('MLQ-DMT-TR1'!$E$7 &gt; 30, 'MLQ-DMT-TR1'!$E$7 - 30, 0)</f>
        <v>0</v>
      </c>
      <c r="AC14" s="672"/>
      <c r="AD14" s="441" t="s">
        <v>21</v>
      </c>
      <c r="AE14" s="674" t="s">
        <v>21</v>
      </c>
      <c r="AF14" s="674" t="s">
        <v>21</v>
      </c>
      <c r="AG14" s="674" t="s">
        <v>21</v>
      </c>
      <c r="AH14" s="442" t="s">
        <v>21</v>
      </c>
      <c r="AI14" s="442" t="str">
        <f t="shared" si="0"/>
        <v/>
      </c>
    </row>
    <row r="15" spans="1:35" ht="24" x14ac:dyDescent="0.25">
      <c r="A15" s="587" t="s">
        <v>1977</v>
      </c>
      <c r="B15" s="369" t="s">
        <v>23</v>
      </c>
      <c r="C15" s="588"/>
      <c r="D15" s="589" t="s">
        <v>2020</v>
      </c>
      <c r="E15" s="44" t="s">
        <v>138</v>
      </c>
      <c r="F15" s="214" t="s">
        <v>3635</v>
      </c>
      <c r="G15" s="587" t="s">
        <v>3639</v>
      </c>
      <c r="H15" s="590" t="s">
        <v>55</v>
      </c>
      <c r="I15" s="591">
        <v>5764.14</v>
      </c>
      <c r="J15" s="592">
        <v>21.44</v>
      </c>
      <c r="K15" s="593">
        <v>0</v>
      </c>
      <c r="L15" s="592">
        <v>21.44</v>
      </c>
      <c r="M15" s="594">
        <v>123583.16160000002</v>
      </c>
      <c r="O15" s="673"/>
      <c r="P15" s="361"/>
      <c r="Q15" s="441">
        <v>0</v>
      </c>
      <c r="R15" s="485"/>
      <c r="S15" s="442"/>
      <c r="T15" s="441">
        <v>3836.94</v>
      </c>
      <c r="U15" s="485"/>
      <c r="V15" s="442"/>
      <c r="W15" s="441">
        <v>1927.2000000000003</v>
      </c>
      <c r="X15" s="485"/>
      <c r="Y15" s="442"/>
      <c r="Z15" s="441">
        <v>0</v>
      </c>
      <c r="AA15" s="485"/>
      <c r="AB15" s="442"/>
      <c r="AC15" s="672"/>
      <c r="AD15" s="441">
        <v>0</v>
      </c>
      <c r="AE15" s="674">
        <v>0</v>
      </c>
      <c r="AF15" s="674">
        <v>0</v>
      </c>
      <c r="AG15" s="674">
        <v>123583.16160000002</v>
      </c>
      <c r="AH15" s="442">
        <v>0</v>
      </c>
      <c r="AI15" s="442">
        <v>0</v>
      </c>
    </row>
    <row r="16" spans="1:35" ht="36" x14ac:dyDescent="0.25">
      <c r="A16" s="587" t="s">
        <v>4017</v>
      </c>
      <c r="B16" s="369" t="s">
        <v>28</v>
      </c>
      <c r="C16" s="588"/>
      <c r="D16" s="589" t="s">
        <v>4019</v>
      </c>
      <c r="E16" s="44" t="s">
        <v>27</v>
      </c>
      <c r="F16" s="214">
        <v>96399</v>
      </c>
      <c r="G16" s="587" t="s">
        <v>577</v>
      </c>
      <c r="H16" s="590" t="s">
        <v>44</v>
      </c>
      <c r="I16" s="591">
        <v>695.6</v>
      </c>
      <c r="J16" s="592">
        <v>142.16</v>
      </c>
      <c r="K16" s="593">
        <v>0.2033513845915047</v>
      </c>
      <c r="L16" s="592">
        <v>171.06843283352831</v>
      </c>
      <c r="M16" s="594">
        <v>118995.2018790023</v>
      </c>
      <c r="O16" s="673"/>
      <c r="P16" s="361"/>
      <c r="Q16" s="441"/>
      <c r="R16" s="485"/>
      <c r="S16" s="442"/>
      <c r="T16" s="441">
        <v>695.6</v>
      </c>
      <c r="U16" s="485">
        <v>1.65</v>
      </c>
      <c r="V16" s="442"/>
      <c r="W16" s="441"/>
      <c r="X16" s="485"/>
      <c r="Y16" s="442"/>
      <c r="Z16" s="441"/>
      <c r="AA16" s="485"/>
      <c r="AB16" s="442"/>
      <c r="AC16" s="672"/>
      <c r="AD16" s="441">
        <v>2452.5600837470229</v>
      </c>
      <c r="AE16" s="674">
        <v>112415.97926526457</v>
      </c>
      <c r="AF16" s="674">
        <v>4126.6625299907237</v>
      </c>
      <c r="AG16" s="674">
        <v>0</v>
      </c>
      <c r="AH16" s="442">
        <v>0</v>
      </c>
      <c r="AI16" s="442">
        <v>-1.4551915228366852E-11</v>
      </c>
    </row>
    <row r="17" spans="1:35" ht="36" x14ac:dyDescent="0.25">
      <c r="A17" s="587" t="s">
        <v>1851</v>
      </c>
      <c r="B17" s="369" t="s">
        <v>25</v>
      </c>
      <c r="C17" s="588"/>
      <c r="D17" s="589" t="s">
        <v>4020</v>
      </c>
      <c r="E17" s="44" t="s">
        <v>27</v>
      </c>
      <c r="F17" s="214">
        <v>95879</v>
      </c>
      <c r="G17" s="587" t="s">
        <v>789</v>
      </c>
      <c r="H17" s="590" t="s">
        <v>42</v>
      </c>
      <c r="I17" s="591">
        <v>34432.199999999997</v>
      </c>
      <c r="J17" s="592">
        <v>1.04</v>
      </c>
      <c r="K17" s="593">
        <v>0.2033513845915047</v>
      </c>
      <c r="L17" s="592">
        <v>1.2514854399751649</v>
      </c>
      <c r="M17" s="594">
        <v>43091.396966312874</v>
      </c>
      <c r="O17" s="673"/>
      <c r="P17" s="361"/>
      <c r="Q17" s="441"/>
      <c r="R17" s="485"/>
      <c r="S17" s="442"/>
      <c r="T17" s="441">
        <v>34432.199999999997</v>
      </c>
      <c r="U17" s="485"/>
      <c r="V17" s="442">
        <v>30</v>
      </c>
      <c r="W17" s="441"/>
      <c r="X17" s="485"/>
      <c r="Y17" s="442"/>
      <c r="Z17" s="441"/>
      <c r="AA17" s="485"/>
      <c r="AB17" s="442"/>
      <c r="AC17" s="672"/>
      <c r="AD17" s="441">
        <v>2900.3824881172127</v>
      </c>
      <c r="AE17" s="674">
        <v>24860.421326718959</v>
      </c>
      <c r="AF17" s="674">
        <v>15330.593151476694</v>
      </c>
      <c r="AG17" s="674">
        <v>0</v>
      </c>
      <c r="AH17" s="442">
        <v>0</v>
      </c>
      <c r="AI17" s="442">
        <v>7.2759576141834259E-12</v>
      </c>
    </row>
    <row r="18" spans="1:35" ht="36" x14ac:dyDescent="0.25">
      <c r="A18" s="587" t="s">
        <v>1976</v>
      </c>
      <c r="B18" s="369" t="s">
        <v>25</v>
      </c>
      <c r="C18" s="588"/>
      <c r="D18" s="589" t="s">
        <v>4021</v>
      </c>
      <c r="E18" s="44" t="s">
        <v>27</v>
      </c>
      <c r="F18" s="214">
        <v>93599</v>
      </c>
      <c r="G18" s="587" t="s">
        <v>788</v>
      </c>
      <c r="H18" s="590" t="s">
        <v>42</v>
      </c>
      <c r="I18" s="591">
        <v>30988.98</v>
      </c>
      <c r="J18" s="592">
        <v>0.41</v>
      </c>
      <c r="K18" s="593">
        <v>0.2033513845915047</v>
      </c>
      <c r="L18" s="592">
        <v>0.4933740676825169</v>
      </c>
      <c r="M18" s="594">
        <v>15289.159115932163</v>
      </c>
      <c r="O18" s="673"/>
      <c r="P18" s="361"/>
      <c r="Q18" s="441"/>
      <c r="R18" s="485"/>
      <c r="S18" s="442"/>
      <c r="T18" s="441">
        <v>30988.98</v>
      </c>
      <c r="U18" s="485"/>
      <c r="V18" s="442">
        <v>27</v>
      </c>
      <c r="W18" s="441"/>
      <c r="X18" s="485"/>
      <c r="Y18" s="442"/>
      <c r="Z18" s="441"/>
      <c r="AA18" s="485"/>
      <c r="AB18" s="442"/>
      <c r="AC18" s="672"/>
      <c r="AD18" s="441">
        <v>745.81263980156893</v>
      </c>
      <c r="AE18" s="674">
        <v>9322.6579975196109</v>
      </c>
      <c r="AF18" s="674">
        <v>5220.6884786109831</v>
      </c>
      <c r="AG18" s="674">
        <v>0</v>
      </c>
      <c r="AH18" s="442">
        <v>0</v>
      </c>
      <c r="AI18" s="442">
        <v>1.8189894035458565E-12</v>
      </c>
    </row>
    <row r="19" spans="1:35" ht="36" x14ac:dyDescent="0.25">
      <c r="A19" s="587" t="s">
        <v>4018</v>
      </c>
      <c r="B19" s="369" t="s">
        <v>25</v>
      </c>
      <c r="C19" s="588"/>
      <c r="D19" s="589" t="s">
        <v>4022</v>
      </c>
      <c r="E19" s="44" t="s">
        <v>27</v>
      </c>
      <c r="F19" s="214">
        <v>100943</v>
      </c>
      <c r="G19" s="587" t="s">
        <v>786</v>
      </c>
      <c r="H19" s="590" t="s">
        <v>42</v>
      </c>
      <c r="I19" s="591">
        <v>1147.74</v>
      </c>
      <c r="J19" s="592">
        <v>3.1</v>
      </c>
      <c r="K19" s="593">
        <v>0.2033513845915047</v>
      </c>
      <c r="L19" s="592">
        <v>3.7303892922336646</v>
      </c>
      <c r="M19" s="594">
        <v>4281.5170062682664</v>
      </c>
      <c r="O19" s="673"/>
      <c r="P19" s="361"/>
      <c r="Q19" s="441"/>
      <c r="R19" s="485"/>
      <c r="S19" s="442"/>
      <c r="T19" s="441">
        <v>1147.74</v>
      </c>
      <c r="U19" s="485"/>
      <c r="V19" s="442">
        <v>1</v>
      </c>
      <c r="W19" s="441"/>
      <c r="X19" s="485"/>
      <c r="Y19" s="442"/>
      <c r="Z19" s="441"/>
      <c r="AA19" s="485"/>
      <c r="AB19" s="442"/>
      <c r="AC19" s="672"/>
      <c r="AD19" s="441">
        <v>303.84959399323179</v>
      </c>
      <c r="AE19" s="674">
        <v>2389.3627164013228</v>
      </c>
      <c r="AF19" s="674">
        <v>1588.3046958737114</v>
      </c>
      <c r="AG19" s="674">
        <v>0</v>
      </c>
      <c r="AH19" s="442">
        <v>0</v>
      </c>
      <c r="AI19" s="442">
        <v>0</v>
      </c>
    </row>
    <row r="20" spans="1:35" x14ac:dyDescent="0.25">
      <c r="A20" s="587"/>
      <c r="B20" s="369"/>
      <c r="C20" s="588"/>
      <c r="D20" s="589"/>
      <c r="E20" s="44"/>
      <c r="F20" s="214"/>
      <c r="G20" s="587" t="s">
        <v>21</v>
      </c>
      <c r="H20" s="590" t="s">
        <v>21</v>
      </c>
      <c r="I20" s="591" t="s">
        <v>21</v>
      </c>
      <c r="J20" s="592" t="s">
        <v>21</v>
      </c>
      <c r="K20" s="593" t="s">
        <v>21</v>
      </c>
      <c r="L20" s="592" t="s">
        <v>21</v>
      </c>
      <c r="M20" s="594" t="s">
        <v>21</v>
      </c>
      <c r="O20" s="673"/>
      <c r="P20" s="361"/>
      <c r="Q20" s="441"/>
      <c r="R20" s="485"/>
      <c r="S20" s="442"/>
      <c r="T20" s="441"/>
      <c r="U20" s="485"/>
      <c r="V20" s="442"/>
      <c r="W20" s="441"/>
      <c r="X20" s="485"/>
      <c r="Y20" s="442"/>
      <c r="Z20" s="441"/>
      <c r="AA20" s="485"/>
      <c r="AB20" s="442"/>
      <c r="AC20" s="672"/>
      <c r="AD20" s="441" t="s">
        <v>21</v>
      </c>
      <c r="AE20" s="674" t="s">
        <v>21</v>
      </c>
      <c r="AF20" s="674" t="s">
        <v>21</v>
      </c>
      <c r="AG20" s="674" t="s">
        <v>21</v>
      </c>
      <c r="AH20" s="442" t="s">
        <v>21</v>
      </c>
      <c r="AI20" s="442" t="str">
        <f t="shared" si="0"/>
        <v/>
      </c>
    </row>
    <row r="21" spans="1:35" x14ac:dyDescent="0.25">
      <c r="A21" s="587" t="s">
        <v>1190</v>
      </c>
      <c r="B21" s="369"/>
      <c r="C21" s="588"/>
      <c r="D21" s="589" t="s">
        <v>2021</v>
      </c>
      <c r="E21" s="44"/>
      <c r="F21" s="214"/>
      <c r="G21" s="587" t="s">
        <v>1190</v>
      </c>
      <c r="H21" s="590" t="s">
        <v>21</v>
      </c>
      <c r="I21" s="591" t="s">
        <v>21</v>
      </c>
      <c r="J21" s="592" t="s">
        <v>21</v>
      </c>
      <c r="K21" s="593" t="s">
        <v>21</v>
      </c>
      <c r="L21" s="592" t="s">
        <v>21</v>
      </c>
      <c r="M21" s="594">
        <v>158123.41057594077</v>
      </c>
      <c r="O21" s="673"/>
      <c r="P21" s="361"/>
      <c r="Q21" s="441"/>
      <c r="R21" s="485"/>
      <c r="S21" s="442"/>
      <c r="T21" s="441"/>
      <c r="U21" s="485"/>
      <c r="V21" s="442"/>
      <c r="W21" s="441"/>
      <c r="X21" s="485"/>
      <c r="Y21" s="442"/>
      <c r="Z21" s="441"/>
      <c r="AA21" s="485"/>
      <c r="AB21" s="442"/>
      <c r="AC21" s="672"/>
      <c r="AD21" s="441" t="s">
        <v>21</v>
      </c>
      <c r="AE21" s="674" t="s">
        <v>21</v>
      </c>
      <c r="AF21" s="674" t="s">
        <v>21</v>
      </c>
      <c r="AG21" s="674" t="s">
        <v>21</v>
      </c>
      <c r="AH21" s="442" t="s">
        <v>21</v>
      </c>
      <c r="AI21" s="442" t="str">
        <f t="shared" si="0"/>
        <v/>
      </c>
    </row>
    <row r="22" spans="1:35" x14ac:dyDescent="0.25">
      <c r="A22" s="587" t="s">
        <v>1208</v>
      </c>
      <c r="B22" s="369" t="s">
        <v>21</v>
      </c>
      <c r="C22" s="588"/>
      <c r="D22" s="589" t="s">
        <v>2022</v>
      </c>
      <c r="E22" s="44"/>
      <c r="F22" s="214"/>
      <c r="G22" s="587" t="s">
        <v>1208</v>
      </c>
      <c r="H22" s="590" t="s">
        <v>21</v>
      </c>
      <c r="I22" s="591" t="s">
        <v>21</v>
      </c>
      <c r="J22" s="592" t="s">
        <v>21</v>
      </c>
      <c r="K22" s="593" t="s">
        <v>21</v>
      </c>
      <c r="L22" s="592" t="s">
        <v>21</v>
      </c>
      <c r="M22" s="594">
        <v>0</v>
      </c>
      <c r="O22" s="673"/>
      <c r="P22" s="361"/>
      <c r="Q22" s="441"/>
      <c r="R22" s="485"/>
      <c r="S22" s="442"/>
      <c r="T22" s="441"/>
      <c r="U22" s="485"/>
      <c r="V22" s="442"/>
      <c r="W22" s="441"/>
      <c r="X22" s="485"/>
      <c r="Y22" s="442"/>
      <c r="Z22" s="441"/>
      <c r="AA22" s="485"/>
      <c r="AB22" s="442"/>
      <c r="AC22" s="672"/>
      <c r="AD22" s="441" t="s">
        <v>21</v>
      </c>
      <c r="AE22" s="674" t="s">
        <v>21</v>
      </c>
      <c r="AF22" s="674" t="s">
        <v>21</v>
      </c>
      <c r="AG22" s="674" t="s">
        <v>21</v>
      </c>
      <c r="AH22" s="442" t="s">
        <v>21</v>
      </c>
      <c r="AI22" s="442" t="str">
        <f t="shared" si="0"/>
        <v/>
      </c>
    </row>
    <row r="23" spans="1:35" ht="36" hidden="1" x14ac:dyDescent="0.25">
      <c r="A23" s="587" t="s">
        <v>1273</v>
      </c>
      <c r="B23" s="369" t="s">
        <v>20</v>
      </c>
      <c r="C23" s="588"/>
      <c r="D23" s="589" t="s">
        <v>2023</v>
      </c>
      <c r="E23" s="44" t="s">
        <v>27</v>
      </c>
      <c r="F23" s="214">
        <v>97636</v>
      </c>
      <c r="G23" s="587" t="s">
        <v>552</v>
      </c>
      <c r="H23" s="590" t="s">
        <v>51</v>
      </c>
      <c r="I23" s="591">
        <f>IF($F23="","",IF('TRECHO(S) A IMPRIMIR'!$B$1= 1, SUM(Q23, T23, W23, Z23), IF('TRECHO(S) A IMPRIMIR'!$B$1= 2, T23, IF('TRECHO(S) A IMPRIMIR'!$B$1= 3, W23, 0))))</f>
        <v>0</v>
      </c>
      <c r="J23" s="592">
        <v>13.86</v>
      </c>
      <c r="K23" s="593">
        <f>IF(AND(F23&lt;&gt;"",J23&lt;&gt;""),
  IF(OR(F23= "CP9001", F23= "CP9091", F23= "CP9092"), 0,
  IF($M$1 = "ENCARGOS SOCIAIS SEM DESONERAÇÃO",'BDI obras SD'!$H$23,'BDI obras CD'!$H$23)),"")</f>
        <v>0.2033513845915047</v>
      </c>
      <c r="L23" s="592">
        <f t="shared" ref="L9:L49" si="3">IF(J23="","",
  IF(AND(J23&lt;&gt;"",K23=""),J23,J23 * (1 + K23)))</f>
        <v>16.678450190438255</v>
      </c>
      <c r="M23" s="594">
        <f t="shared" ref="M23:M28" si="4">IF(OR(I23="",L23=""),"",I23*L23)</f>
        <v>0</v>
      </c>
      <c r="O23" s="673">
        <v>0.05</v>
      </c>
      <c r="P23" s="361"/>
      <c r="Q23" s="441"/>
      <c r="R23" s="485">
        <f>'MLQ-PESP'!$C$12</f>
        <v>2.4</v>
      </c>
      <c r="S23" s="442"/>
      <c r="T23" s="441"/>
      <c r="U23" s="485">
        <f>'MLQ-PESP'!$C$12</f>
        <v>2.4</v>
      </c>
      <c r="V23" s="442"/>
      <c r="W23" s="441"/>
      <c r="X23" s="485">
        <f>'MLQ-PESP'!$C$12</f>
        <v>2.4</v>
      </c>
      <c r="Y23" s="442"/>
      <c r="Z23" s="441"/>
      <c r="AA23" s="485">
        <f>'MLQ-PESP'!$C$12</f>
        <v>2.4</v>
      </c>
      <c r="AB23" s="442"/>
      <c r="AC23" s="672"/>
      <c r="AD23" s="441" t="s">
        <v>21</v>
      </c>
      <c r="AE23" s="674" t="s">
        <v>21</v>
      </c>
      <c r="AF23" s="674" t="s">
        <v>21</v>
      </c>
      <c r="AG23" s="674" t="s">
        <v>21</v>
      </c>
      <c r="AH23" s="442" t="s">
        <v>21</v>
      </c>
      <c r="AI23" s="442" t="str">
        <f t="shared" si="0"/>
        <v/>
      </c>
    </row>
    <row r="24" spans="1:35" ht="48" hidden="1" x14ac:dyDescent="0.25">
      <c r="A24" s="587" t="s">
        <v>1052</v>
      </c>
      <c r="B24" s="369" t="s">
        <v>23</v>
      </c>
      <c r="C24" s="588"/>
      <c r="D24" s="589" t="s">
        <v>2024</v>
      </c>
      <c r="E24" s="44" t="s">
        <v>27</v>
      </c>
      <c r="F24" s="214">
        <v>100999</v>
      </c>
      <c r="G24" s="587" t="s">
        <v>769</v>
      </c>
      <c r="H24" s="590" t="s">
        <v>55</v>
      </c>
      <c r="I24" s="591">
        <f>IF($F24="","",IF('TRECHO(S) A IMPRIMIR'!$B$1= 1, SUM(Q24, T24, W24, Z24), IF('TRECHO(S) A IMPRIMIR'!$B$1= 2, T24, IF('TRECHO(S) A IMPRIMIR'!$B$1= 3, W24, 0))))</f>
        <v>0</v>
      </c>
      <c r="J24" s="592">
        <v>4.24</v>
      </c>
      <c r="K24" s="593">
        <f>IF(AND(F24&lt;&gt;"",J24&lt;&gt;""),
  IF(OR(F24= "CP9001", F24= "CP9091", F24= "CP9092"), 0,
  IF($M$1 = "ENCARGOS SOCIAIS SEM DESONERAÇÃO",'BDI obras SD'!$H$23,'BDI obras CD'!$H$23)),"")</f>
        <v>0.2033513845915047</v>
      </c>
      <c r="L24" s="592">
        <f t="shared" si="3"/>
        <v>5.1022098706679806</v>
      </c>
      <c r="M24" s="594">
        <f t="shared" si="4"/>
        <v>0</v>
      </c>
      <c r="O24" s="673"/>
      <c r="P24" s="361"/>
      <c r="Q24" s="441">
        <f>Q23 * R23 * $O23</f>
        <v>0</v>
      </c>
      <c r="R24" s="485"/>
      <c r="S24" s="442"/>
      <c r="T24" s="441">
        <f>T23 * U23 * $O23</f>
        <v>0</v>
      </c>
      <c r="U24" s="485"/>
      <c r="V24" s="442"/>
      <c r="W24" s="441">
        <f>W23 * X23 * $O23</f>
        <v>0</v>
      </c>
      <c r="X24" s="485"/>
      <c r="Y24" s="442"/>
      <c r="Z24" s="441">
        <f>Z23 * AA23 * $O23</f>
        <v>0</v>
      </c>
      <c r="AA24" s="485"/>
      <c r="AB24" s="442"/>
      <c r="AC24" s="672"/>
      <c r="AD24" s="441" t="s">
        <v>21</v>
      </c>
      <c r="AE24" s="674" t="s">
        <v>21</v>
      </c>
      <c r="AF24" s="674" t="s">
        <v>21</v>
      </c>
      <c r="AG24" s="674" t="s">
        <v>21</v>
      </c>
      <c r="AH24" s="442" t="s">
        <v>21</v>
      </c>
      <c r="AI24" s="442" t="str">
        <f t="shared" si="0"/>
        <v/>
      </c>
    </row>
    <row r="25" spans="1:35" ht="36" hidden="1" x14ac:dyDescent="0.25">
      <c r="A25" s="587" t="s">
        <v>1274</v>
      </c>
      <c r="B25" s="369" t="s">
        <v>25</v>
      </c>
      <c r="C25" s="588"/>
      <c r="D25" s="589" t="s">
        <v>2025</v>
      </c>
      <c r="E25" s="44" t="s">
        <v>27</v>
      </c>
      <c r="F25" s="214">
        <v>95879</v>
      </c>
      <c r="G25" s="587" t="s">
        <v>789</v>
      </c>
      <c r="H25" s="590" t="s">
        <v>42</v>
      </c>
      <c r="I25" s="591">
        <f>IF($F25="","",IF('TRECHO(S) A IMPRIMIR'!$B$1= 1, SUM(Q25, T25, W25, Z25), IF('TRECHO(S) A IMPRIMIR'!$B$1= 2, T25, IF('TRECHO(S) A IMPRIMIR'!$B$1= 3, W25, 0))))</f>
        <v>0</v>
      </c>
      <c r="J25" s="592">
        <v>1.04</v>
      </c>
      <c r="K25" s="593">
        <f>IF(AND(F25&lt;&gt;"",J25&lt;&gt;""),
  IF(OR(F25= "CP9001", F25= "CP9091", F25= "CP9092"), 0,
  IF($M$1 = "ENCARGOS SOCIAIS SEM DESONERAÇÃO",'BDI obras SD'!$H$23,'BDI obras CD'!$H$23)),"")</f>
        <v>0.2033513845915047</v>
      </c>
      <c r="L25" s="592">
        <f t="shared" si="3"/>
        <v>1.2514854399751649</v>
      </c>
      <c r="M25" s="594">
        <f t="shared" si="4"/>
        <v>0</v>
      </c>
      <c r="O25" s="673"/>
      <c r="P25" s="361"/>
      <c r="Q25" s="441">
        <f>Q24 *S25</f>
        <v>0</v>
      </c>
      <c r="R25" s="485"/>
      <c r="S25" s="442">
        <f>IF('MLQ-DMT-TR1'!$E$7 &gt; 30, 30, 'MLQ-DMT-TR1'!$E$7)</f>
        <v>22</v>
      </c>
      <c r="T25" s="441">
        <f>T24 *V25</f>
        <v>0</v>
      </c>
      <c r="U25" s="485"/>
      <c r="V25" s="442">
        <f>IF('MLQ-DMT-TR1'!$E$7 &gt; 30, 30, 'MLQ-DMT-TR1'!$E$7)</f>
        <v>22</v>
      </c>
      <c r="W25" s="441">
        <f>W24 *Y25</f>
        <v>0</v>
      </c>
      <c r="X25" s="485"/>
      <c r="Y25" s="442">
        <f>IF('MLQ-DMT-TR1'!$E$7 &gt; 30, 30, 'MLQ-DMT-TR1'!$E$7)</f>
        <v>22</v>
      </c>
      <c r="Z25" s="441">
        <f>Z24 *AB25</f>
        <v>0</v>
      </c>
      <c r="AA25" s="485"/>
      <c r="AB25" s="442">
        <f>IF('MLQ-DMT-TR1'!$E$7 &gt; 30, 30, 'MLQ-DMT-TR1'!$E$7)</f>
        <v>22</v>
      </c>
      <c r="AC25" s="672"/>
      <c r="AD25" s="441" t="s">
        <v>21</v>
      </c>
      <c r="AE25" s="674" t="s">
        <v>21</v>
      </c>
      <c r="AF25" s="674" t="s">
        <v>21</v>
      </c>
      <c r="AG25" s="674" t="s">
        <v>21</v>
      </c>
      <c r="AH25" s="442" t="s">
        <v>21</v>
      </c>
      <c r="AI25" s="442" t="str">
        <f t="shared" si="0"/>
        <v/>
      </c>
    </row>
    <row r="26" spans="1:35" ht="36" hidden="1" x14ac:dyDescent="0.25">
      <c r="A26" s="587" t="s">
        <v>1275</v>
      </c>
      <c r="B26" s="369" t="s">
        <v>25</v>
      </c>
      <c r="C26" s="588"/>
      <c r="D26" s="589" t="s">
        <v>2026</v>
      </c>
      <c r="E26" s="44" t="s">
        <v>27</v>
      </c>
      <c r="F26" s="214">
        <v>93599</v>
      </c>
      <c r="G26" s="587" t="s">
        <v>788</v>
      </c>
      <c r="H26" s="590" t="s">
        <v>42</v>
      </c>
      <c r="I26" s="591">
        <f>IF($F26="","",IF('TRECHO(S) A IMPRIMIR'!$B$1= 1, SUM(Q26, T26, W26, Z26), IF('TRECHO(S) A IMPRIMIR'!$B$1= 2, T26, IF('TRECHO(S) A IMPRIMIR'!$B$1= 3, W26, 0))))</f>
        <v>0</v>
      </c>
      <c r="J26" s="592">
        <v>0.41</v>
      </c>
      <c r="K26" s="593">
        <f>IF(AND(F26&lt;&gt;"",J26&lt;&gt;""),
  IF(OR(F26= "CP9001", F26= "CP9091", F26= "CP9092"), 0,
  IF($M$1 = "ENCARGOS SOCIAIS SEM DESONERAÇÃO",'BDI obras SD'!$H$23,'BDI obras CD'!$H$23)),"")</f>
        <v>0.2033513845915047</v>
      </c>
      <c r="L26" s="592">
        <f t="shared" si="3"/>
        <v>0.4933740676825169</v>
      </c>
      <c r="M26" s="594">
        <f t="shared" si="4"/>
        <v>0</v>
      </c>
      <c r="O26" s="673"/>
      <c r="P26" s="361"/>
      <c r="Q26" s="441">
        <f>Q24 *S26</f>
        <v>0</v>
      </c>
      <c r="R26" s="485"/>
      <c r="S26" s="442">
        <f>IF('MLQ-DMT-TR1'!$E$7 &gt; 30, 'MLQ-DMT-TR1'!$E$7 - S25, 0)</f>
        <v>0</v>
      </c>
      <c r="T26" s="441">
        <f>T24 *V26</f>
        <v>0</v>
      </c>
      <c r="U26" s="485"/>
      <c r="V26" s="442">
        <f>IF('MLQ-DMT-TR1'!$E$7 &gt; 30, 'MLQ-DMT-TR1'!$E$7 - V25, 0)</f>
        <v>0</v>
      </c>
      <c r="W26" s="441">
        <f>W24 *Y26</f>
        <v>0</v>
      </c>
      <c r="X26" s="485"/>
      <c r="Y26" s="442">
        <f>IF('MLQ-DMT-TR1'!$E$7 &gt; 30, 'MLQ-DMT-TR1'!$E$7 - Y25, 0)</f>
        <v>0</v>
      </c>
      <c r="Z26" s="441">
        <f>Z24 *AB26</f>
        <v>0</v>
      </c>
      <c r="AA26" s="485"/>
      <c r="AB26" s="442">
        <f>IF('MLQ-DMT-TR1'!$E$7 &gt; 30, 'MLQ-DMT-TR1'!$E$7 - AB25, 0)</f>
        <v>0</v>
      </c>
      <c r="AC26" s="672"/>
      <c r="AD26" s="441" t="s">
        <v>21</v>
      </c>
      <c r="AE26" s="674" t="s">
        <v>21</v>
      </c>
      <c r="AF26" s="674" t="s">
        <v>21</v>
      </c>
      <c r="AG26" s="674" t="s">
        <v>21</v>
      </c>
      <c r="AH26" s="442" t="s">
        <v>21</v>
      </c>
      <c r="AI26" s="442" t="str">
        <f t="shared" si="0"/>
        <v/>
      </c>
    </row>
    <row r="27" spans="1:35" ht="24" hidden="1" x14ac:dyDescent="0.25">
      <c r="A27" s="587" t="s">
        <v>1977</v>
      </c>
      <c r="B27" s="369" t="s">
        <v>23</v>
      </c>
      <c r="C27" s="588"/>
      <c r="D27" s="589" t="s">
        <v>2043</v>
      </c>
      <c r="E27" s="44" t="s">
        <v>138</v>
      </c>
      <c r="F27" s="214" t="s">
        <v>164</v>
      </c>
      <c r="G27" s="587" t="s">
        <v>3638</v>
      </c>
      <c r="H27" s="590" t="s">
        <v>55</v>
      </c>
      <c r="I27" s="591">
        <f>IF($F27="","",IF('TRECHO(S) A IMPRIMIR'!$B$1= 1, SUM(Q27, T27, W27, Z27), IF('TRECHO(S) A IMPRIMIR'!$B$1= 2, T27, IF('TRECHO(S) A IMPRIMIR'!$B$1= 3, W27, 0))))</f>
        <v>0</v>
      </c>
      <c r="J27" s="592">
        <v>12.23</v>
      </c>
      <c r="K27" s="593">
        <f>IF(AND(F27&lt;&gt;"",J27&lt;&gt;""),
  IF(OR(F27= "CP9001", F27= "CP9091", F27= "CP9092"), 0,
  IF($M$1 = "ENCARGOS SOCIAIS SEM DESONERAÇÃO",'BDI obras SD'!$H$23,'BDI obras CD'!$H$23)),"")</f>
        <v>0</v>
      </c>
      <c r="L27" s="592">
        <f>IF(J27="","",
  IF(AND(J27&lt;&gt;"",K27=""),J27,J27 * (1 + K27)))</f>
        <v>12.23</v>
      </c>
      <c r="M27" s="594">
        <f>IF(OR(I27="",L27=""),"",I27*L27)</f>
        <v>0</v>
      </c>
      <c r="O27" s="673"/>
      <c r="P27" s="361"/>
      <c r="Q27" s="441">
        <f>Q24</f>
        <v>0</v>
      </c>
      <c r="R27" s="485"/>
      <c r="S27" s="442"/>
      <c r="T27" s="441">
        <f>T24</f>
        <v>0</v>
      </c>
      <c r="U27" s="485"/>
      <c r="V27" s="442"/>
      <c r="W27" s="441">
        <f>W24</f>
        <v>0</v>
      </c>
      <c r="X27" s="485"/>
      <c r="Y27" s="442"/>
      <c r="Z27" s="441">
        <f>Z24</f>
        <v>0</v>
      </c>
      <c r="AA27" s="485"/>
      <c r="AB27" s="442"/>
      <c r="AC27" s="672"/>
      <c r="AD27" s="441" t="s">
        <v>21</v>
      </c>
      <c r="AE27" s="674" t="s">
        <v>21</v>
      </c>
      <c r="AF27" s="674" t="s">
        <v>21</v>
      </c>
      <c r="AG27" s="674" t="s">
        <v>21</v>
      </c>
      <c r="AH27" s="442" t="s">
        <v>21</v>
      </c>
      <c r="AI27" s="442" t="str">
        <f t="shared" si="0"/>
        <v/>
      </c>
    </row>
    <row r="28" spans="1:35" x14ac:dyDescent="0.25">
      <c r="A28" s="587"/>
      <c r="B28" s="369"/>
      <c r="C28" s="588"/>
      <c r="D28" s="589"/>
      <c r="E28" s="44"/>
      <c r="F28" s="214"/>
      <c r="G28" s="587" t="s">
        <v>21</v>
      </c>
      <c r="H28" s="590" t="s">
        <v>21</v>
      </c>
      <c r="I28" s="591" t="str">
        <f>IF($F28="","",IF('TRECHO(S) A IMPRIMIR'!$B$1= 1, SUM(Q28, T28, W28, Z28), IF('TRECHO(S) A IMPRIMIR'!$B$1= 2, T28, IF('TRECHO(S) A IMPRIMIR'!$B$1= 3, W28, 0))))</f>
        <v/>
      </c>
      <c r="J28" s="592" t="s">
        <v>21</v>
      </c>
      <c r="K28" s="593" t="str">
        <f>IF(AND(F28&lt;&gt;"",J28&lt;&gt;""),
  IF(OR(F28= "CP9001", F28= "CP9091", F28= "CP9092"), 0,
  IF($M$1 = "ENCARGOS SOCIAIS SEM DESONERAÇÃO",'BDI obras SD'!$H$23,'BDI obras CD'!$H$23)),"")</f>
        <v/>
      </c>
      <c r="L28" s="592" t="str">
        <f t="shared" si="3"/>
        <v/>
      </c>
      <c r="M28" s="594" t="str">
        <f t="shared" si="4"/>
        <v/>
      </c>
      <c r="O28" s="673"/>
      <c r="P28" s="361"/>
      <c r="Q28" s="441"/>
      <c r="R28" s="485"/>
      <c r="S28" s="442"/>
      <c r="T28" s="441"/>
      <c r="U28" s="485"/>
      <c r="V28" s="442"/>
      <c r="W28" s="441"/>
      <c r="X28" s="485"/>
      <c r="Y28" s="442"/>
      <c r="Z28" s="441"/>
      <c r="AA28" s="485"/>
      <c r="AB28" s="442"/>
      <c r="AC28" s="672"/>
      <c r="AD28" s="441" t="s">
        <v>21</v>
      </c>
      <c r="AE28" s="674" t="s">
        <v>21</v>
      </c>
      <c r="AF28" s="674" t="s">
        <v>21</v>
      </c>
      <c r="AG28" s="674" t="s">
        <v>21</v>
      </c>
      <c r="AH28" s="442" t="s">
        <v>21</v>
      </c>
      <c r="AI28" s="442" t="str">
        <f t="shared" si="0"/>
        <v/>
      </c>
    </row>
    <row r="29" spans="1:35" ht="48" x14ac:dyDescent="0.25">
      <c r="A29" s="587" t="s">
        <v>1209</v>
      </c>
      <c r="B29" s="369" t="s">
        <v>21</v>
      </c>
      <c r="C29" s="588"/>
      <c r="D29" s="589" t="s">
        <v>2027</v>
      </c>
      <c r="E29" s="44"/>
      <c r="F29" s="214"/>
      <c r="G29" s="587" t="s">
        <v>1209</v>
      </c>
      <c r="H29" s="590" t="s">
        <v>21</v>
      </c>
      <c r="I29" s="591" t="s">
        <v>21</v>
      </c>
      <c r="J29" s="592" t="s">
        <v>21</v>
      </c>
      <c r="K29" s="593" t="s">
        <v>21</v>
      </c>
      <c r="L29" s="592" t="s">
        <v>21</v>
      </c>
      <c r="M29" s="594">
        <v>0</v>
      </c>
      <c r="O29" s="673"/>
      <c r="P29" s="361"/>
      <c r="Q29" s="441"/>
      <c r="R29" s="485"/>
      <c r="S29" s="442"/>
      <c r="T29" s="441"/>
      <c r="U29" s="485"/>
      <c r="V29" s="442"/>
      <c r="W29" s="441"/>
      <c r="X29" s="485"/>
      <c r="Y29" s="442"/>
      <c r="Z29" s="441"/>
      <c r="AA29" s="485"/>
      <c r="AB29" s="442"/>
      <c r="AC29" s="672"/>
      <c r="AD29" s="441" t="s">
        <v>21</v>
      </c>
      <c r="AE29" s="674" t="s">
        <v>21</v>
      </c>
      <c r="AF29" s="674" t="s">
        <v>21</v>
      </c>
      <c r="AG29" s="674" t="s">
        <v>21</v>
      </c>
      <c r="AH29" s="442" t="s">
        <v>21</v>
      </c>
      <c r="AI29" s="442" t="str">
        <f t="shared" si="0"/>
        <v/>
      </c>
    </row>
    <row r="30" spans="1:35" ht="36" hidden="1" x14ac:dyDescent="0.25">
      <c r="A30" s="587" t="s">
        <v>1111</v>
      </c>
      <c r="B30" s="369" t="s">
        <v>28</v>
      </c>
      <c r="C30" s="588"/>
      <c r="D30" s="589" t="s">
        <v>2028</v>
      </c>
      <c r="E30" s="44" t="s">
        <v>27</v>
      </c>
      <c r="F30" s="214">
        <v>101125</v>
      </c>
      <c r="G30" s="587" t="s">
        <v>1080</v>
      </c>
      <c r="H30" s="590" t="s">
        <v>44</v>
      </c>
      <c r="I30" s="591">
        <f>IF($F30="","",IF('TRECHO(S) A IMPRIMIR'!$B$1= 1, SUM(Q30, T30, W30, Z30), IF('TRECHO(S) A IMPRIMIR'!$B$1= 2, T30, IF('TRECHO(S) A IMPRIMIR'!$B$1= 3, W30, 0))))</f>
        <v>0</v>
      </c>
      <c r="J30" s="592">
        <v>9.99</v>
      </c>
      <c r="K30" s="593">
        <f>IF(AND(F30&lt;&gt;"",J30&lt;&gt;""),
  IF(OR(F30= "CP9001", F30= "CP9091", F30= "CP9092"), 0,
  IF($M$1 = "ENCARGOS SOCIAIS SEM DESONERAÇÃO",'BDI obras SD'!$H$23,'BDI obras CD'!$H$23)),"")</f>
        <v>0.2033513845915047</v>
      </c>
      <c r="L30" s="592">
        <f t="shared" si="3"/>
        <v>12.021480332069132</v>
      </c>
      <c r="M30" s="594">
        <f>IF(OR(I30="",L30=""),"",I30*L30)</f>
        <v>0</v>
      </c>
      <c r="O30" s="673">
        <v>0.3</v>
      </c>
      <c r="P30" s="361"/>
      <c r="Q30" s="441"/>
      <c r="R30" s="485">
        <f>'MLQ-PESP'!$C$4</f>
        <v>1.0923072445820432</v>
      </c>
      <c r="S30" s="442"/>
      <c r="T30" s="441"/>
      <c r="U30" s="485">
        <f>'MLQ-PESP'!$C$4</f>
        <v>1.0923072445820432</v>
      </c>
      <c r="V30" s="442"/>
      <c r="W30" s="441"/>
      <c r="X30" s="485">
        <f>'MLQ-PESP'!$C$4</f>
        <v>1.0923072445820432</v>
      </c>
      <c r="Y30" s="442"/>
      <c r="Z30" s="441"/>
      <c r="AA30" s="485">
        <f>'MLQ-PESP'!$C$4</f>
        <v>1.0923072445820432</v>
      </c>
      <c r="AB30" s="442"/>
      <c r="AC30" s="672"/>
      <c r="AD30" s="441" t="s">
        <v>21</v>
      </c>
      <c r="AE30" s="674" t="s">
        <v>21</v>
      </c>
      <c r="AF30" s="674" t="s">
        <v>21</v>
      </c>
      <c r="AG30" s="674" t="s">
        <v>21</v>
      </c>
      <c r="AH30" s="442" t="s">
        <v>21</v>
      </c>
      <c r="AI30" s="442" t="str">
        <f t="shared" si="0"/>
        <v/>
      </c>
    </row>
    <row r="31" spans="1:35" ht="36" hidden="1" x14ac:dyDescent="0.25">
      <c r="A31" s="587" t="s">
        <v>1274</v>
      </c>
      <c r="B31" s="369" t="s">
        <v>25</v>
      </c>
      <c r="C31" s="588"/>
      <c r="D31" s="589" t="s">
        <v>2029</v>
      </c>
      <c r="E31" s="44" t="s">
        <v>27</v>
      </c>
      <c r="F31" s="214">
        <v>95879</v>
      </c>
      <c r="G31" s="587" t="s">
        <v>789</v>
      </c>
      <c r="H31" s="590" t="s">
        <v>42</v>
      </c>
      <c r="I31" s="591">
        <f>IF($F31="","",IF('TRECHO(S) A IMPRIMIR'!$B$1= 1, SUM(Q31, T31, W31, Z31), IF('TRECHO(S) A IMPRIMIR'!$B$1= 2, T31, IF('TRECHO(S) A IMPRIMIR'!$B$1= 3, W31, 0))))</f>
        <v>0</v>
      </c>
      <c r="J31" s="592">
        <v>1.04</v>
      </c>
      <c r="K31" s="593">
        <f>IF(AND(F31&lt;&gt;"",J31&lt;&gt;""),
  IF(OR(F31= "CP9001", F31= "CP9091", F31= "CP9092"), 0,
  IF($M$1 = "ENCARGOS SOCIAIS SEM DESONERAÇÃO",'BDI obras SD'!$H$23,'BDI obras CD'!$H$23)),"")</f>
        <v>0.2033513845915047</v>
      </c>
      <c r="L31" s="592">
        <f t="shared" si="3"/>
        <v>1.2514854399751649</v>
      </c>
      <c r="M31" s="594">
        <f>IF(OR(I31="",L31=""),"",I31*L31)</f>
        <v>0</v>
      </c>
      <c r="O31" s="673"/>
      <c r="P31" s="361"/>
      <c r="Q31" s="441">
        <f>Q33 * S31</f>
        <v>0</v>
      </c>
      <c r="R31" s="485"/>
      <c r="S31" s="442">
        <f>IF('MLQ-DMT-TR1'!$E$7 &gt; 30, 30, 'MLQ-DMT-TR1'!$E$7)</f>
        <v>22</v>
      </c>
      <c r="T31" s="441">
        <f>T33 * V31</f>
        <v>0</v>
      </c>
      <c r="U31" s="485"/>
      <c r="V31" s="442">
        <f>IF('MLQ-DMT-TR1'!$E$7 &gt; 30, 30, 'MLQ-DMT-TR1'!$E$7)</f>
        <v>22</v>
      </c>
      <c r="W31" s="441">
        <f>W33 * Y31</f>
        <v>0</v>
      </c>
      <c r="X31" s="485"/>
      <c r="Y31" s="442">
        <f>IF('MLQ-DMT-TR1'!$E$7 &gt; 30, 30, 'MLQ-DMT-TR1'!$E$7)</f>
        <v>22</v>
      </c>
      <c r="Z31" s="441">
        <f>Z33 * AB31</f>
        <v>0</v>
      </c>
      <c r="AA31" s="485"/>
      <c r="AB31" s="442">
        <f>IF('MLQ-DMT-TR1'!$E$7 &gt; 30, 30, 'MLQ-DMT-TR1'!$E$7)</f>
        <v>22</v>
      </c>
      <c r="AC31" s="672"/>
      <c r="AD31" s="441" t="s">
        <v>21</v>
      </c>
      <c r="AE31" s="674" t="s">
        <v>21</v>
      </c>
      <c r="AF31" s="674" t="s">
        <v>21</v>
      </c>
      <c r="AG31" s="674" t="s">
        <v>21</v>
      </c>
      <c r="AH31" s="442" t="s">
        <v>21</v>
      </c>
      <c r="AI31" s="442" t="str">
        <f t="shared" si="0"/>
        <v/>
      </c>
    </row>
    <row r="32" spans="1:35" ht="36" hidden="1" x14ac:dyDescent="0.25">
      <c r="A32" s="587" t="s">
        <v>1275</v>
      </c>
      <c r="B32" s="369" t="s">
        <v>25</v>
      </c>
      <c r="C32" s="588"/>
      <c r="D32" s="589" t="s">
        <v>2030</v>
      </c>
      <c r="E32" s="44" t="s">
        <v>27</v>
      </c>
      <c r="F32" s="214">
        <v>93599</v>
      </c>
      <c r="G32" s="587" t="s">
        <v>788</v>
      </c>
      <c r="H32" s="590" t="s">
        <v>42</v>
      </c>
      <c r="I32" s="591">
        <f>IF($F32="","",IF('TRECHO(S) A IMPRIMIR'!$B$1= 1, SUM(Q32, T32, W32, Z32), IF('TRECHO(S) A IMPRIMIR'!$B$1= 2, T32, IF('TRECHO(S) A IMPRIMIR'!$B$1= 3, W32, 0))))</f>
        <v>0</v>
      </c>
      <c r="J32" s="592">
        <v>0.41</v>
      </c>
      <c r="K32" s="593">
        <f>IF(AND(F32&lt;&gt;"",J32&lt;&gt;""),
  IF(OR(F32= "CP9001", F32= "CP9091", F32= "CP9092"), 0,
  IF($M$1 = "ENCARGOS SOCIAIS SEM DESONERAÇÃO",'BDI obras SD'!$H$23,'BDI obras CD'!$H$23)),"")</f>
        <v>0.2033513845915047</v>
      </c>
      <c r="L32" s="592">
        <f t="shared" si="3"/>
        <v>0.4933740676825169</v>
      </c>
      <c r="M32" s="594">
        <f>IF(OR(I32="",L32=""),"",I32*L32)</f>
        <v>0</v>
      </c>
      <c r="O32" s="673"/>
      <c r="P32" s="361"/>
      <c r="Q32" s="441">
        <f>Q33 * S32</f>
        <v>0</v>
      </c>
      <c r="R32" s="485"/>
      <c r="S32" s="442">
        <f>IF('MLQ-DMT-TR1'!$E$7 &gt; 30, 'MLQ-DMT-TR1'!$E$7 - S31, 0)</f>
        <v>0</v>
      </c>
      <c r="T32" s="441">
        <f>T33 * V32</f>
        <v>0</v>
      </c>
      <c r="U32" s="485"/>
      <c r="V32" s="442">
        <f>IF('MLQ-DMT-TR1'!$E$7 &gt; 30, 'MLQ-DMT-TR1'!$E$7 - V31, 0)</f>
        <v>0</v>
      </c>
      <c r="W32" s="441">
        <f>W33 * Y32</f>
        <v>0</v>
      </c>
      <c r="X32" s="485"/>
      <c r="Y32" s="442">
        <f>IF('MLQ-DMT-TR1'!$E$7 &gt; 30, 'MLQ-DMT-TR1'!$E$7 - Y31, 0)</f>
        <v>0</v>
      </c>
      <c r="Z32" s="441">
        <f>Z33 * AB32</f>
        <v>0</v>
      </c>
      <c r="AA32" s="485"/>
      <c r="AB32" s="442">
        <f>IF('MLQ-DMT-TR1'!$E$7 &gt; 30, 'MLQ-DMT-TR1'!$E$7 - AB31, 0)</f>
        <v>0</v>
      </c>
      <c r="AC32" s="672"/>
      <c r="AD32" s="441" t="s">
        <v>21</v>
      </c>
      <c r="AE32" s="674" t="s">
        <v>21</v>
      </c>
      <c r="AF32" s="674" t="s">
        <v>21</v>
      </c>
      <c r="AG32" s="674" t="s">
        <v>21</v>
      </c>
      <c r="AH32" s="442" t="s">
        <v>21</v>
      </c>
      <c r="AI32" s="442" t="str">
        <f t="shared" si="0"/>
        <v/>
      </c>
    </row>
    <row r="33" spans="1:35" ht="24" hidden="1" x14ac:dyDescent="0.25">
      <c r="A33" s="587" t="s">
        <v>1977</v>
      </c>
      <c r="B33" s="369" t="s">
        <v>23</v>
      </c>
      <c r="C33" s="588"/>
      <c r="D33" s="589" t="s">
        <v>2044</v>
      </c>
      <c r="E33" s="44" t="s">
        <v>138</v>
      </c>
      <c r="F33" s="214" t="s">
        <v>164</v>
      </c>
      <c r="G33" s="587" t="s">
        <v>3638</v>
      </c>
      <c r="H33" s="590" t="s">
        <v>55</v>
      </c>
      <c r="I33" s="591">
        <f>IF($F33="","",IF('TRECHO(S) A IMPRIMIR'!$B$1= 1, SUM(Q33, T33, W33, Z33), IF('TRECHO(S) A IMPRIMIR'!$B$1= 2, T33, IF('TRECHO(S) A IMPRIMIR'!$B$1= 3, W33, 0))))</f>
        <v>0</v>
      </c>
      <c r="J33" s="592">
        <v>12.23</v>
      </c>
      <c r="K33" s="593">
        <f>IF(AND(F33&lt;&gt;"",J33&lt;&gt;""),
  IF(OR(F33= "CP9001", F33= "CP9091", F33= "CP9092"), 0,
  IF($M$1 = "ENCARGOS SOCIAIS SEM DESONERAÇÃO",'BDI obras SD'!$H$23,'BDI obras CD'!$H$23)),"")</f>
        <v>0</v>
      </c>
      <c r="L33" s="592">
        <f t="shared" si="3"/>
        <v>12.23</v>
      </c>
      <c r="M33" s="594">
        <f>IF(OR(I33="",L33=""),"",I33*L33)</f>
        <v>0</v>
      </c>
      <c r="O33" s="673"/>
      <c r="P33" s="361"/>
      <c r="Q33" s="441">
        <f>Q30 * R30</f>
        <v>0</v>
      </c>
      <c r="R33" s="485"/>
      <c r="S33" s="442"/>
      <c r="T33" s="441">
        <f>T30 * U30</f>
        <v>0</v>
      </c>
      <c r="U33" s="485"/>
      <c r="V33" s="442"/>
      <c r="W33" s="441">
        <f>W30 * X30</f>
        <v>0</v>
      </c>
      <c r="X33" s="485"/>
      <c r="Y33" s="442"/>
      <c r="Z33" s="441">
        <f>Z30 * AA30</f>
        <v>0</v>
      </c>
      <c r="AA33" s="485"/>
      <c r="AB33" s="442"/>
      <c r="AC33" s="672"/>
      <c r="AD33" s="441" t="s">
        <v>21</v>
      </c>
      <c r="AE33" s="674" t="s">
        <v>21</v>
      </c>
      <c r="AF33" s="674" t="s">
        <v>21</v>
      </c>
      <c r="AG33" s="674" t="s">
        <v>21</v>
      </c>
      <c r="AH33" s="442" t="s">
        <v>21</v>
      </c>
      <c r="AI33" s="442" t="str">
        <f t="shared" si="0"/>
        <v/>
      </c>
    </row>
    <row r="34" spans="1:35" x14ac:dyDescent="0.25">
      <c r="A34" s="587"/>
      <c r="B34" s="369"/>
      <c r="C34" s="588"/>
      <c r="D34" s="589"/>
      <c r="E34" s="44"/>
      <c r="F34" s="214"/>
      <c r="G34" s="587" t="s">
        <v>21</v>
      </c>
      <c r="H34" s="590" t="s">
        <v>21</v>
      </c>
      <c r="I34" s="591" t="s">
        <v>21</v>
      </c>
      <c r="J34" s="592" t="s">
        <v>21</v>
      </c>
      <c r="K34" s="593" t="s">
        <v>21</v>
      </c>
      <c r="L34" s="592" t="s">
        <v>21</v>
      </c>
      <c r="M34" s="594" t="s">
        <v>21</v>
      </c>
      <c r="O34" s="673"/>
      <c r="P34" s="361"/>
      <c r="Q34" s="441"/>
      <c r="R34" s="485"/>
      <c r="S34" s="442"/>
      <c r="T34" s="441"/>
      <c r="U34" s="485"/>
      <c r="V34" s="442"/>
      <c r="W34" s="441"/>
      <c r="X34" s="485"/>
      <c r="Y34" s="442"/>
      <c r="Z34" s="441"/>
      <c r="AA34" s="485"/>
      <c r="AB34" s="442"/>
      <c r="AC34" s="672"/>
      <c r="AD34" s="441" t="s">
        <v>21</v>
      </c>
      <c r="AE34" s="674" t="s">
        <v>21</v>
      </c>
      <c r="AF34" s="674" t="s">
        <v>21</v>
      </c>
      <c r="AG34" s="674" t="s">
        <v>21</v>
      </c>
      <c r="AH34" s="442" t="s">
        <v>21</v>
      </c>
      <c r="AI34" s="442" t="str">
        <f t="shared" si="0"/>
        <v/>
      </c>
    </row>
    <row r="35" spans="1:35" x14ac:dyDescent="0.25">
      <c r="A35" s="587" t="s">
        <v>1268</v>
      </c>
      <c r="B35" s="369"/>
      <c r="C35" s="588"/>
      <c r="D35" s="589" t="s">
        <v>2031</v>
      </c>
      <c r="E35" s="44"/>
      <c r="F35" s="214"/>
      <c r="G35" s="587" t="s">
        <v>1268</v>
      </c>
      <c r="H35" s="590" t="s">
        <v>21</v>
      </c>
      <c r="I35" s="591" t="s">
        <v>21</v>
      </c>
      <c r="J35" s="592" t="s">
        <v>21</v>
      </c>
      <c r="K35" s="593" t="s">
        <v>21</v>
      </c>
      <c r="L35" s="592" t="s">
        <v>21</v>
      </c>
      <c r="M35" s="594">
        <v>97251.731947861001</v>
      </c>
      <c r="O35" s="673"/>
      <c r="P35" s="361"/>
      <c r="Q35" s="441"/>
      <c r="R35" s="485"/>
      <c r="S35" s="442"/>
      <c r="T35" s="441"/>
      <c r="U35" s="485"/>
      <c r="V35" s="442"/>
      <c r="W35" s="441"/>
      <c r="X35" s="485"/>
      <c r="Y35" s="442"/>
      <c r="Z35" s="441"/>
      <c r="AA35" s="485"/>
      <c r="AB35" s="442"/>
      <c r="AC35" s="672"/>
      <c r="AD35" s="441" t="s">
        <v>21</v>
      </c>
      <c r="AE35" s="674" t="s">
        <v>21</v>
      </c>
      <c r="AF35" s="674" t="s">
        <v>21</v>
      </c>
      <c r="AG35" s="674" t="s">
        <v>21</v>
      </c>
      <c r="AH35" s="442" t="s">
        <v>21</v>
      </c>
      <c r="AI35" s="442" t="str">
        <f t="shared" si="0"/>
        <v/>
      </c>
    </row>
    <row r="36" spans="1:35" ht="24" x14ac:dyDescent="0.25">
      <c r="A36" s="587" t="s">
        <v>1277</v>
      </c>
      <c r="B36" s="369" t="s">
        <v>28</v>
      </c>
      <c r="C36" s="588"/>
      <c r="D36" s="589" t="s">
        <v>2032</v>
      </c>
      <c r="E36" s="44" t="s">
        <v>27</v>
      </c>
      <c r="F36" s="214">
        <v>97629</v>
      </c>
      <c r="G36" s="587" t="s">
        <v>551</v>
      </c>
      <c r="H36" s="590" t="s">
        <v>44</v>
      </c>
      <c r="I36" s="591">
        <v>413.09268000000003</v>
      </c>
      <c r="J36" s="592">
        <v>106.16</v>
      </c>
      <c r="K36" s="593">
        <v>0.2033513845915047</v>
      </c>
      <c r="L36" s="592">
        <v>127.74778298823414</v>
      </c>
      <c r="M36" s="594">
        <v>52771.674038668054</v>
      </c>
      <c r="O36" s="675">
        <v>7.0000000000000007E-2</v>
      </c>
      <c r="P36" s="361"/>
      <c r="Q36" s="441">
        <v>0</v>
      </c>
      <c r="R36" s="485">
        <v>2.4</v>
      </c>
      <c r="S36" s="442"/>
      <c r="T36" s="441">
        <v>259.76580000000001</v>
      </c>
      <c r="U36" s="485">
        <v>2.4</v>
      </c>
      <c r="V36" s="442"/>
      <c r="W36" s="441">
        <v>153.32688000000002</v>
      </c>
      <c r="X36" s="485">
        <v>2.4</v>
      </c>
      <c r="Y36" s="442"/>
      <c r="Z36" s="441"/>
      <c r="AA36" s="485">
        <v>2.4</v>
      </c>
      <c r="AB36" s="442"/>
      <c r="AC36" s="672"/>
      <c r="AD36" s="441">
        <v>34573.002349183902</v>
      </c>
      <c r="AE36" s="674">
        <v>15499.442318440748</v>
      </c>
      <c r="AF36" s="674">
        <v>2699.2293710434014</v>
      </c>
      <c r="AG36" s="674">
        <v>0</v>
      </c>
      <c r="AH36" s="442">
        <v>0</v>
      </c>
      <c r="AI36" s="442">
        <v>0</v>
      </c>
    </row>
    <row r="37" spans="1:35" ht="48" x14ac:dyDescent="0.25">
      <c r="A37" s="587" t="s">
        <v>1052</v>
      </c>
      <c r="B37" s="369" t="s">
        <v>23</v>
      </c>
      <c r="C37" s="588"/>
      <c r="D37" s="589" t="s">
        <v>2033</v>
      </c>
      <c r="E37" s="44" t="s">
        <v>27</v>
      </c>
      <c r="F37" s="214">
        <v>100999</v>
      </c>
      <c r="G37" s="587" t="s">
        <v>769</v>
      </c>
      <c r="H37" s="590" t="s">
        <v>55</v>
      </c>
      <c r="I37" s="591">
        <v>991.42243200000007</v>
      </c>
      <c r="J37" s="592">
        <v>4.24</v>
      </c>
      <c r="K37" s="593">
        <v>0.2033513845915047</v>
      </c>
      <c r="L37" s="592">
        <v>5.1022098706679806</v>
      </c>
      <c r="M37" s="594">
        <v>5058.4453185520551</v>
      </c>
      <c r="O37" s="673"/>
      <c r="P37" s="361"/>
      <c r="Q37" s="441">
        <v>0</v>
      </c>
      <c r="R37" s="485"/>
      <c r="S37" s="442"/>
      <c r="T37" s="441">
        <v>623.43791999999996</v>
      </c>
      <c r="U37" s="485"/>
      <c r="V37" s="442"/>
      <c r="W37" s="441">
        <v>367.98451200000005</v>
      </c>
      <c r="X37" s="485"/>
      <c r="Y37" s="442"/>
      <c r="Z37" s="441">
        <v>0</v>
      </c>
      <c r="AA37" s="485"/>
      <c r="AB37" s="442"/>
      <c r="AC37" s="672"/>
      <c r="AD37" s="441">
        <v>536.8633003180247</v>
      </c>
      <c r="AE37" s="674">
        <v>2314.4773391488175</v>
      </c>
      <c r="AF37" s="674">
        <v>2207.1046790852124</v>
      </c>
      <c r="AG37" s="674">
        <v>0</v>
      </c>
      <c r="AH37" s="442">
        <v>0</v>
      </c>
      <c r="AI37" s="442">
        <v>9.0949470177292824E-13</v>
      </c>
    </row>
    <row r="38" spans="1:35" ht="36" x14ac:dyDescent="0.25">
      <c r="A38" s="587" t="s">
        <v>1274</v>
      </c>
      <c r="B38" s="369" t="s">
        <v>25</v>
      </c>
      <c r="C38" s="588"/>
      <c r="D38" s="589" t="s">
        <v>2034</v>
      </c>
      <c r="E38" s="44" t="s">
        <v>27</v>
      </c>
      <c r="F38" s="214">
        <v>95879</v>
      </c>
      <c r="G38" s="587" t="s">
        <v>789</v>
      </c>
      <c r="H38" s="590" t="s">
        <v>42</v>
      </c>
      <c r="I38" s="591">
        <v>21811.293504000001</v>
      </c>
      <c r="J38" s="592">
        <v>1.04</v>
      </c>
      <c r="K38" s="593">
        <v>0.2033513845915047</v>
      </c>
      <c r="L38" s="592">
        <v>1.2514854399751649</v>
      </c>
      <c r="M38" s="594">
        <v>27296.516247280899</v>
      </c>
      <c r="O38" s="673"/>
      <c r="P38" s="361"/>
      <c r="Q38" s="441">
        <v>0</v>
      </c>
      <c r="R38" s="485"/>
      <c r="S38" s="442">
        <v>22</v>
      </c>
      <c r="T38" s="441">
        <v>13715.634239999999</v>
      </c>
      <c r="U38" s="485"/>
      <c r="V38" s="442">
        <v>22</v>
      </c>
      <c r="W38" s="441">
        <v>8095.6592640000008</v>
      </c>
      <c r="X38" s="485"/>
      <c r="Y38" s="442">
        <v>22</v>
      </c>
      <c r="Z38" s="441">
        <v>0</v>
      </c>
      <c r="AA38" s="485"/>
      <c r="AB38" s="442">
        <v>22</v>
      </c>
      <c r="AC38" s="672"/>
      <c r="AD38" s="441">
        <v>1837.2655166439067</v>
      </c>
      <c r="AE38" s="674">
        <v>15747.990142662056</v>
      </c>
      <c r="AF38" s="674">
        <v>9711.2605879749335</v>
      </c>
      <c r="AG38" s="674">
        <v>0</v>
      </c>
      <c r="AH38" s="442">
        <v>0</v>
      </c>
      <c r="AI38" s="442">
        <v>3.637978807091713E-12</v>
      </c>
    </row>
    <row r="39" spans="1:35" ht="36" hidden="1" x14ac:dyDescent="0.25">
      <c r="A39" s="587" t="s">
        <v>1275</v>
      </c>
      <c r="B39" s="369" t="s">
        <v>25</v>
      </c>
      <c r="C39" s="588"/>
      <c r="D39" s="589" t="s">
        <v>2035</v>
      </c>
      <c r="E39" s="44" t="s">
        <v>27</v>
      </c>
      <c r="F39" s="214">
        <v>93599</v>
      </c>
      <c r="G39" s="587" t="s">
        <v>788</v>
      </c>
      <c r="H39" s="590" t="s">
        <v>42</v>
      </c>
      <c r="I39" s="591">
        <f>IF($F39="","",IF('TRECHO(S) A IMPRIMIR'!$B$1= 1, SUM(Q39, T39, W39, Z39), IF('TRECHO(S) A IMPRIMIR'!$B$1= 2, T39, IF('TRECHO(S) A IMPRIMIR'!$B$1= 3, W39, 0))))</f>
        <v>0</v>
      </c>
      <c r="J39" s="592">
        <v>0.41</v>
      </c>
      <c r="K39" s="593">
        <f>IF(AND(F39&lt;&gt;"",J39&lt;&gt;""),
  IF(OR(F39= "CP9001", F39= "CP9091", F39= "CP9092"), 0,
  IF($M$1 = "ENCARGOS SOCIAIS SEM DESONERAÇÃO",'BDI obras SD'!$H$23,'BDI obras CD'!$H$23)),"")</f>
        <v>0.2033513845915047</v>
      </c>
      <c r="L39" s="592">
        <f t="shared" si="3"/>
        <v>0.4933740676825169</v>
      </c>
      <c r="M39" s="594">
        <f t="shared" ref="M36:M41" si="5">IF(OR(I39="",L39=""),"",I39*L39)</f>
        <v>0</v>
      </c>
      <c r="O39" s="673"/>
      <c r="P39" s="361"/>
      <c r="Q39" s="441">
        <f>Q37 *S39</f>
        <v>0</v>
      </c>
      <c r="R39" s="485"/>
      <c r="S39" s="442">
        <f>IF('MLQ-DMT-TR1'!$E$7 &gt; 30, 'MLQ-DMT-TR1'!$E$7 - S38, 0)</f>
        <v>0</v>
      </c>
      <c r="T39" s="441">
        <f>T37 *V39</f>
        <v>0</v>
      </c>
      <c r="U39" s="485"/>
      <c r="V39" s="442">
        <f>IF('MLQ-DMT-TR1'!$E$7 &gt; 30, 'MLQ-DMT-TR1'!$E$7 - V38, 0)</f>
        <v>0</v>
      </c>
      <c r="W39" s="441">
        <f>W37 *Y39</f>
        <v>0</v>
      </c>
      <c r="X39" s="485"/>
      <c r="Y39" s="442">
        <f>IF('MLQ-DMT-TR1'!$E$7 &gt; 30, 'MLQ-DMT-TR1'!$E$7 - Y38, 0)</f>
        <v>0</v>
      </c>
      <c r="Z39" s="441">
        <f>Z37 *AB39</f>
        <v>0</v>
      </c>
      <c r="AA39" s="485"/>
      <c r="AB39" s="442">
        <f>IF('MLQ-DMT-TR1'!$E$7 &gt; 30, 'MLQ-DMT-TR1'!$E$7 - AB38, 0)</f>
        <v>0</v>
      </c>
      <c r="AC39" s="672"/>
      <c r="AD39" s="441" t="s">
        <v>21</v>
      </c>
      <c r="AE39" s="674" t="s">
        <v>21</v>
      </c>
      <c r="AF39" s="674" t="s">
        <v>21</v>
      </c>
      <c r="AG39" s="674" t="s">
        <v>21</v>
      </c>
      <c r="AH39" s="442" t="s">
        <v>21</v>
      </c>
      <c r="AI39" s="442" t="str">
        <f t="shared" si="0"/>
        <v/>
      </c>
    </row>
    <row r="40" spans="1:35" ht="24" x14ac:dyDescent="0.25">
      <c r="A40" s="587" t="s">
        <v>1977</v>
      </c>
      <c r="B40" s="369" t="s">
        <v>23</v>
      </c>
      <c r="C40" s="588"/>
      <c r="D40" s="589" t="s">
        <v>2045</v>
      </c>
      <c r="E40" s="44" t="s">
        <v>138</v>
      </c>
      <c r="F40" s="214" t="s">
        <v>164</v>
      </c>
      <c r="G40" s="587" t="s">
        <v>3638</v>
      </c>
      <c r="H40" s="590" t="s">
        <v>55</v>
      </c>
      <c r="I40" s="591">
        <v>991.42243200000007</v>
      </c>
      <c r="J40" s="592">
        <v>12.23</v>
      </c>
      <c r="K40" s="593">
        <v>0</v>
      </c>
      <c r="L40" s="592">
        <v>12.23</v>
      </c>
      <c r="M40" s="594">
        <v>12125.096343360001</v>
      </c>
      <c r="O40" s="673"/>
      <c r="P40" s="361"/>
      <c r="Q40" s="441">
        <v>0</v>
      </c>
      <c r="R40" s="485"/>
      <c r="S40" s="442"/>
      <c r="T40" s="441">
        <v>623.43791999999996</v>
      </c>
      <c r="U40" s="485"/>
      <c r="V40" s="442"/>
      <c r="W40" s="441">
        <v>367.98451200000005</v>
      </c>
      <c r="X40" s="485"/>
      <c r="Y40" s="442"/>
      <c r="Z40" s="441">
        <v>0</v>
      </c>
      <c r="AA40" s="485"/>
      <c r="AB40" s="442"/>
      <c r="AC40" s="672"/>
      <c r="AD40" s="441">
        <v>0</v>
      </c>
      <c r="AE40" s="674">
        <v>0</v>
      </c>
      <c r="AF40" s="674">
        <v>0</v>
      </c>
      <c r="AG40" s="674">
        <v>12125.096343360001</v>
      </c>
      <c r="AH40" s="442">
        <v>0</v>
      </c>
      <c r="AI40" s="442">
        <v>0</v>
      </c>
    </row>
    <row r="41" spans="1:35" x14ac:dyDescent="0.25">
      <c r="A41" s="587"/>
      <c r="B41" s="369"/>
      <c r="C41" s="588"/>
      <c r="D41" s="589"/>
      <c r="E41" s="44"/>
      <c r="F41" s="214"/>
      <c r="G41" s="587" t="s">
        <v>21</v>
      </c>
      <c r="H41" s="590" t="s">
        <v>21</v>
      </c>
      <c r="I41" s="591" t="s">
        <v>21</v>
      </c>
      <c r="J41" s="592" t="s">
        <v>21</v>
      </c>
      <c r="K41" s="593" t="s">
        <v>21</v>
      </c>
      <c r="L41" s="592" t="s">
        <v>21</v>
      </c>
      <c r="M41" s="594" t="s">
        <v>21</v>
      </c>
      <c r="O41" s="673"/>
      <c r="P41" s="361"/>
      <c r="Q41" s="441"/>
      <c r="R41" s="485"/>
      <c r="S41" s="442"/>
      <c r="T41" s="441"/>
      <c r="U41" s="485"/>
      <c r="V41" s="442"/>
      <c r="W41" s="441"/>
      <c r="X41" s="485"/>
      <c r="Y41" s="442"/>
      <c r="Z41" s="441"/>
      <c r="AA41" s="485"/>
      <c r="AB41" s="442"/>
      <c r="AC41" s="672"/>
      <c r="AD41" s="441" t="s">
        <v>21</v>
      </c>
      <c r="AE41" s="674" t="s">
        <v>21</v>
      </c>
      <c r="AF41" s="674" t="s">
        <v>21</v>
      </c>
      <c r="AG41" s="674" t="s">
        <v>21</v>
      </c>
      <c r="AH41" s="442" t="s">
        <v>21</v>
      </c>
      <c r="AI41" s="442" t="str">
        <f t="shared" si="0"/>
        <v/>
      </c>
    </row>
    <row r="42" spans="1:35" ht="36" x14ac:dyDescent="0.25">
      <c r="A42" s="587" t="s">
        <v>1278</v>
      </c>
      <c r="B42" s="369"/>
      <c r="C42" s="588"/>
      <c r="D42" s="589" t="s">
        <v>2036</v>
      </c>
      <c r="E42" s="44"/>
      <c r="F42" s="214"/>
      <c r="G42" s="587" t="s">
        <v>1278</v>
      </c>
      <c r="H42" s="590" t="s">
        <v>21</v>
      </c>
      <c r="I42" s="591" t="s">
        <v>21</v>
      </c>
      <c r="J42" s="592" t="s">
        <v>21</v>
      </c>
      <c r="K42" s="593" t="s">
        <v>21</v>
      </c>
      <c r="L42" s="592" t="s">
        <v>21</v>
      </c>
      <c r="M42" s="594">
        <v>60871.678628079739</v>
      </c>
      <c r="O42" s="673"/>
      <c r="P42" s="361"/>
      <c r="Q42" s="441"/>
      <c r="R42" s="485"/>
      <c r="S42" s="442"/>
      <c r="T42" s="441"/>
      <c r="U42" s="485"/>
      <c r="V42" s="442"/>
      <c r="W42" s="441"/>
      <c r="X42" s="485"/>
      <c r="Y42" s="442"/>
      <c r="Z42" s="441"/>
      <c r="AA42" s="485"/>
      <c r="AB42" s="442"/>
      <c r="AC42" s="672"/>
      <c r="AD42" s="441" t="s">
        <v>21</v>
      </c>
      <c r="AE42" s="674" t="s">
        <v>21</v>
      </c>
      <c r="AF42" s="674" t="s">
        <v>21</v>
      </c>
      <c r="AG42" s="674" t="s">
        <v>21</v>
      </c>
      <c r="AH42" s="442" t="s">
        <v>21</v>
      </c>
      <c r="AI42" s="442" t="str">
        <f t="shared" si="0"/>
        <v/>
      </c>
    </row>
    <row r="43" spans="1:35" x14ac:dyDescent="0.25">
      <c r="A43" s="587" t="s">
        <v>1279</v>
      </c>
      <c r="B43" s="369" t="s">
        <v>26</v>
      </c>
      <c r="C43" s="588"/>
      <c r="D43" s="589" t="s">
        <v>2037</v>
      </c>
      <c r="E43" s="44" t="s">
        <v>138</v>
      </c>
      <c r="F43" s="214" t="s">
        <v>917</v>
      </c>
      <c r="G43" s="587" t="s">
        <v>919</v>
      </c>
      <c r="H43" s="590" t="s">
        <v>44</v>
      </c>
      <c r="I43" s="591">
        <v>220.99441499999998</v>
      </c>
      <c r="J43" s="592">
        <v>222.18489240228371</v>
      </c>
      <c r="K43" s="593">
        <v>0.2033513845915047</v>
      </c>
      <c r="L43" s="592">
        <v>267.36649790760259</v>
      </c>
      <c r="M43" s="594">
        <v>59086.502795689354</v>
      </c>
      <c r="O43" s="818">
        <f>(0.15^2) + ((0.15 + 0.12) * (0.15 / 2))</f>
        <v>4.2749999999999996E-2</v>
      </c>
      <c r="P43" s="361"/>
      <c r="Q43" s="441"/>
      <c r="R43" s="485"/>
      <c r="S43" s="442"/>
      <c r="T43" s="441">
        <v>138.03547499999999</v>
      </c>
      <c r="U43" s="485"/>
      <c r="V43" s="442"/>
      <c r="W43" s="441">
        <v>82.958939999999984</v>
      </c>
      <c r="X43" s="485"/>
      <c r="Y43" s="442"/>
      <c r="Z43" s="441"/>
      <c r="AA43" s="485"/>
      <c r="AB43" s="442"/>
      <c r="AC43" s="672"/>
      <c r="AD43" s="441">
        <v>39060.87160890329</v>
      </c>
      <c r="AE43" s="674">
        <v>19334.810270156791</v>
      </c>
      <c r="AF43" s="674">
        <v>690.82091662928087</v>
      </c>
      <c r="AG43" s="674">
        <v>0</v>
      </c>
      <c r="AH43" s="442">
        <v>-1.8895742590333923E-12</v>
      </c>
      <c r="AI43" s="442">
        <v>-7.2759576141834259E-12</v>
      </c>
    </row>
    <row r="44" spans="1:35" ht="36" x14ac:dyDescent="0.25">
      <c r="A44" s="587" t="s">
        <v>1280</v>
      </c>
      <c r="B44" s="369" t="s">
        <v>23</v>
      </c>
      <c r="C44" s="588"/>
      <c r="D44" s="589" t="s">
        <v>2038</v>
      </c>
      <c r="E44" s="44" t="s">
        <v>27</v>
      </c>
      <c r="F44" s="214">
        <v>72850</v>
      </c>
      <c r="G44" s="587" t="s">
        <v>1312</v>
      </c>
      <c r="H44" s="590" t="s">
        <v>55</v>
      </c>
      <c r="I44" s="591">
        <v>22.674026978999997</v>
      </c>
      <c r="J44" s="592">
        <v>11.844150000000001</v>
      </c>
      <c r="K44" s="593">
        <v>0.2033513845915047</v>
      </c>
      <c r="L44" s="592">
        <v>14.252674301809471</v>
      </c>
      <c r="M44" s="594">
        <v>323.16552164212789</v>
      </c>
      <c r="O44" s="673"/>
      <c r="P44" s="361"/>
      <c r="Q44" s="441">
        <v>0</v>
      </c>
      <c r="R44" s="485">
        <v>2.4</v>
      </c>
      <c r="S44" s="442"/>
      <c r="T44" s="441">
        <v>14.162439734999998</v>
      </c>
      <c r="U44" s="485">
        <v>2.4</v>
      </c>
      <c r="V44" s="442"/>
      <c r="W44" s="441">
        <v>8.5115872439999976</v>
      </c>
      <c r="X44" s="485">
        <v>2.4</v>
      </c>
      <c r="Y44" s="442"/>
      <c r="Z44" s="441">
        <v>0</v>
      </c>
      <c r="AA44" s="485">
        <v>2.4</v>
      </c>
      <c r="AB44" s="442"/>
      <c r="AC44" s="672"/>
      <c r="AD44" s="441">
        <v>33.236596353941266</v>
      </c>
      <c r="AE44" s="674">
        <v>216.23338569093553</v>
      </c>
      <c r="AF44" s="674">
        <v>73.69553959725107</v>
      </c>
      <c r="AG44" s="674">
        <v>0</v>
      </c>
      <c r="AH44" s="442">
        <v>0</v>
      </c>
      <c r="AI44" s="442">
        <v>0</v>
      </c>
    </row>
    <row r="45" spans="1:35" ht="48" x14ac:dyDescent="0.25">
      <c r="A45" s="587" t="s">
        <v>1281</v>
      </c>
      <c r="B45" s="369" t="s">
        <v>25</v>
      </c>
      <c r="C45" s="588"/>
      <c r="D45" s="589" t="s">
        <v>2039</v>
      </c>
      <c r="E45" s="44" t="s">
        <v>27</v>
      </c>
      <c r="F45" s="214">
        <v>100954</v>
      </c>
      <c r="G45" s="587" t="s">
        <v>794</v>
      </c>
      <c r="H45" s="590" t="s">
        <v>42</v>
      </c>
      <c r="I45" s="591">
        <v>22.674026978999997</v>
      </c>
      <c r="J45" s="592">
        <v>5.41</v>
      </c>
      <c r="K45" s="593">
        <v>0.2033513845915047</v>
      </c>
      <c r="L45" s="592">
        <v>6.5101309906400404</v>
      </c>
      <c r="M45" s="594">
        <v>147.61088571859625</v>
      </c>
      <c r="O45" s="673"/>
      <c r="P45" s="361"/>
      <c r="Q45" s="441">
        <v>0</v>
      </c>
      <c r="R45" s="485"/>
      <c r="S45" s="442">
        <v>1</v>
      </c>
      <c r="T45" s="441">
        <v>14.162439734999998</v>
      </c>
      <c r="U45" s="485"/>
      <c r="V45" s="442">
        <v>1</v>
      </c>
      <c r="W45" s="441">
        <v>8.5115872439999976</v>
      </c>
      <c r="X45" s="485"/>
      <c r="Y45" s="442">
        <v>1</v>
      </c>
      <c r="Z45" s="441">
        <v>0</v>
      </c>
      <c r="AA45" s="485"/>
      <c r="AB45" s="442">
        <v>1</v>
      </c>
      <c r="AC45" s="672"/>
      <c r="AD45" s="441">
        <v>14.188107314911287</v>
      </c>
      <c r="AE45" s="674">
        <v>98.2253583340012</v>
      </c>
      <c r="AF45" s="674">
        <v>35.197420069683766</v>
      </c>
      <c r="AG45" s="674">
        <v>0</v>
      </c>
      <c r="AH45" s="442">
        <v>0</v>
      </c>
      <c r="AI45" s="442">
        <v>0</v>
      </c>
    </row>
    <row r="46" spans="1:35" ht="48" x14ac:dyDescent="0.25">
      <c r="A46" s="587" t="s">
        <v>1274</v>
      </c>
      <c r="B46" s="369" t="s">
        <v>25</v>
      </c>
      <c r="C46" s="588"/>
      <c r="D46" s="589" t="s">
        <v>2040</v>
      </c>
      <c r="E46" s="44" t="s">
        <v>27</v>
      </c>
      <c r="F46" s="214">
        <v>100952</v>
      </c>
      <c r="G46" s="587" t="s">
        <v>797</v>
      </c>
      <c r="H46" s="590" t="s">
        <v>42</v>
      </c>
      <c r="I46" s="591">
        <v>476.15456655899987</v>
      </c>
      <c r="J46" s="592">
        <v>1.81</v>
      </c>
      <c r="K46" s="593">
        <v>0.2033513845915047</v>
      </c>
      <c r="L46" s="592">
        <v>2.1780660061106234</v>
      </c>
      <c r="M46" s="594">
        <v>1037.0960750764959</v>
      </c>
      <c r="O46" s="673"/>
      <c r="P46" s="361"/>
      <c r="Q46" s="441">
        <v>0</v>
      </c>
      <c r="R46" s="485"/>
      <c r="S46" s="442">
        <v>21</v>
      </c>
      <c r="T46" s="441">
        <v>297.41123443499993</v>
      </c>
      <c r="U46" s="485"/>
      <c r="V46" s="442">
        <v>21</v>
      </c>
      <c r="W46" s="441">
        <v>178.74333212399995</v>
      </c>
      <c r="X46" s="485"/>
      <c r="Y46" s="442">
        <v>21</v>
      </c>
      <c r="Z46" s="441">
        <v>0</v>
      </c>
      <c r="AA46" s="485"/>
      <c r="AB46" s="442">
        <v>21</v>
      </c>
      <c r="AC46" s="672"/>
      <c r="AD46" s="441">
        <v>97.406813681217869</v>
      </c>
      <c r="AE46" s="674">
        <v>710.49675861594199</v>
      </c>
      <c r="AF46" s="674">
        <v>229.19250277933614</v>
      </c>
      <c r="AG46" s="674">
        <v>0</v>
      </c>
      <c r="AH46" s="442">
        <v>0</v>
      </c>
      <c r="AI46" s="442">
        <v>0</v>
      </c>
    </row>
    <row r="47" spans="1:35" ht="48" hidden="1" x14ac:dyDescent="0.25">
      <c r="A47" s="587" t="s">
        <v>1275</v>
      </c>
      <c r="B47" s="369" t="s">
        <v>25</v>
      </c>
      <c r="C47" s="588"/>
      <c r="D47" s="589" t="s">
        <v>2041</v>
      </c>
      <c r="E47" s="44" t="s">
        <v>27</v>
      </c>
      <c r="F47" s="214">
        <v>100953</v>
      </c>
      <c r="G47" s="587" t="s">
        <v>796</v>
      </c>
      <c r="H47" s="590" t="s">
        <v>42</v>
      </c>
      <c r="I47" s="591">
        <f>IF($F47="","",IF('TRECHO(S) A IMPRIMIR'!$B$1= 1, SUM(Q47, T47, W47, Z47), IF('TRECHO(S) A IMPRIMIR'!$B$1= 2, T47, IF('TRECHO(S) A IMPRIMIR'!$B$1= 3, W47, 0))))</f>
        <v>0</v>
      </c>
      <c r="J47" s="592">
        <v>0.71</v>
      </c>
      <c r="K47" s="593">
        <f>IF(AND(F47&lt;&gt;"",J47&lt;&gt;""),
  IF(OR(F47= "CP9001", F47= "CP9091", F47= "CP9092"), 0,
  IF($M$1 = "ENCARGOS SOCIAIS SEM DESONERAÇÃO",'BDI obras SD'!$H$23,'BDI obras CD'!$H$23)),"")</f>
        <v>0.2033513845915047</v>
      </c>
      <c r="L47" s="592">
        <f t="shared" si="3"/>
        <v>0.85437948305996825</v>
      </c>
      <c r="M47" s="594">
        <f t="shared" ref="M43:M49" si="6">IF(OR(I47="",L47=""),"",I47*L47)</f>
        <v>0</v>
      </c>
      <c r="O47" s="673"/>
      <c r="P47" s="361"/>
      <c r="Q47" s="441">
        <f>Q44 *S47</f>
        <v>0</v>
      </c>
      <c r="R47" s="485"/>
      <c r="S47" s="442">
        <f>IF('MLQ-DMT-TR1'!$E$7 &gt; 30, 'MLQ-DMT-TR1'!$E$7 - SUM(S45:S46), 0)</f>
        <v>0</v>
      </c>
      <c r="T47" s="441">
        <f>T44 *V47</f>
        <v>0</v>
      </c>
      <c r="U47" s="485"/>
      <c r="V47" s="442">
        <f>IF('MLQ-DMT-TR1'!$E$7 &gt; 30, 'MLQ-DMT-TR1'!$E$7 - SUM(V45:V46), 0)</f>
        <v>0</v>
      </c>
      <c r="W47" s="441">
        <f>W44 *Y47</f>
        <v>0</v>
      </c>
      <c r="X47" s="485"/>
      <c r="Y47" s="442">
        <f>IF('MLQ-DMT-TR1'!$E$7 &gt; 30, 'MLQ-DMT-TR1'!$E$7 - SUM(Y45:Y46), 0)</f>
        <v>0</v>
      </c>
      <c r="Z47" s="441">
        <f>Z44 *AB47</f>
        <v>0</v>
      </c>
      <c r="AA47" s="485"/>
      <c r="AB47" s="442">
        <f>IF('MLQ-DMT-TR1'!$E$7 &gt; 30, 'MLQ-DMT-TR1'!$E$7 - SUM(AB45:AB46), 0)</f>
        <v>0</v>
      </c>
      <c r="AC47" s="672"/>
      <c r="AD47" s="441" t="s">
        <v>21</v>
      </c>
      <c r="AE47" s="674" t="s">
        <v>21</v>
      </c>
      <c r="AF47" s="674" t="s">
        <v>21</v>
      </c>
      <c r="AG47" s="674" t="s">
        <v>21</v>
      </c>
      <c r="AH47" s="442" t="s">
        <v>21</v>
      </c>
      <c r="AI47" s="442" t="str">
        <f t="shared" si="0"/>
        <v/>
      </c>
    </row>
    <row r="48" spans="1:35" ht="24" x14ac:dyDescent="0.25">
      <c r="A48" s="587" t="s">
        <v>1977</v>
      </c>
      <c r="B48" s="369" t="s">
        <v>23</v>
      </c>
      <c r="C48" s="588"/>
      <c r="D48" s="589" t="s">
        <v>2045</v>
      </c>
      <c r="E48" s="44" t="s">
        <v>138</v>
      </c>
      <c r="F48" s="214" t="s">
        <v>164</v>
      </c>
      <c r="G48" s="587" t="s">
        <v>3638</v>
      </c>
      <c r="H48" s="590" t="s">
        <v>55</v>
      </c>
      <c r="I48" s="591">
        <v>22.674026978999997</v>
      </c>
      <c r="J48" s="592">
        <v>12.23</v>
      </c>
      <c r="K48" s="593">
        <v>0</v>
      </c>
      <c r="L48" s="592">
        <v>12.23</v>
      </c>
      <c r="M48" s="594">
        <v>277.30334995316997</v>
      </c>
      <c r="O48" s="673"/>
      <c r="P48" s="361"/>
      <c r="Q48" s="441">
        <v>0</v>
      </c>
      <c r="R48" s="485"/>
      <c r="S48" s="442"/>
      <c r="T48" s="441">
        <v>14.162439734999998</v>
      </c>
      <c r="U48" s="485"/>
      <c r="V48" s="442"/>
      <c r="W48" s="441">
        <v>8.5115872439999976</v>
      </c>
      <c r="X48" s="485"/>
      <c r="Y48" s="442"/>
      <c r="Z48" s="441">
        <v>0</v>
      </c>
      <c r="AA48" s="485"/>
      <c r="AB48" s="442"/>
      <c r="AC48" s="672"/>
      <c r="AD48" s="441">
        <v>0</v>
      </c>
      <c r="AE48" s="674">
        <v>0</v>
      </c>
      <c r="AF48" s="674">
        <v>0</v>
      </c>
      <c r="AG48" s="674">
        <v>277.30334995316997</v>
      </c>
      <c r="AH48" s="442">
        <v>0</v>
      </c>
      <c r="AI48" s="442">
        <v>0</v>
      </c>
    </row>
    <row r="49" spans="1:35" x14ac:dyDescent="0.25">
      <c r="A49" s="587"/>
      <c r="B49" s="369"/>
      <c r="C49" s="588"/>
      <c r="D49" s="589"/>
      <c r="E49" s="44"/>
      <c r="F49" s="214"/>
      <c r="G49" s="587" t="s">
        <v>21</v>
      </c>
      <c r="H49" s="590" t="s">
        <v>21</v>
      </c>
      <c r="I49" s="591" t="str">
        <f>IF($F49="","",IF('TRECHO(S) A IMPRIMIR'!$B$1= 1, SUM(Q49, T49, W49, Z49), IF('TRECHO(S) A IMPRIMIR'!$B$1= 2, T49, IF('TRECHO(S) A IMPRIMIR'!$B$1= 3, W49, 0))))</f>
        <v/>
      </c>
      <c r="J49" s="592" t="s">
        <v>21</v>
      </c>
      <c r="K49" s="593" t="str">
        <f>IF(AND(F49&lt;&gt;"",J49&lt;&gt;""),
  IF(OR(F49= "CP9001", F49= "CP9091", F49= "CP9092"), 0,
  IF($M$1 = "ENCARGOS SOCIAIS SEM DESONERAÇÃO",'BDI obras SD'!$H$23,'BDI obras CD'!$H$23)),"")</f>
        <v/>
      </c>
      <c r="L49" s="592" t="str">
        <f t="shared" si="3"/>
        <v/>
      </c>
      <c r="M49" s="594" t="str">
        <f t="shared" si="6"/>
        <v/>
      </c>
      <c r="O49" s="673"/>
      <c r="P49" s="361"/>
      <c r="Q49" s="441"/>
      <c r="R49" s="485"/>
      <c r="S49" s="442"/>
      <c r="T49" s="441"/>
      <c r="U49" s="485"/>
      <c r="V49" s="442"/>
      <c r="W49" s="441"/>
      <c r="X49" s="485"/>
      <c r="Y49" s="442"/>
      <c r="Z49" s="441"/>
      <c r="AA49" s="485"/>
      <c r="AB49" s="442"/>
      <c r="AC49" s="672"/>
      <c r="AD49" s="441" t="s">
        <v>21</v>
      </c>
      <c r="AE49" s="674" t="s">
        <v>21</v>
      </c>
      <c r="AF49" s="674" t="s">
        <v>21</v>
      </c>
      <c r="AG49" s="674" t="s">
        <v>21</v>
      </c>
      <c r="AH49" s="442" t="s">
        <v>21</v>
      </c>
      <c r="AI49" s="442" t="s">
        <v>21</v>
      </c>
    </row>
    <row r="50" spans="1:35" ht="13.5" thickBot="1" x14ac:dyDescent="0.3">
      <c r="A50" s="587"/>
      <c r="B50" s="369"/>
      <c r="C50" s="588"/>
      <c r="D50" s="589" t="s">
        <v>21</v>
      </c>
      <c r="E50" s="44"/>
      <c r="F50" s="214"/>
      <c r="G50" s="587" t="s">
        <v>21</v>
      </c>
      <c r="H50" s="590" t="s">
        <v>21</v>
      </c>
      <c r="I50" s="591" t="str">
        <f>IF($F50="","",IF('TRECHO(S) A IMPRIMIR'!$B$1= 1, SUM(Q50, T50, W50, Z50), IF('TRECHO(S) A IMPRIMIR'!$B$1= 2, T50, IF('TRECHO(S) A IMPRIMIR'!$B$1= 3, W50, 0))))</f>
        <v/>
      </c>
      <c r="J50" s="592" t="s">
        <v>21</v>
      </c>
      <c r="K50" s="593" t="str">
        <f>IF(AND(F50&lt;&gt;"",J50&lt;&gt;""),
  IF(OR(F50= "CP9001", F50= "CP9091", F50= "CP9092"), 0,
  IF($M$1 = "ENCARGOS SOCIAIS SEM DESONERAÇÃO",'BDI obras SD'!$H$23,'BDI obras CD'!$H$23)),"")</f>
        <v/>
      </c>
      <c r="L50" s="592" t="str">
        <f>IF(J50="","",
  IF(AND(J50&lt;&gt;"",K50=""),J50,J50 * (1 + K50)))</f>
        <v/>
      </c>
      <c r="M50" s="594" t="str">
        <f>IF(OR(I50="",L50=""),"",I50*L50)</f>
        <v/>
      </c>
      <c r="O50" s="673"/>
      <c r="P50" s="361"/>
      <c r="Q50" s="441"/>
      <c r="R50" s="485"/>
      <c r="S50" s="442"/>
      <c r="T50" s="441"/>
      <c r="U50" s="485"/>
      <c r="V50" s="442"/>
      <c r="W50" s="441"/>
      <c r="X50" s="485"/>
      <c r="Y50" s="442"/>
      <c r="Z50" s="441"/>
      <c r="AA50" s="485"/>
      <c r="AB50" s="442"/>
      <c r="AC50" s="672"/>
      <c r="AD50" s="441" t="s">
        <v>21</v>
      </c>
      <c r="AE50" s="674" t="s">
        <v>21</v>
      </c>
      <c r="AF50" s="674" t="s">
        <v>21</v>
      </c>
      <c r="AG50" s="674" t="s">
        <v>21</v>
      </c>
      <c r="AH50" s="442" t="s">
        <v>21</v>
      </c>
      <c r="AI50" s="442" t="s">
        <v>21</v>
      </c>
    </row>
    <row r="51" spans="1:35" x14ac:dyDescent="0.25">
      <c r="A51" s="616"/>
      <c r="B51" s="617"/>
      <c r="C51" s="588"/>
      <c r="D51" s="651" t="s">
        <v>1383</v>
      </c>
      <c r="E51" s="515" t="s">
        <v>1384</v>
      </c>
      <c r="F51" s="516"/>
      <c r="G51" s="652"/>
      <c r="H51" s="652"/>
      <c r="I51" s="653"/>
      <c r="J51" s="654"/>
      <c r="K51" s="655"/>
      <c r="L51" s="654"/>
      <c r="M51" s="656"/>
      <c r="O51" s="688"/>
      <c r="P51" s="361"/>
      <c r="AC51" s="672"/>
      <c r="AD51" s="797">
        <v>109167.65580914538</v>
      </c>
      <c r="AE51" s="798">
        <v>322815.35827226227</v>
      </c>
      <c r="AF51" s="798">
        <v>135853.1812346839</v>
      </c>
      <c r="AG51" s="798">
        <v>135985.56129331319</v>
      </c>
      <c r="AH51" s="799">
        <v>-1.8895742590333923E-12</v>
      </c>
      <c r="AI51" s="800">
        <v>2.4556356947869062E-11</v>
      </c>
    </row>
    <row r="52" spans="1:35" x14ac:dyDescent="0.25">
      <c r="A52" s="623"/>
      <c r="B52" s="624"/>
      <c r="C52" s="588"/>
      <c r="D52" s="625" t="s">
        <v>1385</v>
      </c>
      <c r="E52" s="519"/>
      <c r="F52" s="520"/>
      <c r="G52" s="657"/>
      <c r="H52" s="519"/>
      <c r="I52" s="658"/>
      <c r="J52" s="659"/>
      <c r="K52" s="660"/>
      <c r="L52" s="659"/>
      <c r="M52" s="661"/>
      <c r="O52" s="688"/>
      <c r="P52" s="361"/>
      <c r="AC52" s="672"/>
      <c r="AD52" s="440"/>
      <c r="AE52" s="440"/>
      <c r="AF52" s="440"/>
      <c r="AG52" s="440"/>
      <c r="AH52" s="440"/>
      <c r="AI52" s="440"/>
    </row>
    <row r="53" spans="1:35" x14ac:dyDescent="0.25">
      <c r="A53" s="623"/>
      <c r="B53" s="624"/>
      <c r="C53" s="588"/>
      <c r="D53" s="631" t="s">
        <v>1386</v>
      </c>
      <c r="E53" s="525"/>
      <c r="F53" s="526"/>
      <c r="G53" s="662"/>
      <c r="H53" s="525"/>
      <c r="I53" s="663"/>
      <c r="J53" s="664"/>
      <c r="K53" s="665"/>
      <c r="L53" s="664"/>
      <c r="M53" s="666"/>
      <c r="O53" s="688"/>
      <c r="P53" s="361"/>
      <c r="AC53" s="672"/>
      <c r="AD53" s="440"/>
      <c r="AE53" s="440"/>
      <c r="AF53" s="440"/>
      <c r="AG53" s="440"/>
      <c r="AH53" s="440"/>
      <c r="AI53" s="440"/>
    </row>
    <row r="54" spans="1:35" x14ac:dyDescent="0.25">
      <c r="A54" s="623"/>
      <c r="B54" s="624"/>
      <c r="C54" s="588"/>
      <c r="D54" s="631" t="s">
        <v>1535</v>
      </c>
      <c r="E54" s="525"/>
      <c r="F54" s="526"/>
      <c r="G54" s="662"/>
      <c r="H54" s="525"/>
      <c r="I54" s="663"/>
      <c r="J54" s="664"/>
      <c r="K54" s="665"/>
      <c r="L54" s="664"/>
      <c r="M54" s="666"/>
      <c r="O54" s="688"/>
      <c r="P54" s="361"/>
      <c r="AC54" s="672"/>
      <c r="AD54" s="440"/>
      <c r="AE54" s="440"/>
      <c r="AF54" s="440"/>
      <c r="AG54" s="440"/>
      <c r="AH54" s="440"/>
      <c r="AI54" s="440"/>
    </row>
    <row r="55" spans="1:35" x14ac:dyDescent="0.25">
      <c r="A55" s="623"/>
      <c r="B55" s="624"/>
      <c r="C55" s="588"/>
      <c r="D55" s="631"/>
      <c r="E55" s="525"/>
      <c r="F55" s="526"/>
      <c r="G55" s="662"/>
      <c r="H55" s="525"/>
      <c r="I55" s="663"/>
      <c r="J55" s="664"/>
      <c r="K55" s="665"/>
      <c r="L55" s="664"/>
      <c r="M55" s="666"/>
      <c r="O55" s="688"/>
      <c r="P55" s="361"/>
      <c r="AC55" s="672"/>
      <c r="AD55" s="440"/>
      <c r="AE55" s="440"/>
      <c r="AF55" s="440"/>
      <c r="AG55" s="440"/>
      <c r="AH55" s="440"/>
      <c r="AI55" s="440"/>
    </row>
    <row r="56" spans="1:35" ht="13.5" thickBot="1" x14ac:dyDescent="0.3">
      <c r="A56" s="623"/>
      <c r="B56" s="624"/>
      <c r="C56" s="588"/>
      <c r="D56" s="637"/>
      <c r="E56" s="527"/>
      <c r="F56" s="528"/>
      <c r="G56" s="667"/>
      <c r="H56" s="527"/>
      <c r="I56" s="668"/>
      <c r="J56" s="669"/>
      <c r="K56" s="670"/>
      <c r="L56" s="669"/>
      <c r="M56" s="671"/>
      <c r="O56" s="688"/>
      <c r="P56" s="361"/>
      <c r="AC56" s="672"/>
      <c r="AD56" s="440"/>
      <c r="AE56" s="440"/>
      <c r="AF56" s="440"/>
      <c r="AG56" s="440"/>
      <c r="AH56" s="440"/>
      <c r="AI56" s="440"/>
    </row>
    <row r="57" spans="1:35" x14ac:dyDescent="0.25">
      <c r="A57" s="643"/>
      <c r="B57" s="644"/>
      <c r="C57" s="588"/>
      <c r="D57" s="123" t="str">
        <f>'PSP-RESUMO'!$A$16</f>
        <v>RRT DO ORÇAMENTO: 0</v>
      </c>
      <c r="E57" s="588"/>
      <c r="F57" s="645"/>
      <c r="G57" s="588"/>
      <c r="H57" s="646"/>
      <c r="I57" s="647"/>
      <c r="J57" s="648"/>
      <c r="K57" s="649"/>
      <c r="L57" s="648"/>
      <c r="M57" s="650"/>
      <c r="O57" s="672"/>
      <c r="P57" s="361"/>
      <c r="AC57" s="672"/>
      <c r="AD57" s="440"/>
      <c r="AE57" s="440"/>
      <c r="AF57" s="440"/>
      <c r="AG57" s="440"/>
      <c r="AH57" s="440"/>
      <c r="AI57" s="440"/>
    </row>
    <row r="58" spans="1:35" x14ac:dyDescent="0.25">
      <c r="A58" s="643"/>
      <c r="B58" s="644"/>
      <c r="C58" s="588"/>
      <c r="D58" s="693"/>
      <c r="E58" s="588"/>
      <c r="F58" s="645"/>
      <c r="G58" s="588"/>
      <c r="H58" s="646"/>
      <c r="I58" s="647"/>
      <c r="J58" s="643"/>
      <c r="K58" s="694"/>
      <c r="L58" s="647"/>
      <c r="M58" s="647"/>
      <c r="O58" s="672"/>
      <c r="P58" s="361"/>
      <c r="AC58" s="672"/>
      <c r="AD58" s="440"/>
      <c r="AE58" s="440"/>
      <c r="AF58" s="440"/>
      <c r="AG58" s="440"/>
      <c r="AH58" s="440"/>
      <c r="AI58" s="440"/>
    </row>
    <row r="59" spans="1:35" x14ac:dyDescent="0.25">
      <c r="A59" s="492"/>
      <c r="B59" s="644"/>
      <c r="C59" s="588"/>
      <c r="D59" s="588"/>
      <c r="E59" s="588"/>
      <c r="F59" s="645"/>
      <c r="G59" s="588"/>
      <c r="H59" s="646"/>
      <c r="I59" s="647"/>
      <c r="J59" s="492"/>
      <c r="K59" s="354" t="s">
        <v>135</v>
      </c>
      <c r="L59" s="354"/>
      <c r="M59" s="355"/>
      <c r="O59" s="672"/>
      <c r="P59" s="361"/>
      <c r="AC59" s="672"/>
      <c r="AD59" s="440"/>
      <c r="AE59" s="440"/>
      <c r="AF59" s="440"/>
      <c r="AG59" s="440"/>
      <c r="AH59" s="440"/>
      <c r="AI59" s="440"/>
    </row>
    <row r="60" spans="1:35" x14ac:dyDescent="0.25">
      <c r="A60" s="492"/>
      <c r="B60" s="644"/>
      <c r="C60" s="588"/>
      <c r="D60" s="695"/>
      <c r="E60" s="695"/>
      <c r="F60" s="696"/>
      <c r="G60" s="695"/>
      <c r="H60" s="644"/>
      <c r="I60" s="643"/>
      <c r="J60" s="492"/>
      <c r="K60" s="492" t="s">
        <v>136</v>
      </c>
      <c r="L60" s="492"/>
      <c r="M60" s="383"/>
      <c r="O60" s="672"/>
      <c r="P60" s="361"/>
      <c r="AC60" s="672"/>
      <c r="AD60" s="440"/>
      <c r="AE60" s="440"/>
      <c r="AF60" s="440"/>
      <c r="AG60" s="440"/>
      <c r="AH60" s="440"/>
      <c r="AI60" s="440"/>
    </row>
    <row r="61" spans="1:35" s="40" customFormat="1" x14ac:dyDescent="0.25">
      <c r="A61" s="491"/>
      <c r="B61" s="284"/>
      <c r="C61" s="3"/>
      <c r="D61" s="493"/>
      <c r="E61" s="493"/>
      <c r="F61" s="494"/>
      <c r="G61" s="493"/>
      <c r="H61" s="495"/>
      <c r="I61" s="496"/>
      <c r="J61" s="496"/>
      <c r="K61" s="497"/>
      <c r="L61" s="496"/>
      <c r="M61" s="496"/>
      <c r="O61" s="3"/>
      <c r="Q61" s="440"/>
      <c r="R61" s="471"/>
      <c r="S61" s="440"/>
      <c r="T61" s="440"/>
      <c r="U61" s="471"/>
      <c r="V61" s="440"/>
      <c r="W61" s="440"/>
      <c r="X61" s="471"/>
      <c r="Y61" s="440"/>
      <c r="Z61" s="440"/>
      <c r="AA61" s="471"/>
      <c r="AB61" s="440"/>
      <c r="AD61" s="498"/>
      <c r="AE61" s="498"/>
      <c r="AF61" s="498"/>
      <c r="AG61" s="498"/>
      <c r="AH61" s="498"/>
      <c r="AI61" s="498"/>
    </row>
    <row r="62" spans="1:35" s="40" customFormat="1" x14ac:dyDescent="0.25">
      <c r="A62" s="491"/>
      <c r="B62" s="284"/>
      <c r="C62" s="3"/>
      <c r="D62" s="116"/>
      <c r="E62" s="118"/>
      <c r="F62" s="117"/>
      <c r="G62" s="118"/>
      <c r="H62" s="119"/>
      <c r="I62" s="120"/>
      <c r="J62" s="121" t="s">
        <v>417</v>
      </c>
      <c r="K62" s="407"/>
      <c r="L62" s="121"/>
      <c r="M62" s="128">
        <v>2269588.6804041546</v>
      </c>
      <c r="O62" s="3"/>
      <c r="Q62" s="440"/>
      <c r="R62" s="471"/>
      <c r="S62" s="440"/>
      <c r="T62" s="440"/>
      <c r="U62" s="471"/>
      <c r="V62" s="440"/>
      <c r="W62" s="440"/>
      <c r="X62" s="471"/>
      <c r="Y62" s="440"/>
      <c r="Z62" s="440"/>
      <c r="AA62" s="471"/>
      <c r="AB62" s="440"/>
      <c r="AD62" s="498"/>
      <c r="AE62" s="498"/>
      <c r="AF62" s="498"/>
      <c r="AG62" s="498"/>
      <c r="AH62" s="498"/>
      <c r="AI62" s="498"/>
    </row>
    <row r="63" spans="1:35" s="40" customFormat="1" x14ac:dyDescent="0.25">
      <c r="A63" s="283"/>
      <c r="B63" s="284"/>
      <c r="C63" s="3"/>
      <c r="D63" s="3"/>
      <c r="E63" s="3"/>
      <c r="F63" s="115"/>
      <c r="G63" s="3"/>
      <c r="H63" s="4"/>
      <c r="I63" s="2"/>
      <c r="J63" s="279" t="s">
        <v>392</v>
      </c>
      <c r="K63" s="408"/>
      <c r="L63" s="279"/>
      <c r="M63" s="2">
        <v>703821.75660940469</v>
      </c>
      <c r="O63" s="141"/>
      <c r="Q63" s="440"/>
      <c r="R63" s="471"/>
      <c r="S63" s="440"/>
      <c r="T63" s="440"/>
      <c r="U63" s="471"/>
      <c r="V63" s="440"/>
      <c r="W63" s="440"/>
      <c r="X63" s="471"/>
      <c r="Y63" s="440"/>
      <c r="Z63" s="440"/>
      <c r="AA63" s="471"/>
      <c r="AB63" s="440"/>
      <c r="AD63" s="498"/>
      <c r="AE63" s="498"/>
      <c r="AF63" s="498"/>
      <c r="AG63" s="498"/>
      <c r="AH63" s="498"/>
      <c r="AI63" s="498"/>
    </row>
    <row r="64" spans="1:35" s="40" customFormat="1" x14ac:dyDescent="0.25">
      <c r="A64" s="3"/>
      <c r="B64" s="4"/>
      <c r="C64" s="3"/>
      <c r="D64" s="3"/>
      <c r="E64" s="3"/>
      <c r="F64" s="115"/>
      <c r="G64" s="3"/>
      <c r="H64" s="4"/>
      <c r="I64" s="2"/>
      <c r="J64" s="279" t="s">
        <v>393</v>
      </c>
      <c r="K64" s="408"/>
      <c r="L64" s="279"/>
      <c r="M64" s="2">
        <v>-1565766.9237947499</v>
      </c>
      <c r="O64" s="141"/>
      <c r="Q64" s="440"/>
      <c r="R64" s="471"/>
      <c r="S64" s="440"/>
      <c r="T64" s="440"/>
      <c r="U64" s="471"/>
      <c r="V64" s="440"/>
      <c r="W64" s="440"/>
      <c r="X64" s="471"/>
      <c r="Y64" s="440"/>
      <c r="Z64" s="440"/>
      <c r="AA64" s="471"/>
      <c r="AB64" s="440"/>
      <c r="AD64" s="498"/>
      <c r="AE64" s="498"/>
      <c r="AF64" s="498"/>
      <c r="AG64" s="498"/>
      <c r="AH64" s="498"/>
      <c r="AI64" s="498"/>
    </row>
    <row r="65" spans="1:35" s="40" customFormat="1" x14ac:dyDescent="0.25">
      <c r="A65" s="3"/>
      <c r="B65" s="4"/>
      <c r="C65" s="3"/>
      <c r="D65" s="3"/>
      <c r="E65" s="3"/>
      <c r="F65" s="115"/>
      <c r="G65" s="3"/>
      <c r="H65" s="4"/>
      <c r="I65" s="2"/>
      <c r="J65" s="144"/>
      <c r="K65" s="409"/>
      <c r="L65" s="144"/>
      <c r="M65" s="144"/>
      <c r="O65" s="141"/>
      <c r="Q65" s="440"/>
      <c r="R65" s="471"/>
      <c r="S65" s="440"/>
      <c r="T65" s="440"/>
      <c r="U65" s="471"/>
      <c r="V65" s="440"/>
      <c r="W65" s="440"/>
      <c r="X65" s="471"/>
      <c r="Y65" s="440"/>
      <c r="Z65" s="440"/>
      <c r="AA65" s="471"/>
      <c r="AB65" s="440"/>
      <c r="AD65" s="498"/>
      <c r="AE65" s="498"/>
      <c r="AF65" s="498"/>
      <c r="AG65" s="498"/>
      <c r="AH65" s="498"/>
      <c r="AI65" s="498"/>
    </row>
  </sheetData>
  <autoFilter ref="D7:P57" xr:uid="{AB4FC3FB-B14A-43FD-8944-1860AF2FC45B}">
    <filterColumn colId="5">
      <filters blank="1">
        <filter val="1.147,74"/>
        <filter val="126.811,08"/>
        <filter val="21.811,29"/>
        <filter val="22,67"/>
        <filter val="220,99"/>
        <filter val="3.842,76"/>
        <filter val="30.988,98"/>
        <filter val="34.432,20"/>
        <filter val="413,09"/>
        <filter val="476,15"/>
        <filter val="5.764,14"/>
        <filter val="695,60"/>
        <filter val="991,42"/>
        <filter val="SERVIÇO"/>
      </filters>
    </filterColumn>
  </autoFilter>
  <mergeCells count="14">
    <mergeCell ref="D5:D6"/>
    <mergeCell ref="E5:I6"/>
    <mergeCell ref="O7:O8"/>
    <mergeCell ref="D7:D8"/>
    <mergeCell ref="F7:F8"/>
    <mergeCell ref="E7:E8"/>
    <mergeCell ref="K7:K8"/>
    <mergeCell ref="L7:L8"/>
    <mergeCell ref="M7:M8"/>
    <mergeCell ref="A7:A8"/>
    <mergeCell ref="B7:B8"/>
    <mergeCell ref="G7:G8"/>
    <mergeCell ref="H7:H8"/>
    <mergeCell ref="J7:J8"/>
  </mergeCells>
  <phoneticPr fontId="45" type="noConversion"/>
  <conditionalFormatting sqref="A22:V26 A20:V20 A12:C14 E12:V14 Z12:AI14 Z22:AI26 A9:AI10 Z20:AI20 Z28:AI32 A28:V30 D27 A31:C32 E31:V32 D31:D33 A37:C39 D37:D40 A34:V36 E37:V39 Z34:AI39 A49:V50 Z49:AI50 A41:V47 Z41:AI47 W16:AI19">
    <cfRule type="expression" dxfId="2043" priority="79">
      <formula>LEN($D9)= 3</formula>
    </cfRule>
    <cfRule type="expression" dxfId="2042" priority="80">
      <formula>AND(LEN($D9)=5,$H9="")</formula>
    </cfRule>
    <cfRule type="expression" dxfId="2041" priority="81">
      <formula>AND($D9&lt;&gt;"",$H9="")</formula>
    </cfRule>
  </conditionalFormatting>
  <conditionalFormatting sqref="A21:V21 Z21:AI21">
    <cfRule type="expression" dxfId="2040" priority="73">
      <formula>LEN($D21)= 3</formula>
    </cfRule>
    <cfRule type="expression" dxfId="2039" priority="74">
      <formula>AND(LEN($D21)=5,$H21="")</formula>
    </cfRule>
    <cfRule type="expression" dxfId="2038" priority="75">
      <formula>AND($D21&lt;&gt;"",$H21="")</formula>
    </cfRule>
  </conditionalFormatting>
  <conditionalFormatting sqref="A11:V11 Z11:AI11 D12:D14">
    <cfRule type="expression" dxfId="2037" priority="70">
      <formula>LEN($D11)= 3</formula>
    </cfRule>
    <cfRule type="expression" dxfId="2036" priority="71">
      <formula>AND(LEN($D11)=5,$H11="")</formula>
    </cfRule>
    <cfRule type="expression" dxfId="2035" priority="72">
      <formula>AND($D11&lt;&gt;"",$H11="")</formula>
    </cfRule>
  </conditionalFormatting>
  <conditionalFormatting sqref="W22:Y26 W12:Y14 W20:Y20 W28:Y32 W34:Y35 W41:Y43 W37:Y37 Y36 W38:X39 W49:Y50 W44:W47">
    <cfRule type="expression" dxfId="2034" priority="67">
      <formula>LEN($D12)= 3</formula>
    </cfRule>
    <cfRule type="expression" dxfId="2033" priority="68">
      <formula>AND(LEN($D12)=5,$H12="")</formula>
    </cfRule>
    <cfRule type="expression" dxfId="2032" priority="69">
      <formula>AND($D12&lt;&gt;"",$H12="")</formula>
    </cfRule>
  </conditionalFormatting>
  <conditionalFormatting sqref="W21:Y21">
    <cfRule type="expression" dxfId="2031" priority="64">
      <formula>LEN($D21)= 3</formula>
    </cfRule>
    <cfRule type="expression" dxfId="2030" priority="65">
      <formula>AND(LEN($D21)=5,$H21="")</formula>
    </cfRule>
    <cfRule type="expression" dxfId="2029" priority="66">
      <formula>AND($D21&lt;&gt;"",$H21="")</formula>
    </cfRule>
  </conditionalFormatting>
  <conditionalFormatting sqref="W11:Y11">
    <cfRule type="expression" dxfId="2028" priority="61">
      <formula>LEN($D11)= 3</formula>
    </cfRule>
    <cfRule type="expression" dxfId="2027" priority="62">
      <formula>AND(LEN($D11)=5,$H11="")</formula>
    </cfRule>
    <cfRule type="expression" dxfId="2026" priority="63">
      <formula>AND($D11&lt;&gt;"",$H11="")</formula>
    </cfRule>
  </conditionalFormatting>
  <conditionalFormatting sqref="A15:V15 Z15:AI15 D16:D19">
    <cfRule type="expression" dxfId="2025" priority="58">
      <formula>LEN($D15)= 3</formula>
    </cfRule>
    <cfRule type="expression" dxfId="2024" priority="59">
      <formula>AND(LEN($D15)=5,$H15="")</formula>
    </cfRule>
    <cfRule type="expression" dxfId="2023" priority="60">
      <formula>AND($D15&lt;&gt;"",$H15="")</formula>
    </cfRule>
  </conditionalFormatting>
  <conditionalFormatting sqref="W15:Y15">
    <cfRule type="expression" dxfId="2022" priority="55">
      <formula>LEN($D15)= 3</formula>
    </cfRule>
    <cfRule type="expression" dxfId="2021" priority="56">
      <formula>AND(LEN($D15)=5,$H15="")</formula>
    </cfRule>
    <cfRule type="expression" dxfId="2020" priority="57">
      <formula>AND($D15&lt;&gt;"",$H15="")</formula>
    </cfRule>
  </conditionalFormatting>
  <conditionalFormatting sqref="Z27:AI27 A27:C27 E27:V27">
    <cfRule type="expression" dxfId="2019" priority="52">
      <formula>LEN($D27)= 3</formula>
    </cfRule>
    <cfRule type="expression" dxfId="2018" priority="53">
      <formula>AND(LEN($D27)=5,$H27="")</formula>
    </cfRule>
    <cfRule type="expression" dxfId="2017" priority="54">
      <formula>AND($D27&lt;&gt;"",$H27="")</formula>
    </cfRule>
  </conditionalFormatting>
  <conditionalFormatting sqref="W27:Y27">
    <cfRule type="expression" dxfId="2016" priority="49">
      <formula>LEN($D27)= 3</formula>
    </cfRule>
    <cfRule type="expression" dxfId="2015" priority="50">
      <formula>AND(LEN($D27)=5,$H27="")</formula>
    </cfRule>
    <cfRule type="expression" dxfId="2014" priority="51">
      <formula>AND($D27&lt;&gt;"",$H27="")</formula>
    </cfRule>
  </conditionalFormatting>
  <conditionalFormatting sqref="W40:Y40">
    <cfRule type="expression" dxfId="2013" priority="31">
      <formula>LEN($D40)= 3</formula>
    </cfRule>
    <cfRule type="expression" dxfId="2012" priority="32">
      <formula>AND(LEN($D40)=5,$H40="")</formula>
    </cfRule>
    <cfRule type="expression" dxfId="2011" priority="33">
      <formula>AND($D40&lt;&gt;"",$H40="")</formula>
    </cfRule>
  </conditionalFormatting>
  <conditionalFormatting sqref="Z33:AI33 A33:C33 E33:V33">
    <cfRule type="expression" dxfId="2010" priority="43">
      <formula>LEN($D33)= 3</formula>
    </cfRule>
    <cfRule type="expression" dxfId="2009" priority="44">
      <formula>AND(LEN($D33)=5,$H33="")</formula>
    </cfRule>
    <cfRule type="expression" dxfId="2008" priority="45">
      <formula>AND($D33&lt;&gt;"",$H33="")</formula>
    </cfRule>
  </conditionalFormatting>
  <conditionalFormatting sqref="W33:Y33">
    <cfRule type="expression" dxfId="2007" priority="40">
      <formula>LEN($D33)= 3</formula>
    </cfRule>
    <cfRule type="expression" dxfId="2006" priority="41">
      <formula>AND(LEN($D33)=5,$H33="")</formula>
    </cfRule>
    <cfRule type="expression" dxfId="2005" priority="42">
      <formula>AND($D33&lt;&gt;"",$H33="")</formula>
    </cfRule>
  </conditionalFormatting>
  <conditionalFormatting sqref="Z40:AI40 A40:C40 E40:V40">
    <cfRule type="expression" dxfId="2004" priority="34">
      <formula>LEN($D40)= 3</formula>
    </cfRule>
    <cfRule type="expression" dxfId="2003" priority="35">
      <formula>AND(LEN($D40)=5,$H40="")</formula>
    </cfRule>
    <cfRule type="expression" dxfId="2002" priority="36">
      <formula>AND($D40&lt;&gt;"",$H40="")</formula>
    </cfRule>
  </conditionalFormatting>
  <conditionalFormatting sqref="X36">
    <cfRule type="expression" dxfId="2001" priority="28">
      <formula>LEN($D36)= 3</formula>
    </cfRule>
    <cfRule type="expression" dxfId="2000" priority="29">
      <formula>AND(LEN($D36)=5,$H36="")</formula>
    </cfRule>
    <cfRule type="expression" dxfId="1999" priority="30">
      <formula>AND($D36&lt;&gt;"",$H36="")</formula>
    </cfRule>
  </conditionalFormatting>
  <conditionalFormatting sqref="Y38:Y39">
    <cfRule type="expression" dxfId="1998" priority="25">
      <formula>LEN($D38)= 3</formula>
    </cfRule>
    <cfRule type="expression" dxfId="1997" priority="26">
      <formula>AND(LEN($D38)=5,$H38="")</formula>
    </cfRule>
    <cfRule type="expression" dxfId="1996" priority="27">
      <formula>AND($D38&lt;&gt;"",$H38="")</formula>
    </cfRule>
  </conditionalFormatting>
  <conditionalFormatting sqref="D48">
    <cfRule type="expression" dxfId="1995" priority="22">
      <formula>LEN($D48)= 3</formula>
    </cfRule>
    <cfRule type="expression" dxfId="1994" priority="23">
      <formula>AND(LEN($D48)=5,$H48="")</formula>
    </cfRule>
    <cfRule type="expression" dxfId="1993" priority="24">
      <formula>AND($D48&lt;&gt;"",$H48="")</formula>
    </cfRule>
  </conditionalFormatting>
  <conditionalFormatting sqref="W48:Y48">
    <cfRule type="expression" dxfId="1992" priority="16">
      <formula>LEN($D48)= 3</formula>
    </cfRule>
    <cfRule type="expression" dxfId="1991" priority="17">
      <formula>AND(LEN($D48)=5,$H48="")</formula>
    </cfRule>
    <cfRule type="expression" dxfId="1990" priority="18">
      <formula>AND($D48&lt;&gt;"",$H48="")</formula>
    </cfRule>
  </conditionalFormatting>
  <conditionalFormatting sqref="Z48:AI48 A48:C48 E48:V48">
    <cfRule type="expression" dxfId="1989" priority="19">
      <formula>LEN($D48)= 3</formula>
    </cfRule>
    <cfRule type="expression" dxfId="1988" priority="20">
      <formula>AND(LEN($D48)=5,$H48="")</formula>
    </cfRule>
    <cfRule type="expression" dxfId="1987" priority="21">
      <formula>AND($D48&lt;&gt;"",$H48="")</formula>
    </cfRule>
  </conditionalFormatting>
  <conditionalFormatting sqref="X44:Y45 X46:X47">
    <cfRule type="expression" dxfId="1986" priority="13">
      <formula>LEN($D44)= 3</formula>
    </cfRule>
    <cfRule type="expression" dxfId="1985" priority="14">
      <formula>AND(LEN($D44)=5,$H44="")</formula>
    </cfRule>
    <cfRule type="expression" dxfId="1984" priority="15">
      <formula>AND($D44&lt;&gt;"",$H44="")</formula>
    </cfRule>
  </conditionalFormatting>
  <conditionalFormatting sqref="Y46:Y47">
    <cfRule type="expression" dxfId="1983" priority="10">
      <formula>LEN($D46)= 3</formula>
    </cfRule>
    <cfRule type="expression" dxfId="1982" priority="11">
      <formula>AND(LEN($D46)=5,$H46="")</formula>
    </cfRule>
    <cfRule type="expression" dxfId="1981" priority="12">
      <formula>AND($D46&lt;&gt;"",$H46="")</formula>
    </cfRule>
  </conditionalFormatting>
  <conditionalFormatting sqref="W36">
    <cfRule type="expression" dxfId="1980" priority="7">
      <formula>LEN($D36)= 3</formula>
    </cfRule>
    <cfRule type="expression" dxfId="1979" priority="8">
      <formula>AND(LEN($D36)=5,$H36="")</formula>
    </cfRule>
    <cfRule type="expression" dxfId="1978" priority="9">
      <formula>AND($D36&lt;&gt;"",$H36="")</formula>
    </cfRule>
  </conditionalFormatting>
  <conditionalFormatting sqref="A16:C19 E16:V19">
    <cfRule type="expression" dxfId="1977" priority="4">
      <formula>LEN($D16)= 3</formula>
    </cfRule>
    <cfRule type="expression" dxfId="1976" priority="5">
      <formula>AND(LEN($D16)=5,$H16="")</formula>
    </cfRule>
    <cfRule type="expression" dxfId="1975" priority="6">
      <formula>AND($D16&lt;&gt;"",$H16="")</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22A8C-5EEB-4FDD-B637-9498537BEE6B}">
  <sheetPr filterMode="1">
    <tabColor rgb="FF002060"/>
    <outlinePr summaryBelow="0" summaryRight="0"/>
    <pageSetUpPr fitToPage="1"/>
  </sheetPr>
  <dimension ref="A1:AK645"/>
  <sheetViews>
    <sheetView showGridLines="0" zoomScale="70" zoomScaleNormal="70" workbookViewId="0">
      <pane xSplit="9" ySplit="9" topLeftCell="J10" activePane="bottomRight" state="frozen"/>
      <selection activeCell="P26" sqref="P26"/>
      <selection pane="topRight" activeCell="P26" sqref="P26"/>
      <selection pane="bottomLeft" activeCell="P26" sqref="P26"/>
      <selection pane="bottomRight" activeCell="Q609" sqref="Q609:AI611"/>
    </sheetView>
  </sheetViews>
  <sheetFormatPr defaultColWidth="9.140625" defaultRowHeight="12.75" x14ac:dyDescent="0.25"/>
  <cols>
    <col min="1" max="1" width="50.7109375" style="3" customWidth="1"/>
    <col min="2" max="2" width="9.7109375" style="4" customWidth="1"/>
    <col min="3" max="3" width="1.7109375" style="3" customWidth="1"/>
    <col min="4" max="4" width="17.7109375" style="3" customWidth="1"/>
    <col min="5" max="5" width="15.7109375" style="3" customWidth="1"/>
    <col min="6" max="6" width="12.7109375" style="115" customWidth="1"/>
    <col min="7" max="7" width="50.7109375" style="3" customWidth="1"/>
    <col min="8" max="8" width="9.7109375" style="4" customWidth="1"/>
    <col min="9" max="9" width="12.7109375" style="2" customWidth="1"/>
    <col min="10" max="10" width="14.7109375" style="2" customWidth="1"/>
    <col min="11" max="11" width="14.7109375" style="410" customWidth="1"/>
    <col min="12" max="13" width="14.7109375" style="2" customWidth="1"/>
    <col min="14" max="14" width="1.7109375" style="40" customWidth="1"/>
    <col min="15" max="15" width="50.7109375" style="3" customWidth="1"/>
    <col min="16" max="16" width="1.7109375" style="40" customWidth="1"/>
    <col min="17" max="17" width="10.7109375" style="440" customWidth="1"/>
    <col min="18" max="18" width="10.7109375" style="471" customWidth="1"/>
    <col min="19" max="20" width="10.7109375" style="440" customWidth="1"/>
    <col min="21" max="21" width="10.7109375" style="471" customWidth="1"/>
    <col min="22" max="23" width="10.7109375" style="440" customWidth="1"/>
    <col min="24" max="24" width="10.7109375" style="471" customWidth="1"/>
    <col min="25" max="26" width="10.7109375" style="440" customWidth="1"/>
    <col min="27" max="27" width="10.7109375" style="471" customWidth="1"/>
    <col min="28" max="28" width="10.7109375" style="440" customWidth="1"/>
    <col min="29" max="29" width="1.7109375" style="3" customWidth="1"/>
    <col min="30" max="35" width="11.7109375" style="499" customWidth="1"/>
    <col min="36" max="16384" width="9.140625" style="3"/>
  </cols>
  <sheetData>
    <row r="1" spans="1:37" s="41" customFormat="1" ht="15" x14ac:dyDescent="0.25">
      <c r="A1" s="487"/>
      <c r="B1" s="487"/>
      <c r="D1" s="726" t="s">
        <v>1531</v>
      </c>
      <c r="E1" s="726"/>
      <c r="F1" s="726"/>
      <c r="G1" s="726"/>
      <c r="H1" s="726"/>
      <c r="I1" s="726"/>
      <c r="K1" s="727"/>
      <c r="L1" s="728"/>
      <c r="M1" s="757" t="str">
        <f>'PSP-RESUMO'!$C$3</f>
        <v>ENCARGOS SOCIAIS SEM DESONERAÇÃO</v>
      </c>
      <c r="O1" s="488"/>
      <c r="Q1" s="1135"/>
      <c r="R1" s="1136"/>
      <c r="S1" s="1135"/>
      <c r="T1" s="1135"/>
      <c r="U1" s="1136"/>
      <c r="V1" s="1135"/>
      <c r="W1" s="1135"/>
      <c r="X1" s="1136"/>
      <c r="Y1" s="1135"/>
      <c r="Z1" s="1135"/>
      <c r="AA1" s="1136"/>
      <c r="AB1" s="1135"/>
      <c r="AD1" s="498"/>
      <c r="AE1" s="498"/>
      <c r="AF1" s="498"/>
      <c r="AG1" s="498"/>
      <c r="AH1" s="498"/>
      <c r="AI1" s="498"/>
    </row>
    <row r="2" spans="1:37" s="41" customFormat="1" ht="15" x14ac:dyDescent="0.25">
      <c r="A2" s="487"/>
      <c r="B2" s="487"/>
      <c r="D2" s="729" t="s">
        <v>1147</v>
      </c>
      <c r="E2" s="744" t="str">
        <f>IF('TRECHO(S) A IMPRIMIR'!$B$1= 1, 'PSP-RESUMO'!$B$2, IF('TRECHO(S) A IMPRIMIR'!$B$1= 2,#REF!,#REF!))</f>
        <v>URBANIZAÇÃO DO SETOR SOL NASCENTE - TRECHOS 1 e 3</v>
      </c>
      <c r="F2" s="730"/>
      <c r="G2" s="730"/>
      <c r="H2" s="730"/>
      <c r="I2" s="730"/>
      <c r="J2" s="730"/>
      <c r="K2" s="731"/>
      <c r="L2" s="807" t="s">
        <v>156</v>
      </c>
      <c r="M2" s="808" t="str">
        <f>'PSP-RESUMO'!$D$4</f>
        <v>28/JAN/2022</v>
      </c>
      <c r="O2" s="488"/>
      <c r="Q2" s="1135" t="s">
        <v>2562</v>
      </c>
      <c r="R2" s="1136"/>
      <c r="S2" s="1492"/>
      <c r="T2" s="1135" t="s">
        <v>2562</v>
      </c>
      <c r="U2" s="1136"/>
      <c r="V2" s="1492" t="e">
        <f>#REF!</f>
        <v>#REF!</v>
      </c>
      <c r="W2" s="1135" t="s">
        <v>2562</v>
      </c>
      <c r="X2" s="1136"/>
      <c r="Y2" s="1492" t="e">
        <f>#REF!</f>
        <v>#REF!</v>
      </c>
      <c r="Z2" s="1135" t="s">
        <v>2562</v>
      </c>
      <c r="AA2" s="1136"/>
      <c r="AB2" s="1492"/>
      <c r="AD2" s="498"/>
      <c r="AE2" s="498"/>
      <c r="AF2" s="498"/>
      <c r="AG2" s="498"/>
      <c r="AH2" s="498"/>
      <c r="AI2" s="498"/>
    </row>
    <row r="3" spans="1:37" s="41" customFormat="1" ht="15" x14ac:dyDescent="0.25">
      <c r="A3" s="487"/>
      <c r="B3" s="487"/>
      <c r="D3" s="741" t="s">
        <v>34</v>
      </c>
      <c r="E3" s="742" t="str">
        <f>'PSP-RESUMO'!B3</f>
        <v>SETOR SOL NASCENTE, CEILÂNDIA/DF</v>
      </c>
      <c r="F3" s="742"/>
      <c r="G3" s="742"/>
      <c r="H3" s="742"/>
      <c r="I3" s="734"/>
      <c r="J3" s="734"/>
      <c r="K3" s="735"/>
      <c r="L3" s="807" t="s">
        <v>1978</v>
      </c>
      <c r="M3" s="809" t="str">
        <f>'PSP-RESUMO'!$D$18</f>
        <v>JUNHO/2021</v>
      </c>
      <c r="O3" s="488"/>
      <c r="Q3" s="1135"/>
      <c r="R3" s="1136"/>
      <c r="S3" s="1135"/>
      <c r="T3" s="1135"/>
      <c r="U3" s="1136"/>
      <c r="V3" s="1135"/>
      <c r="W3" s="1135"/>
      <c r="X3" s="1136"/>
      <c r="Y3" s="1135"/>
      <c r="Z3" s="1135"/>
      <c r="AA3" s="1136"/>
      <c r="AB3" s="1135"/>
      <c r="AD3" s="498"/>
      <c r="AE3" s="498"/>
      <c r="AF3" s="498"/>
      <c r="AG3" s="498"/>
      <c r="AH3" s="498"/>
      <c r="AI3" s="498"/>
    </row>
    <row r="4" spans="1:37" s="41" customFormat="1" ht="15" x14ac:dyDescent="0.25">
      <c r="A4" s="487"/>
      <c r="B4" s="487"/>
      <c r="D4" s="732" t="s">
        <v>33</v>
      </c>
      <c r="E4" s="742" t="str">
        <f>'PSP-RESUMO'!B4</f>
        <v>ARIA</v>
      </c>
      <c r="F4" s="737"/>
      <c r="G4" s="736"/>
      <c r="H4" s="734"/>
      <c r="I4" s="736"/>
      <c r="J4" s="736"/>
      <c r="K4" s="738"/>
      <c r="L4" s="807" t="s">
        <v>1979</v>
      </c>
      <c r="M4" s="810">
        <f>IF('PSP-RESUMO'!$C$3 = "ENCARGOS SOCIAIS SEM DESONERAÇÃO", 'BDI obras SD'!$H$23, 'BDI obras CD'!$H$23)</f>
        <v>0.2033513845915047</v>
      </c>
      <c r="O4" s="488"/>
      <c r="Q4" s="1135"/>
      <c r="R4" s="1136"/>
      <c r="S4" s="1135"/>
      <c r="T4" s="1135"/>
      <c r="U4" s="1136"/>
      <c r="V4" s="1135"/>
      <c r="W4" s="1135"/>
      <c r="X4" s="1136"/>
      <c r="Y4" s="1135"/>
      <c r="Z4" s="1135"/>
      <c r="AA4" s="1136"/>
      <c r="AB4" s="1135"/>
      <c r="AD4" s="498"/>
      <c r="AE4" s="498"/>
      <c r="AF4" s="498"/>
      <c r="AG4" s="498"/>
      <c r="AH4" s="498"/>
      <c r="AI4" s="498"/>
    </row>
    <row r="5" spans="1:37" s="41" customFormat="1" ht="15" customHeight="1" x14ac:dyDescent="0.25">
      <c r="A5" s="487"/>
      <c r="B5" s="487"/>
      <c r="D5" s="1946" t="s">
        <v>1284</v>
      </c>
      <c r="E5" s="1948" t="str">
        <f>$G$9</f>
        <v>DRENAGEM URBANA DE ÁGUAS PLUVIAIS E CONSTRUÇÃO DE BACIAS DE DETENÇÃO - TRECHOS 1 e 3</v>
      </c>
      <c r="F5" s="1948"/>
      <c r="G5" s="1948"/>
      <c r="H5" s="1948"/>
      <c r="I5" s="1948"/>
      <c r="J5" s="734"/>
      <c r="K5" s="803"/>
      <c r="L5" s="807" t="s">
        <v>1980</v>
      </c>
      <c r="M5" s="811">
        <f>IF('PSP-RESUMO'!$C$3 = "ENCARGOS SOCIAIS SEM DESONERAÇÃO", 'BDI-Difer SD'!$H$23, 'BDI-Difer CD'!$H$23)</f>
        <v>0.11096635744680849</v>
      </c>
      <c r="O5" s="488"/>
      <c r="Q5" s="1135"/>
      <c r="R5" s="1136"/>
      <c r="S5" s="1135"/>
      <c r="T5" s="1135"/>
      <c r="U5" s="1136"/>
      <c r="V5" s="1135"/>
      <c r="W5" s="1135"/>
      <c r="X5" s="1136"/>
      <c r="Y5" s="1135"/>
      <c r="Z5" s="1135"/>
      <c r="AA5" s="1136"/>
      <c r="AB5" s="1135"/>
      <c r="AD5" s="498"/>
      <c r="AE5" s="498"/>
      <c r="AF5" s="498"/>
      <c r="AG5" s="498"/>
      <c r="AH5" s="498"/>
      <c r="AI5" s="498"/>
    </row>
    <row r="6" spans="1:37" s="41" customFormat="1" ht="15" customHeight="1" thickBot="1" x14ac:dyDescent="0.3">
      <c r="A6" s="487"/>
      <c r="B6" s="487"/>
      <c r="D6" s="1947"/>
      <c r="E6" s="1949"/>
      <c r="F6" s="1949"/>
      <c r="G6" s="1949"/>
      <c r="H6" s="1949"/>
      <c r="I6" s="1949"/>
      <c r="J6" s="739"/>
      <c r="K6" s="743"/>
      <c r="L6" s="813" t="s">
        <v>1339</v>
      </c>
      <c r="M6" s="802">
        <f>'01-CO'!M6</f>
        <v>18</v>
      </c>
      <c r="O6" s="488"/>
      <c r="Q6" s="1135"/>
      <c r="R6" s="1136"/>
      <c r="S6" s="1135"/>
      <c r="T6" s="1135"/>
      <c r="U6" s="1136"/>
      <c r="V6" s="1135"/>
      <c r="W6" s="1135"/>
      <c r="X6" s="1136"/>
      <c r="Y6" s="1135"/>
      <c r="Z6" s="1135"/>
      <c r="AA6" s="1136"/>
      <c r="AB6" s="1135"/>
      <c r="AD6" s="498"/>
      <c r="AE6" s="498"/>
      <c r="AF6" s="498"/>
      <c r="AG6" s="498"/>
      <c r="AH6" s="498"/>
      <c r="AI6" s="498"/>
    </row>
    <row r="7" spans="1:37" ht="27" customHeight="1" x14ac:dyDescent="0.25">
      <c r="A7" s="1924" t="s">
        <v>31</v>
      </c>
      <c r="B7" s="1922" t="s">
        <v>1322</v>
      </c>
      <c r="D7" s="1934" t="s">
        <v>0</v>
      </c>
      <c r="E7" s="1924" t="s">
        <v>32</v>
      </c>
      <c r="F7" s="1932" t="s">
        <v>1206</v>
      </c>
      <c r="G7" s="1924" t="s">
        <v>30</v>
      </c>
      <c r="H7" s="1944" t="s">
        <v>1</v>
      </c>
      <c r="I7" s="472" t="s">
        <v>29</v>
      </c>
      <c r="J7" s="1930" t="s">
        <v>1204</v>
      </c>
      <c r="K7" s="1926" t="s">
        <v>1202</v>
      </c>
      <c r="L7" s="1928" t="s">
        <v>1203</v>
      </c>
      <c r="M7" s="1942" t="s">
        <v>1205</v>
      </c>
      <c r="N7" s="215"/>
      <c r="O7" s="1940" t="s">
        <v>160</v>
      </c>
      <c r="P7" s="215"/>
      <c r="Q7" s="465" t="s">
        <v>1283</v>
      </c>
      <c r="R7" s="469"/>
      <c r="S7" s="466"/>
      <c r="T7" s="465" t="s">
        <v>1717</v>
      </c>
      <c r="U7" s="469"/>
      <c r="V7" s="466"/>
      <c r="W7" s="465" t="s">
        <v>1804</v>
      </c>
      <c r="X7" s="469"/>
      <c r="Y7" s="466"/>
      <c r="Z7" s="467" t="s">
        <v>147</v>
      </c>
      <c r="AA7" s="469"/>
      <c r="AB7" s="468"/>
    </row>
    <row r="8" spans="1:37" ht="27" customHeight="1" thickBot="1" x14ac:dyDescent="0.3">
      <c r="A8" s="1925"/>
      <c r="B8" s="1923"/>
      <c r="D8" s="1935"/>
      <c r="E8" s="1925"/>
      <c r="F8" s="1933"/>
      <c r="G8" s="1925"/>
      <c r="H8" s="1945"/>
      <c r="I8" s="473" t="s">
        <v>8</v>
      </c>
      <c r="J8" s="1931"/>
      <c r="K8" s="1927"/>
      <c r="L8" s="1929"/>
      <c r="M8" s="1943"/>
      <c r="N8" s="215"/>
      <c r="O8" s="1941"/>
      <c r="P8" s="215"/>
      <c r="Q8" s="445" t="s">
        <v>1053</v>
      </c>
      <c r="R8" s="470" t="s">
        <v>1054</v>
      </c>
      <c r="S8" s="446" t="s">
        <v>288</v>
      </c>
      <c r="T8" s="445" t="s">
        <v>1053</v>
      </c>
      <c r="U8" s="470" t="s">
        <v>1054</v>
      </c>
      <c r="V8" s="446" t="s">
        <v>288</v>
      </c>
      <c r="W8" s="445" t="s">
        <v>1053</v>
      </c>
      <c r="X8" s="470" t="s">
        <v>1054</v>
      </c>
      <c r="Y8" s="446" t="s">
        <v>288</v>
      </c>
      <c r="Z8" s="445" t="s">
        <v>1053</v>
      </c>
      <c r="AA8" s="470" t="s">
        <v>1054</v>
      </c>
      <c r="AB8" s="446" t="s">
        <v>288</v>
      </c>
      <c r="AD8" s="503" t="s">
        <v>1340</v>
      </c>
      <c r="AE8" s="504" t="s">
        <v>1341</v>
      </c>
      <c r="AF8" s="504" t="s">
        <v>1342</v>
      </c>
      <c r="AG8" s="504" t="s">
        <v>1343</v>
      </c>
      <c r="AH8" s="505" t="s">
        <v>997</v>
      </c>
      <c r="AI8" s="505" t="s">
        <v>1381</v>
      </c>
    </row>
    <row r="9" spans="1:37" ht="24" x14ac:dyDescent="0.25">
      <c r="A9" s="587" t="str">
        <f>IF('TRECHO(S) A IMPRIMIR'!$B$1= 1, "DRENAGEM URBANA DE ÁGUAS PLUVIAIS E CONSTRUÇÃO DE BACIAS DE DETENÇÃO - TRECHOS 1 e 3", IF('TRECHO(S) A IMPRIMIR'!$B$1= 2, "DRENAGEM URBANA DE ÁGUAS PLUVIAIS E CONSTRUÇÃO DE BACIAS DE DETENÇÃO - TRECHO 1", "DRENAGEM URBANA DE ÁGUAS PLUVIAIS E CONSTRUÇÃO DE BACIAS DE DETENÇÃO - TRECHO 3"))</f>
        <v>DRENAGEM URBANA DE ÁGUAS PLUVIAIS E CONSTRUÇÃO DE BACIAS DE DETENÇÃO - TRECHOS 1 e 3</v>
      </c>
      <c r="B9" s="369"/>
      <c r="C9" s="588"/>
      <c r="D9" s="589" t="s">
        <v>176</v>
      </c>
      <c r="E9" s="44"/>
      <c r="F9" s="214"/>
      <c r="G9" s="587" t="s">
        <v>4151</v>
      </c>
      <c r="H9" s="590" t="s">
        <v>21</v>
      </c>
      <c r="I9" s="591" t="s">
        <v>21</v>
      </c>
      <c r="J9" s="592" t="s">
        <v>21</v>
      </c>
      <c r="K9" s="593" t="s">
        <v>21</v>
      </c>
      <c r="L9" s="592" t="s">
        <v>21</v>
      </c>
      <c r="M9" s="594">
        <v>20385874.786871046</v>
      </c>
      <c r="O9" s="673"/>
      <c r="P9" s="361"/>
      <c r="Q9" s="441"/>
      <c r="R9" s="485"/>
      <c r="S9" s="442"/>
      <c r="T9" s="441"/>
      <c r="U9" s="485"/>
      <c r="V9" s="442"/>
      <c r="W9" s="578"/>
      <c r="X9" s="485"/>
      <c r="Y9" s="442"/>
      <c r="Z9" s="441"/>
      <c r="AA9" s="485"/>
      <c r="AB9" s="442"/>
      <c r="AC9" s="672"/>
      <c r="AD9" s="441" t="s">
        <v>21</v>
      </c>
      <c r="AE9" s="674" t="s">
        <v>21</v>
      </c>
      <c r="AF9" s="674" t="s">
        <v>21</v>
      </c>
      <c r="AG9" s="674" t="s">
        <v>21</v>
      </c>
      <c r="AH9" s="442" t="s">
        <v>21</v>
      </c>
      <c r="AI9" s="442" t="str">
        <f t="shared" ref="AI9:AI43" si="0">IF(SUM(AD9:AH9)=0,"",M9 - SUM(AD9:AH9))</f>
        <v/>
      </c>
      <c r="AK9" s="3" t="str">
        <f>IF(F9="", " ", VLOOKUP(F9,#REF!, 1, FALSE))</f>
        <v xml:space="preserve"> </v>
      </c>
    </row>
    <row r="10" spans="1:37" x14ac:dyDescent="0.25">
      <c r="A10" s="587" t="s">
        <v>2732</v>
      </c>
      <c r="B10" s="369"/>
      <c r="C10" s="588"/>
      <c r="D10" s="589" t="s">
        <v>185</v>
      </c>
      <c r="E10" s="44"/>
      <c r="F10" s="214"/>
      <c r="G10" s="587" t="s">
        <v>2732</v>
      </c>
      <c r="H10" s="590" t="s">
        <v>21</v>
      </c>
      <c r="I10" s="591" t="s">
        <v>21</v>
      </c>
      <c r="J10" s="592" t="s">
        <v>21</v>
      </c>
      <c r="K10" s="593" t="s">
        <v>21</v>
      </c>
      <c r="L10" s="592" t="s">
        <v>21</v>
      </c>
      <c r="M10" s="594">
        <v>5039276.7996496046</v>
      </c>
      <c r="O10" s="673"/>
      <c r="P10" s="361"/>
      <c r="Q10" s="441"/>
      <c r="R10" s="485"/>
      <c r="S10" s="442"/>
      <c r="T10" s="441"/>
      <c r="U10" s="485"/>
      <c r="V10" s="442"/>
      <c r="W10" s="578"/>
      <c r="X10" s="485"/>
      <c r="Y10" s="442"/>
      <c r="Z10" s="441"/>
      <c r="AA10" s="485"/>
      <c r="AB10" s="442"/>
      <c r="AC10" s="672"/>
      <c r="AD10" s="441" t="s">
        <v>21</v>
      </c>
      <c r="AE10" s="674" t="s">
        <v>21</v>
      </c>
      <c r="AF10" s="674" t="s">
        <v>21</v>
      </c>
      <c r="AG10" s="674" t="s">
        <v>21</v>
      </c>
      <c r="AH10" s="442" t="s">
        <v>21</v>
      </c>
      <c r="AI10" s="442" t="str">
        <f t="shared" si="0"/>
        <v/>
      </c>
      <c r="AK10" s="3" t="str">
        <f>IF(F10="", " ", VLOOKUP(F10,#REF!, 1, FALSE))</f>
        <v xml:space="preserve"> </v>
      </c>
    </row>
    <row r="11" spans="1:37" x14ac:dyDescent="0.25">
      <c r="A11" s="1145" t="s">
        <v>2698</v>
      </c>
      <c r="B11" s="1146"/>
      <c r="C11" s="1147"/>
      <c r="D11" s="1148" t="s">
        <v>2684</v>
      </c>
      <c r="E11" s="1146"/>
      <c r="F11" s="1149"/>
      <c r="G11" s="1145" t="s">
        <v>2698</v>
      </c>
      <c r="H11" s="1150" t="s">
        <v>21</v>
      </c>
      <c r="I11" s="1151" t="s">
        <v>21</v>
      </c>
      <c r="J11" s="1152" t="s">
        <v>21</v>
      </c>
      <c r="K11" s="1153" t="s">
        <v>21</v>
      </c>
      <c r="L11" s="1152" t="s">
        <v>21</v>
      </c>
      <c r="M11" s="1154">
        <v>141654.8344750425</v>
      </c>
      <c r="N11" s="1155"/>
      <c r="O11" s="1156"/>
      <c r="P11" s="1157"/>
      <c r="Q11" s="1158"/>
      <c r="R11" s="1159"/>
      <c r="S11" s="1160"/>
      <c r="T11" s="1158"/>
      <c r="U11" s="1159"/>
      <c r="V11" s="1160"/>
      <c r="W11" s="1161"/>
      <c r="X11" s="1159"/>
      <c r="Y11" s="1160"/>
      <c r="Z11" s="1158"/>
      <c r="AA11" s="1159"/>
      <c r="AB11" s="1160"/>
      <c r="AC11" s="1162"/>
      <c r="AD11" s="1158" t="s">
        <v>21</v>
      </c>
      <c r="AE11" s="1163" t="s">
        <v>21</v>
      </c>
      <c r="AF11" s="1163" t="s">
        <v>21</v>
      </c>
      <c r="AG11" s="1163" t="s">
        <v>21</v>
      </c>
      <c r="AH11" s="1160" t="s">
        <v>21</v>
      </c>
      <c r="AI11" s="1160" t="str">
        <f t="shared" si="0"/>
        <v/>
      </c>
      <c r="AK11" s="3" t="str">
        <f>IF(F11="", " ", VLOOKUP(F11,#REF!, 1, FALSE))</f>
        <v xml:space="preserve"> </v>
      </c>
    </row>
    <row r="12" spans="1:37" ht="36" x14ac:dyDescent="0.25">
      <c r="A12" s="587" t="s">
        <v>1542</v>
      </c>
      <c r="B12" s="369" t="s">
        <v>20</v>
      </c>
      <c r="C12" s="588"/>
      <c r="D12" s="589" t="s">
        <v>2734</v>
      </c>
      <c r="E12" s="44" t="s">
        <v>27</v>
      </c>
      <c r="F12" s="214">
        <v>98525</v>
      </c>
      <c r="G12" s="587" t="s">
        <v>597</v>
      </c>
      <c r="H12" s="590" t="s">
        <v>51</v>
      </c>
      <c r="I12" s="591">
        <v>15843</v>
      </c>
      <c r="J12" s="592">
        <v>0.3</v>
      </c>
      <c r="K12" s="593">
        <v>0.2033513845915047</v>
      </c>
      <c r="L12" s="592">
        <v>0.3610054153774514</v>
      </c>
      <c r="M12" s="594">
        <v>5719.4087958249629</v>
      </c>
      <c r="N12" s="439"/>
      <c r="O12" s="675">
        <v>0.1</v>
      </c>
      <c r="P12" s="361"/>
      <c r="Q12" s="441"/>
      <c r="R12" s="485">
        <v>1.5</v>
      </c>
      <c r="S12" s="442"/>
      <c r="T12" s="441">
        <v>9674</v>
      </c>
      <c r="U12" s="485">
        <v>1.5</v>
      </c>
      <c r="V12" s="442"/>
      <c r="W12" s="578">
        <v>6169</v>
      </c>
      <c r="X12" s="485">
        <v>1.5</v>
      </c>
      <c r="Y12" s="442"/>
      <c r="Z12" s="441"/>
      <c r="AA12" s="485">
        <v>1.5</v>
      </c>
      <c r="AB12" s="442"/>
      <c r="AC12" s="672"/>
      <c r="AD12" s="441">
        <v>3050.3513577733138</v>
      </c>
      <c r="AE12" s="674">
        <v>381.29391972166422</v>
      </c>
      <c r="AF12" s="674">
        <v>2287.7635183299849</v>
      </c>
      <c r="AG12" s="674">
        <v>0</v>
      </c>
      <c r="AH12" s="442">
        <v>0</v>
      </c>
      <c r="AI12" s="442">
        <v>0</v>
      </c>
      <c r="AK12" s="3" t="e">
        <f>IF(F12="", " ", VLOOKUP(F12,#REF!, 1, FALSE))</f>
        <v>#REF!</v>
      </c>
    </row>
    <row r="13" spans="1:37" ht="48" x14ac:dyDescent="0.25">
      <c r="A13" s="587" t="s">
        <v>1052</v>
      </c>
      <c r="B13" s="369" t="s">
        <v>23</v>
      </c>
      <c r="C13" s="588"/>
      <c r="D13" s="589" t="s">
        <v>2735</v>
      </c>
      <c r="E13" s="44" t="s">
        <v>27</v>
      </c>
      <c r="F13" s="214">
        <v>100999</v>
      </c>
      <c r="G13" s="587" t="s">
        <v>769</v>
      </c>
      <c r="H13" s="590" t="s">
        <v>55</v>
      </c>
      <c r="I13" s="591">
        <v>2376.4500000000003</v>
      </c>
      <c r="J13" s="592">
        <v>4.24</v>
      </c>
      <c r="K13" s="593">
        <v>0.2033513845915047</v>
      </c>
      <c r="L13" s="592">
        <v>5.1022098706679806</v>
      </c>
      <c r="M13" s="594">
        <v>12125.146647148924</v>
      </c>
      <c r="N13" s="439"/>
      <c r="O13" s="673"/>
      <c r="P13" s="361"/>
      <c r="Q13" s="441">
        <v>0</v>
      </c>
      <c r="R13" s="485"/>
      <c r="S13" s="442"/>
      <c r="T13" s="441">
        <v>1451.1000000000001</v>
      </c>
      <c r="U13" s="485"/>
      <c r="V13" s="442"/>
      <c r="W13" s="578">
        <v>925.35000000000014</v>
      </c>
      <c r="X13" s="485"/>
      <c r="Y13" s="442"/>
      <c r="Z13" s="441">
        <v>0</v>
      </c>
      <c r="AA13" s="485"/>
      <c r="AB13" s="442"/>
      <c r="AC13" s="672"/>
      <c r="AD13" s="441">
        <v>1286.8669790606168</v>
      </c>
      <c r="AE13" s="674">
        <v>5547.8265319502143</v>
      </c>
      <c r="AF13" s="674">
        <v>5290.4531361380914</v>
      </c>
      <c r="AG13" s="674">
        <v>0</v>
      </c>
      <c r="AH13" s="442">
        <v>0</v>
      </c>
      <c r="AI13" s="442">
        <v>1.8189894035458565E-12</v>
      </c>
      <c r="AK13" s="3" t="e">
        <f>IF(F13="", " ", VLOOKUP(F13,#REF!, 1, FALSE))</f>
        <v>#REF!</v>
      </c>
    </row>
    <row r="14" spans="1:37" ht="48" x14ac:dyDescent="0.25">
      <c r="A14" s="587" t="s">
        <v>1850</v>
      </c>
      <c r="B14" s="369" t="s">
        <v>25</v>
      </c>
      <c r="C14" s="588"/>
      <c r="D14" s="589" t="s">
        <v>2736</v>
      </c>
      <c r="E14" s="44" t="s">
        <v>27</v>
      </c>
      <c r="F14" s="214">
        <v>100954</v>
      </c>
      <c r="G14" s="587" t="s">
        <v>794</v>
      </c>
      <c r="H14" s="590" t="s">
        <v>42</v>
      </c>
      <c r="I14" s="591">
        <v>2006.3100000000002</v>
      </c>
      <c r="J14" s="592">
        <v>5.41</v>
      </c>
      <c r="K14" s="593">
        <v>0.2033513845915047</v>
      </c>
      <c r="L14" s="592">
        <v>6.5101309906400404</v>
      </c>
      <c r="M14" s="594">
        <v>13061.340907831021</v>
      </c>
      <c r="N14" s="439"/>
      <c r="O14" s="673"/>
      <c r="P14" s="361"/>
      <c r="Q14" s="441">
        <v>0</v>
      </c>
      <c r="R14" s="485"/>
      <c r="S14" s="442">
        <v>0</v>
      </c>
      <c r="T14" s="441">
        <v>1451.1000000000001</v>
      </c>
      <c r="U14" s="485"/>
      <c r="V14" s="442">
        <v>1</v>
      </c>
      <c r="W14" s="441">
        <v>555.21</v>
      </c>
      <c r="X14" s="485"/>
      <c r="Y14" s="442">
        <v>0.6</v>
      </c>
      <c r="Z14" s="441">
        <v>0</v>
      </c>
      <c r="AA14" s="485"/>
      <c r="AB14" s="442">
        <v>0</v>
      </c>
      <c r="AC14" s="672"/>
      <c r="AD14" s="441">
        <v>1255.4338765382868</v>
      </c>
      <c r="AE14" s="674">
        <v>8691.4652991112143</v>
      </c>
      <c r="AF14" s="674">
        <v>3114.4417321815185</v>
      </c>
      <c r="AG14" s="674">
        <v>0</v>
      </c>
      <c r="AH14" s="442">
        <v>0</v>
      </c>
      <c r="AI14" s="442">
        <v>1.8189894035458565E-12</v>
      </c>
      <c r="AK14" s="3" t="e">
        <f>IF(F14="", " ", VLOOKUP(F14,#REF!, 1, FALSE))</f>
        <v>#REF!</v>
      </c>
    </row>
    <row r="15" spans="1:37" ht="36" x14ac:dyDescent="0.25">
      <c r="A15" s="587" t="s">
        <v>1543</v>
      </c>
      <c r="B15" s="369" t="s">
        <v>25</v>
      </c>
      <c r="C15" s="588"/>
      <c r="D15" s="589" t="s">
        <v>2737</v>
      </c>
      <c r="E15" s="44" t="s">
        <v>27</v>
      </c>
      <c r="F15" s="214">
        <v>95879</v>
      </c>
      <c r="G15" s="587" t="s">
        <v>789</v>
      </c>
      <c r="H15" s="590" t="s">
        <v>42</v>
      </c>
      <c r="I15" s="591">
        <v>52281.900000000009</v>
      </c>
      <c r="J15" s="592">
        <v>1.04</v>
      </c>
      <c r="K15" s="593">
        <v>0.2033513845915047</v>
      </c>
      <c r="L15" s="592">
        <v>1.2514854399751649</v>
      </c>
      <c r="M15" s="594">
        <v>65430.036624237589</v>
      </c>
      <c r="N15" s="439"/>
      <c r="O15" s="673"/>
      <c r="P15" s="361"/>
      <c r="Q15" s="441">
        <v>0</v>
      </c>
      <c r="R15" s="485"/>
      <c r="S15" s="442">
        <v>0</v>
      </c>
      <c r="T15" s="441">
        <v>31924.200000000004</v>
      </c>
      <c r="U15" s="485"/>
      <c r="V15" s="442">
        <v>22</v>
      </c>
      <c r="W15" s="441">
        <v>20357.700000000004</v>
      </c>
      <c r="X15" s="485"/>
      <c r="Y15" s="442">
        <v>22</v>
      </c>
      <c r="Z15" s="441">
        <v>0</v>
      </c>
      <c r="AA15" s="485"/>
      <c r="AB15" s="442">
        <v>0</v>
      </c>
      <c r="AC15" s="672"/>
      <c r="AD15" s="441">
        <v>4403.944772785223</v>
      </c>
      <c r="AE15" s="674">
        <v>37748.098052444759</v>
      </c>
      <c r="AF15" s="674">
        <v>23277.993799007603</v>
      </c>
      <c r="AG15" s="674">
        <v>0</v>
      </c>
      <c r="AH15" s="442">
        <v>0</v>
      </c>
      <c r="AI15" s="442">
        <v>0</v>
      </c>
      <c r="AK15" s="3" t="e">
        <f>IF(F15="", " ", VLOOKUP(F15,#REF!, 1, FALSE))</f>
        <v>#REF!</v>
      </c>
    </row>
    <row r="16" spans="1:37" ht="36" hidden="1" x14ac:dyDescent="0.25">
      <c r="A16" s="587" t="s">
        <v>1544</v>
      </c>
      <c r="B16" s="369" t="s">
        <v>25</v>
      </c>
      <c r="C16" s="588"/>
      <c r="D16" s="589" t="s">
        <v>2738</v>
      </c>
      <c r="E16" s="44" t="s">
        <v>27</v>
      </c>
      <c r="F16" s="214">
        <v>93599</v>
      </c>
      <c r="G16" s="587" t="s">
        <v>788</v>
      </c>
      <c r="H16" s="590" t="s">
        <v>42</v>
      </c>
      <c r="I16" s="591">
        <f>IF($F16="","",IF('TRECHO(S) A IMPRIMIR'!$B$1= 1, SUM(Q16, T16, W16, Z16), IF('TRECHO(S) A IMPRIMIR'!$B$1= 2, T16, IF('TRECHO(S) A IMPRIMIR'!$B$1= 3, W16, 0))))</f>
        <v>0</v>
      </c>
      <c r="J16" s="592">
        <v>0.41</v>
      </c>
      <c r="K16" s="593">
        <f t="shared" ref="K9:K22" si="1">IF(AND(F16&lt;&gt;"", J16&lt;&gt;""),
  IF(OR(F16= "CP9001", F16= "CP9091", F16= "CP9092"), 0,
  IF(ISNA(VLOOKUP(F16, $M$626:$M$646, 1, FALSE)), $M$4, $M$5)), "")</f>
        <v>0.2033513845915047</v>
      </c>
      <c r="L16" s="592">
        <f t="shared" ref="L9:L43" si="2">IF(J16="","",
  IF(AND(J16&lt;&gt;"",K16=""),J16,J16 * (1 + K16)))</f>
        <v>0.4933740676825169</v>
      </c>
      <c r="M16" s="594">
        <f t="shared" ref="M12:M17" si="3">IF(OR(I16="",L16=""),"",I16*L16)</f>
        <v>0</v>
      </c>
      <c r="N16" s="439"/>
      <c r="O16" s="673"/>
      <c r="P16" s="361"/>
      <c r="Q16" s="441">
        <f>Q13 * S16</f>
        <v>0</v>
      </c>
      <c r="R16" s="485"/>
      <c r="S16" s="442">
        <v>0</v>
      </c>
      <c r="T16" s="441">
        <f>T13 * V16</f>
        <v>0</v>
      </c>
      <c r="U16" s="485"/>
      <c r="V16" s="442">
        <f>IF('MLQ-DMT-TR1'!$E$7 &gt; 30, 'MLQ-DMT-TR1'!$E$7 - 30, 0)</f>
        <v>0</v>
      </c>
      <c r="W16" s="441">
        <f>W13 * Y16</f>
        <v>0</v>
      </c>
      <c r="X16" s="485"/>
      <c r="Y16" s="442">
        <f>IF('MLQ-DMT-TR3'!$E$7 &gt; 30, 'MLQ-DMT-TR3'!$E$7 - 30, 0)</f>
        <v>0</v>
      </c>
      <c r="Z16" s="441">
        <f>Z13 * AB16</f>
        <v>0</v>
      </c>
      <c r="AA16" s="485"/>
      <c r="AB16" s="442">
        <v>0</v>
      </c>
      <c r="AC16" s="672"/>
      <c r="AD16" s="441" t="s">
        <v>21</v>
      </c>
      <c r="AE16" s="674" t="s">
        <v>21</v>
      </c>
      <c r="AF16" s="674" t="s">
        <v>21</v>
      </c>
      <c r="AG16" s="674" t="s">
        <v>21</v>
      </c>
      <c r="AH16" s="442" t="s">
        <v>21</v>
      </c>
      <c r="AI16" s="442" t="str">
        <f t="shared" si="0"/>
        <v/>
      </c>
      <c r="AK16" s="3" t="e">
        <f>IF(F16="", " ", VLOOKUP(F16,#REF!, 1, FALSE))</f>
        <v>#REF!</v>
      </c>
    </row>
    <row r="17" spans="1:37" ht="24" x14ac:dyDescent="0.25">
      <c r="A17" s="587" t="s">
        <v>1545</v>
      </c>
      <c r="B17" s="369" t="s">
        <v>23</v>
      </c>
      <c r="C17" s="588"/>
      <c r="D17" s="589" t="s">
        <v>2936</v>
      </c>
      <c r="E17" s="44" t="s">
        <v>138</v>
      </c>
      <c r="F17" s="214" t="s">
        <v>3637</v>
      </c>
      <c r="G17" s="587" t="s">
        <v>3640</v>
      </c>
      <c r="H17" s="590" t="s">
        <v>55</v>
      </c>
      <c r="I17" s="591">
        <v>2376.4500000000003</v>
      </c>
      <c r="J17" s="592">
        <v>19.07</v>
      </c>
      <c r="K17" s="593">
        <v>0</v>
      </c>
      <c r="L17" s="592">
        <v>19.07</v>
      </c>
      <c r="M17" s="594">
        <v>45318.901500000007</v>
      </c>
      <c r="N17" s="439"/>
      <c r="O17" s="673"/>
      <c r="P17" s="361"/>
      <c r="Q17" s="441">
        <v>0</v>
      </c>
      <c r="R17" s="485"/>
      <c r="S17" s="442"/>
      <c r="T17" s="441">
        <v>1451.1000000000001</v>
      </c>
      <c r="U17" s="485"/>
      <c r="V17" s="442"/>
      <c r="W17" s="578">
        <v>925.35000000000014</v>
      </c>
      <c r="X17" s="485"/>
      <c r="Y17" s="442"/>
      <c r="Z17" s="441">
        <v>0</v>
      </c>
      <c r="AA17" s="485"/>
      <c r="AB17" s="442"/>
      <c r="AC17" s="672"/>
      <c r="AD17" s="441">
        <v>0</v>
      </c>
      <c r="AE17" s="674">
        <v>0</v>
      </c>
      <c r="AF17" s="674">
        <v>0</v>
      </c>
      <c r="AG17" s="674">
        <v>45318.901500000007</v>
      </c>
      <c r="AH17" s="442">
        <v>0</v>
      </c>
      <c r="AI17" s="442">
        <v>0</v>
      </c>
      <c r="AK17" s="3" t="e">
        <f>IF(F17="", " ", VLOOKUP(F17,#REF!, 1, FALSE))</f>
        <v>#REF!</v>
      </c>
    </row>
    <row r="18" spans="1:37" ht="48" x14ac:dyDescent="0.25">
      <c r="A18" s="1770" t="s">
        <v>4005</v>
      </c>
      <c r="B18" s="1146"/>
      <c r="C18" s="1147"/>
      <c r="D18" s="1148" t="s">
        <v>2739</v>
      </c>
      <c r="E18" s="1146"/>
      <c r="F18" s="1149"/>
      <c r="G18" s="1145" t="s">
        <v>4005</v>
      </c>
      <c r="H18" s="1150" t="s">
        <v>21</v>
      </c>
      <c r="I18" s="1151" t="s">
        <v>21</v>
      </c>
      <c r="J18" s="1152" t="s">
        <v>21</v>
      </c>
      <c r="K18" s="1153" t="s">
        <v>21</v>
      </c>
      <c r="L18" s="1152" t="s">
        <v>21</v>
      </c>
      <c r="M18" s="1154">
        <v>1812650.6172304165</v>
      </c>
      <c r="N18" s="1155"/>
      <c r="O18" s="1156"/>
      <c r="P18" s="1157"/>
      <c r="Q18" s="1158"/>
      <c r="R18" s="1159"/>
      <c r="S18" s="1160"/>
      <c r="T18" s="1158"/>
      <c r="U18" s="1159"/>
      <c r="V18" s="1160"/>
      <c r="W18" s="1161"/>
      <c r="X18" s="1159"/>
      <c r="Y18" s="1160"/>
      <c r="Z18" s="1158"/>
      <c r="AA18" s="1159"/>
      <c r="AB18" s="1160"/>
      <c r="AC18" s="1162"/>
      <c r="AD18" s="1158" t="s">
        <v>21</v>
      </c>
      <c r="AE18" s="1163" t="s">
        <v>21</v>
      </c>
      <c r="AF18" s="1163" t="s">
        <v>21</v>
      </c>
      <c r="AG18" s="1163" t="s">
        <v>21</v>
      </c>
      <c r="AH18" s="1160" t="s">
        <v>21</v>
      </c>
      <c r="AI18" s="1160" t="str">
        <f t="shared" si="0"/>
        <v/>
      </c>
      <c r="AK18" s="3" t="str">
        <f>IF(F18="", " ", VLOOKUP(F18,#REF!, 1, FALSE))</f>
        <v xml:space="preserve"> </v>
      </c>
    </row>
    <row r="19" spans="1:37" x14ac:dyDescent="0.25">
      <c r="A19" s="587" t="s">
        <v>3996</v>
      </c>
      <c r="B19" s="369"/>
      <c r="C19" s="588"/>
      <c r="D19" s="589" t="s">
        <v>2740</v>
      </c>
      <c r="E19" s="44"/>
      <c r="F19" s="214"/>
      <c r="G19" s="587" t="s">
        <v>3996</v>
      </c>
      <c r="H19" s="590" t="s">
        <v>21</v>
      </c>
      <c r="I19" s="591" t="str">
        <f>IF($F19="","",IF('TRECHO(S) A IMPRIMIR'!$B$1= 1, SUM(Q19, T19, W19, Z19), IF('TRECHO(S) A IMPRIMIR'!$B$1= 2, T19, IF('TRECHO(S) A IMPRIMIR'!$B$1= 3, W19, 0))))</f>
        <v/>
      </c>
      <c r="J19" s="592" t="s">
        <v>21</v>
      </c>
      <c r="K19" s="593" t="str">
        <f t="shared" si="1"/>
        <v/>
      </c>
      <c r="L19" s="592" t="str">
        <f>IF(J19="","",
  IF(AND(J19&lt;&gt;"",K19=""),J19,J19 * (1 + K19)))</f>
        <v/>
      </c>
      <c r="M19" s="594" t="str">
        <f>IF(OR(I19="",L19=""),"",I19*L19)</f>
        <v/>
      </c>
      <c r="N19" s="439"/>
      <c r="O19" s="673"/>
      <c r="P19" s="361"/>
      <c r="Q19" s="441"/>
      <c r="R19" s="485"/>
      <c r="S19" s="442"/>
      <c r="T19" s="441"/>
      <c r="U19" s="485"/>
      <c r="V19" s="442"/>
      <c r="W19" s="578"/>
      <c r="X19" s="485"/>
      <c r="Y19" s="442"/>
      <c r="Z19" s="441"/>
      <c r="AA19" s="485"/>
      <c r="AB19" s="442"/>
      <c r="AC19" s="672"/>
      <c r="AD19" s="441" t="s">
        <v>21</v>
      </c>
      <c r="AE19" s="674" t="s">
        <v>21</v>
      </c>
      <c r="AF19" s="674" t="s">
        <v>21</v>
      </c>
      <c r="AG19" s="674" t="s">
        <v>21</v>
      </c>
      <c r="AH19" s="442" t="s">
        <v>21</v>
      </c>
      <c r="AI19" s="442" t="str">
        <f t="shared" ref="AI19" si="4">IF(SUM(AD19:AH19)=0,"",M19 - SUM(AD19:AH19))</f>
        <v/>
      </c>
      <c r="AK19" s="3" t="str">
        <f>IF(F19="", " ", VLOOKUP(F19,#REF!, 1, FALSE))</f>
        <v xml:space="preserve"> </v>
      </c>
    </row>
    <row r="20" spans="1:37" ht="60" x14ac:dyDescent="0.25">
      <c r="A20" s="587" t="s">
        <v>2699</v>
      </c>
      <c r="B20" s="369" t="s">
        <v>28</v>
      </c>
      <c r="C20" s="588"/>
      <c r="D20" s="589" t="s">
        <v>3997</v>
      </c>
      <c r="E20" s="44" t="s">
        <v>27</v>
      </c>
      <c r="F20" s="214">
        <v>101145</v>
      </c>
      <c r="G20" s="587" t="s">
        <v>1081</v>
      </c>
      <c r="H20" s="590" t="s">
        <v>44</v>
      </c>
      <c r="I20" s="591">
        <v>58647.05</v>
      </c>
      <c r="J20" s="592">
        <v>10.75</v>
      </c>
      <c r="K20" s="593">
        <v>0.2033513845915047</v>
      </c>
      <c r="L20" s="592">
        <v>12.936027384358676</v>
      </c>
      <c r="M20" s="594">
        <v>758659.84481185256</v>
      </c>
      <c r="N20" s="439"/>
      <c r="O20" s="673"/>
      <c r="P20" s="361"/>
      <c r="Q20" s="441"/>
      <c r="R20" s="485"/>
      <c r="S20" s="442"/>
      <c r="T20" s="441">
        <v>10945.869999999999</v>
      </c>
      <c r="U20" s="485">
        <v>1.0923072445820432</v>
      </c>
      <c r="V20" s="442"/>
      <c r="W20" s="441">
        <v>47701.18</v>
      </c>
      <c r="X20" s="485">
        <v>1.0923072445820432</v>
      </c>
      <c r="Y20" s="442"/>
      <c r="Z20" s="441"/>
      <c r="AA20" s="485"/>
      <c r="AB20" s="442"/>
      <c r="AC20" s="672"/>
      <c r="AD20" s="441">
        <v>93862.10173021059</v>
      </c>
      <c r="AE20" s="674">
        <v>339456.1724227916</v>
      </c>
      <c r="AF20" s="674">
        <v>325341.57065885025</v>
      </c>
      <c r="AG20" s="674">
        <v>0</v>
      </c>
      <c r="AH20" s="442">
        <v>0</v>
      </c>
      <c r="AI20" s="442">
        <v>1.1641532182693481E-10</v>
      </c>
      <c r="AK20" s="3" t="e">
        <f>IF(F20="", " ", VLOOKUP(F20,#REF!, 1, FALSE))</f>
        <v>#REF!</v>
      </c>
    </row>
    <row r="21" spans="1:37" ht="60" x14ac:dyDescent="0.25">
      <c r="A21" s="587" t="s">
        <v>2700</v>
      </c>
      <c r="B21" s="369" t="s">
        <v>28</v>
      </c>
      <c r="C21" s="588"/>
      <c r="D21" s="589" t="s">
        <v>2741</v>
      </c>
      <c r="E21" s="44" t="s">
        <v>27</v>
      </c>
      <c r="F21" s="214">
        <v>101150</v>
      </c>
      <c r="G21" s="587" t="s">
        <v>1082</v>
      </c>
      <c r="H21" s="590" t="s">
        <v>44</v>
      </c>
      <c r="I21" s="591">
        <v>497.33000000000004</v>
      </c>
      <c r="J21" s="592">
        <v>13.44</v>
      </c>
      <c r="K21" s="593">
        <v>0.2033513845915047</v>
      </c>
      <c r="L21" s="592">
        <v>16.173042608909821</v>
      </c>
      <c r="M21" s="594">
        <v>8043.3392806891216</v>
      </c>
      <c r="N21" s="439"/>
      <c r="O21" s="673"/>
      <c r="P21" s="361"/>
      <c r="Q21" s="441"/>
      <c r="R21" s="485"/>
      <c r="S21" s="442"/>
      <c r="T21" s="441">
        <v>497.33000000000004</v>
      </c>
      <c r="U21" s="485">
        <v>1.0923072445820432</v>
      </c>
      <c r="V21" s="442"/>
      <c r="W21" s="441">
        <v>0</v>
      </c>
      <c r="X21" s="485">
        <v>1.0923072445820432</v>
      </c>
      <c r="Y21" s="442"/>
      <c r="Z21" s="441"/>
      <c r="AA21" s="485"/>
      <c r="AB21" s="442"/>
      <c r="AC21" s="672"/>
      <c r="AD21" s="441">
        <v>1113.1407040239412</v>
      </c>
      <c r="AE21" s="674">
        <v>3405.2530139227019</v>
      </c>
      <c r="AF21" s="674">
        <v>3524.94556274248</v>
      </c>
      <c r="AG21" s="674">
        <v>0</v>
      </c>
      <c r="AH21" s="442">
        <v>0</v>
      </c>
      <c r="AI21" s="442">
        <v>-9.0949470177292824E-13</v>
      </c>
      <c r="AK21" s="3" t="e">
        <f>IF(F21="", " ", VLOOKUP(F21,#REF!, 1, FALSE))</f>
        <v>#REF!</v>
      </c>
    </row>
    <row r="22" spans="1:37" x14ac:dyDescent="0.25">
      <c r="A22" s="1708" t="s">
        <v>3999</v>
      </c>
      <c r="B22" s="369"/>
      <c r="C22" s="588"/>
      <c r="D22" s="589" t="s">
        <v>2741</v>
      </c>
      <c r="E22" s="44"/>
      <c r="F22" s="214"/>
      <c r="G22" s="587" t="s">
        <v>3999</v>
      </c>
      <c r="H22" s="590" t="s">
        <v>21</v>
      </c>
      <c r="I22" s="591" t="str">
        <f>IF($F22="","",IF('TRECHO(S) A IMPRIMIR'!$B$1= 1, SUM(Q22, T22, W22, Z22), IF('TRECHO(S) A IMPRIMIR'!$B$1= 2, T22, IF('TRECHO(S) A IMPRIMIR'!$B$1= 3, W22, 0))))</f>
        <v/>
      </c>
      <c r="J22" s="592" t="s">
        <v>21</v>
      </c>
      <c r="K22" s="593" t="str">
        <f t="shared" si="1"/>
        <v/>
      </c>
      <c r="L22" s="592" t="str">
        <f>IF(J22="","",
  IF(AND(J22&lt;&gt;"",K22=""),J22,J22 * (1 + K22)))</f>
        <v/>
      </c>
      <c r="M22" s="594" t="str">
        <f>IF(OR(I22="",L22=""),"",I22*L22)</f>
        <v/>
      </c>
      <c r="N22" s="439"/>
      <c r="O22" s="673"/>
      <c r="P22" s="361"/>
      <c r="Q22" s="441"/>
      <c r="R22" s="485"/>
      <c r="S22" s="442"/>
      <c r="T22" s="441"/>
      <c r="U22" s="485"/>
      <c r="V22" s="442"/>
      <c r="W22" s="578"/>
      <c r="X22" s="485"/>
      <c r="Y22" s="442"/>
      <c r="Z22" s="441"/>
      <c r="AA22" s="485"/>
      <c r="AB22" s="442"/>
      <c r="AC22" s="672"/>
      <c r="AD22" s="441" t="s">
        <v>21</v>
      </c>
      <c r="AE22" s="674" t="s">
        <v>21</v>
      </c>
      <c r="AF22" s="674" t="s">
        <v>21</v>
      </c>
      <c r="AG22" s="674" t="s">
        <v>21</v>
      </c>
      <c r="AH22" s="442" t="s">
        <v>21</v>
      </c>
      <c r="AI22" s="442" t="s">
        <v>21</v>
      </c>
      <c r="AK22" s="3" t="str">
        <f>IF(F22="", " ", VLOOKUP(F22,#REF!, 1, FALSE))</f>
        <v xml:space="preserve"> </v>
      </c>
    </row>
    <row r="23" spans="1:37" ht="48" x14ac:dyDescent="0.25">
      <c r="A23" s="587" t="s">
        <v>1079</v>
      </c>
      <c r="B23" s="369" t="s">
        <v>28</v>
      </c>
      <c r="C23" s="588"/>
      <c r="D23" s="589" t="s">
        <v>3998</v>
      </c>
      <c r="E23" s="44" t="s">
        <v>27</v>
      </c>
      <c r="F23" s="214">
        <v>100995</v>
      </c>
      <c r="G23" s="587" t="s">
        <v>773</v>
      </c>
      <c r="H23" s="590" t="s">
        <v>55</v>
      </c>
      <c r="I23" s="591">
        <v>30744.166080201554</v>
      </c>
      <c r="J23" s="592">
        <v>3.11</v>
      </c>
      <c r="K23" s="593">
        <v>0.2033513845915047</v>
      </c>
      <c r="L23" s="592">
        <v>3.7424228060795794</v>
      </c>
      <c r="M23" s="594">
        <v>115057.66829244452</v>
      </c>
      <c r="N23" s="439"/>
      <c r="O23" s="673"/>
      <c r="P23" s="361"/>
      <c r="Q23" s="441">
        <v>0</v>
      </c>
      <c r="R23" s="485"/>
      <c r="S23" s="442"/>
      <c r="T23" s="582">
        <v>17085.942640107129</v>
      </c>
      <c r="U23" s="485"/>
      <c r="V23" s="442"/>
      <c r="W23" s="582">
        <v>13658.223440094427</v>
      </c>
      <c r="X23" s="485"/>
      <c r="Y23" s="442"/>
      <c r="Z23" s="441">
        <v>0</v>
      </c>
      <c r="AA23" s="485"/>
      <c r="AB23" s="442"/>
      <c r="AC23" s="672"/>
      <c r="AD23" s="441">
        <v>11468.770794423732</v>
      </c>
      <c r="AE23" s="674">
        <v>54014.210838253697</v>
      </c>
      <c r="AF23" s="674">
        <v>49574.686659767096</v>
      </c>
      <c r="AG23" s="674">
        <v>0</v>
      </c>
      <c r="AH23" s="442">
        <v>0</v>
      </c>
      <c r="AI23" s="442">
        <v>0</v>
      </c>
      <c r="AK23" s="3" t="e">
        <f>IF(F23="", " ", VLOOKUP(F23,#REF!, 1, FALSE))</f>
        <v>#REF!</v>
      </c>
    </row>
    <row r="24" spans="1:37" ht="36" x14ac:dyDescent="0.25">
      <c r="A24" s="587" t="s">
        <v>1274</v>
      </c>
      <c r="B24" s="369" t="s">
        <v>28</v>
      </c>
      <c r="C24" s="588"/>
      <c r="D24" s="589" t="s">
        <v>1719</v>
      </c>
      <c r="E24" s="44" t="s">
        <v>27</v>
      </c>
      <c r="F24" s="214">
        <v>95879</v>
      </c>
      <c r="G24" s="587" t="s">
        <v>789</v>
      </c>
      <c r="H24" s="590" t="s">
        <v>42</v>
      </c>
      <c r="I24" s="591">
        <v>25280.876704163784</v>
      </c>
      <c r="J24" s="592">
        <v>1.04</v>
      </c>
      <c r="K24" s="593">
        <v>0.2033513845915047</v>
      </c>
      <c r="L24" s="592">
        <v>1.2514854399751649</v>
      </c>
      <c r="M24" s="594">
        <v>31638.649105068311</v>
      </c>
      <c r="N24" s="439"/>
      <c r="O24" s="673"/>
      <c r="P24" s="361"/>
      <c r="Q24" s="441">
        <v>0</v>
      </c>
      <c r="R24" s="485"/>
      <c r="S24" s="442">
        <v>0</v>
      </c>
      <c r="T24" s="441">
        <v>17085.942640107129</v>
      </c>
      <c r="U24" s="485"/>
      <c r="V24" s="442">
        <v>1</v>
      </c>
      <c r="W24" s="441">
        <v>8194.9340640566552</v>
      </c>
      <c r="X24" s="485"/>
      <c r="Y24" s="442">
        <v>0.6</v>
      </c>
      <c r="Z24" s="441">
        <v>0</v>
      </c>
      <c r="AA24" s="485"/>
      <c r="AB24" s="442">
        <v>0</v>
      </c>
      <c r="AC24" s="672"/>
      <c r="AD24" s="441">
        <v>2129.5244589949825</v>
      </c>
      <c r="AE24" s="674">
        <v>18253.066791385565</v>
      </c>
      <c r="AF24" s="674">
        <v>11256.057854687764</v>
      </c>
      <c r="AG24" s="674">
        <v>0</v>
      </c>
      <c r="AH24" s="442">
        <v>0</v>
      </c>
      <c r="AI24" s="442">
        <v>0</v>
      </c>
      <c r="AK24" s="3" t="e">
        <f>IF(F24="", " ", VLOOKUP(F24,#REF!, 1, FALSE))</f>
        <v>#REF!</v>
      </c>
    </row>
    <row r="25" spans="1:37" ht="24" x14ac:dyDescent="0.25">
      <c r="A25" s="1708" t="s">
        <v>4000</v>
      </c>
      <c r="B25" s="369"/>
      <c r="C25" s="588"/>
      <c r="D25" s="589" t="s">
        <v>4001</v>
      </c>
      <c r="E25" s="44"/>
      <c r="F25" s="214"/>
      <c r="G25" s="587" t="s">
        <v>4000</v>
      </c>
      <c r="H25" s="590" t="s">
        <v>21</v>
      </c>
      <c r="I25" s="591" t="str">
        <f>IF($F25="","",IF('TRECHO(S) A IMPRIMIR'!$B$1= 1, SUM(Q25, T25, W25, Z25), IF('TRECHO(S) A IMPRIMIR'!$B$1= 2, T25, IF('TRECHO(S) A IMPRIMIR'!$B$1= 3, W25, 0))))</f>
        <v/>
      </c>
      <c r="J25" s="592" t="s">
        <v>21</v>
      </c>
      <c r="K25" s="593" t="str">
        <f>IF(AND(F25&lt;&gt;"", J25&lt;&gt;""),
  IF(OR(F25= "CP9001", F25= "CP9091", F25= "CP9092"), 0,
  IF(ISNA(VLOOKUP(F25, $M$626:$M$646, 1, FALSE)), $M$4, $M$5)), "")</f>
        <v/>
      </c>
      <c r="L25" s="592" t="str">
        <f>IF(J25="","",
  IF(AND(J25&lt;&gt;"",K25=""),J25,J25 * (1 + K25)))</f>
        <v/>
      </c>
      <c r="M25" s="594" t="str">
        <f>IF(OR(I25="",L25=""),"",I25*L25)</f>
        <v/>
      </c>
      <c r="N25" s="439"/>
      <c r="O25" s="673"/>
      <c r="P25" s="361"/>
      <c r="Q25" s="441"/>
      <c r="R25" s="485"/>
      <c r="S25" s="442"/>
      <c r="T25" s="441"/>
      <c r="U25" s="485"/>
      <c r="V25" s="442"/>
      <c r="W25" s="578"/>
      <c r="X25" s="485"/>
      <c r="Y25" s="442"/>
      <c r="Z25" s="441"/>
      <c r="AA25" s="485"/>
      <c r="AB25" s="442"/>
      <c r="AC25" s="672"/>
      <c r="AD25" s="441" t="s">
        <v>21</v>
      </c>
      <c r="AE25" s="674" t="s">
        <v>21</v>
      </c>
      <c r="AF25" s="674" t="s">
        <v>21</v>
      </c>
      <c r="AG25" s="674" t="s">
        <v>21</v>
      </c>
      <c r="AH25" s="442" t="s">
        <v>21</v>
      </c>
      <c r="AI25" s="442" t="s">
        <v>21</v>
      </c>
      <c r="AK25" s="3" t="str">
        <f>IF(F25="", " ", VLOOKUP(F25,#REF!, 1, FALSE))</f>
        <v xml:space="preserve"> </v>
      </c>
    </row>
    <row r="26" spans="1:37" ht="48" x14ac:dyDescent="0.25">
      <c r="A26" s="587" t="s">
        <v>1079</v>
      </c>
      <c r="B26" s="369" t="s">
        <v>28</v>
      </c>
      <c r="C26" s="588"/>
      <c r="D26" s="589" t="s">
        <v>4002</v>
      </c>
      <c r="E26" s="44" t="s">
        <v>27</v>
      </c>
      <c r="F26" s="214">
        <v>100995</v>
      </c>
      <c r="G26" s="587" t="s">
        <v>773</v>
      </c>
      <c r="H26" s="590" t="s">
        <v>55</v>
      </c>
      <c r="I26" s="591">
        <v>33859.668670111743</v>
      </c>
      <c r="J26" s="592">
        <v>3.11</v>
      </c>
      <c r="K26" s="593">
        <v>0.2033513845915047</v>
      </c>
      <c r="L26" s="592">
        <v>3.7424228060795794</v>
      </c>
      <c r="M26" s="594">
        <v>126717.19623732442</v>
      </c>
      <c r="N26" s="439"/>
      <c r="O26" s="673"/>
      <c r="P26" s="361"/>
      <c r="Q26" s="441">
        <v>0</v>
      </c>
      <c r="R26" s="485"/>
      <c r="S26" s="442"/>
      <c r="T26" s="582">
        <v>-4586.4523789058931</v>
      </c>
      <c r="U26" s="485"/>
      <c r="V26" s="442"/>
      <c r="W26" s="582">
        <v>38446.121049017638</v>
      </c>
      <c r="X26" s="485"/>
      <c r="Y26" s="442"/>
      <c r="Z26" s="441">
        <v>0</v>
      </c>
      <c r="AA26" s="485"/>
      <c r="AB26" s="442"/>
      <c r="AC26" s="672"/>
      <c r="AD26" s="441">
        <v>12630.974544556453</v>
      </c>
      <c r="AE26" s="674">
        <v>59487.815596943299</v>
      </c>
      <c r="AF26" s="674">
        <v>54598.406095824677</v>
      </c>
      <c r="AG26" s="674">
        <v>0</v>
      </c>
      <c r="AH26" s="442">
        <v>0</v>
      </c>
      <c r="AI26" s="442">
        <v>0</v>
      </c>
      <c r="AK26" s="3" t="e">
        <f>IF(F26="", " ", VLOOKUP(F26,#REF!, 1, FALSE))</f>
        <v>#REF!</v>
      </c>
    </row>
    <row r="27" spans="1:37" ht="36" x14ac:dyDescent="0.25">
      <c r="A27" s="587" t="s">
        <v>1274</v>
      </c>
      <c r="B27" s="369" t="s">
        <v>28</v>
      </c>
      <c r="C27" s="588"/>
      <c r="D27" s="589" t="s">
        <v>4003</v>
      </c>
      <c r="E27" s="44" t="s">
        <v>27</v>
      </c>
      <c r="F27" s="214">
        <v>95879</v>
      </c>
      <c r="G27" s="587" t="s">
        <v>789</v>
      </c>
      <c r="H27" s="590" t="s">
        <v>42</v>
      </c>
      <c r="I27" s="591">
        <v>617293.57356196502</v>
      </c>
      <c r="J27" s="592">
        <v>1.04</v>
      </c>
      <c r="K27" s="593">
        <v>0.2033513845915047</v>
      </c>
      <c r="L27" s="592">
        <v>1.2514854399751649</v>
      </c>
      <c r="M27" s="594">
        <v>772533.91950303758</v>
      </c>
      <c r="N27" s="439"/>
      <c r="O27" s="673"/>
      <c r="P27" s="361"/>
      <c r="Q27" s="441">
        <v>0</v>
      </c>
      <c r="R27" s="485"/>
      <c r="S27" s="442">
        <v>0</v>
      </c>
      <c r="T27" s="441">
        <v>-78581.217425254305</v>
      </c>
      <c r="U27" s="485"/>
      <c r="V27" s="442">
        <v>17.133333333333333</v>
      </c>
      <c r="W27" s="441">
        <v>695874.79098721931</v>
      </c>
      <c r="X27" s="485"/>
      <c r="Y27" s="442">
        <v>18.100000000000001</v>
      </c>
      <c r="Z27" s="441">
        <v>0</v>
      </c>
      <c r="AA27" s="485"/>
      <c r="AB27" s="442">
        <v>0</v>
      </c>
      <c r="AC27" s="672"/>
      <c r="AD27" s="441">
        <v>51997.475351165995</v>
      </c>
      <c r="AE27" s="674">
        <v>445692.64586713706</v>
      </c>
      <c r="AF27" s="674">
        <v>274843.79828473454</v>
      </c>
      <c r="AG27" s="674">
        <v>0</v>
      </c>
      <c r="AH27" s="442">
        <v>0</v>
      </c>
      <c r="AI27" s="442">
        <v>0</v>
      </c>
      <c r="AK27" s="3" t="e">
        <f>IF(F27="", " ", VLOOKUP(F27,#REF!, 1, FALSE))</f>
        <v>#REF!</v>
      </c>
    </row>
    <row r="28" spans="1:37" ht="36" hidden="1" x14ac:dyDescent="0.25">
      <c r="A28" s="587" t="s">
        <v>1275</v>
      </c>
      <c r="B28" s="369" t="s">
        <v>28</v>
      </c>
      <c r="C28" s="588"/>
      <c r="D28" s="589" t="s">
        <v>4004</v>
      </c>
      <c r="E28" s="44" t="s">
        <v>27</v>
      </c>
      <c r="F28" s="214">
        <v>93599</v>
      </c>
      <c r="G28" s="587" t="s">
        <v>788</v>
      </c>
      <c r="H28" s="590" t="s">
        <v>42</v>
      </c>
      <c r="I28" s="591">
        <f>IF($F28="","",IF('TRECHO(S) A IMPRIMIR'!$B$1= 1, SUM(Q28, T28, W28, Z28), IF('TRECHO(S) A IMPRIMIR'!$B$1= 2, T28, IF('TRECHO(S) A IMPRIMIR'!$B$1= 3, W28, 0))))</f>
        <v>0</v>
      </c>
      <c r="J28" s="592">
        <v>0.41</v>
      </c>
      <c r="K28" s="593">
        <f>IF(AND(F28&lt;&gt;"",J28&lt;&gt;""),
  IF(OR(F28= "CP9001", F28= "CP9091", F28= "CP9092"), 0,
  IF($M$1 = "ENCARGOS SOCIAIS SEM DESONERAÇÃO",'BDI obras SD'!$H$23,'BDI obras CD'!$H$23)),"")</f>
        <v>0.2033513845915047</v>
      </c>
      <c r="L28" s="592">
        <f t="shared" ref="L26:L28" si="5">IF(J28="","",
  IF(AND(J28&lt;&gt;"",K28=""),J28,J28 * (1 + K28)))</f>
        <v>0.4933740676825169</v>
      </c>
      <c r="M28" s="594">
        <f t="shared" ref="M26:M28" si="6">IF(OR(I28="",L28=""),"",I28*L28)</f>
        <v>0</v>
      </c>
      <c r="N28" s="439"/>
      <c r="O28" s="673"/>
      <c r="P28" s="361"/>
      <c r="Q28" s="441">
        <f>Q26 * S28</f>
        <v>0</v>
      </c>
      <c r="R28" s="485"/>
      <c r="S28" s="442">
        <v>0</v>
      </c>
      <c r="T28" s="441">
        <f>T26 * V28</f>
        <v>0</v>
      </c>
      <c r="U28" s="485"/>
      <c r="V28" s="442">
        <f>IF('MLQ-DMT-TR1'!$E$15 &gt; 30, 'MLQ-DMT-TR1'!$E$15 - 30, 0)</f>
        <v>0</v>
      </c>
      <c r="W28" s="441">
        <f>W26 * Y28</f>
        <v>0</v>
      </c>
      <c r="X28" s="485"/>
      <c r="Y28" s="442">
        <f>IF('MLQ-DMT-TR3'!$E$7 &gt; 30, 'MLQ-DMT-TR3'!$E$7 - 30, 0)</f>
        <v>0</v>
      </c>
      <c r="Z28" s="441">
        <f>Z26 * AB28</f>
        <v>0</v>
      </c>
      <c r="AA28" s="485"/>
      <c r="AB28" s="442">
        <v>0</v>
      </c>
      <c r="AC28" s="672"/>
      <c r="AD28" s="441" t="s">
        <v>21</v>
      </c>
      <c r="AE28" s="674" t="s">
        <v>21</v>
      </c>
      <c r="AF28" s="674" t="s">
        <v>21</v>
      </c>
      <c r="AG28" s="674" t="s">
        <v>21</v>
      </c>
      <c r="AH28" s="442" t="s">
        <v>21</v>
      </c>
      <c r="AI28" s="442" t="str">
        <f t="shared" ref="AI26:AI28" si="7">IF(SUM(AD28:AH28)=0,"",M28 - SUM(AD28:AH28))</f>
        <v/>
      </c>
      <c r="AK28" s="3" t="e">
        <f>IF(F28="", " ", VLOOKUP(F28,#REF!, 1, FALSE))</f>
        <v>#REF!</v>
      </c>
    </row>
    <row r="29" spans="1:37" x14ac:dyDescent="0.25">
      <c r="A29" s="1145" t="s">
        <v>2707</v>
      </c>
      <c r="B29" s="1146"/>
      <c r="C29" s="1147"/>
      <c r="D29" s="1148" t="s">
        <v>2742</v>
      </c>
      <c r="E29" s="1146"/>
      <c r="F29" s="1149"/>
      <c r="G29" s="1145" t="s">
        <v>2707</v>
      </c>
      <c r="H29" s="1150" t="s">
        <v>21</v>
      </c>
      <c r="I29" s="1151" t="s">
        <v>21</v>
      </c>
      <c r="J29" s="1152" t="s">
        <v>21</v>
      </c>
      <c r="K29" s="1153" t="s">
        <v>21</v>
      </c>
      <c r="L29" s="1152" t="s">
        <v>21</v>
      </c>
      <c r="M29" s="1154">
        <v>301.79571385001105</v>
      </c>
      <c r="N29" s="1155"/>
      <c r="O29" s="1156"/>
      <c r="P29" s="1157"/>
      <c r="Q29" s="1158"/>
      <c r="R29" s="1159"/>
      <c r="S29" s="1160"/>
      <c r="T29" s="1158"/>
      <c r="U29" s="1159"/>
      <c r="V29" s="1160"/>
      <c r="W29" s="1161"/>
      <c r="X29" s="1159"/>
      <c r="Y29" s="1160"/>
      <c r="Z29" s="1158"/>
      <c r="AA29" s="1159"/>
      <c r="AB29" s="1160"/>
      <c r="AC29" s="1162"/>
      <c r="AD29" s="1158" t="s">
        <v>21</v>
      </c>
      <c r="AE29" s="1163" t="s">
        <v>21</v>
      </c>
      <c r="AF29" s="1163" t="s">
        <v>21</v>
      </c>
      <c r="AG29" s="1163" t="s">
        <v>21</v>
      </c>
      <c r="AH29" s="1160" t="s">
        <v>21</v>
      </c>
      <c r="AI29" s="1160" t="str">
        <f t="shared" si="0"/>
        <v/>
      </c>
      <c r="AK29" s="3" t="str">
        <f>IF(F29="", " ", VLOOKUP(F29,#REF!, 1, FALSE))</f>
        <v xml:space="preserve"> </v>
      </c>
    </row>
    <row r="30" spans="1:37" ht="24" x14ac:dyDescent="0.25">
      <c r="A30" s="587" t="s">
        <v>2701</v>
      </c>
      <c r="B30" s="369" t="s">
        <v>20</v>
      </c>
      <c r="C30" s="588"/>
      <c r="D30" s="589" t="s">
        <v>2743</v>
      </c>
      <c r="E30" s="44" t="s">
        <v>27</v>
      </c>
      <c r="F30" s="214">
        <v>100575</v>
      </c>
      <c r="G30" s="587" t="s">
        <v>634</v>
      </c>
      <c r="H30" s="590" t="s">
        <v>51</v>
      </c>
      <c r="I30" s="591">
        <v>3582.8</v>
      </c>
      <c r="J30" s="592">
        <v>7.0000000000000007E-2</v>
      </c>
      <c r="K30" s="593">
        <v>0.2033513845915047</v>
      </c>
      <c r="L30" s="592">
        <v>8.4234596921405336E-2</v>
      </c>
      <c r="M30" s="594">
        <v>301.79571385001105</v>
      </c>
      <c r="N30" s="439"/>
      <c r="O30" s="673"/>
      <c r="P30" s="361"/>
      <c r="Q30" s="441"/>
      <c r="R30" s="485"/>
      <c r="S30" s="442"/>
      <c r="T30" s="441">
        <v>1955.3899999999999</v>
      </c>
      <c r="U30" s="485"/>
      <c r="V30" s="442"/>
      <c r="W30" s="441">
        <v>1627.41</v>
      </c>
      <c r="X30" s="485"/>
      <c r="Y30" s="442"/>
      <c r="Z30" s="441"/>
      <c r="AA30" s="485"/>
      <c r="AB30" s="442"/>
      <c r="AC30" s="672"/>
      <c r="AD30" s="441">
        <v>129.3410202214333</v>
      </c>
      <c r="AE30" s="674">
        <v>0</v>
      </c>
      <c r="AF30" s="674">
        <v>172.45469362857773</v>
      </c>
      <c r="AG30" s="674">
        <v>0</v>
      </c>
      <c r="AH30" s="442">
        <v>0</v>
      </c>
      <c r="AI30" s="442">
        <v>5.6843418860808015E-14</v>
      </c>
      <c r="AK30" s="3" t="e">
        <f>IF(F30="", " ", VLOOKUP(F30,#REF!, 1, FALSE))</f>
        <v>#REF!</v>
      </c>
    </row>
    <row r="31" spans="1:37" x14ac:dyDescent="0.25">
      <c r="A31" s="1145" t="s">
        <v>3196</v>
      </c>
      <c r="B31" s="1146"/>
      <c r="C31" s="1147"/>
      <c r="D31" s="1148" t="s">
        <v>2744</v>
      </c>
      <c r="E31" s="1146"/>
      <c r="F31" s="1149"/>
      <c r="G31" s="1145" t="s">
        <v>3196</v>
      </c>
      <c r="H31" s="1150" t="s">
        <v>21</v>
      </c>
      <c r="I31" s="1151" t="s">
        <v>21</v>
      </c>
      <c r="J31" s="1152" t="s">
        <v>21</v>
      </c>
      <c r="K31" s="1153" t="s">
        <v>21</v>
      </c>
      <c r="L31" s="1152" t="s">
        <v>21</v>
      </c>
      <c r="M31" s="1154">
        <v>186176.22577803515</v>
      </c>
      <c r="N31" s="1155"/>
      <c r="O31" s="1156"/>
      <c r="P31" s="1157"/>
      <c r="Q31" s="1158"/>
      <c r="R31" s="1159"/>
      <c r="S31" s="1160"/>
      <c r="T31" s="1158"/>
      <c r="U31" s="1159"/>
      <c r="V31" s="1160"/>
      <c r="W31" s="1161"/>
      <c r="X31" s="1159"/>
      <c r="Y31" s="1160"/>
      <c r="Z31" s="1158"/>
      <c r="AA31" s="1159"/>
      <c r="AB31" s="1160"/>
      <c r="AC31" s="1162"/>
      <c r="AD31" s="1158" t="s">
        <v>21</v>
      </c>
      <c r="AE31" s="1163" t="s">
        <v>21</v>
      </c>
      <c r="AF31" s="1163" t="s">
        <v>21</v>
      </c>
      <c r="AG31" s="1163" t="s">
        <v>21</v>
      </c>
      <c r="AH31" s="1160" t="s">
        <v>21</v>
      </c>
      <c r="AI31" s="1160" t="s">
        <v>21</v>
      </c>
      <c r="AK31" s="3" t="str">
        <f>IF(F31="", " ", VLOOKUP(F31,#REF!, 1, FALSE))</f>
        <v xml:space="preserve"> </v>
      </c>
    </row>
    <row r="32" spans="1:37" ht="36" x14ac:dyDescent="0.25">
      <c r="A32" s="587" t="s">
        <v>3195</v>
      </c>
      <c r="B32" s="369"/>
      <c r="C32" s="588"/>
      <c r="D32" s="589" t="s">
        <v>2745</v>
      </c>
      <c r="E32" s="44"/>
      <c r="F32" s="214"/>
      <c r="G32" s="587" t="s">
        <v>3195</v>
      </c>
      <c r="H32" s="590" t="s">
        <v>21</v>
      </c>
      <c r="I32" s="591" t="str">
        <f>IF($F32="","",IF('TRECHO(S) A IMPRIMIR'!$B$1= 1, SUM(Q32, T32, W32, Z32), IF('TRECHO(S) A IMPRIMIR'!$B$1= 2, T32, IF('TRECHO(S) A IMPRIMIR'!$B$1= 3, W32, 0))))</f>
        <v/>
      </c>
      <c r="J32" s="592" t="s">
        <v>21</v>
      </c>
      <c r="K32" s="593" t="str">
        <f t="shared" ref="K29:K92" si="8">IF(AND(F32&lt;&gt;"", J32&lt;&gt;""),
  IF(OR(F32= "CP9001", F32= "CP9091", F32= "CP9092"), 0,
  IF(ISNA(VLOOKUP(F32, $M$626:$M$646, 1, FALSE)), $M$4, $M$5)), "")</f>
        <v/>
      </c>
      <c r="L32" s="592" t="str">
        <f t="shared" si="2"/>
        <v/>
      </c>
      <c r="M32" s="594" t="str">
        <f t="shared" ref="M32:M43" si="9">IF(OR(I32="",L32=""),"",I32*L32)</f>
        <v/>
      </c>
      <c r="N32" s="439"/>
      <c r="O32" s="673"/>
      <c r="P32" s="361"/>
      <c r="Q32" s="441"/>
      <c r="R32" s="485"/>
      <c r="S32" s="442"/>
      <c r="T32" s="441"/>
      <c r="U32" s="485"/>
      <c r="V32" s="442"/>
      <c r="W32" s="578"/>
      <c r="X32" s="485"/>
      <c r="Y32" s="442"/>
      <c r="Z32" s="441"/>
      <c r="AA32" s="485"/>
      <c r="AB32" s="442"/>
      <c r="AC32" s="672"/>
      <c r="AD32" s="441" t="s">
        <v>21</v>
      </c>
      <c r="AE32" s="674" t="s">
        <v>21</v>
      </c>
      <c r="AF32" s="674" t="s">
        <v>21</v>
      </c>
      <c r="AG32" s="674" t="s">
        <v>21</v>
      </c>
      <c r="AH32" s="442" t="s">
        <v>21</v>
      </c>
      <c r="AI32" s="442" t="s">
        <v>21</v>
      </c>
      <c r="AK32" s="3" t="str">
        <f>IF(F32="", " ", VLOOKUP(F32,#REF!, 1, FALSE))</f>
        <v xml:space="preserve"> </v>
      </c>
    </row>
    <row r="33" spans="1:37" ht="24" x14ac:dyDescent="0.25">
      <c r="A33" s="587" t="s">
        <v>2706</v>
      </c>
      <c r="B33" s="369" t="s">
        <v>20</v>
      </c>
      <c r="C33" s="588"/>
      <c r="D33" s="589" t="s">
        <v>3183</v>
      </c>
      <c r="E33" s="44" t="s">
        <v>27</v>
      </c>
      <c r="F33" s="214">
        <v>100577</v>
      </c>
      <c r="G33" s="587" t="s">
        <v>635</v>
      </c>
      <c r="H33" s="590" t="s">
        <v>51</v>
      </c>
      <c r="I33" s="591">
        <v>2434.2552999999998</v>
      </c>
      <c r="J33" s="592">
        <v>0.77</v>
      </c>
      <c r="K33" s="593">
        <v>0.2033513845915047</v>
      </c>
      <c r="L33" s="592">
        <v>0.92658056613545869</v>
      </c>
      <c r="M33" s="594">
        <v>2255.5336539922405</v>
      </c>
      <c r="N33" s="439"/>
      <c r="O33" s="673"/>
      <c r="P33" s="361"/>
      <c r="Q33" s="441"/>
      <c r="R33" s="485"/>
      <c r="S33" s="442"/>
      <c r="T33" s="441">
        <v>2434.2552999999998</v>
      </c>
      <c r="U33" s="485"/>
      <c r="V33" s="442"/>
      <c r="W33" s="578">
        <v>0</v>
      </c>
      <c r="X33" s="485"/>
      <c r="Y33" s="442"/>
      <c r="Z33" s="441"/>
      <c r="AA33" s="485"/>
      <c r="AB33" s="442"/>
      <c r="AC33" s="672"/>
      <c r="AD33" s="441">
        <v>527.26760742675754</v>
      </c>
      <c r="AE33" s="674">
        <v>673.73083171196788</v>
      </c>
      <c r="AF33" s="674">
        <v>1054.5352148535151</v>
      </c>
      <c r="AG33" s="674">
        <v>0</v>
      </c>
      <c r="AH33" s="442">
        <v>0</v>
      </c>
      <c r="AI33" s="442">
        <v>0</v>
      </c>
      <c r="AK33" s="3" t="e">
        <f>IF(F33="", " ", VLOOKUP(F33,#REF!, 1, FALSE))</f>
        <v>#REF!</v>
      </c>
    </row>
    <row r="34" spans="1:37" ht="36" x14ac:dyDescent="0.25">
      <c r="A34" s="587" t="s">
        <v>2702</v>
      </c>
      <c r="B34" s="369" t="s">
        <v>20</v>
      </c>
      <c r="C34" s="588"/>
      <c r="D34" s="589" t="s">
        <v>3185</v>
      </c>
      <c r="E34" s="44" t="s">
        <v>27</v>
      </c>
      <c r="F34" s="214">
        <v>96386</v>
      </c>
      <c r="G34" s="587" t="s">
        <v>575</v>
      </c>
      <c r="H34" s="590" t="s">
        <v>44</v>
      </c>
      <c r="I34" s="591">
        <v>2726.8</v>
      </c>
      <c r="J34" s="592">
        <v>5.51</v>
      </c>
      <c r="K34" s="593">
        <v>0.2033513845915047</v>
      </c>
      <c r="L34" s="592">
        <v>6.6304661290991911</v>
      </c>
      <c r="M34" s="594">
        <v>18079.955040827674</v>
      </c>
      <c r="N34" s="439"/>
      <c r="O34" s="673"/>
      <c r="P34" s="361"/>
      <c r="Q34" s="441"/>
      <c r="R34" s="485"/>
      <c r="S34" s="442"/>
      <c r="T34" s="441">
        <v>2726.8</v>
      </c>
      <c r="U34" s="485"/>
      <c r="V34" s="442"/>
      <c r="W34" s="578">
        <v>0</v>
      </c>
      <c r="X34" s="485"/>
      <c r="Y34" s="442"/>
      <c r="Z34" s="441"/>
      <c r="AA34" s="485"/>
      <c r="AB34" s="442"/>
      <c r="AC34" s="672"/>
      <c r="AD34" s="441">
        <v>4298.5011077103909</v>
      </c>
      <c r="AE34" s="674">
        <v>4954.7608188112135</v>
      </c>
      <c r="AF34" s="674">
        <v>8826.6931143060701</v>
      </c>
      <c r="AG34" s="674">
        <v>0</v>
      </c>
      <c r="AH34" s="442">
        <v>0</v>
      </c>
      <c r="AI34" s="442">
        <v>-3.637978807091713E-12</v>
      </c>
      <c r="AK34" s="3" t="e">
        <f>IF(F34="", " ", VLOOKUP(F34,#REF!, 1, FALSE))</f>
        <v>#REF!</v>
      </c>
    </row>
    <row r="35" spans="1:37" x14ac:dyDescent="0.25">
      <c r="A35" s="587" t="s">
        <v>3194</v>
      </c>
      <c r="B35" s="369" t="s">
        <v>20</v>
      </c>
      <c r="C35" s="588"/>
      <c r="D35" s="589" t="s">
        <v>3186</v>
      </c>
      <c r="E35" s="44" t="s">
        <v>27</v>
      </c>
      <c r="F35" s="214" t="s">
        <v>568</v>
      </c>
      <c r="G35" s="587" t="s">
        <v>74</v>
      </c>
      <c r="H35" s="590" t="s">
        <v>51</v>
      </c>
      <c r="I35" s="591">
        <v>5553.7102025999993</v>
      </c>
      <c r="J35" s="592">
        <v>6.44</v>
      </c>
      <c r="K35" s="593">
        <v>0.2033513845915047</v>
      </c>
      <c r="L35" s="592">
        <v>7.7495829167692909</v>
      </c>
      <c r="M35" s="594">
        <v>43038.937710756269</v>
      </c>
      <c r="N35" s="439"/>
      <c r="O35" s="673"/>
      <c r="P35" s="361"/>
      <c r="Q35" s="441"/>
      <c r="R35" s="485"/>
      <c r="S35" s="442"/>
      <c r="T35" s="441">
        <v>3233.3853525999998</v>
      </c>
      <c r="U35" s="485"/>
      <c r="V35" s="442"/>
      <c r="W35" s="578">
        <v>2320.32485</v>
      </c>
      <c r="X35" s="485"/>
      <c r="Y35" s="442"/>
      <c r="Z35" s="441"/>
      <c r="AA35" s="485"/>
      <c r="AB35" s="442"/>
      <c r="AC35" s="672"/>
      <c r="AD35" s="441">
        <v>1470.2742696221087</v>
      </c>
      <c r="AE35" s="674">
        <v>41568.663441134158</v>
      </c>
      <c r="AF35" s="674">
        <v>0</v>
      </c>
      <c r="AG35" s="674">
        <v>0</v>
      </c>
      <c r="AH35" s="442">
        <v>0</v>
      </c>
      <c r="AI35" s="442">
        <v>0</v>
      </c>
      <c r="AK35" s="3" t="e">
        <f>IF(F35="", " ", VLOOKUP(F35,#REF!, 1, FALSE))</f>
        <v>#REF!</v>
      </c>
    </row>
    <row r="36" spans="1:37" x14ac:dyDescent="0.25">
      <c r="A36" s="587" t="s">
        <v>2703</v>
      </c>
      <c r="B36" s="369" t="s">
        <v>20</v>
      </c>
      <c r="C36" s="588"/>
      <c r="D36" s="589" t="s">
        <v>3187</v>
      </c>
      <c r="E36" s="44" t="s">
        <v>27</v>
      </c>
      <c r="F36" s="214">
        <v>98504</v>
      </c>
      <c r="G36" s="587" t="s">
        <v>627</v>
      </c>
      <c r="H36" s="590" t="s">
        <v>51</v>
      </c>
      <c r="I36" s="591">
        <v>8628.6948025999991</v>
      </c>
      <c r="J36" s="592">
        <v>11.36</v>
      </c>
      <c r="K36" s="593">
        <v>0.2033513845915047</v>
      </c>
      <c r="L36" s="592">
        <v>13.670071728959492</v>
      </c>
      <c r="M36" s="594">
        <v>117954.87687884195</v>
      </c>
      <c r="N36" s="439"/>
      <c r="O36" s="673"/>
      <c r="P36" s="361"/>
      <c r="Q36" s="441"/>
      <c r="R36" s="485"/>
      <c r="S36" s="442"/>
      <c r="T36" s="441">
        <v>4546.8499525999996</v>
      </c>
      <c r="U36" s="485"/>
      <c r="V36" s="442"/>
      <c r="W36" s="578">
        <v>4081.84485</v>
      </c>
      <c r="X36" s="485"/>
      <c r="Y36" s="442"/>
      <c r="Z36" s="441"/>
      <c r="AA36" s="485"/>
      <c r="AB36" s="442"/>
      <c r="AC36" s="672"/>
      <c r="AD36" s="441">
        <v>25646.879039677788</v>
      </c>
      <c r="AE36" s="674">
        <v>92307.997839164178</v>
      </c>
      <c r="AF36" s="674">
        <v>0</v>
      </c>
      <c r="AG36" s="674">
        <v>0</v>
      </c>
      <c r="AH36" s="442">
        <v>0</v>
      </c>
      <c r="AI36" s="442">
        <v>-1.4551915228366852E-11</v>
      </c>
      <c r="AK36" s="3" t="e">
        <f>IF(F36="", " ", VLOOKUP(F36,#REF!, 1, FALSE))</f>
        <v>#REF!</v>
      </c>
    </row>
    <row r="37" spans="1:37" ht="36" x14ac:dyDescent="0.25">
      <c r="A37" s="587" t="s">
        <v>2704</v>
      </c>
      <c r="B37" s="369" t="s">
        <v>1880</v>
      </c>
      <c r="C37" s="588"/>
      <c r="D37" s="589" t="s">
        <v>3188</v>
      </c>
      <c r="E37" s="44" t="s">
        <v>27</v>
      </c>
      <c r="F37" s="214">
        <v>92792</v>
      </c>
      <c r="G37" s="587" t="s">
        <v>548</v>
      </c>
      <c r="H37" s="590" t="s">
        <v>54</v>
      </c>
      <c r="I37" s="591">
        <v>332.6055332446</v>
      </c>
      <c r="J37" s="592">
        <v>12.11</v>
      </c>
      <c r="K37" s="593">
        <v>0.2033513845915047</v>
      </c>
      <c r="L37" s="592">
        <v>14.572585267403122</v>
      </c>
      <c r="M37" s="594">
        <v>4846.9224936170176</v>
      </c>
      <c r="N37" s="439"/>
      <c r="O37" s="673" t="s">
        <v>2705</v>
      </c>
      <c r="P37" s="361"/>
      <c r="Q37" s="441"/>
      <c r="R37" s="485"/>
      <c r="S37" s="442"/>
      <c r="T37" s="441">
        <v>193.64385611682223</v>
      </c>
      <c r="U37" s="485"/>
      <c r="V37" s="442"/>
      <c r="W37" s="578">
        <v>138.96167712777779</v>
      </c>
      <c r="X37" s="485"/>
      <c r="Y37" s="442"/>
      <c r="Z37" s="441"/>
      <c r="AA37" s="485"/>
      <c r="AB37" s="442"/>
      <c r="AC37" s="672"/>
      <c r="AD37" s="441">
        <v>320.19306316214812</v>
      </c>
      <c r="AE37" s="674">
        <v>4526.7294304548686</v>
      </c>
      <c r="AF37" s="674">
        <v>0</v>
      </c>
      <c r="AG37" s="674">
        <v>0</v>
      </c>
      <c r="AH37" s="442">
        <v>0</v>
      </c>
      <c r="AI37" s="442">
        <v>9.0949470177292824E-13</v>
      </c>
      <c r="AK37" s="3" t="e">
        <f>IF(F37="", " ", VLOOKUP(F37,#REF!, 1, FALSE))</f>
        <v>#REF!</v>
      </c>
    </row>
    <row r="38" spans="1:37" x14ac:dyDescent="0.25">
      <c r="A38" s="587" t="s">
        <v>3193</v>
      </c>
      <c r="B38" s="369"/>
      <c r="C38" s="588"/>
      <c r="D38" s="589" t="s">
        <v>2746</v>
      </c>
      <c r="E38" s="44"/>
      <c r="F38" s="214"/>
      <c r="G38" s="587" t="s">
        <v>3193</v>
      </c>
      <c r="H38" s="590" t="s">
        <v>21</v>
      </c>
      <c r="I38" s="591" t="s">
        <v>21</v>
      </c>
      <c r="J38" s="592" t="s">
        <v>21</v>
      </c>
      <c r="K38" s="593" t="s">
        <v>21</v>
      </c>
      <c r="L38" s="592" t="s">
        <v>21</v>
      </c>
      <c r="M38" s="594" t="s">
        <v>21</v>
      </c>
      <c r="N38" s="439"/>
      <c r="O38" s="673"/>
      <c r="P38" s="361"/>
      <c r="Q38" s="441"/>
      <c r="R38" s="485"/>
      <c r="S38" s="442"/>
      <c r="T38" s="441"/>
      <c r="U38" s="485"/>
      <c r="V38" s="442"/>
      <c r="W38" s="578"/>
      <c r="X38" s="485"/>
      <c r="Y38" s="442"/>
      <c r="Z38" s="441"/>
      <c r="AA38" s="485"/>
      <c r="AB38" s="442"/>
      <c r="AC38" s="672"/>
      <c r="AD38" s="441" t="s">
        <v>21</v>
      </c>
      <c r="AE38" s="674" t="s">
        <v>21</v>
      </c>
      <c r="AF38" s="674" t="s">
        <v>21</v>
      </c>
      <c r="AG38" s="674" t="s">
        <v>21</v>
      </c>
      <c r="AH38" s="442" t="s">
        <v>21</v>
      </c>
      <c r="AI38" s="442" t="str">
        <f t="shared" si="0"/>
        <v/>
      </c>
      <c r="AK38" s="3" t="str">
        <f>IF(F38="", " ", VLOOKUP(F38,#REF!, 1, FALSE))</f>
        <v xml:space="preserve"> </v>
      </c>
    </row>
    <row r="39" spans="1:37" hidden="1" x14ac:dyDescent="0.25">
      <c r="A39" s="587" t="s">
        <v>2731</v>
      </c>
      <c r="B39" s="369" t="s">
        <v>20</v>
      </c>
      <c r="C39" s="588"/>
      <c r="D39" s="589" t="s">
        <v>3184</v>
      </c>
      <c r="E39" s="44" t="s">
        <v>27</v>
      </c>
      <c r="F39" s="214" t="s">
        <v>568</v>
      </c>
      <c r="G39" s="587" t="s">
        <v>74</v>
      </c>
      <c r="H39" s="590" t="s">
        <v>51</v>
      </c>
      <c r="I39" s="591">
        <f>IF($F39="","",IF('TRECHO(S) A IMPRIMIR'!$B$1= 1, SUM(Q39, T39, W39, Z39), IF('TRECHO(S) A IMPRIMIR'!$B$1= 2, T39, IF('TRECHO(S) A IMPRIMIR'!$B$1= 3, W39, 0))))</f>
        <v>0</v>
      </c>
      <c r="J39" s="592">
        <v>6.44</v>
      </c>
      <c r="K39" s="593">
        <f t="shared" si="8"/>
        <v>0.2033513845915047</v>
      </c>
      <c r="L39" s="592">
        <f t="shared" si="2"/>
        <v>7.7495829167692909</v>
      </c>
      <c r="M39" s="594">
        <f t="shared" si="9"/>
        <v>0</v>
      </c>
      <c r="N39" s="439"/>
      <c r="O39" s="673"/>
      <c r="P39" s="361"/>
      <c r="Q39" s="441"/>
      <c r="R39" s="485"/>
      <c r="S39" s="442"/>
      <c r="T39" s="441">
        <f>'04-MLQ-CR-LAGOAS'!F30</f>
        <v>0</v>
      </c>
      <c r="U39" s="485"/>
      <c r="V39" s="442"/>
      <c r="W39" s="578">
        <f>'04-MLQ-CR-LAGOAS'!M30</f>
        <v>0</v>
      </c>
      <c r="X39" s="485"/>
      <c r="Y39" s="442"/>
      <c r="Z39" s="441"/>
      <c r="AA39" s="485"/>
      <c r="AB39" s="442"/>
      <c r="AC39" s="672"/>
      <c r="AD39" s="441" t="s">
        <v>21</v>
      </c>
      <c r="AE39" s="674" t="s">
        <v>21</v>
      </c>
      <c r="AF39" s="674" t="s">
        <v>21</v>
      </c>
      <c r="AG39" s="674" t="s">
        <v>21</v>
      </c>
      <c r="AH39" s="442" t="s">
        <v>21</v>
      </c>
      <c r="AI39" s="442" t="str">
        <f t="shared" si="0"/>
        <v/>
      </c>
      <c r="AK39" s="3" t="e">
        <f>IF(F39="", " ", VLOOKUP(F39,#REF!, 1, FALSE))</f>
        <v>#REF!</v>
      </c>
    </row>
    <row r="40" spans="1:37" ht="36" hidden="1" x14ac:dyDescent="0.25">
      <c r="A40" s="587" t="s">
        <v>2709</v>
      </c>
      <c r="B40" s="369" t="s">
        <v>25</v>
      </c>
      <c r="C40" s="588"/>
      <c r="D40" s="589" t="s">
        <v>3189</v>
      </c>
      <c r="E40" s="44" t="s">
        <v>27</v>
      </c>
      <c r="F40" s="214">
        <v>95879</v>
      </c>
      <c r="G40" s="587" t="s">
        <v>789</v>
      </c>
      <c r="H40" s="590" t="s">
        <v>42</v>
      </c>
      <c r="I40" s="591">
        <f>IF($F40="","",IF('TRECHO(S) A IMPRIMIR'!$B$1= 1, SUM(Q40, T40, W40, Z40), IF('TRECHO(S) A IMPRIMIR'!$B$1= 2, T40, IF('TRECHO(S) A IMPRIMIR'!$B$1= 3, W40, 0))))</f>
        <v>0</v>
      </c>
      <c r="J40" s="592">
        <v>1.04</v>
      </c>
      <c r="K40" s="593">
        <f t="shared" si="8"/>
        <v>0.2033513845915047</v>
      </c>
      <c r="L40" s="592">
        <f t="shared" si="2"/>
        <v>1.2514854399751649</v>
      </c>
      <c r="M40" s="594">
        <f t="shared" si="9"/>
        <v>0</v>
      </c>
      <c r="N40" s="439"/>
      <c r="O40" s="673"/>
      <c r="P40" s="361"/>
      <c r="Q40" s="441">
        <f>Q43 * R43 * S40</f>
        <v>0</v>
      </c>
      <c r="R40" s="485"/>
      <c r="S40" s="442">
        <f>IF('MLQ-DMT-TR1'!$E$9 &lt;= 30, 'MLQ-DMT-TR1'!$E$9, 30)</f>
        <v>30</v>
      </c>
      <c r="T40" s="441">
        <f>T43 * U43 * V40</f>
        <v>0</v>
      </c>
      <c r="U40" s="485"/>
      <c r="V40" s="442">
        <f>IF('MLQ-DMT-TR1'!$E$9 &lt;= 30, 'MLQ-DMT-TR1'!$E$9, 30)</f>
        <v>30</v>
      </c>
      <c r="W40" s="578">
        <f>W43 * X43 * Y40</f>
        <v>0</v>
      </c>
      <c r="X40" s="485"/>
      <c r="Y40" s="442">
        <f>IF('MLQ-DMT-TR3'!$E$9 &lt;= 30, 'MLQ-DMT-TR3'!$E$9, 30)</f>
        <v>30</v>
      </c>
      <c r="Z40" s="441">
        <f>Z43 * AA43 * AB40</f>
        <v>0</v>
      </c>
      <c r="AA40" s="485"/>
      <c r="AB40" s="442"/>
      <c r="AC40" s="672"/>
      <c r="AD40" s="441" t="s">
        <v>21</v>
      </c>
      <c r="AE40" s="674" t="s">
        <v>21</v>
      </c>
      <c r="AF40" s="674" t="s">
        <v>21</v>
      </c>
      <c r="AG40" s="674" t="s">
        <v>21</v>
      </c>
      <c r="AH40" s="442" t="s">
        <v>21</v>
      </c>
      <c r="AI40" s="442" t="str">
        <f t="shared" si="0"/>
        <v/>
      </c>
      <c r="AK40" s="3" t="e">
        <f>IF(F40="", " ", VLOOKUP(F40,#REF!, 1, FALSE))</f>
        <v>#REF!</v>
      </c>
    </row>
    <row r="41" spans="1:37" ht="36" hidden="1" x14ac:dyDescent="0.25">
      <c r="A41" s="587" t="s">
        <v>2710</v>
      </c>
      <c r="B41" s="369" t="s">
        <v>25</v>
      </c>
      <c r="C41" s="588"/>
      <c r="D41" s="589" t="s">
        <v>3190</v>
      </c>
      <c r="E41" s="44" t="s">
        <v>27</v>
      </c>
      <c r="F41" s="214">
        <v>93599</v>
      </c>
      <c r="G41" s="587" t="s">
        <v>788</v>
      </c>
      <c r="H41" s="590" t="s">
        <v>42</v>
      </c>
      <c r="I41" s="591">
        <f>IF($F41="","",IF('TRECHO(S) A IMPRIMIR'!$B$1= 1, SUM(Q41, T41, W41, Z41), IF('TRECHO(S) A IMPRIMIR'!$B$1= 2, T41, IF('TRECHO(S) A IMPRIMIR'!$B$1= 3, W41, 0))))</f>
        <v>0</v>
      </c>
      <c r="J41" s="592">
        <v>0.41</v>
      </c>
      <c r="K41" s="593">
        <f t="shared" si="8"/>
        <v>0.2033513845915047</v>
      </c>
      <c r="L41" s="592">
        <f t="shared" si="2"/>
        <v>0.4933740676825169</v>
      </c>
      <c r="M41" s="594">
        <f t="shared" si="9"/>
        <v>0</v>
      </c>
      <c r="N41" s="439"/>
      <c r="O41" s="673"/>
      <c r="P41" s="361"/>
      <c r="Q41" s="441">
        <f>Q43 * R43 * S41</f>
        <v>0</v>
      </c>
      <c r="R41" s="485"/>
      <c r="S41" s="442">
        <f>IF('MLQ-DMT-TR1'!$E$9 &gt; 30, 'MLQ-DMT-TR1'!$E$9 - 30, 0)</f>
        <v>27</v>
      </c>
      <c r="T41" s="441">
        <f>T43 * U43 * V41</f>
        <v>0</v>
      </c>
      <c r="U41" s="485"/>
      <c r="V41" s="442">
        <f>IF('MLQ-DMT-TR1'!$E$9 &gt; 30, 'MLQ-DMT-TR1'!$E$9 - 30, 0)</f>
        <v>27</v>
      </c>
      <c r="W41" s="578">
        <f>W43 * X43 * Y41</f>
        <v>0</v>
      </c>
      <c r="X41" s="485"/>
      <c r="Y41" s="442">
        <f>IF('MLQ-DMT-TR3'!$E$9 &gt; 30, 'MLQ-DMT-TR3'!$E$9 - 30, 0)</f>
        <v>27</v>
      </c>
      <c r="Z41" s="441">
        <f>Z43 * AA43 * AB41</f>
        <v>0</v>
      </c>
      <c r="AA41" s="485"/>
      <c r="AB41" s="442"/>
      <c r="AC41" s="672"/>
      <c r="AD41" s="441" t="s">
        <v>21</v>
      </c>
      <c r="AE41" s="674" t="s">
        <v>21</v>
      </c>
      <c r="AF41" s="674" t="s">
        <v>21</v>
      </c>
      <c r="AG41" s="674" t="s">
        <v>21</v>
      </c>
      <c r="AH41" s="442" t="s">
        <v>21</v>
      </c>
      <c r="AI41" s="442" t="str">
        <f t="shared" si="0"/>
        <v/>
      </c>
      <c r="AK41" s="3" t="e">
        <f>IF(F41="", " ", VLOOKUP(F41,#REF!, 1, FALSE))</f>
        <v>#REF!</v>
      </c>
    </row>
    <row r="42" spans="1:37" ht="36" hidden="1" x14ac:dyDescent="0.25">
      <c r="A42" s="587" t="s">
        <v>2711</v>
      </c>
      <c r="B42" s="369" t="s">
        <v>25</v>
      </c>
      <c r="C42" s="588"/>
      <c r="D42" s="589" t="s">
        <v>3191</v>
      </c>
      <c r="E42" s="44" t="s">
        <v>27</v>
      </c>
      <c r="F42" s="214">
        <v>100943</v>
      </c>
      <c r="G42" s="587" t="s">
        <v>786</v>
      </c>
      <c r="H42" s="590" t="s">
        <v>42</v>
      </c>
      <c r="I42" s="591">
        <f>IF($F42="","",IF('TRECHO(S) A IMPRIMIR'!$B$1= 1, SUM(Q42, T42, W42, Z42), IF('TRECHO(S) A IMPRIMIR'!$B$1= 2, T42, IF('TRECHO(S) A IMPRIMIR'!$B$1= 3, W42, 0))))</f>
        <v>0</v>
      </c>
      <c r="J42" s="592">
        <v>3.1</v>
      </c>
      <c r="K42" s="593">
        <f t="shared" si="8"/>
        <v>0.2033513845915047</v>
      </c>
      <c r="L42" s="592">
        <f t="shared" si="2"/>
        <v>3.7303892922336646</v>
      </c>
      <c r="M42" s="594">
        <f t="shared" si="9"/>
        <v>0</v>
      </c>
      <c r="N42" s="439"/>
      <c r="O42" s="673"/>
      <c r="P42" s="361"/>
      <c r="Q42" s="441">
        <f>Q43 * R43 * S42</f>
        <v>0</v>
      </c>
      <c r="R42" s="485"/>
      <c r="S42" s="442">
        <f>'MLQ-DMT-TR1'!$E$16</f>
        <v>1</v>
      </c>
      <c r="T42" s="441">
        <f>T43 * U43 * V42</f>
        <v>0</v>
      </c>
      <c r="U42" s="485"/>
      <c r="V42" s="442">
        <f>'MLQ-DMT-TR1'!$E$16</f>
        <v>1</v>
      </c>
      <c r="W42" s="578">
        <f>W43 * X43 * Y42</f>
        <v>0</v>
      </c>
      <c r="X42" s="485"/>
      <c r="Y42" s="442">
        <f>'MLQ-DMT-TR3'!$E$16</f>
        <v>0.6</v>
      </c>
      <c r="Z42" s="441">
        <f>Z43 * AA43 * AB42</f>
        <v>0</v>
      </c>
      <c r="AA42" s="485"/>
      <c r="AB42" s="442"/>
      <c r="AC42" s="672"/>
      <c r="AD42" s="441" t="s">
        <v>21</v>
      </c>
      <c r="AE42" s="674" t="s">
        <v>21</v>
      </c>
      <c r="AF42" s="674" t="s">
        <v>21</v>
      </c>
      <c r="AG42" s="674" t="s">
        <v>21</v>
      </c>
      <c r="AH42" s="442" t="s">
        <v>21</v>
      </c>
      <c r="AI42" s="442" t="str">
        <f t="shared" si="0"/>
        <v/>
      </c>
      <c r="AK42" s="3" t="e">
        <f>IF(F42="", " ", VLOOKUP(F42,#REF!, 1, FALSE))</f>
        <v>#REF!</v>
      </c>
    </row>
    <row r="43" spans="1:37" ht="60" hidden="1" x14ac:dyDescent="0.25">
      <c r="A43" s="587" t="s">
        <v>2717</v>
      </c>
      <c r="B43" s="369" t="s">
        <v>28</v>
      </c>
      <c r="C43" s="588"/>
      <c r="D43" s="589" t="s">
        <v>3192</v>
      </c>
      <c r="E43" s="44" t="s">
        <v>27</v>
      </c>
      <c r="F43" s="214">
        <v>92743</v>
      </c>
      <c r="G43" s="587" t="s">
        <v>609</v>
      </c>
      <c r="H43" s="590" t="s">
        <v>44</v>
      </c>
      <c r="I43" s="591">
        <f>IF($F43="","",IF('TRECHO(S) A IMPRIMIR'!$B$1= 1, SUM(Q43, T43, W43, Z43), IF('TRECHO(S) A IMPRIMIR'!$B$1= 2, T43, IF('TRECHO(S) A IMPRIMIR'!$B$1= 3, W43, 0))))</f>
        <v>0</v>
      </c>
      <c r="J43" s="592">
        <v>587.59</v>
      </c>
      <c r="K43" s="593">
        <f t="shared" si="8"/>
        <v>0.2033513845915047</v>
      </c>
      <c r="L43" s="592">
        <f t="shared" si="2"/>
        <v>707.07724007212232</v>
      </c>
      <c r="M43" s="594">
        <f t="shared" si="9"/>
        <v>0</v>
      </c>
      <c r="N43" s="439"/>
      <c r="O43" s="673"/>
      <c r="P43" s="361"/>
      <c r="Q43" s="441"/>
      <c r="R43" s="485">
        <f>'MLQ-PESP'!$C$8</f>
        <v>1.65</v>
      </c>
      <c r="S43" s="442"/>
      <c r="T43" s="441">
        <f>'04-MLQ-CR-LAGOAS'!F34</f>
        <v>0</v>
      </c>
      <c r="U43" s="485">
        <f>'MLQ-PESP'!$C$8</f>
        <v>1.65</v>
      </c>
      <c r="V43" s="442"/>
      <c r="W43" s="578">
        <f>'04-MLQ-CR-LAGOAS'!M30</f>
        <v>0</v>
      </c>
      <c r="X43" s="485">
        <f>'MLQ-PESP'!$C$8</f>
        <v>1.65</v>
      </c>
      <c r="Y43" s="442"/>
      <c r="Z43" s="441"/>
      <c r="AA43" s="485">
        <f>'MLQ-PESP'!$C$8</f>
        <v>1.65</v>
      </c>
      <c r="AB43" s="442"/>
      <c r="AC43" s="672"/>
      <c r="AD43" s="441" t="s">
        <v>21</v>
      </c>
      <c r="AE43" s="674" t="s">
        <v>21</v>
      </c>
      <c r="AF43" s="674" t="s">
        <v>21</v>
      </c>
      <c r="AG43" s="674" t="s">
        <v>21</v>
      </c>
      <c r="AH43" s="442" t="s">
        <v>21</v>
      </c>
      <c r="AI43" s="442" t="str">
        <f t="shared" si="0"/>
        <v/>
      </c>
      <c r="AK43" s="3" t="e">
        <f>IF(F43="", " ", VLOOKUP(F43,#REF!, 1, FALSE))</f>
        <v>#REF!</v>
      </c>
    </row>
    <row r="44" spans="1:37" x14ac:dyDescent="0.25">
      <c r="A44" s="1145" t="s">
        <v>2733</v>
      </c>
      <c r="B44" s="1146"/>
      <c r="C44" s="1147"/>
      <c r="D44" s="1148" t="s">
        <v>2747</v>
      </c>
      <c r="E44" s="1146"/>
      <c r="F44" s="1149"/>
      <c r="G44" s="1145" t="s">
        <v>2733</v>
      </c>
      <c r="H44" s="1150" t="s">
        <v>21</v>
      </c>
      <c r="I44" s="1151" t="str">
        <f>IF($F44="","",IF('TRECHO(S) A IMPRIMIR'!$B$1= 1, SUM(Q44, T44, W44, Z44), IF('TRECHO(S) A IMPRIMIR'!$B$1= 2, T44, IF('TRECHO(S) A IMPRIMIR'!$B$1= 3, W44, 0))))</f>
        <v/>
      </c>
      <c r="J44" s="1152" t="s">
        <v>21</v>
      </c>
      <c r="K44" s="1153" t="str">
        <f t="shared" si="8"/>
        <v/>
      </c>
      <c r="L44" s="1152" t="str">
        <f t="shared" ref="L44:L54" si="10">IF(J44="","",
  IF(AND(J44&lt;&gt;"",K44=""),J44,J44 * (1 + K44)))</f>
        <v/>
      </c>
      <c r="M44" s="1154">
        <v>359259.96074484562</v>
      </c>
      <c r="N44" s="1155"/>
      <c r="O44" s="1156"/>
      <c r="P44" s="1157"/>
      <c r="Q44" s="1158"/>
      <c r="R44" s="1159"/>
      <c r="S44" s="1160"/>
      <c r="T44" s="1158"/>
      <c r="U44" s="1159"/>
      <c r="V44" s="1160"/>
      <c r="W44" s="1161"/>
      <c r="X44" s="1159"/>
      <c r="Y44" s="1160"/>
      <c r="Z44" s="1158"/>
      <c r="AA44" s="1159"/>
      <c r="AB44" s="1160"/>
      <c r="AC44" s="1162"/>
      <c r="AD44" s="1158" t="s">
        <v>21</v>
      </c>
      <c r="AE44" s="1163" t="s">
        <v>21</v>
      </c>
      <c r="AF44" s="1163" t="s">
        <v>21</v>
      </c>
      <c r="AG44" s="1163" t="s">
        <v>21</v>
      </c>
      <c r="AH44" s="1160" t="s">
        <v>21</v>
      </c>
      <c r="AI44" s="1160" t="str">
        <f t="shared" ref="AI44:AI54" si="11">IF(SUM(AD44:AH44)=0,"",M44 - SUM(AD44:AH44))</f>
        <v/>
      </c>
      <c r="AK44" s="3" t="str">
        <f>IF(F44="", " ", VLOOKUP(F44,#REF!, 1, FALSE))</f>
        <v xml:space="preserve"> </v>
      </c>
    </row>
    <row r="45" spans="1:37" x14ac:dyDescent="0.25">
      <c r="A45" s="587" t="s">
        <v>1858</v>
      </c>
      <c r="B45" s="369"/>
      <c r="C45" s="588"/>
      <c r="D45" s="589" t="s">
        <v>2748</v>
      </c>
      <c r="E45" s="44"/>
      <c r="F45" s="214"/>
      <c r="G45" s="587" t="s">
        <v>1858</v>
      </c>
      <c r="H45" s="590" t="s">
        <v>21</v>
      </c>
      <c r="I45" s="591" t="str">
        <f>IF($F45="","",IF('TRECHO(S) A IMPRIMIR'!$B$1= 1, SUM(Q45, T45, W45, Z45), IF('TRECHO(S) A IMPRIMIR'!$B$1= 2, T45, IF('TRECHO(S) A IMPRIMIR'!$B$1= 3, W45, 0))))</f>
        <v/>
      </c>
      <c r="J45" s="592" t="s">
        <v>21</v>
      </c>
      <c r="K45" s="593" t="str">
        <f t="shared" si="8"/>
        <v/>
      </c>
      <c r="L45" s="592" t="str">
        <f t="shared" si="10"/>
        <v/>
      </c>
      <c r="M45" s="594" t="str">
        <f t="shared" ref="M45:M54" si="12">IF(OR(I45="",L45=""),"",I45*L45)</f>
        <v/>
      </c>
      <c r="N45" s="439"/>
      <c r="O45" s="673"/>
      <c r="P45" s="361"/>
      <c r="Q45" s="441"/>
      <c r="R45" s="485"/>
      <c r="S45" s="442"/>
      <c r="T45" s="441"/>
      <c r="U45" s="485"/>
      <c r="V45" s="442"/>
      <c r="W45" s="578"/>
      <c r="X45" s="485"/>
      <c r="Y45" s="442"/>
      <c r="Z45" s="441"/>
      <c r="AA45" s="485"/>
      <c r="AB45" s="442"/>
      <c r="AC45" s="672"/>
      <c r="AD45" s="441" t="s">
        <v>21</v>
      </c>
      <c r="AE45" s="674" t="s">
        <v>21</v>
      </c>
      <c r="AF45" s="674" t="s">
        <v>21</v>
      </c>
      <c r="AG45" s="674" t="s">
        <v>21</v>
      </c>
      <c r="AH45" s="442" t="s">
        <v>21</v>
      </c>
      <c r="AI45" s="442" t="str">
        <f t="shared" si="11"/>
        <v/>
      </c>
      <c r="AK45" s="3" t="str">
        <f>IF(F45="", " ", VLOOKUP(F45,#REF!, 1, FALSE))</f>
        <v xml:space="preserve"> </v>
      </c>
    </row>
    <row r="46" spans="1:37" ht="36" hidden="1" x14ac:dyDescent="0.25">
      <c r="A46" s="587" t="s">
        <v>2720</v>
      </c>
      <c r="B46" s="369" t="s">
        <v>23</v>
      </c>
      <c r="C46" s="588"/>
      <c r="D46" s="589" t="s">
        <v>2749</v>
      </c>
      <c r="E46" s="44" t="s">
        <v>27</v>
      </c>
      <c r="F46" s="214">
        <v>101010</v>
      </c>
      <c r="G46" s="587" t="s">
        <v>770</v>
      </c>
      <c r="H46" s="590" t="s">
        <v>55</v>
      </c>
      <c r="I46" s="591">
        <f>IF($F46="","",IF('TRECHO(S) A IMPRIMIR'!$B$1= 1, SUM(Q46, T46, W46, Z46), IF('TRECHO(S) A IMPRIMIR'!$B$1= 2, T46, IF('TRECHO(S) A IMPRIMIR'!$B$1= 3, W46, 0))))</f>
        <v>0</v>
      </c>
      <c r="J46" s="592">
        <v>17.260000000000002</v>
      </c>
      <c r="K46" s="593">
        <f t="shared" si="8"/>
        <v>0.2033513845915047</v>
      </c>
      <c r="L46" s="592">
        <f t="shared" si="10"/>
        <v>20.769844898049374</v>
      </c>
      <c r="M46" s="594">
        <f t="shared" si="12"/>
        <v>0</v>
      </c>
      <c r="N46" s="439"/>
      <c r="O46" s="673"/>
      <c r="P46" s="361"/>
      <c r="Q46" s="441"/>
      <c r="R46" s="485"/>
      <c r="S46" s="442"/>
      <c r="T46" s="441">
        <f>'04-MLQ-CR-LAGOAS'!F37</f>
        <v>0</v>
      </c>
      <c r="U46" s="485"/>
      <c r="V46" s="442"/>
      <c r="W46" s="578">
        <f>'04-MLQ-CR-LAGOAS'!L37</f>
        <v>0</v>
      </c>
      <c r="X46" s="485"/>
      <c r="Y46" s="442"/>
      <c r="Z46" s="441"/>
      <c r="AA46" s="485"/>
      <c r="AB46" s="442"/>
      <c r="AC46" s="672"/>
      <c r="AD46" s="441" t="s">
        <v>21</v>
      </c>
      <c r="AE46" s="674" t="s">
        <v>21</v>
      </c>
      <c r="AF46" s="674" t="s">
        <v>21</v>
      </c>
      <c r="AG46" s="674" t="s">
        <v>21</v>
      </c>
      <c r="AH46" s="442" t="s">
        <v>21</v>
      </c>
      <c r="AI46" s="442" t="str">
        <f t="shared" si="11"/>
        <v/>
      </c>
      <c r="AK46" s="3" t="e">
        <f>IF(F46="", " ", VLOOKUP(F46,#REF!, 1, FALSE))</f>
        <v>#REF!</v>
      </c>
    </row>
    <row r="47" spans="1:37" ht="48" hidden="1" x14ac:dyDescent="0.25">
      <c r="A47" s="587" t="s">
        <v>2721</v>
      </c>
      <c r="B47" s="369" t="s">
        <v>25</v>
      </c>
      <c r="C47" s="588"/>
      <c r="D47" s="589" t="s">
        <v>2750</v>
      </c>
      <c r="E47" s="44" t="s">
        <v>27</v>
      </c>
      <c r="F47" s="214">
        <v>100954</v>
      </c>
      <c r="G47" s="587" t="s">
        <v>794</v>
      </c>
      <c r="H47" s="590" t="s">
        <v>42</v>
      </c>
      <c r="I47" s="591">
        <f>IF($F47="","",IF('TRECHO(S) A IMPRIMIR'!$B$1= 1, SUM(Q47, T47, W47, Z47), IF('TRECHO(S) A IMPRIMIR'!$B$1= 2, T47, IF('TRECHO(S) A IMPRIMIR'!$B$1= 3, W47, 0))))</f>
        <v>0</v>
      </c>
      <c r="J47" s="592">
        <v>5.41</v>
      </c>
      <c r="K47" s="593">
        <f t="shared" si="8"/>
        <v>0.2033513845915047</v>
      </c>
      <c r="L47" s="592">
        <f t="shared" si="10"/>
        <v>6.5101309906400404</v>
      </c>
      <c r="M47" s="594">
        <f t="shared" si="12"/>
        <v>0</v>
      </c>
      <c r="N47" s="439"/>
      <c r="O47" s="673"/>
      <c r="P47" s="361"/>
      <c r="Q47" s="441">
        <f>Q46 * S47</f>
        <v>0</v>
      </c>
      <c r="R47" s="485"/>
      <c r="S47" s="442">
        <v>0</v>
      </c>
      <c r="T47" s="441">
        <f>T46 * V47</f>
        <v>0</v>
      </c>
      <c r="U47" s="485"/>
      <c r="V47" s="442">
        <f>'MLQ-DMT-TR1'!$E$16</f>
        <v>1</v>
      </c>
      <c r="W47" s="578">
        <f>W46 * Y47</f>
        <v>0</v>
      </c>
      <c r="X47" s="485"/>
      <c r="Y47" s="442">
        <f>'MLQ-DMT-TR3'!$E$16</f>
        <v>0.6</v>
      </c>
      <c r="Z47" s="441">
        <f>Z46 * AB47</f>
        <v>0</v>
      </c>
      <c r="AA47" s="485"/>
      <c r="AB47" s="442">
        <v>0</v>
      </c>
      <c r="AC47" s="672"/>
      <c r="AD47" s="441" t="s">
        <v>21</v>
      </c>
      <c r="AE47" s="674" t="s">
        <v>21</v>
      </c>
      <c r="AF47" s="674" t="s">
        <v>21</v>
      </c>
      <c r="AG47" s="674" t="s">
        <v>21</v>
      </c>
      <c r="AH47" s="442" t="s">
        <v>21</v>
      </c>
      <c r="AI47" s="442" t="str">
        <f t="shared" si="11"/>
        <v/>
      </c>
      <c r="AK47" s="3" t="e">
        <f>IF(F47="", " ", VLOOKUP(F47,#REF!, 1, FALSE))</f>
        <v>#REF!</v>
      </c>
    </row>
    <row r="48" spans="1:37" ht="36" hidden="1" x14ac:dyDescent="0.25">
      <c r="A48" s="587" t="s">
        <v>2726</v>
      </c>
      <c r="B48" s="369" t="s">
        <v>26</v>
      </c>
      <c r="C48" s="588"/>
      <c r="D48" s="589" t="s">
        <v>2751</v>
      </c>
      <c r="E48" s="44" t="s">
        <v>27</v>
      </c>
      <c r="F48" s="214">
        <v>101176</v>
      </c>
      <c r="G48" s="587" t="s">
        <v>566</v>
      </c>
      <c r="H48" s="590" t="s">
        <v>22</v>
      </c>
      <c r="I48" s="591">
        <f>IF($F48="","",IF('TRECHO(S) A IMPRIMIR'!$B$1= 1, SUM(Q48, T48, W48, Z48), IF('TRECHO(S) A IMPRIMIR'!$B$1= 2, T48, IF('TRECHO(S) A IMPRIMIR'!$B$1= 3, W48, 0))))</f>
        <v>0</v>
      </c>
      <c r="J48" s="592">
        <v>137.46</v>
      </c>
      <c r="K48" s="593">
        <f t="shared" si="8"/>
        <v>0.2033513845915047</v>
      </c>
      <c r="L48" s="592">
        <f t="shared" si="10"/>
        <v>165.41268132594826</v>
      </c>
      <c r="M48" s="594">
        <f t="shared" si="12"/>
        <v>0</v>
      </c>
      <c r="N48" s="439"/>
      <c r="O48" s="673"/>
      <c r="P48" s="361"/>
      <c r="Q48" s="441"/>
      <c r="R48" s="485"/>
      <c r="S48" s="442"/>
      <c r="T48" s="441">
        <f>'04-MLQ-CR-LAGOAS'!F39</f>
        <v>0</v>
      </c>
      <c r="U48" s="485"/>
      <c r="V48" s="442"/>
      <c r="W48" s="578">
        <f>'04-MLQ-CR-LAGOAS'!L39</f>
        <v>0</v>
      </c>
      <c r="X48" s="485"/>
      <c r="Y48" s="442"/>
      <c r="Z48" s="441"/>
      <c r="AA48" s="485"/>
      <c r="AB48" s="442"/>
      <c r="AC48" s="672"/>
      <c r="AD48" s="441" t="s">
        <v>21</v>
      </c>
      <c r="AE48" s="674" t="s">
        <v>21</v>
      </c>
      <c r="AF48" s="674" t="s">
        <v>21</v>
      </c>
      <c r="AG48" s="674" t="s">
        <v>21</v>
      </c>
      <c r="AH48" s="442" t="s">
        <v>21</v>
      </c>
      <c r="AI48" s="442" t="str">
        <f t="shared" si="11"/>
        <v/>
      </c>
      <c r="AK48" s="3" t="e">
        <f>IF(F48="", " ", VLOOKUP(F48,#REF!, 1, FALSE))</f>
        <v>#REF!</v>
      </c>
    </row>
    <row r="49" spans="1:37" ht="36" x14ac:dyDescent="0.25">
      <c r="A49" s="587" t="s">
        <v>2725</v>
      </c>
      <c r="B49" s="369"/>
      <c r="C49" s="588"/>
      <c r="D49" s="589" t="s">
        <v>2752</v>
      </c>
      <c r="E49" s="44"/>
      <c r="F49" s="214"/>
      <c r="G49" s="587" t="s">
        <v>2725</v>
      </c>
      <c r="H49" s="590" t="s">
        <v>21</v>
      </c>
      <c r="I49" s="591" t="str">
        <f>IF($F49="","",IF('TRECHO(S) A IMPRIMIR'!$B$1= 1, SUM(Q49, T49, W49, Z49), IF('TRECHO(S) A IMPRIMIR'!$B$1= 2, T49, IF('TRECHO(S) A IMPRIMIR'!$B$1= 3, W49, 0))))</f>
        <v/>
      </c>
      <c r="J49" s="592" t="s">
        <v>21</v>
      </c>
      <c r="K49" s="593" t="str">
        <f t="shared" si="8"/>
        <v/>
      </c>
      <c r="L49" s="592" t="str">
        <f t="shared" si="10"/>
        <v/>
      </c>
      <c r="M49" s="594" t="str">
        <f t="shared" si="12"/>
        <v/>
      </c>
      <c r="N49" s="439"/>
      <c r="O49" s="673"/>
      <c r="P49" s="361"/>
      <c r="Q49" s="441"/>
      <c r="R49" s="485"/>
      <c r="S49" s="442"/>
      <c r="T49" s="441"/>
      <c r="U49" s="485"/>
      <c r="V49" s="442"/>
      <c r="W49" s="578"/>
      <c r="X49" s="485"/>
      <c r="Y49" s="442"/>
      <c r="Z49" s="441"/>
      <c r="AA49" s="485"/>
      <c r="AB49" s="442"/>
      <c r="AC49" s="672"/>
      <c r="AD49" s="441" t="s">
        <v>21</v>
      </c>
      <c r="AE49" s="674" t="s">
        <v>21</v>
      </c>
      <c r="AF49" s="674" t="s">
        <v>21</v>
      </c>
      <c r="AG49" s="674" t="s">
        <v>21</v>
      </c>
      <c r="AH49" s="442" t="s">
        <v>21</v>
      </c>
      <c r="AI49" s="442" t="str">
        <f t="shared" si="11"/>
        <v/>
      </c>
      <c r="AK49" s="3" t="str">
        <f>IF(F49="", " ", VLOOKUP(F49,#REF!, 1, FALSE))</f>
        <v xml:space="preserve"> </v>
      </c>
    </row>
    <row r="50" spans="1:37" ht="24" hidden="1" x14ac:dyDescent="0.25">
      <c r="A50" s="587" t="s">
        <v>925</v>
      </c>
      <c r="B50" s="369" t="s">
        <v>28</v>
      </c>
      <c r="C50" s="588"/>
      <c r="D50" s="589" t="s">
        <v>2753</v>
      </c>
      <c r="E50" s="44" t="s">
        <v>27</v>
      </c>
      <c r="F50" s="214">
        <v>93358</v>
      </c>
      <c r="G50" s="587" t="s">
        <v>1293</v>
      </c>
      <c r="H50" s="590" t="s">
        <v>44</v>
      </c>
      <c r="I50" s="591">
        <f>IF($F50="","",IF('TRECHO(S) A IMPRIMIR'!$B$1= 1, SUM(Q50, T50, W50, Z50), IF('TRECHO(S) A IMPRIMIR'!$B$1= 2, T50, IF('TRECHO(S) A IMPRIMIR'!$B$1= 3, W50, 0))))</f>
        <v>0</v>
      </c>
      <c r="J50" s="592">
        <v>69.66</v>
      </c>
      <c r="K50" s="593">
        <f t="shared" si="8"/>
        <v>0.2033513845915047</v>
      </c>
      <c r="L50" s="592">
        <f t="shared" si="10"/>
        <v>83.825457450644208</v>
      </c>
      <c r="M50" s="594">
        <f t="shared" si="12"/>
        <v>0</v>
      </c>
      <c r="N50" s="439"/>
      <c r="O50" s="673"/>
      <c r="P50" s="361"/>
      <c r="Q50" s="441"/>
      <c r="R50" s="485"/>
      <c r="S50" s="442"/>
      <c r="T50" s="441">
        <f>'04-MLQ-CR-LAGOAS'!F41</f>
        <v>0</v>
      </c>
      <c r="U50" s="485"/>
      <c r="V50" s="442"/>
      <c r="W50" s="441">
        <f>'04-MLQ-CR-LAGOAS'!L41</f>
        <v>0</v>
      </c>
      <c r="X50" s="485"/>
      <c r="Y50" s="442"/>
      <c r="Z50" s="441"/>
      <c r="AA50" s="485"/>
      <c r="AB50" s="442"/>
      <c r="AC50" s="672"/>
      <c r="AD50" s="441" t="s">
        <v>21</v>
      </c>
      <c r="AE50" s="674" t="s">
        <v>21</v>
      </c>
      <c r="AF50" s="674" t="s">
        <v>21</v>
      </c>
      <c r="AG50" s="674" t="s">
        <v>21</v>
      </c>
      <c r="AH50" s="442" t="s">
        <v>21</v>
      </c>
      <c r="AI50" s="442" t="str">
        <f t="shared" si="11"/>
        <v/>
      </c>
      <c r="AK50" s="3" t="e">
        <f>IF(F50="", " ", VLOOKUP(F50,#REF!, 1, FALSE))</f>
        <v>#REF!</v>
      </c>
    </row>
    <row r="51" spans="1:37" ht="24" hidden="1" x14ac:dyDescent="0.25">
      <c r="A51" s="587" t="s">
        <v>1862</v>
      </c>
      <c r="B51" s="369" t="s">
        <v>20</v>
      </c>
      <c r="C51" s="588"/>
      <c r="D51" s="589" t="s">
        <v>2754</v>
      </c>
      <c r="E51" s="44" t="s">
        <v>27</v>
      </c>
      <c r="F51" s="214">
        <v>101616</v>
      </c>
      <c r="G51" s="587" t="s">
        <v>1169</v>
      </c>
      <c r="H51" s="590" t="s">
        <v>51</v>
      </c>
      <c r="I51" s="591">
        <f>IF($F51="","",IF('TRECHO(S) A IMPRIMIR'!$B$1= 1, SUM(Q51, T51, W51, Z51), IF('TRECHO(S) A IMPRIMIR'!$B$1= 2, T51, IF('TRECHO(S) A IMPRIMIR'!$B$1= 3, W51, 0))))</f>
        <v>0</v>
      </c>
      <c r="J51" s="592">
        <v>5.27</v>
      </c>
      <c r="K51" s="593">
        <f t="shared" si="8"/>
        <v>0.2033513845915047</v>
      </c>
      <c r="L51" s="592">
        <f t="shared" si="10"/>
        <v>6.3416617967972293</v>
      </c>
      <c r="M51" s="594">
        <f t="shared" si="12"/>
        <v>0</v>
      </c>
      <c r="N51" s="439"/>
      <c r="O51" s="673"/>
      <c r="P51" s="361"/>
      <c r="Q51" s="441"/>
      <c r="R51" s="485"/>
      <c r="S51" s="442"/>
      <c r="T51" s="441">
        <f>'04-MLQ-CR-LAGOAS'!F42</f>
        <v>0</v>
      </c>
      <c r="U51" s="485"/>
      <c r="V51" s="442"/>
      <c r="W51" s="441">
        <f>'04-MLQ-CR-LAGOAS'!L42</f>
        <v>0</v>
      </c>
      <c r="X51" s="485"/>
      <c r="Y51" s="442"/>
      <c r="Z51" s="441"/>
      <c r="AA51" s="485"/>
      <c r="AB51" s="442"/>
      <c r="AC51" s="672"/>
      <c r="AD51" s="441" t="s">
        <v>21</v>
      </c>
      <c r="AE51" s="674" t="s">
        <v>21</v>
      </c>
      <c r="AF51" s="674" t="s">
        <v>21</v>
      </c>
      <c r="AG51" s="674" t="s">
        <v>21</v>
      </c>
      <c r="AH51" s="442" t="s">
        <v>21</v>
      </c>
      <c r="AI51" s="442" t="str">
        <f t="shared" si="11"/>
        <v/>
      </c>
      <c r="AK51" s="3" t="e">
        <f>IF(F51="", " ", VLOOKUP(F51,#REF!, 1, FALSE))</f>
        <v>#REF!</v>
      </c>
    </row>
    <row r="52" spans="1:37" ht="24" hidden="1" x14ac:dyDescent="0.25">
      <c r="A52" s="587" t="s">
        <v>2723</v>
      </c>
      <c r="B52" s="369" t="s">
        <v>39</v>
      </c>
      <c r="C52" s="588"/>
      <c r="D52" s="589" t="s">
        <v>2755</v>
      </c>
      <c r="E52" s="44" t="s">
        <v>27</v>
      </c>
      <c r="F52" s="214">
        <v>95601</v>
      </c>
      <c r="G52" s="587" t="s">
        <v>3655</v>
      </c>
      <c r="H52" s="590" t="s">
        <v>41</v>
      </c>
      <c r="I52" s="591">
        <f>IF($F52="","",IF('TRECHO(S) A IMPRIMIR'!$B$1= 1, SUM(Q52, T52, W52, Z52), IF('TRECHO(S) A IMPRIMIR'!$B$1= 2, T52, IF('TRECHO(S) A IMPRIMIR'!$B$1= 3, W52, 0))))</f>
        <v>0</v>
      </c>
      <c r="J52" s="592">
        <v>13.84</v>
      </c>
      <c r="K52" s="593">
        <f t="shared" si="8"/>
        <v>0.2033513845915047</v>
      </c>
      <c r="L52" s="592">
        <f t="shared" si="10"/>
        <v>16.654383162746424</v>
      </c>
      <c r="M52" s="594">
        <f t="shared" si="12"/>
        <v>0</v>
      </c>
      <c r="N52" s="439"/>
      <c r="O52" s="673"/>
      <c r="P52" s="361"/>
      <c r="Q52" s="441"/>
      <c r="R52" s="485"/>
      <c r="S52" s="442"/>
      <c r="T52" s="441">
        <f>'04-MLQ-CR-LAGOAS'!F43</f>
        <v>0</v>
      </c>
      <c r="U52" s="485"/>
      <c r="V52" s="442"/>
      <c r="W52" s="441">
        <f>'04-MLQ-CR-LAGOAS'!L43</f>
        <v>0</v>
      </c>
      <c r="X52" s="485"/>
      <c r="Y52" s="442"/>
      <c r="Z52" s="441"/>
      <c r="AA52" s="485"/>
      <c r="AB52" s="442"/>
      <c r="AC52" s="672"/>
      <c r="AD52" s="441" t="s">
        <v>21</v>
      </c>
      <c r="AE52" s="674" t="s">
        <v>21</v>
      </c>
      <c r="AF52" s="674" t="s">
        <v>21</v>
      </c>
      <c r="AG52" s="674" t="s">
        <v>21</v>
      </c>
      <c r="AH52" s="442" t="s">
        <v>21</v>
      </c>
      <c r="AI52" s="442" t="str">
        <f t="shared" si="11"/>
        <v/>
      </c>
      <c r="AK52" s="3" t="e">
        <f>IF(F52="", " ", VLOOKUP(F52,#REF!, 1, FALSE))</f>
        <v>#REF!</v>
      </c>
    </row>
    <row r="53" spans="1:37" ht="36" hidden="1" x14ac:dyDescent="0.25">
      <c r="A53" s="587" t="s">
        <v>1288</v>
      </c>
      <c r="B53" s="369" t="s">
        <v>28</v>
      </c>
      <c r="C53" s="588"/>
      <c r="D53" s="589" t="s">
        <v>2756</v>
      </c>
      <c r="E53" s="44" t="s">
        <v>27</v>
      </c>
      <c r="F53" s="214">
        <v>94962</v>
      </c>
      <c r="G53" s="587" t="s">
        <v>3658</v>
      </c>
      <c r="H53" s="590" t="s">
        <v>44</v>
      </c>
      <c r="I53" s="591">
        <f>IF($F53="","",IF('TRECHO(S) A IMPRIMIR'!$B$1= 1, SUM(Q53, T53, W53, Z53), IF('TRECHO(S) A IMPRIMIR'!$B$1= 2, T53, IF('TRECHO(S) A IMPRIMIR'!$B$1= 3, W53, 0))))</f>
        <v>0</v>
      </c>
      <c r="J53" s="592">
        <v>329.54</v>
      </c>
      <c r="K53" s="593">
        <f t="shared" si="8"/>
        <v>0.2033513845915047</v>
      </c>
      <c r="L53" s="592">
        <f t="shared" si="10"/>
        <v>396.55241527828446</v>
      </c>
      <c r="M53" s="594">
        <f t="shared" si="12"/>
        <v>0</v>
      </c>
      <c r="N53" s="439"/>
      <c r="O53" s="673"/>
      <c r="P53" s="361"/>
      <c r="Q53" s="441"/>
      <c r="R53" s="485"/>
      <c r="S53" s="442"/>
      <c r="T53" s="441">
        <f>'04-MLQ-CR-LAGOAS'!F44</f>
        <v>0</v>
      </c>
      <c r="U53" s="485"/>
      <c r="V53" s="442"/>
      <c r="W53" s="441">
        <f>'04-MLQ-CR-LAGOAS'!L44</f>
        <v>0</v>
      </c>
      <c r="X53" s="485"/>
      <c r="Y53" s="442"/>
      <c r="Z53" s="441"/>
      <c r="AA53" s="485"/>
      <c r="AB53" s="442"/>
      <c r="AC53" s="672"/>
      <c r="AD53" s="441" t="s">
        <v>21</v>
      </c>
      <c r="AE53" s="674" t="s">
        <v>21</v>
      </c>
      <c r="AF53" s="674" t="s">
        <v>21</v>
      </c>
      <c r="AG53" s="674" t="s">
        <v>21</v>
      </c>
      <c r="AH53" s="442" t="s">
        <v>21</v>
      </c>
      <c r="AI53" s="442" t="str">
        <f t="shared" si="11"/>
        <v/>
      </c>
      <c r="AK53" s="3" t="e">
        <f>IF(F53="", " ", VLOOKUP(F53,#REF!, 1, FALSE))</f>
        <v>#REF!</v>
      </c>
    </row>
    <row r="54" spans="1:37" ht="36" hidden="1" x14ac:dyDescent="0.25">
      <c r="A54" s="587" t="s">
        <v>2728</v>
      </c>
      <c r="B54" s="369" t="s">
        <v>20</v>
      </c>
      <c r="C54" s="588"/>
      <c r="D54" s="589" t="s">
        <v>2757</v>
      </c>
      <c r="E54" s="44" t="s">
        <v>27</v>
      </c>
      <c r="F54" s="214">
        <v>96534</v>
      </c>
      <c r="G54" s="587" t="s">
        <v>581</v>
      </c>
      <c r="H54" s="590" t="s">
        <v>51</v>
      </c>
      <c r="I54" s="591">
        <f>IF($F54="","",IF('TRECHO(S) A IMPRIMIR'!$B$1= 1, SUM(Q54, T54, W54, Z54), IF('TRECHO(S) A IMPRIMIR'!$B$1= 2, T54, IF('TRECHO(S) A IMPRIMIR'!$B$1= 3, W54, 0))))</f>
        <v>0</v>
      </c>
      <c r="J54" s="592">
        <v>79.489999999999995</v>
      </c>
      <c r="K54" s="593">
        <f t="shared" si="8"/>
        <v>0.2033513845915047</v>
      </c>
      <c r="L54" s="592">
        <f t="shared" si="10"/>
        <v>95.654401561178702</v>
      </c>
      <c r="M54" s="594">
        <f t="shared" si="12"/>
        <v>0</v>
      </c>
      <c r="N54" s="439"/>
      <c r="O54" s="673"/>
      <c r="P54" s="361"/>
      <c r="Q54" s="441"/>
      <c r="R54" s="485"/>
      <c r="S54" s="442"/>
      <c r="T54" s="441">
        <f>'04-MLQ-CR-LAGOAS'!F45</f>
        <v>0</v>
      </c>
      <c r="U54" s="485"/>
      <c r="V54" s="442"/>
      <c r="W54" s="441">
        <f>'04-MLQ-CR-LAGOAS'!L45</f>
        <v>0</v>
      </c>
      <c r="X54" s="485"/>
      <c r="Y54" s="442"/>
      <c r="Z54" s="441"/>
      <c r="AA54" s="485"/>
      <c r="AB54" s="442"/>
      <c r="AC54" s="672"/>
      <c r="AD54" s="441" t="s">
        <v>21</v>
      </c>
      <c r="AE54" s="674" t="s">
        <v>21</v>
      </c>
      <c r="AF54" s="674" t="s">
        <v>21</v>
      </c>
      <c r="AG54" s="674" t="s">
        <v>21</v>
      </c>
      <c r="AH54" s="442" t="s">
        <v>21</v>
      </c>
      <c r="AI54" s="442" t="str">
        <f t="shared" si="11"/>
        <v/>
      </c>
      <c r="AK54" s="3" t="e">
        <f>IF(F54="", " ", VLOOKUP(F54,#REF!, 1, FALSE))</f>
        <v>#REF!</v>
      </c>
    </row>
    <row r="55" spans="1:37" ht="36" hidden="1" x14ac:dyDescent="0.25">
      <c r="A55" s="587" t="s">
        <v>2729</v>
      </c>
      <c r="B55" s="369" t="s">
        <v>20</v>
      </c>
      <c r="C55" s="588"/>
      <c r="D55" s="589" t="s">
        <v>2758</v>
      </c>
      <c r="E55" s="44" t="s">
        <v>27</v>
      </c>
      <c r="F55" s="214">
        <v>96536</v>
      </c>
      <c r="G55" s="587" t="s">
        <v>67</v>
      </c>
      <c r="H55" s="590" t="s">
        <v>51</v>
      </c>
      <c r="I55" s="591">
        <f>IF($F55="","",IF('TRECHO(S) A IMPRIMIR'!$B$1= 1, SUM(Q55, T55, W55, Z55), IF('TRECHO(S) A IMPRIMIR'!$B$1= 2, T55, IF('TRECHO(S) A IMPRIMIR'!$B$1= 3, W55, 0))))</f>
        <v>0</v>
      </c>
      <c r="J55" s="592">
        <v>68.62</v>
      </c>
      <c r="K55" s="593">
        <f t="shared" si="8"/>
        <v>0.2033513845915047</v>
      </c>
      <c r="L55" s="592">
        <f t="shared" ref="L55:L66" si="13">IF(J55="","",
  IF(AND(J55&lt;&gt;"",K55=""),J55,J55 * (1 + K55)))</f>
        <v>82.573972010669053</v>
      </c>
      <c r="M55" s="594">
        <f t="shared" ref="M55:M66" si="14">IF(OR(I55="",L55=""),"",I55*L55)</f>
        <v>0</v>
      </c>
      <c r="N55" s="439"/>
      <c r="O55" s="673"/>
      <c r="P55" s="361"/>
      <c r="Q55" s="441"/>
      <c r="R55" s="485"/>
      <c r="S55" s="442"/>
      <c r="T55" s="441">
        <f>'04-MLQ-CR-LAGOAS'!F46</f>
        <v>0</v>
      </c>
      <c r="U55" s="485"/>
      <c r="V55" s="442"/>
      <c r="W55" s="441">
        <f>'04-MLQ-CR-LAGOAS'!L46</f>
        <v>0</v>
      </c>
      <c r="X55" s="485"/>
      <c r="Y55" s="442"/>
      <c r="Z55" s="441"/>
      <c r="AA55" s="485"/>
      <c r="AB55" s="442"/>
      <c r="AC55" s="672"/>
      <c r="AD55" s="441" t="s">
        <v>21</v>
      </c>
      <c r="AE55" s="674" t="s">
        <v>21</v>
      </c>
      <c r="AF55" s="674" t="s">
        <v>21</v>
      </c>
      <c r="AG55" s="674" t="s">
        <v>21</v>
      </c>
      <c r="AH55" s="442" t="s">
        <v>21</v>
      </c>
      <c r="AI55" s="442" t="str">
        <f t="shared" ref="AI55:AI66" si="15">IF(SUM(AD55:AH55)=0,"",M55 - SUM(AD55:AH55))</f>
        <v/>
      </c>
      <c r="AK55" s="3" t="e">
        <f>IF(F55="", " ", VLOOKUP(F55,#REF!, 1, FALSE))</f>
        <v>#REF!</v>
      </c>
    </row>
    <row r="56" spans="1:37" ht="36" hidden="1" x14ac:dyDescent="0.25">
      <c r="A56" s="587" t="s">
        <v>2720</v>
      </c>
      <c r="B56" s="369" t="s">
        <v>23</v>
      </c>
      <c r="C56" s="588"/>
      <c r="D56" s="589" t="s">
        <v>2759</v>
      </c>
      <c r="E56" s="44" t="s">
        <v>27</v>
      </c>
      <c r="F56" s="214">
        <v>101010</v>
      </c>
      <c r="G56" s="587" t="s">
        <v>770</v>
      </c>
      <c r="H56" s="590" t="s">
        <v>55</v>
      </c>
      <c r="I56" s="591">
        <f>IF($F56="","",IF('TRECHO(S) A IMPRIMIR'!$B$1= 1, SUM(Q56, T56, W56, Z56), IF('TRECHO(S) A IMPRIMIR'!$B$1= 2, T56, IF('TRECHO(S) A IMPRIMIR'!$B$1= 3, W56, 0))))</f>
        <v>0</v>
      </c>
      <c r="J56" s="592">
        <v>17.260000000000002</v>
      </c>
      <c r="K56" s="593">
        <f t="shared" si="8"/>
        <v>0.2033513845915047</v>
      </c>
      <c r="L56" s="592">
        <f t="shared" si="13"/>
        <v>20.769844898049374</v>
      </c>
      <c r="M56" s="594">
        <f t="shared" si="14"/>
        <v>0</v>
      </c>
      <c r="N56" s="439"/>
      <c r="O56" s="673"/>
      <c r="P56" s="361"/>
      <c r="Q56" s="441"/>
      <c r="R56" s="485"/>
      <c r="S56" s="442"/>
      <c r="T56" s="441">
        <f>'04-MLQ-CR-LAGOAS'!F47</f>
        <v>0</v>
      </c>
      <c r="U56" s="485"/>
      <c r="V56" s="442"/>
      <c r="W56" s="441">
        <f>'04-MLQ-CR-LAGOAS'!L47</f>
        <v>0</v>
      </c>
      <c r="X56" s="485"/>
      <c r="Y56" s="442"/>
      <c r="Z56" s="441"/>
      <c r="AA56" s="485"/>
      <c r="AB56" s="442"/>
      <c r="AC56" s="672"/>
      <c r="AD56" s="441" t="s">
        <v>21</v>
      </c>
      <c r="AE56" s="674" t="s">
        <v>21</v>
      </c>
      <c r="AF56" s="674" t="s">
        <v>21</v>
      </c>
      <c r="AG56" s="674" t="s">
        <v>21</v>
      </c>
      <c r="AH56" s="442" t="s">
        <v>21</v>
      </c>
      <c r="AI56" s="442" t="str">
        <f t="shared" si="15"/>
        <v/>
      </c>
      <c r="AK56" s="3" t="e">
        <f>IF(F56="", " ", VLOOKUP(F56,#REF!, 1, FALSE))</f>
        <v>#REF!</v>
      </c>
    </row>
    <row r="57" spans="1:37" ht="48" hidden="1" x14ac:dyDescent="0.25">
      <c r="A57" s="587" t="s">
        <v>2721</v>
      </c>
      <c r="B57" s="369" t="s">
        <v>25</v>
      </c>
      <c r="C57" s="588"/>
      <c r="D57" s="589" t="s">
        <v>2760</v>
      </c>
      <c r="E57" s="44" t="s">
        <v>27</v>
      </c>
      <c r="F57" s="214">
        <v>100954</v>
      </c>
      <c r="G57" s="587" t="s">
        <v>794</v>
      </c>
      <c r="H57" s="590" t="s">
        <v>42</v>
      </c>
      <c r="I57" s="591">
        <f>IF($F57="","",IF('TRECHO(S) A IMPRIMIR'!$B$1= 1, SUM(Q57, T57, W57, Z57), IF('TRECHO(S) A IMPRIMIR'!$B$1= 2, T57, IF('TRECHO(S) A IMPRIMIR'!$B$1= 3, W57, 0))))</f>
        <v>0</v>
      </c>
      <c r="J57" s="592">
        <v>5.41</v>
      </c>
      <c r="K57" s="593">
        <f t="shared" si="8"/>
        <v>0.2033513845915047</v>
      </c>
      <c r="L57" s="592">
        <f t="shared" si="13"/>
        <v>6.5101309906400404</v>
      </c>
      <c r="M57" s="594">
        <f t="shared" si="14"/>
        <v>0</v>
      </c>
      <c r="N57" s="439"/>
      <c r="O57" s="673"/>
      <c r="P57" s="361"/>
      <c r="Q57" s="441">
        <f>Q56 * S57</f>
        <v>0</v>
      </c>
      <c r="R57" s="485"/>
      <c r="S57" s="442">
        <v>0</v>
      </c>
      <c r="T57" s="441">
        <f>T56 * V57</f>
        <v>0</v>
      </c>
      <c r="U57" s="485"/>
      <c r="V57" s="442">
        <f>'MLQ-DMT-TR1'!$E$16</f>
        <v>1</v>
      </c>
      <c r="W57" s="578">
        <f>W56 * Y57</f>
        <v>0</v>
      </c>
      <c r="X57" s="485"/>
      <c r="Y57" s="442">
        <f>'MLQ-DMT-TR3'!$E$16</f>
        <v>0.6</v>
      </c>
      <c r="Z57" s="441">
        <f>Z56 * AB57</f>
        <v>0</v>
      </c>
      <c r="AA57" s="485"/>
      <c r="AB57" s="442">
        <v>0</v>
      </c>
      <c r="AC57" s="672"/>
      <c r="AD57" s="441" t="s">
        <v>21</v>
      </c>
      <c r="AE57" s="674" t="s">
        <v>21</v>
      </c>
      <c r="AF57" s="674" t="s">
        <v>21</v>
      </c>
      <c r="AG57" s="674" t="s">
        <v>21</v>
      </c>
      <c r="AH57" s="442" t="s">
        <v>21</v>
      </c>
      <c r="AI57" s="442" t="str">
        <f t="shared" si="15"/>
        <v/>
      </c>
      <c r="AK57" s="3" t="e">
        <f>IF(F57="", " ", VLOOKUP(F57,#REF!, 1, FALSE))</f>
        <v>#REF!</v>
      </c>
    </row>
    <row r="58" spans="1:37" ht="36" hidden="1" x14ac:dyDescent="0.25">
      <c r="A58" s="587" t="s">
        <v>1864</v>
      </c>
      <c r="B58" s="369" t="s">
        <v>1880</v>
      </c>
      <c r="C58" s="588"/>
      <c r="D58" s="589" t="s">
        <v>2761</v>
      </c>
      <c r="E58" s="44" t="s">
        <v>27</v>
      </c>
      <c r="F58" s="214">
        <v>96544</v>
      </c>
      <c r="G58" s="587" t="s">
        <v>496</v>
      </c>
      <c r="H58" s="590" t="s">
        <v>54</v>
      </c>
      <c r="I58" s="591">
        <f>IF($F58="","",IF('TRECHO(S) A IMPRIMIR'!$B$1= 1, SUM(Q58, T58, W58, Z58), IF('TRECHO(S) A IMPRIMIR'!$B$1= 2, T58, IF('TRECHO(S) A IMPRIMIR'!$B$1= 3, W58, 0))))</f>
        <v>0</v>
      </c>
      <c r="J58" s="592">
        <v>17.350000000000001</v>
      </c>
      <c r="K58" s="593">
        <f t="shared" si="8"/>
        <v>0.2033513845915047</v>
      </c>
      <c r="L58" s="592">
        <f t="shared" si="13"/>
        <v>20.878146522662608</v>
      </c>
      <c r="M58" s="594">
        <f t="shared" si="14"/>
        <v>0</v>
      </c>
      <c r="N58" s="439"/>
      <c r="O58" s="673"/>
      <c r="P58" s="361"/>
      <c r="Q58" s="441"/>
      <c r="R58" s="485"/>
      <c r="S58" s="442"/>
      <c r="T58" s="441">
        <f>'04-MLQ-CR-LAGOAS'!F49</f>
        <v>0</v>
      </c>
      <c r="U58" s="485"/>
      <c r="V58" s="442"/>
      <c r="W58" s="441">
        <f>'04-MLQ-CR-LAGOAS'!L49</f>
        <v>0</v>
      </c>
      <c r="X58" s="485"/>
      <c r="Y58" s="442"/>
      <c r="Z58" s="441"/>
      <c r="AA58" s="485"/>
      <c r="AB58" s="442"/>
      <c r="AC58" s="672"/>
      <c r="AD58" s="441" t="s">
        <v>21</v>
      </c>
      <c r="AE58" s="674" t="s">
        <v>21</v>
      </c>
      <c r="AF58" s="674" t="s">
        <v>21</v>
      </c>
      <c r="AG58" s="674" t="s">
        <v>21</v>
      </c>
      <c r="AH58" s="442" t="s">
        <v>21</v>
      </c>
      <c r="AI58" s="442" t="str">
        <f t="shared" si="15"/>
        <v/>
      </c>
      <c r="AK58" s="3" t="e">
        <f>IF(F58="", " ", VLOOKUP(F58,#REF!, 1, FALSE))</f>
        <v>#REF!</v>
      </c>
    </row>
    <row r="59" spans="1:37" ht="24" hidden="1" x14ac:dyDescent="0.25">
      <c r="A59" s="587" t="s">
        <v>1864</v>
      </c>
      <c r="B59" s="369" t="s">
        <v>1880</v>
      </c>
      <c r="C59" s="588"/>
      <c r="D59" s="589" t="s">
        <v>2762</v>
      </c>
      <c r="E59" s="44" t="s">
        <v>27</v>
      </c>
      <c r="F59" s="214">
        <v>96545</v>
      </c>
      <c r="G59" s="587" t="s">
        <v>497</v>
      </c>
      <c r="H59" s="590" t="s">
        <v>54</v>
      </c>
      <c r="I59" s="591">
        <f>IF($F59="","",IF('TRECHO(S) A IMPRIMIR'!$B$1= 1, SUM(Q59, T59, W59, Z59), IF('TRECHO(S) A IMPRIMIR'!$B$1= 2, T59, IF('TRECHO(S) A IMPRIMIR'!$B$1= 3, W59, 0))))</f>
        <v>0</v>
      </c>
      <c r="J59" s="592">
        <v>16.16</v>
      </c>
      <c r="K59" s="593">
        <f t="shared" si="8"/>
        <v>0.2033513845915047</v>
      </c>
      <c r="L59" s="592">
        <f>IF(J59="","",
  IF(AND(J59&lt;&gt;"",K59=""),J59,J59 * (1 + K59)))</f>
        <v>19.446158374998717</v>
      </c>
      <c r="M59" s="594">
        <f>IF(OR(I59="",L59=""),"",I59*L59)</f>
        <v>0</v>
      </c>
      <c r="N59" s="439"/>
      <c r="O59" s="673"/>
      <c r="P59" s="361"/>
      <c r="Q59" s="441"/>
      <c r="R59" s="485"/>
      <c r="S59" s="442"/>
      <c r="T59" s="441">
        <f>'04-MLQ-CR-LAGOAS'!F50</f>
        <v>0</v>
      </c>
      <c r="U59" s="485"/>
      <c r="V59" s="442"/>
      <c r="W59" s="441">
        <f>'04-MLQ-CR-LAGOAS'!L50</f>
        <v>0</v>
      </c>
      <c r="X59" s="485"/>
      <c r="Y59" s="442"/>
      <c r="Z59" s="441"/>
      <c r="AA59" s="485"/>
      <c r="AB59" s="442"/>
      <c r="AC59" s="672"/>
      <c r="AD59" s="441" t="s">
        <v>21</v>
      </c>
      <c r="AE59" s="674" t="s">
        <v>21</v>
      </c>
      <c r="AF59" s="674" t="s">
        <v>21</v>
      </c>
      <c r="AG59" s="674" t="s">
        <v>21</v>
      </c>
      <c r="AH59" s="442" t="s">
        <v>21</v>
      </c>
      <c r="AI59" s="442" t="str">
        <f>IF(SUM(AD59:AH59)=0,"",M59 - SUM(AD59:AH59))</f>
        <v/>
      </c>
      <c r="AK59" s="3" t="e">
        <f>IF(F59="", " ", VLOOKUP(F59,#REF!, 1, FALSE))</f>
        <v>#REF!</v>
      </c>
    </row>
    <row r="60" spans="1:37" ht="36" hidden="1" x14ac:dyDescent="0.25">
      <c r="A60" s="587" t="s">
        <v>1864</v>
      </c>
      <c r="B60" s="369" t="s">
        <v>1880</v>
      </c>
      <c r="C60" s="588"/>
      <c r="D60" s="589" t="s">
        <v>2763</v>
      </c>
      <c r="E60" s="44" t="s">
        <v>27</v>
      </c>
      <c r="F60" s="214">
        <v>96546</v>
      </c>
      <c r="G60" s="587" t="s">
        <v>494</v>
      </c>
      <c r="H60" s="590" t="s">
        <v>54</v>
      </c>
      <c r="I60" s="591">
        <f>IF($F60="","",IF('TRECHO(S) A IMPRIMIR'!$B$1= 1, SUM(Q60, T60, W60, Z60), IF('TRECHO(S) A IMPRIMIR'!$B$1= 2, T60, IF('TRECHO(S) A IMPRIMIR'!$B$1= 3, W60, 0))))</f>
        <v>0</v>
      </c>
      <c r="J60" s="592">
        <v>14.4</v>
      </c>
      <c r="K60" s="593">
        <f t="shared" si="8"/>
        <v>0.2033513845915047</v>
      </c>
      <c r="L60" s="592">
        <f>IF(J60="","",
  IF(AND(J60&lt;&gt;"",K60=""),J60,J60 * (1 + K60)))</f>
        <v>17.328259938117668</v>
      </c>
      <c r="M60" s="594">
        <f>IF(OR(I60="",L60=""),"",I60*L60)</f>
        <v>0</v>
      </c>
      <c r="N60" s="439"/>
      <c r="O60" s="673"/>
      <c r="P60" s="361"/>
      <c r="Q60" s="441"/>
      <c r="R60" s="485"/>
      <c r="S60" s="442"/>
      <c r="T60" s="441">
        <f>'04-MLQ-CR-LAGOAS'!F51</f>
        <v>0</v>
      </c>
      <c r="U60" s="485"/>
      <c r="V60" s="442"/>
      <c r="W60" s="441">
        <f>'04-MLQ-CR-LAGOAS'!L51</f>
        <v>0</v>
      </c>
      <c r="X60" s="485"/>
      <c r="Y60" s="442"/>
      <c r="Z60" s="441"/>
      <c r="AA60" s="485"/>
      <c r="AB60" s="442"/>
      <c r="AC60" s="672"/>
      <c r="AD60" s="441" t="s">
        <v>21</v>
      </c>
      <c r="AE60" s="674" t="s">
        <v>21</v>
      </c>
      <c r="AF60" s="674" t="s">
        <v>21</v>
      </c>
      <c r="AG60" s="674" t="s">
        <v>21</v>
      </c>
      <c r="AH60" s="442" t="s">
        <v>21</v>
      </c>
      <c r="AI60" s="442" t="str">
        <f>IF(SUM(AD60:AH60)=0,"",M60 - SUM(AD60:AH60))</f>
        <v/>
      </c>
      <c r="AK60" s="3" t="e">
        <f>IF(F60="", " ", VLOOKUP(F60,#REF!, 1, FALSE))</f>
        <v>#REF!</v>
      </c>
    </row>
    <row r="61" spans="1:37" ht="36" hidden="1" x14ac:dyDescent="0.25">
      <c r="A61" s="587" t="s">
        <v>1864</v>
      </c>
      <c r="B61" s="369" t="s">
        <v>1880</v>
      </c>
      <c r="C61" s="588"/>
      <c r="D61" s="589" t="s">
        <v>2764</v>
      </c>
      <c r="E61" s="44" t="s">
        <v>27</v>
      </c>
      <c r="F61" s="214">
        <v>96547</v>
      </c>
      <c r="G61" s="587" t="s">
        <v>495</v>
      </c>
      <c r="H61" s="590" t="s">
        <v>54</v>
      </c>
      <c r="I61" s="591">
        <f>IF($F61="","",IF('TRECHO(S) A IMPRIMIR'!$B$1= 1, SUM(Q61, T61, W61, Z61), IF('TRECHO(S) A IMPRIMIR'!$B$1= 2, T61, IF('TRECHO(S) A IMPRIMIR'!$B$1= 3, W61, 0))))</f>
        <v>0</v>
      </c>
      <c r="J61" s="592">
        <v>12.14</v>
      </c>
      <c r="K61" s="593">
        <f t="shared" si="8"/>
        <v>0.2033513845915047</v>
      </c>
      <c r="L61" s="592">
        <f>IF(J61="","",
  IF(AND(J61&lt;&gt;"",K61=""),J61,J61 * (1 + K61)))</f>
        <v>14.608685808940868</v>
      </c>
      <c r="M61" s="594">
        <f>IF(OR(I61="",L61=""),"",I61*L61)</f>
        <v>0</v>
      </c>
      <c r="N61" s="439"/>
      <c r="O61" s="673"/>
      <c r="P61" s="361"/>
      <c r="Q61" s="441"/>
      <c r="R61" s="485"/>
      <c r="S61" s="442"/>
      <c r="T61" s="441">
        <f>'04-MLQ-CR-LAGOAS'!F52</f>
        <v>0</v>
      </c>
      <c r="U61" s="485"/>
      <c r="V61" s="442"/>
      <c r="W61" s="441">
        <f>'04-MLQ-CR-LAGOAS'!L52</f>
        <v>0</v>
      </c>
      <c r="X61" s="485"/>
      <c r="Y61" s="442"/>
      <c r="Z61" s="441"/>
      <c r="AA61" s="485"/>
      <c r="AB61" s="442"/>
      <c r="AC61" s="672"/>
      <c r="AD61" s="441" t="s">
        <v>21</v>
      </c>
      <c r="AE61" s="674" t="s">
        <v>21</v>
      </c>
      <c r="AF61" s="674" t="s">
        <v>21</v>
      </c>
      <c r="AG61" s="674" t="s">
        <v>21</v>
      </c>
      <c r="AH61" s="442" t="s">
        <v>21</v>
      </c>
      <c r="AI61" s="442" t="str">
        <f>IF(SUM(AD61:AH61)=0,"",M61 - SUM(AD61:AH61))</f>
        <v/>
      </c>
      <c r="AK61" s="3" t="e">
        <f>IF(F61="", " ", VLOOKUP(F61,#REF!, 1, FALSE))</f>
        <v>#REF!</v>
      </c>
    </row>
    <row r="62" spans="1:37" ht="36" hidden="1" x14ac:dyDescent="0.25">
      <c r="A62" s="587" t="s">
        <v>1865</v>
      </c>
      <c r="B62" s="369" t="s">
        <v>28</v>
      </c>
      <c r="C62" s="588"/>
      <c r="D62" s="589" t="s">
        <v>2765</v>
      </c>
      <c r="E62" s="44" t="s">
        <v>27</v>
      </c>
      <c r="F62" s="214">
        <v>94965</v>
      </c>
      <c r="G62" s="587" t="s">
        <v>3659</v>
      </c>
      <c r="H62" s="590" t="s">
        <v>44</v>
      </c>
      <c r="I62" s="591">
        <f>IF($F62="","",IF('TRECHO(S) A IMPRIMIR'!$B$1= 1, SUM(Q62, T62, W62, Z62), IF('TRECHO(S) A IMPRIMIR'!$B$1= 2, T62, IF('TRECHO(S) A IMPRIMIR'!$B$1= 3, W62, 0))))</f>
        <v>0</v>
      </c>
      <c r="J62" s="592">
        <v>402.84</v>
      </c>
      <c r="K62" s="593">
        <f t="shared" si="8"/>
        <v>0.2033513845915047</v>
      </c>
      <c r="L62" s="592">
        <f t="shared" si="13"/>
        <v>484.75807176884172</v>
      </c>
      <c r="M62" s="594">
        <f t="shared" si="14"/>
        <v>0</v>
      </c>
      <c r="N62" s="439"/>
      <c r="O62" s="673"/>
      <c r="P62" s="361"/>
      <c r="Q62" s="441"/>
      <c r="R62" s="485"/>
      <c r="S62" s="442"/>
      <c r="T62" s="441">
        <f>'04-MLQ-CR-LAGOAS'!F53</f>
        <v>0</v>
      </c>
      <c r="U62" s="485"/>
      <c r="V62" s="442"/>
      <c r="W62" s="441">
        <f>'04-MLQ-CR-LAGOAS'!L53</f>
        <v>0</v>
      </c>
      <c r="X62" s="485"/>
      <c r="Y62" s="442"/>
      <c r="Z62" s="441"/>
      <c r="AA62" s="485"/>
      <c r="AB62" s="442"/>
      <c r="AC62" s="672"/>
      <c r="AD62" s="441" t="s">
        <v>21</v>
      </c>
      <c r="AE62" s="674" t="s">
        <v>21</v>
      </c>
      <c r="AF62" s="674" t="s">
        <v>21</v>
      </c>
      <c r="AG62" s="674" t="s">
        <v>21</v>
      </c>
      <c r="AH62" s="442" t="s">
        <v>21</v>
      </c>
      <c r="AI62" s="442" t="str">
        <f t="shared" si="15"/>
        <v/>
      </c>
      <c r="AK62" s="3" t="e">
        <f>IF(F62="", " ", VLOOKUP(F62,#REF!, 1, FALSE))</f>
        <v>#REF!</v>
      </c>
    </row>
    <row r="63" spans="1:37" ht="36" hidden="1" x14ac:dyDescent="0.25">
      <c r="A63" s="587" t="s">
        <v>2727</v>
      </c>
      <c r="B63" s="369" t="s">
        <v>28</v>
      </c>
      <c r="C63" s="588"/>
      <c r="D63" s="589" t="s">
        <v>2938</v>
      </c>
      <c r="E63" s="44" t="s">
        <v>27</v>
      </c>
      <c r="F63" s="214">
        <v>92873</v>
      </c>
      <c r="G63" s="587" t="s">
        <v>595</v>
      </c>
      <c r="H63" s="590" t="s">
        <v>44</v>
      </c>
      <c r="I63" s="591">
        <f>IF($F63="","",IF('TRECHO(S) A IMPRIMIR'!$B$1= 1, SUM(Q63, T63, W63, Z63), IF('TRECHO(S) A IMPRIMIR'!$B$1= 2, T63, IF('TRECHO(S) A IMPRIMIR'!$B$1= 3, W63, 0))))</f>
        <v>0</v>
      </c>
      <c r="J63" s="592">
        <v>186.89</v>
      </c>
      <c r="K63" s="593">
        <f t="shared" si="8"/>
        <v>0.2033513845915047</v>
      </c>
      <c r="L63" s="592">
        <f t="shared" si="13"/>
        <v>224.8943402663063</v>
      </c>
      <c r="M63" s="594">
        <f t="shared" si="14"/>
        <v>0</v>
      </c>
      <c r="N63" s="439"/>
      <c r="O63" s="673"/>
      <c r="P63" s="361"/>
      <c r="Q63" s="441"/>
      <c r="R63" s="485"/>
      <c r="S63" s="442"/>
      <c r="T63" s="441">
        <f>'04-MLQ-CR-LAGOAS'!F54</f>
        <v>0</v>
      </c>
      <c r="U63" s="485"/>
      <c r="V63" s="442"/>
      <c r="W63" s="441">
        <f>'04-MLQ-CR-LAGOAS'!L54</f>
        <v>0</v>
      </c>
      <c r="X63" s="485"/>
      <c r="Y63" s="442"/>
      <c r="Z63" s="441"/>
      <c r="AA63" s="485"/>
      <c r="AB63" s="442"/>
      <c r="AC63" s="672"/>
      <c r="AD63" s="441" t="s">
        <v>21</v>
      </c>
      <c r="AE63" s="674" t="s">
        <v>21</v>
      </c>
      <c r="AF63" s="674" t="s">
        <v>21</v>
      </c>
      <c r="AG63" s="674" t="s">
        <v>21</v>
      </c>
      <c r="AH63" s="442" t="s">
        <v>21</v>
      </c>
      <c r="AI63" s="442" t="str">
        <f t="shared" si="15"/>
        <v/>
      </c>
      <c r="AK63" s="3" t="e">
        <f>IF(F63="", " ", VLOOKUP(F63,#REF!, 1, FALSE))</f>
        <v>#REF!</v>
      </c>
    </row>
    <row r="64" spans="1:37" ht="24" hidden="1" x14ac:dyDescent="0.25">
      <c r="A64" s="587" t="s">
        <v>2724</v>
      </c>
      <c r="B64" s="369" t="s">
        <v>28</v>
      </c>
      <c r="C64" s="588"/>
      <c r="D64" s="589" t="s">
        <v>2939</v>
      </c>
      <c r="E64" s="44" t="s">
        <v>27</v>
      </c>
      <c r="F64" s="214">
        <v>93382</v>
      </c>
      <c r="G64" s="587" t="s">
        <v>40</v>
      </c>
      <c r="H64" s="590" t="s">
        <v>44</v>
      </c>
      <c r="I64" s="591">
        <f>IF($F64="","",IF('TRECHO(S) A IMPRIMIR'!$B$1= 1, SUM(Q64, T64, W64, Z64), IF('TRECHO(S) A IMPRIMIR'!$B$1= 2, T64, IF('TRECHO(S) A IMPRIMIR'!$B$1= 3, W64, 0))))</f>
        <v>0</v>
      </c>
      <c r="J64" s="592">
        <v>25.09</v>
      </c>
      <c r="K64" s="593">
        <f t="shared" si="8"/>
        <v>0.2033513845915047</v>
      </c>
      <c r="L64" s="592">
        <f t="shared" si="13"/>
        <v>30.192086239400854</v>
      </c>
      <c r="M64" s="594">
        <f t="shared" si="14"/>
        <v>0</v>
      </c>
      <c r="N64" s="439"/>
      <c r="O64" s="673"/>
      <c r="P64" s="361"/>
      <c r="Q64" s="441"/>
      <c r="R64" s="485"/>
      <c r="S64" s="442"/>
      <c r="T64" s="441">
        <f>'04-MLQ-CR-LAGOAS'!F55</f>
        <v>0</v>
      </c>
      <c r="U64" s="485"/>
      <c r="V64" s="442"/>
      <c r="W64" s="441">
        <f>'04-MLQ-CR-LAGOAS'!L55</f>
        <v>0</v>
      </c>
      <c r="X64" s="485"/>
      <c r="Y64" s="442"/>
      <c r="Z64" s="441"/>
      <c r="AA64" s="485"/>
      <c r="AB64" s="442"/>
      <c r="AC64" s="672"/>
      <c r="AD64" s="441" t="s">
        <v>21</v>
      </c>
      <c r="AE64" s="674" t="s">
        <v>21</v>
      </c>
      <c r="AF64" s="674" t="s">
        <v>21</v>
      </c>
      <c r="AG64" s="674" t="s">
        <v>21</v>
      </c>
      <c r="AH64" s="442" t="s">
        <v>21</v>
      </c>
      <c r="AI64" s="442" t="str">
        <f t="shared" si="15"/>
        <v/>
      </c>
      <c r="AK64" s="3" t="e">
        <f>IF(F64="", " ", VLOOKUP(F64,#REF!, 1, FALSE))</f>
        <v>#REF!</v>
      </c>
    </row>
    <row r="65" spans="1:37" x14ac:dyDescent="0.25">
      <c r="A65" s="587" t="s">
        <v>2730</v>
      </c>
      <c r="B65" s="369"/>
      <c r="C65" s="588"/>
      <c r="D65" s="589" t="s">
        <v>2766</v>
      </c>
      <c r="E65" s="44"/>
      <c r="F65" s="214"/>
      <c r="G65" s="587" t="s">
        <v>2730</v>
      </c>
      <c r="H65" s="590" t="s">
        <v>21</v>
      </c>
      <c r="I65" s="591" t="str">
        <f>IF($F65="","",IF('TRECHO(S) A IMPRIMIR'!$B$1= 1, SUM(Q65, T65, W65, Z65), IF('TRECHO(S) A IMPRIMIR'!$B$1= 2, T65, IF('TRECHO(S) A IMPRIMIR'!$B$1= 3, W65, 0))))</f>
        <v/>
      </c>
      <c r="J65" s="592" t="s">
        <v>21</v>
      </c>
      <c r="K65" s="593" t="str">
        <f t="shared" si="8"/>
        <v/>
      </c>
      <c r="L65" s="592" t="str">
        <f t="shared" si="13"/>
        <v/>
      </c>
      <c r="M65" s="594" t="str">
        <f t="shared" si="14"/>
        <v/>
      </c>
      <c r="N65" s="439"/>
      <c r="O65" s="673"/>
      <c r="P65" s="361"/>
      <c r="Q65" s="441"/>
      <c r="R65" s="485"/>
      <c r="S65" s="442"/>
      <c r="T65" s="441"/>
      <c r="U65" s="485"/>
      <c r="V65" s="442"/>
      <c r="W65" s="578"/>
      <c r="X65" s="485"/>
      <c r="Y65" s="442"/>
      <c r="Z65" s="441"/>
      <c r="AA65" s="485"/>
      <c r="AB65" s="442"/>
      <c r="AC65" s="672"/>
      <c r="AD65" s="441" t="s">
        <v>21</v>
      </c>
      <c r="AE65" s="674" t="s">
        <v>21</v>
      </c>
      <c r="AF65" s="674" t="s">
        <v>21</v>
      </c>
      <c r="AG65" s="674" t="s">
        <v>21</v>
      </c>
      <c r="AH65" s="442" t="s">
        <v>21</v>
      </c>
      <c r="AI65" s="442" t="str">
        <f t="shared" si="15"/>
        <v/>
      </c>
      <c r="AK65" s="3" t="str">
        <f>IF(F65="", " ", VLOOKUP(F65,#REF!, 1, FALSE))</f>
        <v xml:space="preserve"> </v>
      </c>
    </row>
    <row r="66" spans="1:37" ht="36" x14ac:dyDescent="0.25">
      <c r="A66" s="587" t="s">
        <v>1288</v>
      </c>
      <c r="B66" s="369" t="s">
        <v>28</v>
      </c>
      <c r="C66" s="588"/>
      <c r="D66" s="589" t="s">
        <v>2767</v>
      </c>
      <c r="E66" s="44" t="s">
        <v>27</v>
      </c>
      <c r="F66" s="214">
        <v>94962</v>
      </c>
      <c r="G66" s="587" t="s">
        <v>3658</v>
      </c>
      <c r="H66" s="590" t="s">
        <v>44</v>
      </c>
      <c r="I66" s="591">
        <v>9.99</v>
      </c>
      <c r="J66" s="592">
        <v>329.54</v>
      </c>
      <c r="K66" s="593">
        <v>0.2033513845915047</v>
      </c>
      <c r="L66" s="592">
        <v>396.55241527828446</v>
      </c>
      <c r="M66" s="594">
        <v>3961.5586286300618</v>
      </c>
      <c r="N66" s="439"/>
      <c r="O66" s="673"/>
      <c r="P66" s="361"/>
      <c r="Q66" s="441"/>
      <c r="R66" s="485"/>
      <c r="S66" s="442"/>
      <c r="T66" s="441">
        <v>7.1400000000000006</v>
      </c>
      <c r="U66" s="485"/>
      <c r="V66" s="442"/>
      <c r="W66" s="441">
        <v>2.85</v>
      </c>
      <c r="X66" s="485"/>
      <c r="Y66" s="442"/>
      <c r="Z66" s="441"/>
      <c r="AA66" s="485"/>
      <c r="AB66" s="442"/>
      <c r="AC66" s="672"/>
      <c r="AD66" s="441">
        <v>550.82422881540765</v>
      </c>
      <c r="AE66" s="674">
        <v>3396.1884086128503</v>
      </c>
      <c r="AF66" s="674">
        <v>7.2128881992414788</v>
      </c>
      <c r="AG66" s="674">
        <v>0</v>
      </c>
      <c r="AH66" s="442">
        <v>7.3331030025621704</v>
      </c>
      <c r="AI66" s="442">
        <v>0</v>
      </c>
      <c r="AK66" s="3" t="e">
        <f>IF(F66="", " ", VLOOKUP(F66,#REF!, 1, FALSE))</f>
        <v>#REF!</v>
      </c>
    </row>
    <row r="67" spans="1:37" ht="48" x14ac:dyDescent="0.25">
      <c r="A67" s="587" t="s">
        <v>1871</v>
      </c>
      <c r="B67" s="369" t="s">
        <v>20</v>
      </c>
      <c r="C67" s="588"/>
      <c r="D67" s="589" t="s">
        <v>2768</v>
      </c>
      <c r="E67" s="44" t="s">
        <v>27</v>
      </c>
      <c r="F67" s="214">
        <v>100341</v>
      </c>
      <c r="G67" s="587" t="s">
        <v>582</v>
      </c>
      <c r="H67" s="590" t="s">
        <v>51</v>
      </c>
      <c r="I67" s="591">
        <v>442.45</v>
      </c>
      <c r="J67" s="592">
        <v>29.98</v>
      </c>
      <c r="K67" s="593">
        <v>0.2033513845915047</v>
      </c>
      <c r="L67" s="592">
        <v>36.076474510053309</v>
      </c>
      <c r="M67" s="594">
        <v>15962.036146973087</v>
      </c>
      <c r="N67" s="439"/>
      <c r="O67" s="673"/>
      <c r="P67" s="361"/>
      <c r="Q67" s="441"/>
      <c r="R67" s="485"/>
      <c r="S67" s="442"/>
      <c r="T67" s="441">
        <v>320.99</v>
      </c>
      <c r="U67" s="485"/>
      <c r="V67" s="442"/>
      <c r="W67" s="441">
        <v>121.46</v>
      </c>
      <c r="X67" s="485"/>
      <c r="Y67" s="442"/>
      <c r="Z67" s="441"/>
      <c r="AA67" s="485"/>
      <c r="AB67" s="442"/>
      <c r="AC67" s="672"/>
      <c r="AD67" s="441">
        <v>6421.0192105568858</v>
      </c>
      <c r="AE67" s="674">
        <v>7523.1344481897841</v>
      </c>
      <c r="AF67" s="674">
        <v>2017.8824882264175</v>
      </c>
      <c r="AG67" s="674">
        <v>0</v>
      </c>
      <c r="AH67" s="442">
        <v>0</v>
      </c>
      <c r="AI67" s="442">
        <v>0</v>
      </c>
      <c r="AK67" s="3" t="e">
        <f>IF(F67="", " ", VLOOKUP(F67,#REF!, 1, FALSE))</f>
        <v>#REF!</v>
      </c>
    </row>
    <row r="68" spans="1:37" ht="36" x14ac:dyDescent="0.25">
      <c r="A68" s="587" t="s">
        <v>2720</v>
      </c>
      <c r="B68" s="369" t="s">
        <v>23</v>
      </c>
      <c r="C68" s="588"/>
      <c r="D68" s="589" t="s">
        <v>2769</v>
      </c>
      <c r="E68" s="44" t="s">
        <v>27</v>
      </c>
      <c r="F68" s="214">
        <v>101010</v>
      </c>
      <c r="G68" s="587" t="s">
        <v>770</v>
      </c>
      <c r="H68" s="590" t="s">
        <v>55</v>
      </c>
      <c r="I68" s="591">
        <v>9.4008000000000003</v>
      </c>
      <c r="J68" s="592">
        <v>17.260000000000002</v>
      </c>
      <c r="K68" s="593">
        <v>0.2033513845915047</v>
      </c>
      <c r="L68" s="592">
        <v>20.769844898049374</v>
      </c>
      <c r="M68" s="594">
        <v>195.25315791758257</v>
      </c>
      <c r="N68" s="439"/>
      <c r="O68" s="673"/>
      <c r="P68" s="361"/>
      <c r="Q68" s="441"/>
      <c r="R68" s="485"/>
      <c r="S68" s="442"/>
      <c r="T68" s="441">
        <v>6.7488000000000001</v>
      </c>
      <c r="U68" s="485"/>
      <c r="V68" s="442"/>
      <c r="W68" s="441">
        <v>2.6520000000000001</v>
      </c>
      <c r="X68" s="485"/>
      <c r="Y68" s="442"/>
      <c r="Z68" s="441"/>
      <c r="AA68" s="485"/>
      <c r="AB68" s="442"/>
      <c r="AC68" s="672"/>
      <c r="AD68" s="441">
        <v>19.118067026692611</v>
      </c>
      <c r="AE68" s="674">
        <v>128.73585962352777</v>
      </c>
      <c r="AF68" s="674">
        <v>47.399231267362161</v>
      </c>
      <c r="AG68" s="674">
        <v>0</v>
      </c>
      <c r="AH68" s="442">
        <v>0</v>
      </c>
      <c r="AI68" s="442">
        <v>2.8421709430404007E-14</v>
      </c>
      <c r="AK68" s="3" t="e">
        <f>IF(F68="", " ", VLOOKUP(F68,#REF!, 1, FALSE))</f>
        <v>#REF!</v>
      </c>
    </row>
    <row r="69" spans="1:37" ht="48" x14ac:dyDescent="0.25">
      <c r="A69" s="587" t="s">
        <v>2721</v>
      </c>
      <c r="B69" s="369" t="s">
        <v>25</v>
      </c>
      <c r="C69" s="588"/>
      <c r="D69" s="589" t="s">
        <v>2770</v>
      </c>
      <c r="E69" s="44" t="s">
        <v>27</v>
      </c>
      <c r="F69" s="214">
        <v>100954</v>
      </c>
      <c r="G69" s="587" t="s">
        <v>794</v>
      </c>
      <c r="H69" s="590" t="s">
        <v>42</v>
      </c>
      <c r="I69" s="591">
        <v>8.34</v>
      </c>
      <c r="J69" s="592">
        <v>5.41</v>
      </c>
      <c r="K69" s="593">
        <v>0.2033513845915047</v>
      </c>
      <c r="L69" s="592">
        <v>6.5101309906400404</v>
      </c>
      <c r="M69" s="594">
        <v>54.294492461937935</v>
      </c>
      <c r="N69" s="439"/>
      <c r="O69" s="673"/>
      <c r="P69" s="361"/>
      <c r="Q69" s="441">
        <v>0</v>
      </c>
      <c r="R69" s="485"/>
      <c r="S69" s="442">
        <v>0</v>
      </c>
      <c r="T69" s="441">
        <v>6.7488000000000001</v>
      </c>
      <c r="U69" s="485"/>
      <c r="V69" s="442">
        <v>1</v>
      </c>
      <c r="W69" s="578">
        <v>1.5911999999999999</v>
      </c>
      <c r="X69" s="485"/>
      <c r="Y69" s="442">
        <v>0.6</v>
      </c>
      <c r="Z69" s="441">
        <v>0</v>
      </c>
      <c r="AA69" s="485"/>
      <c r="AB69" s="442">
        <v>0</v>
      </c>
      <c r="AC69" s="672"/>
      <c r="AD69" s="441">
        <v>5.2186942846964381</v>
      </c>
      <c r="AE69" s="674">
        <v>36.129421970975336</v>
      </c>
      <c r="AF69" s="674">
        <v>12.946376206266162</v>
      </c>
      <c r="AG69" s="674">
        <v>0</v>
      </c>
      <c r="AH69" s="442">
        <v>0</v>
      </c>
      <c r="AI69" s="442">
        <v>0</v>
      </c>
      <c r="AK69" s="3" t="e">
        <f>IF(F69="", " ", VLOOKUP(F69,#REF!, 1, FALSE))</f>
        <v>#REF!</v>
      </c>
    </row>
    <row r="70" spans="1:37" ht="48" x14ac:dyDescent="0.25">
      <c r="A70" s="587" t="s">
        <v>2976</v>
      </c>
      <c r="B70" s="369" t="s">
        <v>1880</v>
      </c>
      <c r="C70" s="588"/>
      <c r="D70" s="589" t="s">
        <v>2771</v>
      </c>
      <c r="E70" s="44" t="s">
        <v>27</v>
      </c>
      <c r="F70" s="214">
        <v>92916</v>
      </c>
      <c r="G70" s="587" t="s">
        <v>507</v>
      </c>
      <c r="H70" s="590" t="s">
        <v>54</v>
      </c>
      <c r="I70" s="591">
        <v>1566.8</v>
      </c>
      <c r="J70" s="592">
        <v>16.38</v>
      </c>
      <c r="K70" s="593">
        <v>0.2033513845915047</v>
      </c>
      <c r="L70" s="592">
        <v>19.710895679608846</v>
      </c>
      <c r="M70" s="594">
        <v>30883.031350811139</v>
      </c>
      <c r="N70" s="439"/>
      <c r="O70" s="673"/>
      <c r="P70" s="361"/>
      <c r="Q70" s="441"/>
      <c r="R70" s="485"/>
      <c r="S70" s="442"/>
      <c r="T70" s="441">
        <v>1124.8</v>
      </c>
      <c r="U70" s="485"/>
      <c r="V70" s="442"/>
      <c r="W70" s="441">
        <v>442</v>
      </c>
      <c r="X70" s="485"/>
      <c r="Y70" s="442"/>
      <c r="Z70" s="441"/>
      <c r="AA70" s="485"/>
      <c r="AB70" s="442"/>
      <c r="AC70" s="672"/>
      <c r="AD70" s="441">
        <v>6448.1054468726561</v>
      </c>
      <c r="AE70" s="674">
        <v>24434.925903938485</v>
      </c>
      <c r="AF70" s="674">
        <v>0</v>
      </c>
      <c r="AG70" s="674">
        <v>0</v>
      </c>
      <c r="AH70" s="442">
        <v>0</v>
      </c>
      <c r="AI70" s="442">
        <v>-3.637978807091713E-12</v>
      </c>
      <c r="AK70" s="3" t="e">
        <f>IF(F70="", " ", VLOOKUP(F70,#REF!, 1, FALSE))</f>
        <v>#REF!</v>
      </c>
    </row>
    <row r="71" spans="1:37" ht="48" x14ac:dyDescent="0.25">
      <c r="A71" s="587" t="s">
        <v>2977</v>
      </c>
      <c r="B71" s="369" t="s">
        <v>1880</v>
      </c>
      <c r="C71" s="588"/>
      <c r="D71" s="589" t="s">
        <v>2772</v>
      </c>
      <c r="E71" s="44" t="s">
        <v>27</v>
      </c>
      <c r="F71" s="214">
        <v>92917</v>
      </c>
      <c r="G71" s="587" t="s">
        <v>508</v>
      </c>
      <c r="H71" s="590" t="s">
        <v>54</v>
      </c>
      <c r="I71" s="591">
        <v>2350.1999999999998</v>
      </c>
      <c r="J71" s="592">
        <v>15.38</v>
      </c>
      <c r="K71" s="593">
        <v>0.2033513845915047</v>
      </c>
      <c r="L71" s="592">
        <v>18.507544295017343</v>
      </c>
      <c r="M71" s="594">
        <v>43496.430602149754</v>
      </c>
      <c r="N71" s="439"/>
      <c r="O71" s="673"/>
      <c r="P71" s="361"/>
      <c r="Q71" s="441"/>
      <c r="R71" s="485"/>
      <c r="S71" s="442"/>
      <c r="T71" s="441">
        <v>1687.2</v>
      </c>
      <c r="U71" s="485"/>
      <c r="V71" s="442"/>
      <c r="W71" s="441">
        <v>663</v>
      </c>
      <c r="X71" s="485"/>
      <c r="Y71" s="442"/>
      <c r="Z71" s="441"/>
      <c r="AA71" s="485"/>
      <c r="AB71" s="442"/>
      <c r="AC71" s="672"/>
      <c r="AD71" s="441">
        <v>6674.3547607980108</v>
      </c>
      <c r="AE71" s="674">
        <v>36822.07584135174</v>
      </c>
      <c r="AF71" s="674">
        <v>0</v>
      </c>
      <c r="AG71" s="674">
        <v>0</v>
      </c>
      <c r="AH71" s="442">
        <v>0</v>
      </c>
      <c r="AI71" s="442">
        <v>7.2759576141834259E-12</v>
      </c>
      <c r="AK71" s="3" t="e">
        <f>IF(F71="", " ", VLOOKUP(F71,#REF!, 1, FALSE))</f>
        <v>#REF!</v>
      </c>
    </row>
    <row r="72" spans="1:37" ht="48" x14ac:dyDescent="0.25">
      <c r="A72" s="587" t="s">
        <v>2978</v>
      </c>
      <c r="B72" s="369" t="s">
        <v>1880</v>
      </c>
      <c r="C72" s="588"/>
      <c r="D72" s="589" t="s">
        <v>2773</v>
      </c>
      <c r="E72" s="44" t="s">
        <v>27</v>
      </c>
      <c r="F72" s="214">
        <v>92919</v>
      </c>
      <c r="G72" s="587" t="s">
        <v>502</v>
      </c>
      <c r="H72" s="590" t="s">
        <v>54</v>
      </c>
      <c r="I72" s="591">
        <v>3917</v>
      </c>
      <c r="J72" s="592">
        <v>13.76</v>
      </c>
      <c r="K72" s="593">
        <v>0.2033513845915047</v>
      </c>
      <c r="L72" s="592">
        <v>16.558115051979104</v>
      </c>
      <c r="M72" s="594">
        <v>64858.136658602154</v>
      </c>
      <c r="N72" s="439"/>
      <c r="O72" s="673"/>
      <c r="P72" s="361"/>
      <c r="Q72" s="441"/>
      <c r="R72" s="485"/>
      <c r="S72" s="442"/>
      <c r="T72" s="441">
        <v>2812</v>
      </c>
      <c r="U72" s="485"/>
      <c r="V72" s="442"/>
      <c r="W72" s="441">
        <v>1105</v>
      </c>
      <c r="X72" s="485"/>
      <c r="Y72" s="442"/>
      <c r="Z72" s="441"/>
      <c r="AA72" s="485"/>
      <c r="AB72" s="442"/>
      <c r="AC72" s="672"/>
      <c r="AD72" s="441">
        <v>7918.7259873874718</v>
      </c>
      <c r="AE72" s="674">
        <v>56939.410671214682</v>
      </c>
      <c r="AF72" s="674">
        <v>0</v>
      </c>
      <c r="AG72" s="674">
        <v>0</v>
      </c>
      <c r="AH72" s="442">
        <v>0</v>
      </c>
      <c r="AI72" s="442">
        <v>0</v>
      </c>
      <c r="AK72" s="3" t="e">
        <f>IF(F72="", " ", VLOOKUP(F72,#REF!, 1, FALSE))</f>
        <v>#REF!</v>
      </c>
    </row>
    <row r="73" spans="1:37" ht="48" x14ac:dyDescent="0.25">
      <c r="A73" s="587" t="s">
        <v>2979</v>
      </c>
      <c r="B73" s="369" t="s">
        <v>1880</v>
      </c>
      <c r="C73" s="588"/>
      <c r="D73" s="589" t="s">
        <v>2774</v>
      </c>
      <c r="E73" s="44" t="s">
        <v>27</v>
      </c>
      <c r="F73" s="214">
        <v>92921</v>
      </c>
      <c r="G73" s="587" t="s">
        <v>503</v>
      </c>
      <c r="H73" s="590" t="s">
        <v>54</v>
      </c>
      <c r="I73" s="591">
        <v>1566.8</v>
      </c>
      <c r="J73" s="592">
        <v>11.58</v>
      </c>
      <c r="K73" s="593">
        <v>0.2033513845915047</v>
      </c>
      <c r="L73" s="592">
        <v>13.934809033569625</v>
      </c>
      <c r="M73" s="594">
        <v>21833.058793796888</v>
      </c>
      <c r="N73" s="439"/>
      <c r="O73" s="673"/>
      <c r="P73" s="361"/>
      <c r="Q73" s="441"/>
      <c r="R73" s="485"/>
      <c r="S73" s="442"/>
      <c r="T73" s="441">
        <v>1124.8</v>
      </c>
      <c r="U73" s="485"/>
      <c r="V73" s="442"/>
      <c r="W73" s="441">
        <v>442</v>
      </c>
      <c r="X73" s="485"/>
      <c r="Y73" s="442"/>
      <c r="Z73" s="441"/>
      <c r="AA73" s="485"/>
      <c r="AB73" s="442"/>
      <c r="AC73" s="672"/>
      <c r="AD73" s="441">
        <v>2205.9308107722245</v>
      </c>
      <c r="AE73" s="674">
        <v>19627.12798302466</v>
      </c>
      <c r="AF73" s="674">
        <v>0</v>
      </c>
      <c r="AG73" s="674">
        <v>0</v>
      </c>
      <c r="AH73" s="442">
        <v>0</v>
      </c>
      <c r="AI73" s="442">
        <v>3.637978807091713E-12</v>
      </c>
      <c r="AK73" s="3" t="e">
        <f>IF(F73="", " ", VLOOKUP(F73,#REF!, 1, FALSE))</f>
        <v>#REF!</v>
      </c>
    </row>
    <row r="74" spans="1:37" ht="36" x14ac:dyDescent="0.25">
      <c r="A74" s="587" t="s">
        <v>1865</v>
      </c>
      <c r="B74" s="369" t="s">
        <v>28</v>
      </c>
      <c r="C74" s="588"/>
      <c r="D74" s="589" t="s">
        <v>2778</v>
      </c>
      <c r="E74" s="44" t="s">
        <v>27</v>
      </c>
      <c r="F74" s="214">
        <v>94965</v>
      </c>
      <c r="G74" s="587" t="s">
        <v>3659</v>
      </c>
      <c r="H74" s="590" t="s">
        <v>44</v>
      </c>
      <c r="I74" s="591">
        <v>78.34</v>
      </c>
      <c r="J74" s="592">
        <v>402.84</v>
      </c>
      <c r="K74" s="593">
        <v>0.2033513845915047</v>
      </c>
      <c r="L74" s="592">
        <v>484.75807176884172</v>
      </c>
      <c r="M74" s="594">
        <v>37975.947342371059</v>
      </c>
      <c r="N74" s="439"/>
      <c r="O74" s="673"/>
      <c r="P74" s="361"/>
      <c r="Q74" s="441"/>
      <c r="R74" s="485"/>
      <c r="S74" s="442"/>
      <c r="T74" s="441">
        <v>56.24</v>
      </c>
      <c r="U74" s="485"/>
      <c r="V74" s="442"/>
      <c r="W74" s="441">
        <v>22.1</v>
      </c>
      <c r="X74" s="485"/>
      <c r="Y74" s="442"/>
      <c r="Z74" s="441"/>
      <c r="AA74" s="485"/>
      <c r="AB74" s="442"/>
      <c r="AC74" s="672"/>
      <c r="AD74" s="441">
        <v>4263.8568620182778</v>
      </c>
      <c r="AE74" s="674">
        <v>33598.965823390114</v>
      </c>
      <c r="AF74" s="674">
        <v>55.619623006650102</v>
      </c>
      <c r="AG74" s="674">
        <v>0</v>
      </c>
      <c r="AH74" s="442">
        <v>57.505033956028072</v>
      </c>
      <c r="AI74" s="442">
        <v>-7.2759576141834259E-12</v>
      </c>
      <c r="AK74" s="3" t="e">
        <f>IF(F74="", " ", VLOOKUP(F74,#REF!, 1, FALSE))</f>
        <v>#REF!</v>
      </c>
    </row>
    <row r="75" spans="1:37" ht="36" x14ac:dyDescent="0.25">
      <c r="A75" s="587" t="s">
        <v>2727</v>
      </c>
      <c r="B75" s="369" t="s">
        <v>28</v>
      </c>
      <c r="C75" s="588"/>
      <c r="D75" s="589" t="s">
        <v>2779</v>
      </c>
      <c r="E75" s="44" t="s">
        <v>27</v>
      </c>
      <c r="F75" s="214">
        <v>92873</v>
      </c>
      <c r="G75" s="587" t="s">
        <v>595</v>
      </c>
      <c r="H75" s="590" t="s">
        <v>44</v>
      </c>
      <c r="I75" s="591">
        <v>78.34</v>
      </c>
      <c r="J75" s="592">
        <v>186.89</v>
      </c>
      <c r="K75" s="593">
        <v>0.2033513845915047</v>
      </c>
      <c r="L75" s="592">
        <v>224.8943402663063</v>
      </c>
      <c r="M75" s="594">
        <v>17618.222616462437</v>
      </c>
      <c r="N75" s="439"/>
      <c r="O75" s="673"/>
      <c r="P75" s="361"/>
      <c r="Q75" s="441"/>
      <c r="R75" s="485"/>
      <c r="S75" s="442"/>
      <c r="T75" s="441">
        <v>56.24</v>
      </c>
      <c r="U75" s="485"/>
      <c r="V75" s="442"/>
      <c r="W75" s="441">
        <v>22.1</v>
      </c>
      <c r="X75" s="485"/>
      <c r="Y75" s="442"/>
      <c r="Z75" s="441"/>
      <c r="AA75" s="485"/>
      <c r="AB75" s="442"/>
      <c r="AC75" s="672"/>
      <c r="AD75" s="441">
        <v>12227.832712190822</v>
      </c>
      <c r="AE75" s="674">
        <v>5247.0986721188901</v>
      </c>
      <c r="AF75" s="674">
        <v>92.385136519520515</v>
      </c>
      <c r="AG75" s="674">
        <v>0</v>
      </c>
      <c r="AH75" s="442">
        <v>50.906095633205183</v>
      </c>
      <c r="AI75" s="442">
        <v>0</v>
      </c>
      <c r="AK75" s="3" t="e">
        <f>IF(F75="", " ", VLOOKUP(F75,#REF!, 1, FALSE))</f>
        <v>#REF!</v>
      </c>
    </row>
    <row r="76" spans="1:37" x14ac:dyDescent="0.25">
      <c r="A76" s="587" t="s">
        <v>2731</v>
      </c>
      <c r="B76" s="369" t="s">
        <v>20</v>
      </c>
      <c r="C76" s="588"/>
      <c r="D76" s="589" t="s">
        <v>2775</v>
      </c>
      <c r="E76" s="44" t="s">
        <v>27</v>
      </c>
      <c r="F76" s="214" t="s">
        <v>568</v>
      </c>
      <c r="G76" s="587" t="s">
        <v>74</v>
      </c>
      <c r="H76" s="590" t="s">
        <v>51</v>
      </c>
      <c r="I76" s="591">
        <v>283.83</v>
      </c>
      <c r="J76" s="592">
        <v>6.44</v>
      </c>
      <c r="K76" s="593">
        <v>0.2033513845915047</v>
      </c>
      <c r="L76" s="592">
        <v>7.7495829167692909</v>
      </c>
      <c r="M76" s="594">
        <v>2199.5641192666276</v>
      </c>
      <c r="N76" s="439"/>
      <c r="O76" s="673"/>
      <c r="P76" s="361"/>
      <c r="Q76" s="441"/>
      <c r="R76" s="485"/>
      <c r="S76" s="442"/>
      <c r="T76" s="441">
        <v>203.13</v>
      </c>
      <c r="U76" s="485"/>
      <c r="V76" s="442"/>
      <c r="W76" s="441">
        <v>80.7</v>
      </c>
      <c r="X76" s="485"/>
      <c r="Y76" s="442"/>
      <c r="Z76" s="441"/>
      <c r="AA76" s="485"/>
      <c r="AB76" s="442"/>
      <c r="AC76" s="672"/>
      <c r="AD76" s="441">
        <v>75.140389167493495</v>
      </c>
      <c r="AE76" s="674">
        <v>2124.423730099134</v>
      </c>
      <c r="AF76" s="674">
        <v>0</v>
      </c>
      <c r="AG76" s="674">
        <v>0</v>
      </c>
      <c r="AH76" s="442">
        <v>0</v>
      </c>
      <c r="AI76" s="442">
        <v>0</v>
      </c>
      <c r="AK76" s="3" t="e">
        <f>IF(F76="", " ", VLOOKUP(F76,#REF!, 1, FALSE))</f>
        <v>#REF!</v>
      </c>
    </row>
    <row r="77" spans="1:37" ht="36" x14ac:dyDescent="0.25">
      <c r="A77" s="587" t="s">
        <v>2709</v>
      </c>
      <c r="B77" s="369" t="s">
        <v>25</v>
      </c>
      <c r="C77" s="588"/>
      <c r="D77" s="589" t="s">
        <v>2776</v>
      </c>
      <c r="E77" s="44" t="s">
        <v>27</v>
      </c>
      <c r="F77" s="214">
        <v>95879</v>
      </c>
      <c r="G77" s="587" t="s">
        <v>789</v>
      </c>
      <c r="H77" s="590" t="s">
        <v>42</v>
      </c>
      <c r="I77" s="591">
        <v>6697.42425</v>
      </c>
      <c r="J77" s="592">
        <v>1.04</v>
      </c>
      <c r="K77" s="593">
        <v>0.2033513845915047</v>
      </c>
      <c r="L77" s="592">
        <v>1.2514854399751649</v>
      </c>
      <c r="M77" s="594">
        <v>8381.7289342115891</v>
      </c>
      <c r="N77" s="439"/>
      <c r="O77" s="673"/>
      <c r="P77" s="361"/>
      <c r="Q77" s="441">
        <v>0</v>
      </c>
      <c r="R77" s="485"/>
      <c r="S77" s="442">
        <v>0</v>
      </c>
      <c r="T77" s="441">
        <v>4822.9830000000002</v>
      </c>
      <c r="U77" s="485"/>
      <c r="V77" s="442">
        <v>30</v>
      </c>
      <c r="W77" s="578">
        <v>1874.4412500000001</v>
      </c>
      <c r="X77" s="485"/>
      <c r="Y77" s="442">
        <v>30</v>
      </c>
      <c r="Z77" s="441">
        <v>0</v>
      </c>
      <c r="AA77" s="485"/>
      <c r="AB77" s="442">
        <v>0</v>
      </c>
      <c r="AC77" s="672"/>
      <c r="AD77" s="441">
        <v>564.15483211039543</v>
      </c>
      <c r="AE77" s="674">
        <v>4835.6128466605314</v>
      </c>
      <c r="AF77" s="674">
        <v>2981.9612554406613</v>
      </c>
      <c r="AG77" s="674">
        <v>0</v>
      </c>
      <c r="AH77" s="442">
        <v>0</v>
      </c>
      <c r="AI77" s="442">
        <v>1.8189894035458565E-12</v>
      </c>
      <c r="AK77" s="3" t="e">
        <f>IF(F77="", " ", VLOOKUP(F77,#REF!, 1, FALSE))</f>
        <v>#REF!</v>
      </c>
    </row>
    <row r="78" spans="1:37" ht="36" x14ac:dyDescent="0.25">
      <c r="A78" s="587" t="s">
        <v>2710</v>
      </c>
      <c r="B78" s="369" t="s">
        <v>25</v>
      </c>
      <c r="C78" s="588"/>
      <c r="D78" s="589" t="s">
        <v>2777</v>
      </c>
      <c r="E78" s="44" t="s">
        <v>27</v>
      </c>
      <c r="F78" s="214">
        <v>93599</v>
      </c>
      <c r="G78" s="587" t="s">
        <v>788</v>
      </c>
      <c r="H78" s="590" t="s">
        <v>42</v>
      </c>
      <c r="I78" s="591">
        <v>6027.6818249999997</v>
      </c>
      <c r="J78" s="592">
        <v>0.41</v>
      </c>
      <c r="K78" s="593">
        <v>0.2033513845915047</v>
      </c>
      <c r="L78" s="592">
        <v>0.4933740676825169</v>
      </c>
      <c r="M78" s="594">
        <v>2973.9019006962267</v>
      </c>
      <c r="N78" s="439"/>
      <c r="O78" s="673"/>
      <c r="P78" s="361"/>
      <c r="Q78" s="441">
        <v>0</v>
      </c>
      <c r="R78" s="485"/>
      <c r="S78" s="442">
        <v>0</v>
      </c>
      <c r="T78" s="441">
        <v>4340.6846999999998</v>
      </c>
      <c r="U78" s="485"/>
      <c r="V78" s="442">
        <v>27</v>
      </c>
      <c r="W78" s="578">
        <v>1686.9971250000001</v>
      </c>
      <c r="X78" s="485"/>
      <c r="Y78" s="442">
        <v>27</v>
      </c>
      <c r="Z78" s="441">
        <v>0</v>
      </c>
      <c r="AA78" s="485"/>
      <c r="AB78" s="442">
        <v>0</v>
      </c>
      <c r="AC78" s="672"/>
      <c r="AD78" s="441">
        <v>145.06838539981595</v>
      </c>
      <c r="AE78" s="674">
        <v>1813.3548174976993</v>
      </c>
      <c r="AF78" s="674">
        <v>1015.4786977987118</v>
      </c>
      <c r="AG78" s="674">
        <v>0</v>
      </c>
      <c r="AH78" s="442">
        <v>0</v>
      </c>
      <c r="AI78" s="442">
        <v>-4.5474735088646412E-13</v>
      </c>
      <c r="AK78" s="3" t="e">
        <f>IF(F78="", " ", VLOOKUP(F78,#REF!, 1, FALSE))</f>
        <v>#REF!</v>
      </c>
    </row>
    <row r="79" spans="1:37" ht="36" x14ac:dyDescent="0.25">
      <c r="A79" s="587" t="s">
        <v>2711</v>
      </c>
      <c r="B79" s="369" t="s">
        <v>25</v>
      </c>
      <c r="C79" s="588"/>
      <c r="D79" s="589" t="s">
        <v>2819</v>
      </c>
      <c r="E79" s="44" t="s">
        <v>27</v>
      </c>
      <c r="F79" s="214">
        <v>100943</v>
      </c>
      <c r="G79" s="587" t="s">
        <v>786</v>
      </c>
      <c r="H79" s="590" t="s">
        <v>42</v>
      </c>
      <c r="I79" s="591">
        <v>198.25492499999999</v>
      </c>
      <c r="J79" s="592">
        <v>3.1</v>
      </c>
      <c r="K79" s="593">
        <v>0.2033513845915047</v>
      </c>
      <c r="L79" s="592">
        <v>3.7303892922336646</v>
      </c>
      <c r="M79" s="594">
        <v>739.56804935258822</v>
      </c>
      <c r="N79" s="439"/>
      <c r="O79" s="673"/>
      <c r="P79" s="361"/>
      <c r="Q79" s="441">
        <v>0</v>
      </c>
      <c r="R79" s="485"/>
      <c r="S79" s="442">
        <v>0</v>
      </c>
      <c r="T79" s="441">
        <v>160.76609999999999</v>
      </c>
      <c r="U79" s="485"/>
      <c r="V79" s="442">
        <v>1</v>
      </c>
      <c r="W79" s="578">
        <v>37.488824999999999</v>
      </c>
      <c r="X79" s="485"/>
      <c r="Y79" s="442">
        <v>0.6</v>
      </c>
      <c r="Z79" s="441">
        <v>0</v>
      </c>
      <c r="AA79" s="485"/>
      <c r="AB79" s="442">
        <v>0</v>
      </c>
      <c r="AC79" s="672"/>
      <c r="AD79" s="441">
        <v>52.485474470183675</v>
      </c>
      <c r="AE79" s="674">
        <v>412.72668560644439</v>
      </c>
      <c r="AF79" s="674">
        <v>274.35588927596012</v>
      </c>
      <c r="AG79" s="674">
        <v>0</v>
      </c>
      <c r="AH79" s="442">
        <v>0</v>
      </c>
      <c r="AI79" s="442">
        <v>1.1368683772161603E-13</v>
      </c>
      <c r="AK79" s="3" t="e">
        <f>IF(F79="", " ", VLOOKUP(F79,#REF!, 1, FALSE))</f>
        <v>#REF!</v>
      </c>
    </row>
    <row r="80" spans="1:37" ht="60" x14ac:dyDescent="0.25">
      <c r="A80" s="587" t="s">
        <v>2717</v>
      </c>
      <c r="B80" s="369" t="s">
        <v>28</v>
      </c>
      <c r="C80" s="588"/>
      <c r="D80" s="589" t="s">
        <v>2940</v>
      </c>
      <c r="E80" s="44" t="s">
        <v>27</v>
      </c>
      <c r="F80" s="214">
        <v>92743</v>
      </c>
      <c r="G80" s="587" t="s">
        <v>609</v>
      </c>
      <c r="H80" s="590" t="s">
        <v>44</v>
      </c>
      <c r="I80" s="591">
        <v>110.67999999999999</v>
      </c>
      <c r="J80" s="592">
        <v>587.59</v>
      </c>
      <c r="K80" s="593">
        <v>0.2033513845915047</v>
      </c>
      <c r="L80" s="592">
        <v>707.07724007212232</v>
      </c>
      <c r="M80" s="594">
        <v>78259.308931182488</v>
      </c>
      <c r="N80" s="439"/>
      <c r="O80" s="673"/>
      <c r="P80" s="361"/>
      <c r="Q80" s="441"/>
      <c r="R80" s="485">
        <v>1.65</v>
      </c>
      <c r="S80" s="442"/>
      <c r="T80" s="441">
        <v>79.539999999999992</v>
      </c>
      <c r="U80" s="485">
        <v>1.65</v>
      </c>
      <c r="V80" s="442"/>
      <c r="W80" s="441">
        <v>31.14</v>
      </c>
      <c r="X80" s="485">
        <v>1.65</v>
      </c>
      <c r="Y80" s="442"/>
      <c r="Z80" s="441"/>
      <c r="AA80" s="485">
        <v>1.65</v>
      </c>
      <c r="AB80" s="442"/>
      <c r="AC80" s="672"/>
      <c r="AD80" s="441">
        <v>12179.944862500448</v>
      </c>
      <c r="AE80" s="674">
        <v>61256.665288243101</v>
      </c>
      <c r="AF80" s="674">
        <v>4822.6987804389419</v>
      </c>
      <c r="AG80" s="674">
        <v>0</v>
      </c>
      <c r="AH80" s="442">
        <v>0</v>
      </c>
      <c r="AI80" s="442">
        <v>0</v>
      </c>
      <c r="AK80" s="3" t="e">
        <f>IF(F80="", " ", VLOOKUP(F80,#REF!, 1, FALSE))</f>
        <v>#REF!</v>
      </c>
    </row>
    <row r="81" spans="1:37" ht="48" x14ac:dyDescent="0.25">
      <c r="A81" s="587" t="s">
        <v>1394</v>
      </c>
      <c r="B81" s="369" t="s">
        <v>20</v>
      </c>
      <c r="C81" s="588"/>
      <c r="D81" s="589" t="s">
        <v>2941</v>
      </c>
      <c r="E81" s="44" t="s">
        <v>27</v>
      </c>
      <c r="F81" s="214">
        <v>92756</v>
      </c>
      <c r="G81" s="587" t="s">
        <v>629</v>
      </c>
      <c r="H81" s="590" t="s">
        <v>51</v>
      </c>
      <c r="I81" s="591">
        <v>107.05</v>
      </c>
      <c r="J81" s="592">
        <v>231.86</v>
      </c>
      <c r="K81" s="593">
        <v>0.2033513845915047</v>
      </c>
      <c r="L81" s="592">
        <v>279.00905203138632</v>
      </c>
      <c r="M81" s="594">
        <v>29867.919019959903</v>
      </c>
      <c r="N81" s="439"/>
      <c r="O81" s="673"/>
      <c r="P81" s="361"/>
      <c r="Q81" s="441"/>
      <c r="R81" s="794">
        <v>0.3795</v>
      </c>
      <c r="S81" s="442"/>
      <c r="T81" s="441">
        <v>77.8</v>
      </c>
      <c r="U81" s="794">
        <v>0.3795</v>
      </c>
      <c r="V81" s="442"/>
      <c r="W81" s="441">
        <v>29.25</v>
      </c>
      <c r="X81" s="794">
        <v>0.3795</v>
      </c>
      <c r="Y81" s="442"/>
      <c r="Z81" s="441"/>
      <c r="AA81" s="794">
        <v>0.3795</v>
      </c>
      <c r="AB81" s="442"/>
      <c r="AC81" s="672"/>
      <c r="AD81" s="441">
        <v>4607.8472498230212</v>
      </c>
      <c r="AE81" s="674">
        <v>23371.588664674047</v>
      </c>
      <c r="AF81" s="674">
        <v>1888.4831054628316</v>
      </c>
      <c r="AG81" s="674">
        <v>0</v>
      </c>
      <c r="AH81" s="442">
        <v>0</v>
      </c>
      <c r="AI81" s="442">
        <v>3.637978807091713E-12</v>
      </c>
      <c r="AK81" s="3" t="e">
        <f>IF(F81="", " ", VLOOKUP(F81,#REF!, 1, FALSE))</f>
        <v>#REF!</v>
      </c>
    </row>
    <row r="82" spans="1:37" ht="36" x14ac:dyDescent="0.25">
      <c r="A82" s="1145" t="s">
        <v>2783</v>
      </c>
      <c r="B82" s="1146"/>
      <c r="C82" s="1147"/>
      <c r="D82" s="1148" t="s">
        <v>2780</v>
      </c>
      <c r="E82" s="1146"/>
      <c r="F82" s="1149"/>
      <c r="G82" s="1145" t="s">
        <v>2783</v>
      </c>
      <c r="H82" s="1150" t="s">
        <v>21</v>
      </c>
      <c r="I82" s="1151" t="s">
        <v>21</v>
      </c>
      <c r="J82" s="1152" t="s">
        <v>21</v>
      </c>
      <c r="K82" s="1153" t="s">
        <v>21</v>
      </c>
      <c r="L82" s="1152" t="s">
        <v>21</v>
      </c>
      <c r="M82" s="1154">
        <v>655724.36746758281</v>
      </c>
      <c r="N82" s="1155"/>
      <c r="O82" s="1156"/>
      <c r="P82" s="1157"/>
      <c r="Q82" s="1158"/>
      <c r="R82" s="1159"/>
      <c r="S82" s="1160"/>
      <c r="T82" s="1158"/>
      <c r="U82" s="1159"/>
      <c r="V82" s="1160"/>
      <c r="W82" s="1161"/>
      <c r="X82" s="1159"/>
      <c r="Y82" s="1160"/>
      <c r="Z82" s="1158"/>
      <c r="AA82" s="1159"/>
      <c r="AB82" s="1160"/>
      <c r="AC82" s="1162"/>
      <c r="AD82" s="1158" t="s">
        <v>21</v>
      </c>
      <c r="AE82" s="1163" t="s">
        <v>21</v>
      </c>
      <c r="AF82" s="1163" t="s">
        <v>21</v>
      </c>
      <c r="AG82" s="1163" t="s">
        <v>21</v>
      </c>
      <c r="AH82" s="1160" t="s">
        <v>21</v>
      </c>
      <c r="AI82" s="1160" t="s">
        <v>21</v>
      </c>
      <c r="AK82" s="3" t="str">
        <f>IF(F82="", " ", VLOOKUP(F82,#REF!, 1, FALSE))</f>
        <v xml:space="preserve"> </v>
      </c>
    </row>
    <row r="83" spans="1:37" x14ac:dyDescent="0.25">
      <c r="A83" s="587" t="s">
        <v>2967</v>
      </c>
      <c r="B83" s="369"/>
      <c r="C83" s="588"/>
      <c r="D83" s="589" t="s">
        <v>2781</v>
      </c>
      <c r="E83" s="44"/>
      <c r="F83" s="214"/>
      <c r="G83" s="587" t="s">
        <v>2967</v>
      </c>
      <c r="H83" s="590" t="s">
        <v>21</v>
      </c>
      <c r="I83" s="591" t="s">
        <v>21</v>
      </c>
      <c r="J83" s="592" t="s">
        <v>21</v>
      </c>
      <c r="K83" s="593" t="s">
        <v>21</v>
      </c>
      <c r="L83" s="592" t="s">
        <v>21</v>
      </c>
      <c r="M83" s="594">
        <v>493692.32449966553</v>
      </c>
      <c r="N83" s="439"/>
      <c r="O83" s="673"/>
      <c r="P83" s="361"/>
      <c r="Q83" s="441"/>
      <c r="R83" s="485"/>
      <c r="S83" s="442"/>
      <c r="T83" s="441"/>
      <c r="U83" s="485"/>
      <c r="V83" s="442"/>
      <c r="W83" s="578"/>
      <c r="X83" s="485"/>
      <c r="Y83" s="442"/>
      <c r="Z83" s="441"/>
      <c r="AA83" s="485"/>
      <c r="AB83" s="442"/>
      <c r="AC83" s="672"/>
      <c r="AD83" s="441" t="s">
        <v>21</v>
      </c>
      <c r="AE83" s="674" t="s">
        <v>21</v>
      </c>
      <c r="AF83" s="674" t="s">
        <v>21</v>
      </c>
      <c r="AG83" s="674" t="s">
        <v>21</v>
      </c>
      <c r="AH83" s="442" t="s">
        <v>21</v>
      </c>
      <c r="AI83" s="442" t="s">
        <v>21</v>
      </c>
      <c r="AK83" s="3" t="str">
        <f>IF(F83="", " ", VLOOKUP(F83,#REF!, 1, FALSE))</f>
        <v xml:space="preserve"> </v>
      </c>
    </row>
    <row r="84" spans="1:37" ht="36" x14ac:dyDescent="0.25">
      <c r="A84" s="587" t="s">
        <v>2709</v>
      </c>
      <c r="B84" s="369" t="s">
        <v>25</v>
      </c>
      <c r="C84" s="588"/>
      <c r="D84" s="589" t="s">
        <v>2955</v>
      </c>
      <c r="E84" s="44" t="s">
        <v>27</v>
      </c>
      <c r="F84" s="214">
        <v>95879</v>
      </c>
      <c r="G84" s="587" t="s">
        <v>789</v>
      </c>
      <c r="H84" s="590" t="s">
        <v>42</v>
      </c>
      <c r="I84" s="591">
        <v>30337.480799999998</v>
      </c>
      <c r="J84" s="592">
        <v>1.04</v>
      </c>
      <c r="K84" s="593">
        <v>0.2033513845915047</v>
      </c>
      <c r="L84" s="592">
        <v>1.2514854399751649</v>
      </c>
      <c r="M84" s="594">
        <v>37966.915506726116</v>
      </c>
      <c r="N84" s="439"/>
      <c r="O84" s="673"/>
      <c r="P84" s="361"/>
      <c r="Q84" s="441">
        <v>0</v>
      </c>
      <c r="R84" s="485"/>
      <c r="S84" s="442">
        <v>0</v>
      </c>
      <c r="T84" s="441">
        <v>8452.125</v>
      </c>
      <c r="U84" s="485"/>
      <c r="V84" s="442">
        <v>30</v>
      </c>
      <c r="W84" s="578">
        <v>21885.355799999998</v>
      </c>
      <c r="X84" s="485"/>
      <c r="Y84" s="442">
        <v>30</v>
      </c>
      <c r="Z84" s="441">
        <v>0</v>
      </c>
      <c r="AA84" s="485"/>
      <c r="AB84" s="442">
        <v>0</v>
      </c>
      <c r="AC84" s="672"/>
      <c r="AD84" s="441">
        <v>2555.4654667988734</v>
      </c>
      <c r="AE84" s="674">
        <v>21903.989715418909</v>
      </c>
      <c r="AF84" s="674">
        <v>13507.460324508329</v>
      </c>
      <c r="AG84" s="674">
        <v>0</v>
      </c>
      <c r="AH84" s="442">
        <v>0</v>
      </c>
      <c r="AI84" s="442">
        <v>7.2759576141834259E-12</v>
      </c>
      <c r="AK84" s="3" t="e">
        <f>IF(F84="", " ", VLOOKUP(F84,#REF!, 1, FALSE))</f>
        <v>#REF!</v>
      </c>
    </row>
    <row r="85" spans="1:37" ht="36" x14ac:dyDescent="0.25">
      <c r="A85" s="587" t="s">
        <v>2710</v>
      </c>
      <c r="B85" s="369" t="s">
        <v>25</v>
      </c>
      <c r="C85" s="588"/>
      <c r="D85" s="589" t="s">
        <v>2956</v>
      </c>
      <c r="E85" s="44" t="s">
        <v>27</v>
      </c>
      <c r="F85" s="214">
        <v>93599</v>
      </c>
      <c r="G85" s="587" t="s">
        <v>788</v>
      </c>
      <c r="H85" s="590" t="s">
        <v>42</v>
      </c>
      <c r="I85" s="591">
        <v>27303.73272</v>
      </c>
      <c r="J85" s="592">
        <v>0.41</v>
      </c>
      <c r="K85" s="593">
        <v>0.2033513845915047</v>
      </c>
      <c r="L85" s="592">
        <v>0.4933740676825169</v>
      </c>
      <c r="M85" s="594">
        <v>13470.953674982631</v>
      </c>
      <c r="N85" s="439"/>
      <c r="O85" s="673"/>
      <c r="P85" s="361"/>
      <c r="Q85" s="441">
        <v>0</v>
      </c>
      <c r="R85" s="485"/>
      <c r="S85" s="442">
        <v>0</v>
      </c>
      <c r="T85" s="441">
        <v>7606.9125000000004</v>
      </c>
      <c r="U85" s="485"/>
      <c r="V85" s="442">
        <v>27</v>
      </c>
      <c r="W85" s="578">
        <v>19696.820219999998</v>
      </c>
      <c r="X85" s="485"/>
      <c r="Y85" s="442">
        <v>27</v>
      </c>
      <c r="Z85" s="441">
        <v>0</v>
      </c>
      <c r="AA85" s="485"/>
      <c r="AB85" s="442">
        <v>0</v>
      </c>
      <c r="AC85" s="672"/>
      <c r="AD85" s="441">
        <v>657.1196914625674</v>
      </c>
      <c r="AE85" s="674">
        <v>8213.9961432820928</v>
      </c>
      <c r="AF85" s="674">
        <v>4599.8378402379722</v>
      </c>
      <c r="AG85" s="674">
        <v>0</v>
      </c>
      <c r="AH85" s="442">
        <v>0</v>
      </c>
      <c r="AI85" s="442">
        <v>-1.8189894035458565E-12</v>
      </c>
      <c r="AK85" s="3" t="e">
        <f>IF(F85="", " ", VLOOKUP(F85,#REF!, 1, FALSE))</f>
        <v>#REF!</v>
      </c>
    </row>
    <row r="86" spans="1:37" ht="36" x14ac:dyDescent="0.25">
      <c r="A86" s="587" t="s">
        <v>2711</v>
      </c>
      <c r="B86" s="369" t="s">
        <v>25</v>
      </c>
      <c r="C86" s="588"/>
      <c r="D86" s="589" t="s">
        <v>2957</v>
      </c>
      <c r="E86" s="44" t="s">
        <v>27</v>
      </c>
      <c r="F86" s="214">
        <v>100943</v>
      </c>
      <c r="G86" s="587" t="s">
        <v>786</v>
      </c>
      <c r="H86" s="590" t="s">
        <v>42</v>
      </c>
      <c r="I86" s="591">
        <v>719.444616</v>
      </c>
      <c r="J86" s="592">
        <v>3.1</v>
      </c>
      <c r="K86" s="593">
        <v>0.2033513845915047</v>
      </c>
      <c r="L86" s="592">
        <v>3.7303892922336646</v>
      </c>
      <c r="M86" s="594">
        <v>2683.8084918815607</v>
      </c>
      <c r="N86" s="439"/>
      <c r="O86" s="673"/>
      <c r="P86" s="361"/>
      <c r="Q86" s="441">
        <v>0</v>
      </c>
      <c r="R86" s="485"/>
      <c r="S86" s="442">
        <v>0</v>
      </c>
      <c r="T86" s="441">
        <v>281.73750000000001</v>
      </c>
      <c r="U86" s="485"/>
      <c r="V86" s="442">
        <v>1</v>
      </c>
      <c r="W86" s="578">
        <v>437.70711599999998</v>
      </c>
      <c r="X86" s="485"/>
      <c r="Y86" s="442">
        <v>0.6</v>
      </c>
      <c r="Z86" s="441">
        <v>0</v>
      </c>
      <c r="AA86" s="485"/>
      <c r="AB86" s="442">
        <v>0</v>
      </c>
      <c r="AC86" s="672"/>
      <c r="AD86" s="441">
        <v>190.46382845611075</v>
      </c>
      <c r="AE86" s="674">
        <v>1497.738287404871</v>
      </c>
      <c r="AF86" s="674">
        <v>995.60637602057886</v>
      </c>
      <c r="AG86" s="674">
        <v>0</v>
      </c>
      <c r="AH86" s="442">
        <v>0</v>
      </c>
      <c r="AI86" s="442">
        <v>0</v>
      </c>
      <c r="AK86" s="3" t="e">
        <f>IF(F86="", " ", VLOOKUP(F86,#REF!, 1, FALSE))</f>
        <v>#REF!</v>
      </c>
    </row>
    <row r="87" spans="1:37" x14ac:dyDescent="0.25">
      <c r="A87" s="587" t="s">
        <v>2712</v>
      </c>
      <c r="B87" s="369" t="s">
        <v>26</v>
      </c>
      <c r="C87" s="588"/>
      <c r="D87" s="589" t="s">
        <v>2958</v>
      </c>
      <c r="E87" s="44" t="s">
        <v>138</v>
      </c>
      <c r="F87" s="214" t="s">
        <v>2346</v>
      </c>
      <c r="G87" s="587" t="s">
        <v>2352</v>
      </c>
      <c r="H87" s="590" t="s">
        <v>22</v>
      </c>
      <c r="I87" s="591">
        <v>3.5</v>
      </c>
      <c r="J87" s="592">
        <v>223.64474999999999</v>
      </c>
      <c r="K87" s="593">
        <v>0.11096635744680849</v>
      </c>
      <c r="L87" s="592">
        <v>248.46179326960211</v>
      </c>
      <c r="M87" s="594">
        <v>869.61627644360738</v>
      </c>
      <c r="N87" s="439"/>
      <c r="O87" s="673"/>
      <c r="P87" s="361"/>
      <c r="Q87" s="441"/>
      <c r="R87" s="485"/>
      <c r="S87" s="442"/>
      <c r="T87" s="441">
        <v>3.5</v>
      </c>
      <c r="U87" s="485"/>
      <c r="V87" s="442"/>
      <c r="W87" s="441">
        <v>0</v>
      </c>
      <c r="X87" s="485"/>
      <c r="Y87" s="442"/>
      <c r="Z87" s="441"/>
      <c r="AA87" s="485"/>
      <c r="AB87" s="442"/>
      <c r="AC87" s="672"/>
      <c r="AD87" s="441">
        <v>0</v>
      </c>
      <c r="AE87" s="674">
        <v>869.61627644360738</v>
      </c>
      <c r="AF87" s="674">
        <v>0</v>
      </c>
      <c r="AG87" s="674">
        <v>0</v>
      </c>
      <c r="AH87" s="442">
        <v>0</v>
      </c>
      <c r="AI87" s="442">
        <v>0</v>
      </c>
      <c r="AK87" s="3" t="e">
        <f>IF(F87="", " ", VLOOKUP(F87,#REF!, 1, FALSE))</f>
        <v>#REF!</v>
      </c>
    </row>
    <row r="88" spans="1:37" ht="36" x14ac:dyDescent="0.25">
      <c r="A88" s="587" t="s">
        <v>2713</v>
      </c>
      <c r="B88" s="369" t="s">
        <v>23</v>
      </c>
      <c r="C88" s="588"/>
      <c r="D88" s="589" t="s">
        <v>2959</v>
      </c>
      <c r="E88" s="44" t="s">
        <v>27</v>
      </c>
      <c r="F88" s="214">
        <v>101463</v>
      </c>
      <c r="G88" s="587" t="s">
        <v>780</v>
      </c>
      <c r="H88" s="590" t="s">
        <v>55</v>
      </c>
      <c r="I88" s="591">
        <v>1.6099999999999999</v>
      </c>
      <c r="J88" s="592">
        <v>30.23</v>
      </c>
      <c r="K88" s="593">
        <v>0.2033513845915047</v>
      </c>
      <c r="L88" s="592">
        <v>36.377312356201188</v>
      </c>
      <c r="M88" s="594">
        <v>58.56747289348391</v>
      </c>
      <c r="N88" s="439"/>
      <c r="O88" s="673"/>
      <c r="P88" s="361"/>
      <c r="Q88" s="441"/>
      <c r="R88" s="485"/>
      <c r="S88" s="442"/>
      <c r="T88" s="441">
        <v>1.6099999999999999</v>
      </c>
      <c r="U88" s="485"/>
      <c r="V88" s="442"/>
      <c r="W88" s="441">
        <v>0</v>
      </c>
      <c r="X88" s="485"/>
      <c r="Y88" s="442"/>
      <c r="Z88" s="441"/>
      <c r="AA88" s="485"/>
      <c r="AB88" s="442"/>
      <c r="AC88" s="672"/>
      <c r="AD88" s="441">
        <v>12.496202453290479</v>
      </c>
      <c r="AE88" s="674">
        <v>34.737505424418337</v>
      </c>
      <c r="AF88" s="674">
        <v>11.333765015775084</v>
      </c>
      <c r="AG88" s="674">
        <v>0</v>
      </c>
      <c r="AH88" s="442">
        <v>0</v>
      </c>
      <c r="AI88" s="442">
        <v>7.1054273576010019E-15</v>
      </c>
      <c r="AK88" s="3" t="e">
        <f>IF(F88="", " ", VLOOKUP(F88,#REF!, 1, FALSE))</f>
        <v>#REF!</v>
      </c>
    </row>
    <row r="89" spans="1:37" ht="48" x14ac:dyDescent="0.25">
      <c r="A89" s="587" t="s">
        <v>2714</v>
      </c>
      <c r="B89" s="369" t="s">
        <v>25</v>
      </c>
      <c r="C89" s="588"/>
      <c r="D89" s="589" t="s">
        <v>2960</v>
      </c>
      <c r="E89" s="44" t="s">
        <v>27</v>
      </c>
      <c r="F89" s="214">
        <v>100952</v>
      </c>
      <c r="G89" s="587" t="s">
        <v>797</v>
      </c>
      <c r="H89" s="590" t="s">
        <v>42</v>
      </c>
      <c r="I89" s="591">
        <v>12.879999999999999</v>
      </c>
      <c r="J89" s="592">
        <v>1.81</v>
      </c>
      <c r="K89" s="593">
        <v>0.2033513845915047</v>
      </c>
      <c r="L89" s="592">
        <v>2.1780660061106234</v>
      </c>
      <c r="M89" s="594">
        <v>28.053490158704829</v>
      </c>
      <c r="N89" s="439"/>
      <c r="O89" s="673"/>
      <c r="P89" s="361"/>
      <c r="Q89" s="441">
        <v>0</v>
      </c>
      <c r="R89" s="485"/>
      <c r="S89" s="442">
        <v>0</v>
      </c>
      <c r="T89" s="441">
        <v>12.879999999999999</v>
      </c>
      <c r="U89" s="485"/>
      <c r="V89" s="442">
        <v>8</v>
      </c>
      <c r="W89" s="441">
        <v>0</v>
      </c>
      <c r="X89" s="485"/>
      <c r="Y89" s="442">
        <v>3</v>
      </c>
      <c r="Z89" s="441">
        <v>0</v>
      </c>
      <c r="AA89" s="485"/>
      <c r="AB89" s="442">
        <v>0</v>
      </c>
      <c r="AC89" s="672"/>
      <c r="AD89" s="441">
        <v>2.6348581917015585</v>
      </c>
      <c r="AE89" s="674">
        <v>19.218965633587839</v>
      </c>
      <c r="AF89" s="674">
        <v>6.1996663334154327</v>
      </c>
      <c r="AG89" s="674">
        <v>0</v>
      </c>
      <c r="AH89" s="442">
        <v>0</v>
      </c>
      <c r="AI89" s="442">
        <v>0</v>
      </c>
      <c r="AK89" s="3" t="e">
        <f>IF(F89="", " ", VLOOKUP(F89,#REF!, 1, FALSE))</f>
        <v>#REF!</v>
      </c>
    </row>
    <row r="90" spans="1:37" ht="48" hidden="1" x14ac:dyDescent="0.25">
      <c r="A90" s="587" t="s">
        <v>2715</v>
      </c>
      <c r="B90" s="369" t="s">
        <v>25</v>
      </c>
      <c r="C90" s="588"/>
      <c r="D90" s="589" t="s">
        <v>2961</v>
      </c>
      <c r="E90" s="44" t="s">
        <v>27</v>
      </c>
      <c r="F90" s="214">
        <v>100953</v>
      </c>
      <c r="G90" s="587" t="s">
        <v>796</v>
      </c>
      <c r="H90" s="590" t="s">
        <v>42</v>
      </c>
      <c r="I90" s="591">
        <f>IF($F90="","",IF('TRECHO(S) A IMPRIMIR'!$B$1= 1, SUM(Q90, T90, W90, Z90), IF('TRECHO(S) A IMPRIMIR'!$B$1= 2, T90, IF('TRECHO(S) A IMPRIMIR'!$B$1= 3, W90, 0))))</f>
        <v>0</v>
      </c>
      <c r="J90" s="592">
        <v>0.71</v>
      </c>
      <c r="K90" s="593">
        <f t="shared" si="8"/>
        <v>0.2033513845915047</v>
      </c>
      <c r="L90" s="592">
        <f t="shared" ref="L82:L96" si="16">IF(J90="","",
  IF(AND(J90&lt;&gt;"",K90=""),J90,J90 * (1 + K90)))</f>
        <v>0.85437948305996825</v>
      </c>
      <c r="M90" s="594">
        <f t="shared" ref="M84:M96" si="17">IF(OR(I90="",L90=""),"",I90*L90)</f>
        <v>0</v>
      </c>
      <c r="N90" s="439"/>
      <c r="O90" s="673"/>
      <c r="P90" s="361"/>
      <c r="Q90" s="441">
        <f>Q88 * S90</f>
        <v>0</v>
      </c>
      <c r="R90" s="485"/>
      <c r="S90" s="442">
        <v>0</v>
      </c>
      <c r="T90" s="441">
        <f>T88 * V90</f>
        <v>0</v>
      </c>
      <c r="U90" s="485"/>
      <c r="V90" s="442">
        <f>IF('MLQ-DMT-TR1'!$E$11 &gt; 30, 'MLQ-DMT-TR1'!$E$11 - 30, 0)</f>
        <v>0</v>
      </c>
      <c r="W90" s="441">
        <f>W88 * Y90</f>
        <v>0</v>
      </c>
      <c r="X90" s="485"/>
      <c r="Y90" s="442">
        <f>IF('MLQ-DMT-TR3'!$E$11 &gt; 30, 'MLQ-DMT-TR3'!$E$11 - 30, 0)</f>
        <v>0</v>
      </c>
      <c r="Z90" s="441">
        <f>Z88 * AB90</f>
        <v>0</v>
      </c>
      <c r="AA90" s="485"/>
      <c r="AB90" s="442">
        <v>0</v>
      </c>
      <c r="AC90" s="672"/>
      <c r="AD90" s="441" t="s">
        <v>21</v>
      </c>
      <c r="AE90" s="674" t="s">
        <v>21</v>
      </c>
      <c r="AF90" s="674" t="s">
        <v>21</v>
      </c>
      <c r="AG90" s="674" t="s">
        <v>21</v>
      </c>
      <c r="AH90" s="442" t="s">
        <v>21</v>
      </c>
      <c r="AI90" s="442" t="str">
        <f t="shared" ref="AI82:AI96" si="18">IF(SUM(AD90:AH90)=0,"",M90 - SUM(AD90:AH90))</f>
        <v/>
      </c>
      <c r="AK90" s="3" t="e">
        <f>IF(F90="", " ", VLOOKUP(F90,#REF!, 1, FALSE))</f>
        <v>#REF!</v>
      </c>
    </row>
    <row r="91" spans="1:37" ht="48" x14ac:dyDescent="0.25">
      <c r="A91" s="587" t="s">
        <v>2716</v>
      </c>
      <c r="B91" s="369" t="s">
        <v>25</v>
      </c>
      <c r="C91" s="588"/>
      <c r="D91" s="589" t="s">
        <v>2962</v>
      </c>
      <c r="E91" s="44" t="s">
        <v>27</v>
      </c>
      <c r="F91" s="214">
        <v>100954</v>
      </c>
      <c r="G91" s="587" t="s">
        <v>794</v>
      </c>
      <c r="H91" s="590" t="s">
        <v>42</v>
      </c>
      <c r="I91" s="591">
        <v>1.6099999999999999</v>
      </c>
      <c r="J91" s="592">
        <v>5.41</v>
      </c>
      <c r="K91" s="593">
        <v>0.2033513845915047</v>
      </c>
      <c r="L91" s="592">
        <v>6.5101309906400404</v>
      </c>
      <c r="M91" s="594">
        <v>10.481310894930465</v>
      </c>
      <c r="N91" s="439"/>
      <c r="O91" s="673"/>
      <c r="P91" s="361"/>
      <c r="Q91" s="441">
        <v>0</v>
      </c>
      <c r="R91" s="485"/>
      <c r="S91" s="442">
        <v>0</v>
      </c>
      <c r="T91" s="441">
        <v>1.6099999999999999</v>
      </c>
      <c r="U91" s="485"/>
      <c r="V91" s="442">
        <v>1</v>
      </c>
      <c r="W91" s="441">
        <v>0</v>
      </c>
      <c r="X91" s="485"/>
      <c r="Y91" s="442">
        <v>0.6</v>
      </c>
      <c r="Z91" s="441">
        <v>0</v>
      </c>
      <c r="AA91" s="485"/>
      <c r="AB91" s="442">
        <v>0</v>
      </c>
      <c r="AC91" s="672"/>
      <c r="AD91" s="441">
        <v>1.0074457791800078</v>
      </c>
      <c r="AE91" s="674">
        <v>6.9746246250923605</v>
      </c>
      <c r="AF91" s="674">
        <v>2.4992404906580958</v>
      </c>
      <c r="AG91" s="674">
        <v>0</v>
      </c>
      <c r="AH91" s="442">
        <v>0</v>
      </c>
      <c r="AI91" s="442">
        <v>0</v>
      </c>
      <c r="AK91" s="3" t="e">
        <f>IF(F91="", " ", VLOOKUP(F91,#REF!, 1, FALSE))</f>
        <v>#REF!</v>
      </c>
    </row>
    <row r="92" spans="1:37" ht="60" x14ac:dyDescent="0.25">
      <c r="A92" s="587" t="s">
        <v>3002</v>
      </c>
      <c r="B92" s="369" t="s">
        <v>26</v>
      </c>
      <c r="C92" s="588"/>
      <c r="D92" s="589" t="s">
        <v>2963</v>
      </c>
      <c r="E92" s="44" t="s">
        <v>27</v>
      </c>
      <c r="F92" s="214">
        <v>92811</v>
      </c>
      <c r="G92" s="587" t="s">
        <v>522</v>
      </c>
      <c r="H92" s="590" t="s">
        <v>22</v>
      </c>
      <c r="I92" s="591">
        <v>3.5</v>
      </c>
      <c r="J92" s="592">
        <v>57.83</v>
      </c>
      <c r="K92" s="593">
        <v>0.2033513845915047</v>
      </c>
      <c r="L92" s="592">
        <v>69.589810570926716</v>
      </c>
      <c r="M92" s="594">
        <v>243.5643369982435</v>
      </c>
      <c r="N92" s="439"/>
      <c r="O92" s="673"/>
      <c r="P92" s="361"/>
      <c r="Q92" s="441"/>
      <c r="R92" s="485"/>
      <c r="S92" s="442"/>
      <c r="T92" s="441">
        <v>3.5</v>
      </c>
      <c r="U92" s="485"/>
      <c r="V92" s="442"/>
      <c r="W92" s="441">
        <v>0</v>
      </c>
      <c r="X92" s="485"/>
      <c r="Y92" s="442"/>
      <c r="Z92" s="441"/>
      <c r="AA92" s="485"/>
      <c r="AB92" s="442"/>
      <c r="AC92" s="672"/>
      <c r="AD92" s="441">
        <v>102.555621751811</v>
      </c>
      <c r="AE92" s="674">
        <v>72.905043635476304</v>
      </c>
      <c r="AF92" s="674">
        <v>68.103671610956212</v>
      </c>
      <c r="AG92" s="674">
        <v>0</v>
      </c>
      <c r="AH92" s="442">
        <v>0</v>
      </c>
      <c r="AI92" s="442">
        <v>0</v>
      </c>
      <c r="AK92" s="3" t="e">
        <f>IF(F92="", " ", VLOOKUP(F92,#REF!, 1, FALSE))</f>
        <v>#REF!</v>
      </c>
    </row>
    <row r="93" spans="1:37" x14ac:dyDescent="0.25">
      <c r="A93" s="587" t="s">
        <v>2731</v>
      </c>
      <c r="B93" s="369" t="s">
        <v>20</v>
      </c>
      <c r="C93" s="588"/>
      <c r="D93" s="589" t="s">
        <v>2964</v>
      </c>
      <c r="E93" s="44" t="s">
        <v>27</v>
      </c>
      <c r="F93" s="214" t="s">
        <v>568</v>
      </c>
      <c r="G93" s="587" t="s">
        <v>74</v>
      </c>
      <c r="H93" s="590" t="s">
        <v>51</v>
      </c>
      <c r="I93" s="591">
        <v>272.37</v>
      </c>
      <c r="J93" s="592">
        <v>6.44</v>
      </c>
      <c r="K93" s="593">
        <v>0.2033513845915047</v>
      </c>
      <c r="L93" s="592">
        <v>7.7495829167692909</v>
      </c>
      <c r="M93" s="594">
        <v>2110.7538990404519</v>
      </c>
      <c r="N93" s="439"/>
      <c r="O93" s="673"/>
      <c r="P93" s="361"/>
      <c r="Q93" s="441"/>
      <c r="R93" s="485"/>
      <c r="S93" s="442"/>
      <c r="T93" s="441">
        <v>45</v>
      </c>
      <c r="U93" s="485"/>
      <c r="V93" s="442"/>
      <c r="W93" s="441">
        <v>227.37</v>
      </c>
      <c r="X93" s="485"/>
      <c r="Y93" s="442"/>
      <c r="Z93" s="441"/>
      <c r="AA93" s="485"/>
      <c r="AB93" s="442"/>
      <c r="AC93" s="672"/>
      <c r="AD93" s="441">
        <v>72.106499656661384</v>
      </c>
      <c r="AE93" s="674">
        <v>2038.6473993837901</v>
      </c>
      <c r="AF93" s="674">
        <v>0</v>
      </c>
      <c r="AG93" s="674">
        <v>0</v>
      </c>
      <c r="AH93" s="442">
        <v>0</v>
      </c>
      <c r="AI93" s="442">
        <v>4.5474735088646412E-13</v>
      </c>
      <c r="AK93" s="3" t="e">
        <f>IF(F93="", " ", VLOOKUP(F93,#REF!, 1, FALSE))</f>
        <v>#REF!</v>
      </c>
    </row>
    <row r="94" spans="1:37" ht="48" x14ac:dyDescent="0.25">
      <c r="A94" s="587" t="s">
        <v>1394</v>
      </c>
      <c r="B94" s="369" t="s">
        <v>20</v>
      </c>
      <c r="C94" s="588"/>
      <c r="D94" s="589" t="s">
        <v>2965</v>
      </c>
      <c r="E94" s="44" t="s">
        <v>27</v>
      </c>
      <c r="F94" s="214">
        <v>92756</v>
      </c>
      <c r="G94" s="587" t="s">
        <v>629</v>
      </c>
      <c r="H94" s="590" t="s">
        <v>51</v>
      </c>
      <c r="I94" s="591">
        <v>82.08</v>
      </c>
      <c r="J94" s="592">
        <v>231.86</v>
      </c>
      <c r="K94" s="593">
        <v>0.2033513845915047</v>
      </c>
      <c r="L94" s="592">
        <v>279.00905203138632</v>
      </c>
      <c r="M94" s="594">
        <v>22901.062990736187</v>
      </c>
      <c r="N94" s="439"/>
      <c r="O94" s="673"/>
      <c r="P94" s="361"/>
      <c r="Q94" s="441"/>
      <c r="R94" s="794">
        <v>0.3795</v>
      </c>
      <c r="S94" s="442"/>
      <c r="T94" s="441">
        <v>25</v>
      </c>
      <c r="U94" s="485">
        <v>0.3795</v>
      </c>
      <c r="V94" s="442"/>
      <c r="W94" s="441">
        <v>57.08</v>
      </c>
      <c r="X94" s="485">
        <v>0.3795</v>
      </c>
      <c r="Y94" s="442"/>
      <c r="Z94" s="441"/>
      <c r="AA94" s="485">
        <v>0.3795</v>
      </c>
      <c r="AB94" s="442"/>
      <c r="AC94" s="672"/>
      <c r="AD94" s="441">
        <v>3533.0415905228733</v>
      </c>
      <c r="AE94" s="674">
        <v>17920.037343264325</v>
      </c>
      <c r="AF94" s="674">
        <v>1447.9840569489884</v>
      </c>
      <c r="AG94" s="674">
        <v>0</v>
      </c>
      <c r="AH94" s="442">
        <v>0</v>
      </c>
      <c r="AI94" s="442">
        <v>0</v>
      </c>
      <c r="AK94" s="3" t="e">
        <f>IF(F94="", " ", VLOOKUP(F94,#REF!, 1, FALSE))</f>
        <v>#REF!</v>
      </c>
    </row>
    <row r="95" spans="1:37" ht="60" x14ac:dyDescent="0.25">
      <c r="A95" s="587" t="s">
        <v>2717</v>
      </c>
      <c r="B95" s="369" t="s">
        <v>28</v>
      </c>
      <c r="C95" s="588"/>
      <c r="D95" s="589" t="s">
        <v>2966</v>
      </c>
      <c r="E95" s="44" t="s">
        <v>27</v>
      </c>
      <c r="F95" s="214">
        <v>92744</v>
      </c>
      <c r="G95" s="587" t="s">
        <v>611</v>
      </c>
      <c r="H95" s="590" t="s">
        <v>44</v>
      </c>
      <c r="I95" s="591">
        <v>594</v>
      </c>
      <c r="J95" s="592">
        <v>560.29999999999995</v>
      </c>
      <c r="K95" s="593">
        <v>0.2033513845915047</v>
      </c>
      <c r="L95" s="592">
        <v>674.23778078662008</v>
      </c>
      <c r="M95" s="594">
        <v>400497.24178725231</v>
      </c>
      <c r="N95" s="439"/>
      <c r="O95" s="673"/>
      <c r="P95" s="361"/>
      <c r="Q95" s="441"/>
      <c r="R95" s="485">
        <v>1.65</v>
      </c>
      <c r="S95" s="442"/>
      <c r="T95" s="441">
        <v>165</v>
      </c>
      <c r="U95" s="485">
        <v>1.65</v>
      </c>
      <c r="V95" s="442"/>
      <c r="W95" s="441">
        <v>429</v>
      </c>
      <c r="X95" s="485">
        <v>1.65</v>
      </c>
      <c r="Y95" s="442"/>
      <c r="Z95" s="441"/>
      <c r="AA95" s="485">
        <v>1.65</v>
      </c>
      <c r="AB95" s="442"/>
      <c r="AC95" s="672"/>
      <c r="AD95" s="441">
        <v>31558.010396050668</v>
      </c>
      <c r="AE95" s="674">
        <v>356945.0430685351</v>
      </c>
      <c r="AF95" s="674">
        <v>11994.188322666598</v>
      </c>
      <c r="AG95" s="674">
        <v>0</v>
      </c>
      <c r="AH95" s="442">
        <v>0</v>
      </c>
      <c r="AI95" s="442">
        <v>-1.1641532182693481E-10</v>
      </c>
      <c r="AK95" s="3" t="e">
        <f>IF(F95="", " ", VLOOKUP(F95,#REF!, 1, FALSE))</f>
        <v>#REF!</v>
      </c>
    </row>
    <row r="96" spans="1:37" ht="24" x14ac:dyDescent="0.25">
      <c r="A96" s="587" t="s">
        <v>2719</v>
      </c>
      <c r="B96" s="369" t="s">
        <v>20</v>
      </c>
      <c r="C96" s="588"/>
      <c r="D96" s="589" t="s">
        <v>3003</v>
      </c>
      <c r="E96" s="44" t="s">
        <v>138</v>
      </c>
      <c r="F96" s="214" t="s">
        <v>1183</v>
      </c>
      <c r="G96" s="587" t="s">
        <v>2718</v>
      </c>
      <c r="H96" s="590" t="s">
        <v>51</v>
      </c>
      <c r="I96" s="591">
        <v>6.2</v>
      </c>
      <c r="J96" s="592">
        <v>1722.5153</v>
      </c>
      <c r="K96" s="593">
        <v>0.2033513845915047</v>
      </c>
      <c r="L96" s="592">
        <v>2072.791171235051</v>
      </c>
      <c r="M96" s="594">
        <v>12851.305261657317</v>
      </c>
      <c r="N96" s="439"/>
      <c r="O96" s="673"/>
      <c r="P96" s="361"/>
      <c r="Q96" s="441"/>
      <c r="R96" s="485"/>
      <c r="S96" s="442"/>
      <c r="T96" s="441">
        <v>5.2</v>
      </c>
      <c r="U96" s="485"/>
      <c r="V96" s="442"/>
      <c r="W96" s="441">
        <v>1</v>
      </c>
      <c r="X96" s="485"/>
      <c r="Y96" s="442"/>
      <c r="Z96" s="441"/>
      <c r="AA96" s="485"/>
      <c r="AB96" s="442"/>
      <c r="AC96" s="672"/>
      <c r="AD96" s="441">
        <v>11989.39359314172</v>
      </c>
      <c r="AE96" s="674">
        <v>861.4202518995005</v>
      </c>
      <c r="AF96" s="674">
        <v>0.3183265529372728</v>
      </c>
      <c r="AG96" s="674">
        <v>0</v>
      </c>
      <c r="AH96" s="442">
        <v>0.17309006315941095</v>
      </c>
      <c r="AI96" s="442">
        <v>0</v>
      </c>
      <c r="AK96" s="3" t="e">
        <f>IF(F96="", " ", VLOOKUP(F96,#REF!, 1, FALSE))</f>
        <v>#REF!</v>
      </c>
    </row>
    <row r="97" spans="1:37" ht="36" x14ac:dyDescent="0.25">
      <c r="A97" s="587" t="s">
        <v>2969</v>
      </c>
      <c r="B97" s="369"/>
      <c r="C97" s="588"/>
      <c r="D97" s="589" t="s">
        <v>2782</v>
      </c>
      <c r="E97" s="44"/>
      <c r="F97" s="214"/>
      <c r="G97" s="587" t="s">
        <v>2969</v>
      </c>
      <c r="H97" s="590" t="s">
        <v>21</v>
      </c>
      <c r="I97" s="591" t="s">
        <v>21</v>
      </c>
      <c r="J97" s="592" t="s">
        <v>21</v>
      </c>
      <c r="K97" s="593" t="s">
        <v>21</v>
      </c>
      <c r="L97" s="592" t="s">
        <v>21</v>
      </c>
      <c r="M97" s="594">
        <v>162032.04296791714</v>
      </c>
      <c r="N97" s="439"/>
      <c r="O97" s="673"/>
      <c r="P97" s="361"/>
      <c r="Q97" s="441"/>
      <c r="R97" s="485"/>
      <c r="S97" s="442"/>
      <c r="T97" s="441"/>
      <c r="U97" s="485"/>
      <c r="V97" s="442"/>
      <c r="W97" s="578"/>
      <c r="X97" s="485"/>
      <c r="Y97" s="442"/>
      <c r="Z97" s="441"/>
      <c r="AA97" s="485"/>
      <c r="AB97" s="442"/>
      <c r="AC97" s="672"/>
      <c r="AD97" s="441" t="s">
        <v>21</v>
      </c>
      <c r="AE97" s="674" t="s">
        <v>21</v>
      </c>
      <c r="AF97" s="674" t="s">
        <v>21</v>
      </c>
      <c r="AG97" s="674" t="s">
        <v>21</v>
      </c>
      <c r="AH97" s="442" t="s">
        <v>21</v>
      </c>
      <c r="AI97" s="442" t="s">
        <v>21</v>
      </c>
      <c r="AK97" s="3" t="str">
        <f>IF(F97="", " ", VLOOKUP(F97,#REF!, 1, FALSE))</f>
        <v xml:space="preserve"> </v>
      </c>
    </row>
    <row r="98" spans="1:37" x14ac:dyDescent="0.25">
      <c r="A98" s="587" t="s">
        <v>2970</v>
      </c>
      <c r="B98" s="369"/>
      <c r="C98" s="588"/>
      <c r="D98" s="589" t="s">
        <v>2968</v>
      </c>
      <c r="E98" s="44"/>
      <c r="F98" s="214"/>
      <c r="G98" s="587" t="s">
        <v>2970</v>
      </c>
      <c r="H98" s="590" t="s">
        <v>21</v>
      </c>
      <c r="I98" s="591" t="str">
        <f>IF($F98="","",IF('TRECHO(S) A IMPRIMIR'!$B$1= 1, SUM(Q98, T98, W98, Z98), IF('TRECHO(S) A IMPRIMIR'!$B$1= 2, T98, IF('TRECHO(S) A IMPRIMIR'!$B$1= 3, W98, 0))))</f>
        <v/>
      </c>
      <c r="J98" s="592" t="s">
        <v>21</v>
      </c>
      <c r="K98" s="593" t="str">
        <f t="shared" ref="K93:K156" si="19">IF(AND(F98&lt;&gt;"", J98&lt;&gt;""),
  IF(OR(F98= "CP9001", F98= "CP9091", F98= "CP9092"), 0,
  IF(ISNA(VLOOKUP(F98, $M$626:$M$646, 1, FALSE)), $M$4, $M$5)), "")</f>
        <v/>
      </c>
      <c r="L98" s="592" t="str">
        <f t="shared" ref="L97:L123" si="20">IF(J98="","",
  IF(AND(J98&lt;&gt;"",K98=""),J98,J98 * (1 + K98)))</f>
        <v/>
      </c>
      <c r="M98" s="594" t="str">
        <f t="shared" ref="M98:M122" si="21">IF(OR(I98="",L98=""),"",I98*L98)</f>
        <v/>
      </c>
      <c r="N98" s="439"/>
      <c r="O98" s="673"/>
      <c r="P98" s="361"/>
      <c r="Q98" s="441"/>
      <c r="R98" s="485"/>
      <c r="S98" s="442"/>
      <c r="T98" s="441"/>
      <c r="U98" s="485"/>
      <c r="V98" s="442"/>
      <c r="W98" s="578"/>
      <c r="X98" s="485"/>
      <c r="Y98" s="442"/>
      <c r="Z98" s="441"/>
      <c r="AA98" s="485"/>
      <c r="AB98" s="442"/>
      <c r="AC98" s="672"/>
      <c r="AD98" s="441" t="s">
        <v>21</v>
      </c>
      <c r="AE98" s="674" t="s">
        <v>21</v>
      </c>
      <c r="AF98" s="674" t="s">
        <v>21</v>
      </c>
      <c r="AG98" s="674" t="s">
        <v>21</v>
      </c>
      <c r="AH98" s="442" t="s">
        <v>21</v>
      </c>
      <c r="AI98" s="442" t="s">
        <v>21</v>
      </c>
      <c r="AK98" s="3" t="str">
        <f>IF(F98="", " ", VLOOKUP(F98,#REF!, 1, FALSE))</f>
        <v xml:space="preserve"> </v>
      </c>
    </row>
    <row r="99" spans="1:37" ht="24" x14ac:dyDescent="0.25">
      <c r="A99" s="587" t="s">
        <v>2972</v>
      </c>
      <c r="B99" s="369" t="s">
        <v>20</v>
      </c>
      <c r="C99" s="588"/>
      <c r="D99" s="589" t="s">
        <v>2971</v>
      </c>
      <c r="E99" s="44" t="s">
        <v>27</v>
      </c>
      <c r="F99" s="214">
        <v>101616</v>
      </c>
      <c r="G99" s="587" t="s">
        <v>1169</v>
      </c>
      <c r="H99" s="590" t="s">
        <v>51</v>
      </c>
      <c r="I99" s="591">
        <v>210</v>
      </c>
      <c r="J99" s="592">
        <v>5.27</v>
      </c>
      <c r="K99" s="593">
        <v>0.2033513845915047</v>
      </c>
      <c r="L99" s="592">
        <v>6.3416617967972293</v>
      </c>
      <c r="M99" s="594">
        <v>1331.7489773274181</v>
      </c>
      <c r="N99" s="439"/>
      <c r="O99" s="673"/>
      <c r="P99" s="361"/>
      <c r="Q99" s="441"/>
      <c r="R99" s="485"/>
      <c r="S99" s="442"/>
      <c r="T99" s="441">
        <v>210</v>
      </c>
      <c r="U99" s="485"/>
      <c r="V99" s="442"/>
      <c r="W99" s="441">
        <v>0</v>
      </c>
      <c r="X99" s="485"/>
      <c r="Y99" s="442"/>
      <c r="Z99" s="441"/>
      <c r="AA99" s="485"/>
      <c r="AB99" s="442"/>
      <c r="AC99" s="672"/>
      <c r="AD99" s="441">
        <v>945.11217745816793</v>
      </c>
      <c r="AE99" s="674">
        <v>386.63679986925047</v>
      </c>
      <c r="AF99" s="674">
        <v>0</v>
      </c>
      <c r="AG99" s="674">
        <v>0</v>
      </c>
      <c r="AH99" s="442">
        <v>0</v>
      </c>
      <c r="AI99" s="442">
        <v>-2.2737367544323206E-13</v>
      </c>
      <c r="AK99" s="3" t="e">
        <f>IF(F99="", " ", VLOOKUP(F99,#REF!, 1, FALSE))</f>
        <v>#REF!</v>
      </c>
    </row>
    <row r="100" spans="1:37" ht="36" x14ac:dyDescent="0.25">
      <c r="A100" s="587" t="s">
        <v>1288</v>
      </c>
      <c r="B100" s="369" t="s">
        <v>28</v>
      </c>
      <c r="C100" s="588"/>
      <c r="D100" s="589" t="s">
        <v>2975</v>
      </c>
      <c r="E100" s="44" t="s">
        <v>27</v>
      </c>
      <c r="F100" s="214">
        <v>94962</v>
      </c>
      <c r="G100" s="587" t="s">
        <v>3658</v>
      </c>
      <c r="H100" s="590" t="s">
        <v>44</v>
      </c>
      <c r="I100" s="591">
        <v>10.6</v>
      </c>
      <c r="J100" s="592">
        <v>329.54</v>
      </c>
      <c r="K100" s="593">
        <v>0.2033513845915047</v>
      </c>
      <c r="L100" s="592">
        <v>396.55241527828446</v>
      </c>
      <c r="M100" s="594">
        <v>4203.455601949815</v>
      </c>
      <c r="N100" s="439"/>
      <c r="O100" s="673"/>
      <c r="P100" s="361"/>
      <c r="Q100" s="441"/>
      <c r="R100" s="485"/>
      <c r="S100" s="442"/>
      <c r="T100" s="441">
        <v>10.6</v>
      </c>
      <c r="U100" s="485"/>
      <c r="V100" s="442"/>
      <c r="W100" s="441">
        <v>0</v>
      </c>
      <c r="X100" s="485"/>
      <c r="Y100" s="442"/>
      <c r="Z100" s="441"/>
      <c r="AA100" s="485"/>
      <c r="AB100" s="442"/>
      <c r="AC100" s="672"/>
      <c r="AD100" s="441">
        <v>584.45814068501716</v>
      </c>
      <c r="AE100" s="674">
        <v>3603.5632764060274</v>
      </c>
      <c r="AF100" s="674">
        <v>7.6533148060019691</v>
      </c>
      <c r="AG100" s="674">
        <v>0</v>
      </c>
      <c r="AH100" s="442">
        <v>7.7808700527686687</v>
      </c>
      <c r="AI100" s="442">
        <v>0</v>
      </c>
      <c r="AK100" s="3" t="e">
        <f>IF(F100="", " ", VLOOKUP(F100,#REF!, 1, FALSE))</f>
        <v>#REF!</v>
      </c>
    </row>
    <row r="101" spans="1:37" x14ac:dyDescent="0.25">
      <c r="A101" s="587" t="s">
        <v>2980</v>
      </c>
      <c r="B101" s="369"/>
      <c r="C101" s="588"/>
      <c r="D101" s="589" t="s">
        <v>2973</v>
      </c>
      <c r="E101" s="44"/>
      <c r="F101" s="214"/>
      <c r="G101" s="587" t="s">
        <v>2980</v>
      </c>
      <c r="H101" s="590" t="s">
        <v>21</v>
      </c>
      <c r="I101" s="591" t="s">
        <v>21</v>
      </c>
      <c r="J101" s="592" t="s">
        <v>21</v>
      </c>
      <c r="K101" s="593" t="s">
        <v>21</v>
      </c>
      <c r="L101" s="592" t="s">
        <v>21</v>
      </c>
      <c r="M101" s="594" t="s">
        <v>21</v>
      </c>
      <c r="N101" s="439"/>
      <c r="O101" s="673"/>
      <c r="P101" s="361"/>
      <c r="Q101" s="441"/>
      <c r="R101" s="485"/>
      <c r="S101" s="442"/>
      <c r="T101" s="441"/>
      <c r="U101" s="485"/>
      <c r="V101" s="442"/>
      <c r="W101" s="441"/>
      <c r="X101" s="485"/>
      <c r="Y101" s="442"/>
      <c r="Z101" s="441"/>
      <c r="AA101" s="485"/>
      <c r="AB101" s="442"/>
      <c r="AC101" s="672"/>
      <c r="AD101" s="441" t="s">
        <v>21</v>
      </c>
      <c r="AE101" s="674" t="s">
        <v>21</v>
      </c>
      <c r="AF101" s="674" t="s">
        <v>21</v>
      </c>
      <c r="AG101" s="674" t="s">
        <v>21</v>
      </c>
      <c r="AH101" s="442" t="s">
        <v>21</v>
      </c>
      <c r="AI101" s="442" t="s">
        <v>21</v>
      </c>
      <c r="AK101" s="3" t="str">
        <f>IF(F101="", " ", VLOOKUP(F101,#REF!, 1, FALSE))</f>
        <v xml:space="preserve"> </v>
      </c>
    </row>
    <row r="102" spans="1:37" x14ac:dyDescent="0.25">
      <c r="A102" s="587" t="s">
        <v>2577</v>
      </c>
      <c r="B102" s="369" t="s">
        <v>26</v>
      </c>
      <c r="C102" s="588"/>
      <c r="D102" s="589" t="s">
        <v>2974</v>
      </c>
      <c r="E102" s="44" t="s">
        <v>138</v>
      </c>
      <c r="F102" s="214" t="s">
        <v>2333</v>
      </c>
      <c r="G102" s="587" t="s">
        <v>2351</v>
      </c>
      <c r="H102" s="590" t="s">
        <v>22</v>
      </c>
      <c r="I102" s="591">
        <v>11</v>
      </c>
      <c r="J102" s="592">
        <v>48.144249999999992</v>
      </c>
      <c r="K102" s="593">
        <v>0.11096635744680849</v>
      </c>
      <c r="L102" s="592">
        <v>53.486642054508501</v>
      </c>
      <c r="M102" s="594">
        <v>588.3530625995935</v>
      </c>
      <c r="N102" s="439"/>
      <c r="O102" s="673"/>
      <c r="P102" s="361"/>
      <c r="Q102" s="441"/>
      <c r="R102" s="485"/>
      <c r="S102" s="442"/>
      <c r="T102" s="441">
        <v>11</v>
      </c>
      <c r="U102" s="485"/>
      <c r="V102" s="442"/>
      <c r="W102" s="441">
        <v>0</v>
      </c>
      <c r="X102" s="485"/>
      <c r="Y102" s="442"/>
      <c r="Z102" s="441"/>
      <c r="AA102" s="485"/>
      <c r="AB102" s="442"/>
      <c r="AC102" s="672"/>
      <c r="AD102" s="441">
        <v>0</v>
      </c>
      <c r="AE102" s="674">
        <v>588.3530625995935</v>
      </c>
      <c r="AF102" s="674">
        <v>0</v>
      </c>
      <c r="AG102" s="674">
        <v>0</v>
      </c>
      <c r="AH102" s="442">
        <v>0</v>
      </c>
      <c r="AI102" s="442">
        <v>0</v>
      </c>
      <c r="AK102" s="3" t="e">
        <f>IF(F102="", " ", VLOOKUP(F102,#REF!, 1, FALSE))</f>
        <v>#REF!</v>
      </c>
    </row>
    <row r="103" spans="1:37" ht="36" x14ac:dyDescent="0.25">
      <c r="A103" s="587" t="s">
        <v>2713</v>
      </c>
      <c r="B103" s="369" t="s">
        <v>23</v>
      </c>
      <c r="C103" s="588"/>
      <c r="D103" s="589" t="s">
        <v>2983</v>
      </c>
      <c r="E103" s="44" t="s">
        <v>27</v>
      </c>
      <c r="F103" s="214">
        <v>101014</v>
      </c>
      <c r="G103" s="587" t="s">
        <v>778</v>
      </c>
      <c r="H103" s="590" t="s">
        <v>55</v>
      </c>
      <c r="I103" s="591">
        <v>2.7115</v>
      </c>
      <c r="J103" s="592">
        <v>27.61</v>
      </c>
      <c r="K103" s="593">
        <v>0.2033513845915047</v>
      </c>
      <c r="L103" s="592">
        <v>33.224531728571442</v>
      </c>
      <c r="M103" s="594">
        <v>90.088317782021463</v>
      </c>
      <c r="N103" s="439"/>
      <c r="O103" s="673"/>
      <c r="P103" s="361"/>
      <c r="Q103" s="441"/>
      <c r="R103" s="485"/>
      <c r="S103" s="442"/>
      <c r="T103" s="441">
        <v>2.7115</v>
      </c>
      <c r="U103" s="485"/>
      <c r="V103" s="442"/>
      <c r="W103" s="441">
        <v>0</v>
      </c>
      <c r="X103" s="485"/>
      <c r="Y103" s="442"/>
      <c r="Z103" s="441"/>
      <c r="AA103" s="485"/>
      <c r="AB103" s="442"/>
      <c r="AC103" s="672"/>
      <c r="AD103" s="441">
        <v>19.218406075194004</v>
      </c>
      <c r="AE103" s="674">
        <v>53.478722508052584</v>
      </c>
      <c r="AF103" s="674">
        <v>17.391189198774878</v>
      </c>
      <c r="AG103" s="674">
        <v>0</v>
      </c>
      <c r="AH103" s="442">
        <v>0</v>
      </c>
      <c r="AI103" s="442">
        <v>0</v>
      </c>
      <c r="AK103" s="3" t="e">
        <f>IF(F103="", " ", VLOOKUP(F103,#REF!, 1, FALSE))</f>
        <v>#REF!</v>
      </c>
    </row>
    <row r="104" spans="1:37" ht="48" x14ac:dyDescent="0.25">
      <c r="A104" s="587" t="s">
        <v>1851</v>
      </c>
      <c r="B104" s="369" t="s">
        <v>25</v>
      </c>
      <c r="C104" s="588"/>
      <c r="D104" s="589" t="s">
        <v>2984</v>
      </c>
      <c r="E104" s="44" t="s">
        <v>27</v>
      </c>
      <c r="F104" s="214">
        <v>100952</v>
      </c>
      <c r="G104" s="587" t="s">
        <v>797</v>
      </c>
      <c r="H104" s="590" t="s">
        <v>42</v>
      </c>
      <c r="I104" s="591">
        <v>21.692</v>
      </c>
      <c r="J104" s="592">
        <v>1.81</v>
      </c>
      <c r="K104" s="593">
        <v>0.2033513845915047</v>
      </c>
      <c r="L104" s="592">
        <v>2.1780660061106234</v>
      </c>
      <c r="M104" s="594">
        <v>47.246607804551644</v>
      </c>
      <c r="N104" s="439"/>
      <c r="O104" s="673"/>
      <c r="P104" s="361"/>
      <c r="Q104" s="441">
        <v>0</v>
      </c>
      <c r="R104" s="485"/>
      <c r="S104" s="442">
        <v>0</v>
      </c>
      <c r="T104" s="441">
        <v>21.692</v>
      </c>
      <c r="U104" s="485"/>
      <c r="V104" s="442">
        <v>8</v>
      </c>
      <c r="W104" s="578">
        <v>0</v>
      </c>
      <c r="X104" s="485"/>
      <c r="Y104" s="442">
        <v>3</v>
      </c>
      <c r="Z104" s="441">
        <v>0</v>
      </c>
      <c r="AA104" s="485"/>
      <c r="AB104" s="442">
        <v>0</v>
      </c>
      <c r="AC104" s="672"/>
      <c r="AD104" s="441">
        <v>4.4375266998750167</v>
      </c>
      <c r="AE104" s="674">
        <v>32.367841810853058</v>
      </c>
      <c r="AF104" s="674">
        <v>10.441239293823568</v>
      </c>
      <c r="AG104" s="674">
        <v>0</v>
      </c>
      <c r="AH104" s="442">
        <v>0</v>
      </c>
      <c r="AI104" s="442">
        <v>0</v>
      </c>
      <c r="AK104" s="3" t="e">
        <f>IF(F104="", " ", VLOOKUP(F104,#REF!, 1, FALSE))</f>
        <v>#REF!</v>
      </c>
    </row>
    <row r="105" spans="1:37" ht="48" hidden="1" x14ac:dyDescent="0.25">
      <c r="A105" s="587" t="s">
        <v>1976</v>
      </c>
      <c r="B105" s="369" t="s">
        <v>25</v>
      </c>
      <c r="C105" s="588"/>
      <c r="D105" s="589" t="s">
        <v>2985</v>
      </c>
      <c r="E105" s="44" t="s">
        <v>27</v>
      </c>
      <c r="F105" s="214">
        <v>100953</v>
      </c>
      <c r="G105" s="587" t="s">
        <v>796</v>
      </c>
      <c r="H105" s="590" t="s">
        <v>42</v>
      </c>
      <c r="I105" s="591">
        <f>IF($F105="","",IF('TRECHO(S) A IMPRIMIR'!$B$1= 1, SUM(Q105, T105, W105, Z105), IF('TRECHO(S) A IMPRIMIR'!$B$1= 2, T105, IF('TRECHO(S) A IMPRIMIR'!$B$1= 3, W105, 0))))</f>
        <v>0</v>
      </c>
      <c r="J105" s="592">
        <v>0.71</v>
      </c>
      <c r="K105" s="593">
        <f t="shared" si="19"/>
        <v>0.2033513845915047</v>
      </c>
      <c r="L105" s="592">
        <f>IF(J105="","",
  IF(AND(J105&lt;&gt;"",K105=""),J105,J105 * (1 + K105)))</f>
        <v>0.85437948305996825</v>
      </c>
      <c r="M105" s="594">
        <f>IF(OR(I105="",L105=""),"",I105*L105)</f>
        <v>0</v>
      </c>
      <c r="N105" s="439"/>
      <c r="O105" s="673"/>
      <c r="P105" s="361"/>
      <c r="Q105" s="441">
        <f>Q103 * S105</f>
        <v>0</v>
      </c>
      <c r="R105" s="485"/>
      <c r="S105" s="442">
        <v>0</v>
      </c>
      <c r="T105" s="441">
        <f>T103 * V105</f>
        <v>0</v>
      </c>
      <c r="U105" s="485"/>
      <c r="V105" s="442">
        <f>IF('MLQ-DMT-TR1'!$E$11 &gt; 30, 'MLQ-DMT-TR1'!$E$11 - 30, 0)</f>
        <v>0</v>
      </c>
      <c r="W105" s="578">
        <f>W103 * Y105</f>
        <v>0</v>
      </c>
      <c r="X105" s="485"/>
      <c r="Y105" s="442">
        <f>IF('MLQ-DMT-TR3'!$E$11 &gt; 30, 'MLQ-DMT-TR3'!$E$11 - 30, 0)</f>
        <v>0</v>
      </c>
      <c r="Z105" s="441">
        <f>Z103 * AB105</f>
        <v>0</v>
      </c>
      <c r="AA105" s="485"/>
      <c r="AB105" s="442">
        <v>0</v>
      </c>
      <c r="AC105" s="672"/>
      <c r="AD105" s="441" t="s">
        <v>21</v>
      </c>
      <c r="AE105" s="674" t="s">
        <v>21</v>
      </c>
      <c r="AF105" s="674" t="s">
        <v>21</v>
      </c>
      <c r="AG105" s="674" t="s">
        <v>21</v>
      </c>
      <c r="AH105" s="442" t="s">
        <v>21</v>
      </c>
      <c r="AI105" s="442" t="str">
        <f>IF(SUM(AD105:AH105)=0,"",M105 - SUM(AD105:AH105))</f>
        <v/>
      </c>
      <c r="AK105" s="3" t="e">
        <f>IF(F105="", " ", VLOOKUP(F105,#REF!, 1, FALSE))</f>
        <v>#REF!</v>
      </c>
    </row>
    <row r="106" spans="1:37" ht="48" x14ac:dyDescent="0.25">
      <c r="A106" s="587" t="s">
        <v>1850</v>
      </c>
      <c r="B106" s="369" t="s">
        <v>25</v>
      </c>
      <c r="C106" s="588"/>
      <c r="D106" s="589" t="s">
        <v>2986</v>
      </c>
      <c r="E106" s="44" t="s">
        <v>27</v>
      </c>
      <c r="F106" s="214">
        <v>100954</v>
      </c>
      <c r="G106" s="587" t="s">
        <v>794</v>
      </c>
      <c r="H106" s="590" t="s">
        <v>42</v>
      </c>
      <c r="I106" s="591">
        <v>2.7115</v>
      </c>
      <c r="J106" s="592">
        <v>5.41</v>
      </c>
      <c r="K106" s="593">
        <v>0.2033513845915047</v>
      </c>
      <c r="L106" s="592">
        <v>6.5101309906400404</v>
      </c>
      <c r="M106" s="594">
        <v>17.65222018112047</v>
      </c>
      <c r="N106" s="439"/>
      <c r="O106" s="673"/>
      <c r="P106" s="361"/>
      <c r="Q106" s="441">
        <v>0</v>
      </c>
      <c r="R106" s="485"/>
      <c r="S106" s="442">
        <v>0</v>
      </c>
      <c r="T106" s="441">
        <v>2.7115</v>
      </c>
      <c r="U106" s="485"/>
      <c r="V106" s="442">
        <v>1</v>
      </c>
      <c r="W106" s="578">
        <v>0</v>
      </c>
      <c r="X106" s="485"/>
      <c r="Y106" s="442">
        <v>0.6</v>
      </c>
      <c r="Z106" s="441">
        <v>0</v>
      </c>
      <c r="AA106" s="485"/>
      <c r="AB106" s="442">
        <v>0</v>
      </c>
      <c r="AC106" s="672"/>
      <c r="AD106" s="441">
        <v>1.6967013852463297</v>
      </c>
      <c r="AE106" s="674">
        <v>11.746394205551514</v>
      </c>
      <c r="AF106" s="674">
        <v>4.2091245903226264</v>
      </c>
      <c r="AG106" s="674">
        <v>0</v>
      </c>
      <c r="AH106" s="442">
        <v>0</v>
      </c>
      <c r="AI106" s="442">
        <v>0</v>
      </c>
      <c r="AK106" s="3" t="e">
        <f>IF(F106="", " ", VLOOKUP(F106,#REF!, 1, FALSE))</f>
        <v>#REF!</v>
      </c>
    </row>
    <row r="107" spans="1:37" ht="60" x14ac:dyDescent="0.25">
      <c r="A107" s="587" t="s">
        <v>2988</v>
      </c>
      <c r="B107" s="369" t="s">
        <v>26</v>
      </c>
      <c r="C107" s="588"/>
      <c r="D107" s="589" t="s">
        <v>2987</v>
      </c>
      <c r="E107" s="44" t="s">
        <v>27</v>
      </c>
      <c r="F107" s="214">
        <v>92809</v>
      </c>
      <c r="G107" s="587" t="s">
        <v>520</v>
      </c>
      <c r="H107" s="590" t="s">
        <v>22</v>
      </c>
      <c r="I107" s="591">
        <v>2.7115</v>
      </c>
      <c r="J107" s="592">
        <v>39.86</v>
      </c>
      <c r="K107" s="593">
        <v>0.2033513845915047</v>
      </c>
      <c r="L107" s="592">
        <v>47.96558618981738</v>
      </c>
      <c r="M107" s="594">
        <v>130.05868695368983</v>
      </c>
      <c r="N107" s="439"/>
      <c r="O107" s="673"/>
      <c r="P107" s="361"/>
      <c r="Q107" s="441"/>
      <c r="R107" s="485"/>
      <c r="S107" s="442"/>
      <c r="T107" s="441">
        <v>2.7115</v>
      </c>
      <c r="U107" s="485"/>
      <c r="V107" s="442"/>
      <c r="W107" s="578">
        <v>0</v>
      </c>
      <c r="X107" s="485"/>
      <c r="Y107" s="442"/>
      <c r="Z107" s="441"/>
      <c r="AA107" s="485"/>
      <c r="AB107" s="442"/>
      <c r="AC107" s="672"/>
      <c r="AD107" s="441">
        <v>55.305939384471706</v>
      </c>
      <c r="AE107" s="674">
        <v>37.62109033055804</v>
      </c>
      <c r="AF107" s="674">
        <v>37.131657238660061</v>
      </c>
      <c r="AG107" s="674">
        <v>0</v>
      </c>
      <c r="AH107" s="442">
        <v>0</v>
      </c>
      <c r="AI107" s="442">
        <v>2.8421709430404007E-14</v>
      </c>
      <c r="AK107" s="3" t="e">
        <f>IF(F107="", " ", VLOOKUP(F107,#REF!, 1, FALSE))</f>
        <v>#REF!</v>
      </c>
    </row>
    <row r="108" spans="1:37" x14ac:dyDescent="0.25">
      <c r="A108" s="587" t="s">
        <v>2722</v>
      </c>
      <c r="B108" s="369"/>
      <c r="C108" s="588"/>
      <c r="D108" s="589" t="s">
        <v>2981</v>
      </c>
      <c r="E108" s="44"/>
      <c r="F108" s="214"/>
      <c r="G108" s="587" t="s">
        <v>2722</v>
      </c>
      <c r="H108" s="590" t="s">
        <v>21</v>
      </c>
      <c r="I108" s="591" t="s">
        <v>21</v>
      </c>
      <c r="J108" s="592" t="s">
        <v>21</v>
      </c>
      <c r="K108" s="593" t="s">
        <v>21</v>
      </c>
      <c r="L108" s="592" t="s">
        <v>21</v>
      </c>
      <c r="M108" s="594" t="s">
        <v>21</v>
      </c>
      <c r="N108" s="439"/>
      <c r="O108" s="673"/>
      <c r="P108" s="361"/>
      <c r="Q108" s="441"/>
      <c r="R108" s="485"/>
      <c r="S108" s="442"/>
      <c r="T108" s="441"/>
      <c r="U108" s="485"/>
      <c r="V108" s="442"/>
      <c r="W108" s="578"/>
      <c r="X108" s="485"/>
      <c r="Y108" s="442"/>
      <c r="Z108" s="441"/>
      <c r="AA108" s="485"/>
      <c r="AB108" s="442"/>
      <c r="AC108" s="672"/>
      <c r="AD108" s="441" t="s">
        <v>21</v>
      </c>
      <c r="AE108" s="674" t="s">
        <v>21</v>
      </c>
      <c r="AF108" s="674" t="s">
        <v>21</v>
      </c>
      <c r="AG108" s="674" t="s">
        <v>21</v>
      </c>
      <c r="AH108" s="442" t="s">
        <v>21</v>
      </c>
      <c r="AI108" s="442" t="s">
        <v>21</v>
      </c>
      <c r="AK108" s="3" t="str">
        <f>IF(F108="", " ", VLOOKUP(F108,#REF!, 1, FALSE))</f>
        <v xml:space="preserve"> </v>
      </c>
    </row>
    <row r="109" spans="1:37" ht="48" x14ac:dyDescent="0.25">
      <c r="A109" s="587" t="s">
        <v>1871</v>
      </c>
      <c r="B109" s="369" t="s">
        <v>20</v>
      </c>
      <c r="C109" s="588"/>
      <c r="D109" s="589" t="s">
        <v>2982</v>
      </c>
      <c r="E109" s="44" t="s">
        <v>27</v>
      </c>
      <c r="F109" s="214">
        <v>100341</v>
      </c>
      <c r="G109" s="587" t="s">
        <v>582</v>
      </c>
      <c r="H109" s="590" t="s">
        <v>51</v>
      </c>
      <c r="I109" s="591">
        <v>188.64</v>
      </c>
      <c r="J109" s="592">
        <v>29.98</v>
      </c>
      <c r="K109" s="593">
        <v>0.2033513845915047</v>
      </c>
      <c r="L109" s="592">
        <v>36.076474510053309</v>
      </c>
      <c r="M109" s="594">
        <v>6805.4661515764556</v>
      </c>
      <c r="N109" s="439"/>
      <c r="O109" s="673"/>
      <c r="P109" s="361"/>
      <c r="Q109" s="441"/>
      <c r="R109" s="485"/>
      <c r="S109" s="442"/>
      <c r="T109" s="441">
        <v>188.64</v>
      </c>
      <c r="U109" s="485"/>
      <c r="V109" s="442"/>
      <c r="W109" s="578"/>
      <c r="X109" s="485"/>
      <c r="Y109" s="442"/>
      <c r="Z109" s="441"/>
      <c r="AA109" s="485"/>
      <c r="AB109" s="442"/>
      <c r="AC109" s="672"/>
      <c r="AD109" s="441">
        <v>2737.6224745834579</v>
      </c>
      <c r="AE109" s="674">
        <v>3207.5128993253948</v>
      </c>
      <c r="AF109" s="674">
        <v>860.33077766760391</v>
      </c>
      <c r="AG109" s="674">
        <v>0</v>
      </c>
      <c r="AH109" s="442">
        <v>0</v>
      </c>
      <c r="AI109" s="442">
        <v>-9.0949470177292824E-13</v>
      </c>
      <c r="AK109" s="3" t="e">
        <f>IF(F109="", " ", VLOOKUP(F109,#REF!, 1, FALSE))</f>
        <v>#REF!</v>
      </c>
    </row>
    <row r="110" spans="1:37" ht="36" x14ac:dyDescent="0.25">
      <c r="A110" s="587" t="s">
        <v>2720</v>
      </c>
      <c r="B110" s="369" t="s">
        <v>23</v>
      </c>
      <c r="C110" s="588"/>
      <c r="D110" s="589" t="s">
        <v>2989</v>
      </c>
      <c r="E110" s="44" t="s">
        <v>27</v>
      </c>
      <c r="F110" s="214">
        <v>101010</v>
      </c>
      <c r="G110" s="587" t="s">
        <v>770</v>
      </c>
      <c r="H110" s="590" t="s">
        <v>55</v>
      </c>
      <c r="I110" s="591">
        <v>5.7</v>
      </c>
      <c r="J110" s="592">
        <v>17.260000000000002</v>
      </c>
      <c r="K110" s="593">
        <v>0.2033513845915047</v>
      </c>
      <c r="L110" s="592">
        <v>20.769844898049374</v>
      </c>
      <c r="M110" s="594">
        <v>118.38811591888144</v>
      </c>
      <c r="N110" s="439"/>
      <c r="O110" s="673"/>
      <c r="P110" s="361"/>
      <c r="Q110" s="441"/>
      <c r="R110" s="485"/>
      <c r="S110" s="442"/>
      <c r="T110" s="441">
        <v>5.7</v>
      </c>
      <c r="U110" s="485"/>
      <c r="V110" s="442"/>
      <c r="W110" s="578"/>
      <c r="X110" s="485"/>
      <c r="Y110" s="442"/>
      <c r="Z110" s="441"/>
      <c r="AA110" s="485"/>
      <c r="AB110" s="442"/>
      <c r="AC110" s="672"/>
      <c r="AD110" s="441">
        <v>11.591883887769963</v>
      </c>
      <c r="AE110" s="674">
        <v>78.05659091291254</v>
      </c>
      <c r="AF110" s="674">
        <v>28.739641118198911</v>
      </c>
      <c r="AG110" s="674">
        <v>0</v>
      </c>
      <c r="AH110" s="442">
        <v>0</v>
      </c>
      <c r="AI110" s="442">
        <v>1.4210854715202004E-14</v>
      </c>
      <c r="AK110" s="3" t="e">
        <f>IF(F110="", " ", VLOOKUP(F110,#REF!, 1, FALSE))</f>
        <v>#REF!</v>
      </c>
    </row>
    <row r="111" spans="1:37" ht="48" x14ac:dyDescent="0.25">
      <c r="A111" s="587" t="s">
        <v>1850</v>
      </c>
      <c r="B111" s="369" t="s">
        <v>25</v>
      </c>
      <c r="C111" s="588"/>
      <c r="D111" s="589" t="s">
        <v>2990</v>
      </c>
      <c r="E111" s="44" t="s">
        <v>27</v>
      </c>
      <c r="F111" s="214">
        <v>100954</v>
      </c>
      <c r="G111" s="587" t="s">
        <v>794</v>
      </c>
      <c r="H111" s="590" t="s">
        <v>42</v>
      </c>
      <c r="I111" s="591">
        <v>5.7</v>
      </c>
      <c r="J111" s="592">
        <v>5.41</v>
      </c>
      <c r="K111" s="593">
        <v>0.2033513845915047</v>
      </c>
      <c r="L111" s="592">
        <v>6.5101309906400404</v>
      </c>
      <c r="M111" s="594">
        <v>37.107746646648231</v>
      </c>
      <c r="N111" s="439"/>
      <c r="O111" s="673"/>
      <c r="P111" s="361"/>
      <c r="Q111" s="441">
        <v>0</v>
      </c>
      <c r="R111" s="485"/>
      <c r="S111" s="442">
        <v>0</v>
      </c>
      <c r="T111" s="441">
        <v>5.7</v>
      </c>
      <c r="U111" s="485"/>
      <c r="V111" s="442">
        <v>1</v>
      </c>
      <c r="W111" s="578">
        <v>0</v>
      </c>
      <c r="X111" s="485"/>
      <c r="Y111" s="442">
        <v>0.6</v>
      </c>
      <c r="Z111" s="441">
        <v>0</v>
      </c>
      <c r="AA111" s="485"/>
      <c r="AB111" s="442">
        <v>0</v>
      </c>
      <c r="AC111" s="672"/>
      <c r="AD111" s="441">
        <v>3.5667335039292203</v>
      </c>
      <c r="AE111" s="674">
        <v>24.692770411817676</v>
      </c>
      <c r="AF111" s="674">
        <v>8.848242730901335</v>
      </c>
      <c r="AG111" s="674">
        <v>0</v>
      </c>
      <c r="AH111" s="442">
        <v>0</v>
      </c>
      <c r="AI111" s="442">
        <v>0</v>
      </c>
      <c r="AK111" s="3" t="e">
        <f>IF(F111="", " ", VLOOKUP(F111,#REF!, 1, FALSE))</f>
        <v>#REF!</v>
      </c>
    </row>
    <row r="112" spans="1:37" ht="48" x14ac:dyDescent="0.25">
      <c r="A112" s="587" t="s">
        <v>2976</v>
      </c>
      <c r="B112" s="369" t="s">
        <v>1880</v>
      </c>
      <c r="C112" s="588"/>
      <c r="D112" s="589" t="s">
        <v>2991</v>
      </c>
      <c r="E112" s="44" t="s">
        <v>27</v>
      </c>
      <c r="F112" s="214">
        <v>92916</v>
      </c>
      <c r="G112" s="587" t="s">
        <v>507</v>
      </c>
      <c r="H112" s="590" t="s">
        <v>54</v>
      </c>
      <c r="I112" s="591">
        <v>950</v>
      </c>
      <c r="J112" s="592">
        <v>16.38</v>
      </c>
      <c r="K112" s="593">
        <v>0.2033513845915047</v>
      </c>
      <c r="L112" s="592">
        <v>19.710895679608846</v>
      </c>
      <c r="M112" s="594">
        <v>18725.350895628406</v>
      </c>
      <c r="N112" s="439"/>
      <c r="O112" s="673"/>
      <c r="P112" s="361"/>
      <c r="Q112" s="441"/>
      <c r="R112" s="485"/>
      <c r="S112" s="442"/>
      <c r="T112" s="441">
        <v>950</v>
      </c>
      <c r="U112" s="485"/>
      <c r="V112" s="442"/>
      <c r="W112" s="441">
        <v>0</v>
      </c>
      <c r="X112" s="485"/>
      <c r="Y112" s="442"/>
      <c r="Z112" s="441"/>
      <c r="AA112" s="485"/>
      <c r="AB112" s="442"/>
      <c r="AC112" s="672"/>
      <c r="AD112" s="441">
        <v>3909.6886485377986</v>
      </c>
      <c r="AE112" s="674">
        <v>14815.662247090606</v>
      </c>
      <c r="AF112" s="674">
        <v>0</v>
      </c>
      <c r="AG112" s="674">
        <v>0</v>
      </c>
      <c r="AH112" s="442">
        <v>0</v>
      </c>
      <c r="AI112" s="442">
        <v>0</v>
      </c>
      <c r="AK112" s="3" t="e">
        <f>IF(F112="", " ", VLOOKUP(F112,#REF!, 1, FALSE))</f>
        <v>#REF!</v>
      </c>
    </row>
    <row r="113" spans="1:37" ht="48" x14ac:dyDescent="0.25">
      <c r="A113" s="587" t="s">
        <v>2977</v>
      </c>
      <c r="B113" s="369" t="s">
        <v>1880</v>
      </c>
      <c r="C113" s="588"/>
      <c r="D113" s="589" t="s">
        <v>2992</v>
      </c>
      <c r="E113" s="44" t="s">
        <v>27</v>
      </c>
      <c r="F113" s="214">
        <v>92917</v>
      </c>
      <c r="G113" s="587" t="s">
        <v>508</v>
      </c>
      <c r="H113" s="590" t="s">
        <v>54</v>
      </c>
      <c r="I113" s="591">
        <v>1425</v>
      </c>
      <c r="J113" s="592">
        <v>15.38</v>
      </c>
      <c r="K113" s="593">
        <v>0.2033513845915047</v>
      </c>
      <c r="L113" s="592">
        <v>18.507544295017343</v>
      </c>
      <c r="M113" s="594">
        <v>26373.250620399715</v>
      </c>
      <c r="N113" s="439"/>
      <c r="O113" s="673"/>
      <c r="P113" s="361"/>
      <c r="Q113" s="441"/>
      <c r="R113" s="485"/>
      <c r="S113" s="442"/>
      <c r="T113" s="441">
        <v>1425</v>
      </c>
      <c r="U113" s="485"/>
      <c r="V113" s="442"/>
      <c r="W113" s="441">
        <v>0</v>
      </c>
      <c r="X113" s="485"/>
      <c r="Y113" s="442"/>
      <c r="Z113" s="441"/>
      <c r="AA113" s="485"/>
      <c r="AB113" s="442"/>
      <c r="AC113" s="672"/>
      <c r="AD113" s="441">
        <v>4046.8707063812303</v>
      </c>
      <c r="AE113" s="674">
        <v>22326.379914018482</v>
      </c>
      <c r="AF113" s="674">
        <v>0</v>
      </c>
      <c r="AG113" s="674">
        <v>0</v>
      </c>
      <c r="AH113" s="442">
        <v>0</v>
      </c>
      <c r="AI113" s="442">
        <v>3.637978807091713E-12</v>
      </c>
      <c r="AK113" s="3" t="e">
        <f>IF(F113="", " ", VLOOKUP(F113,#REF!, 1, FALSE))</f>
        <v>#REF!</v>
      </c>
    </row>
    <row r="114" spans="1:37" ht="48" x14ac:dyDescent="0.25">
      <c r="A114" s="587" t="s">
        <v>2978</v>
      </c>
      <c r="B114" s="369" t="s">
        <v>1880</v>
      </c>
      <c r="C114" s="588"/>
      <c r="D114" s="589" t="s">
        <v>2993</v>
      </c>
      <c r="E114" s="44" t="s">
        <v>27</v>
      </c>
      <c r="F114" s="214">
        <v>92919</v>
      </c>
      <c r="G114" s="587" t="s">
        <v>502</v>
      </c>
      <c r="H114" s="590" t="s">
        <v>54</v>
      </c>
      <c r="I114" s="591">
        <v>2375</v>
      </c>
      <c r="J114" s="592">
        <v>13.76</v>
      </c>
      <c r="K114" s="593">
        <v>0.2033513845915047</v>
      </c>
      <c r="L114" s="592">
        <v>16.558115051979104</v>
      </c>
      <c r="M114" s="594">
        <v>39325.523248450372</v>
      </c>
      <c r="N114" s="439"/>
      <c r="O114" s="673"/>
      <c r="P114" s="361"/>
      <c r="Q114" s="441"/>
      <c r="R114" s="485"/>
      <c r="S114" s="442"/>
      <c r="T114" s="441">
        <v>2375</v>
      </c>
      <c r="U114" s="485"/>
      <c r="V114" s="442"/>
      <c r="W114" s="441">
        <v>0</v>
      </c>
      <c r="X114" s="485"/>
      <c r="Y114" s="442"/>
      <c r="Z114" s="441"/>
      <c r="AA114" s="485"/>
      <c r="AB114" s="442"/>
      <c r="AC114" s="672"/>
      <c r="AD114" s="441">
        <v>4801.3720245201039</v>
      </c>
      <c r="AE114" s="674">
        <v>34524.151223930268</v>
      </c>
      <c r="AF114" s="674">
        <v>0</v>
      </c>
      <c r="AG114" s="674">
        <v>0</v>
      </c>
      <c r="AH114" s="442">
        <v>0</v>
      </c>
      <c r="AI114" s="442">
        <v>0</v>
      </c>
      <c r="AK114" s="3" t="e">
        <f>IF(F114="", " ", VLOOKUP(F114,#REF!, 1, FALSE))</f>
        <v>#REF!</v>
      </c>
    </row>
    <row r="115" spans="1:37" ht="48" x14ac:dyDescent="0.25">
      <c r="A115" s="587" t="s">
        <v>2979</v>
      </c>
      <c r="B115" s="369" t="s">
        <v>1880</v>
      </c>
      <c r="C115" s="588"/>
      <c r="D115" s="589" t="s">
        <v>2994</v>
      </c>
      <c r="E115" s="44" t="s">
        <v>27</v>
      </c>
      <c r="F115" s="214">
        <v>92921</v>
      </c>
      <c r="G115" s="587" t="s">
        <v>503</v>
      </c>
      <c r="H115" s="590" t="s">
        <v>54</v>
      </c>
      <c r="I115" s="591">
        <v>950</v>
      </c>
      <c r="J115" s="592">
        <v>11.58</v>
      </c>
      <c r="K115" s="593">
        <v>0.2033513845915047</v>
      </c>
      <c r="L115" s="592">
        <v>13.934809033569625</v>
      </c>
      <c r="M115" s="594">
        <v>13238.068581891144</v>
      </c>
      <c r="N115" s="439"/>
      <c r="O115" s="673"/>
      <c r="P115" s="361"/>
      <c r="Q115" s="441"/>
      <c r="R115" s="485"/>
      <c r="S115" s="442"/>
      <c r="T115" s="441">
        <v>950</v>
      </c>
      <c r="U115" s="485"/>
      <c r="V115" s="442"/>
      <c r="W115" s="441">
        <v>0</v>
      </c>
      <c r="X115" s="485"/>
      <c r="Y115" s="442"/>
      <c r="Z115" s="441"/>
      <c r="AA115" s="485"/>
      <c r="AB115" s="442"/>
      <c r="AC115" s="672"/>
      <c r="AD115" s="441">
        <v>1337.5250639734575</v>
      </c>
      <c r="AE115" s="674">
        <v>11900.543517917686</v>
      </c>
      <c r="AF115" s="674">
        <v>0</v>
      </c>
      <c r="AG115" s="674">
        <v>0</v>
      </c>
      <c r="AH115" s="442">
        <v>0</v>
      </c>
      <c r="AI115" s="442">
        <v>1.8189894035458565E-12</v>
      </c>
      <c r="AK115" s="3" t="e">
        <f>IF(F115="", " ", VLOOKUP(F115,#REF!, 1, FALSE))</f>
        <v>#REF!</v>
      </c>
    </row>
    <row r="116" spans="1:37" ht="36" x14ac:dyDescent="0.25">
      <c r="A116" s="587" t="s">
        <v>1865</v>
      </c>
      <c r="B116" s="369" t="s">
        <v>28</v>
      </c>
      <c r="C116" s="588"/>
      <c r="D116" s="589" t="s">
        <v>2995</v>
      </c>
      <c r="E116" s="44" t="s">
        <v>27</v>
      </c>
      <c r="F116" s="214">
        <v>94965</v>
      </c>
      <c r="G116" s="587" t="s">
        <v>3659</v>
      </c>
      <c r="H116" s="590" t="s">
        <v>44</v>
      </c>
      <c r="I116" s="591">
        <v>47.5</v>
      </c>
      <c r="J116" s="592">
        <v>402.84</v>
      </c>
      <c r="K116" s="593">
        <v>0.2033513845915047</v>
      </c>
      <c r="L116" s="592">
        <v>484.75807176884172</v>
      </c>
      <c r="M116" s="594">
        <v>23026.008409019982</v>
      </c>
      <c r="N116" s="439"/>
      <c r="O116" s="673"/>
      <c r="P116" s="361"/>
      <c r="Q116" s="441"/>
      <c r="R116" s="485"/>
      <c r="S116" s="442"/>
      <c r="T116" s="441">
        <v>47.5</v>
      </c>
      <c r="U116" s="485"/>
      <c r="V116" s="442"/>
      <c r="W116" s="441">
        <v>0</v>
      </c>
      <c r="X116" s="485"/>
      <c r="Y116" s="442"/>
      <c r="Z116" s="441"/>
      <c r="AA116" s="485"/>
      <c r="AB116" s="442"/>
      <c r="AC116" s="672"/>
      <c r="AD116" s="441">
        <v>2585.3101984410032</v>
      </c>
      <c r="AE116" s="674">
        <v>20372.107181657266</v>
      </c>
      <c r="AF116" s="674">
        <v>33.723922553176919</v>
      </c>
      <c r="AG116" s="674">
        <v>0</v>
      </c>
      <c r="AH116" s="442">
        <v>34.867106368538849</v>
      </c>
      <c r="AI116" s="442">
        <v>-3.637978807091713E-12</v>
      </c>
      <c r="AK116" s="3" t="e">
        <f>IF(F116="", " ", VLOOKUP(F116,#REF!, 1, FALSE))</f>
        <v>#REF!</v>
      </c>
    </row>
    <row r="117" spans="1:37" ht="36" x14ac:dyDescent="0.25">
      <c r="A117" s="587" t="s">
        <v>2727</v>
      </c>
      <c r="B117" s="369" t="s">
        <v>28</v>
      </c>
      <c r="C117" s="588"/>
      <c r="D117" s="589" t="s">
        <v>2996</v>
      </c>
      <c r="E117" s="44" t="s">
        <v>27</v>
      </c>
      <c r="F117" s="214">
        <v>92873</v>
      </c>
      <c r="G117" s="587" t="s">
        <v>595</v>
      </c>
      <c r="H117" s="590" t="s">
        <v>44</v>
      </c>
      <c r="I117" s="591">
        <v>47.5</v>
      </c>
      <c r="J117" s="592">
        <v>186.89</v>
      </c>
      <c r="K117" s="593">
        <v>0.2033513845915047</v>
      </c>
      <c r="L117" s="592">
        <v>224.8943402663063</v>
      </c>
      <c r="M117" s="594">
        <v>10682.481162649548</v>
      </c>
      <c r="N117" s="439"/>
      <c r="O117" s="673"/>
      <c r="P117" s="361"/>
      <c r="Q117" s="441"/>
      <c r="R117" s="485"/>
      <c r="S117" s="442"/>
      <c r="T117" s="441">
        <v>47.5</v>
      </c>
      <c r="U117" s="485"/>
      <c r="V117" s="442"/>
      <c r="W117" s="441">
        <v>0</v>
      </c>
      <c r="X117" s="485"/>
      <c r="Y117" s="442"/>
      <c r="Z117" s="441"/>
      <c r="AA117" s="485"/>
      <c r="AB117" s="442"/>
      <c r="AC117" s="672"/>
      <c r="AD117" s="441">
        <v>7414.1186345297938</v>
      </c>
      <c r="AE117" s="674">
        <v>3181.4805581522496</v>
      </c>
      <c r="AF117" s="674">
        <v>56.016006952734543</v>
      </c>
      <c r="AG117" s="674">
        <v>0</v>
      </c>
      <c r="AH117" s="442">
        <v>30.865963014772099</v>
      </c>
      <c r="AI117" s="442">
        <v>0</v>
      </c>
      <c r="AK117" s="3" t="e">
        <f>IF(F117="", " ", VLOOKUP(F117,#REF!, 1, FALSE))</f>
        <v>#REF!</v>
      </c>
    </row>
    <row r="118" spans="1:37" x14ac:dyDescent="0.25">
      <c r="A118" s="587" t="s">
        <v>2731</v>
      </c>
      <c r="B118" s="369" t="s">
        <v>20</v>
      </c>
      <c r="C118" s="588"/>
      <c r="D118" s="589" t="s">
        <v>2997</v>
      </c>
      <c r="E118" s="44" t="s">
        <v>27</v>
      </c>
      <c r="F118" s="214" t="s">
        <v>568</v>
      </c>
      <c r="G118" s="587" t="s">
        <v>74</v>
      </c>
      <c r="H118" s="590" t="s">
        <v>51</v>
      </c>
      <c r="I118" s="591">
        <v>95.9</v>
      </c>
      <c r="J118" s="592">
        <v>6.44</v>
      </c>
      <c r="K118" s="593">
        <v>0.2033513845915047</v>
      </c>
      <c r="L118" s="592">
        <v>7.7495829167692909</v>
      </c>
      <c r="M118" s="594">
        <v>743.18500171817504</v>
      </c>
      <c r="N118" s="439"/>
      <c r="O118" s="673"/>
      <c r="P118" s="361"/>
      <c r="Q118" s="441"/>
      <c r="R118" s="485"/>
      <c r="S118" s="442"/>
      <c r="T118" s="441">
        <v>95.9</v>
      </c>
      <c r="U118" s="485"/>
      <c r="V118" s="442"/>
      <c r="W118" s="441">
        <v>0</v>
      </c>
      <c r="X118" s="485"/>
      <c r="Y118" s="442"/>
      <c r="Z118" s="441"/>
      <c r="AA118" s="485"/>
      <c r="AB118" s="442"/>
      <c r="AC118" s="672"/>
      <c r="AD118" s="441">
        <v>25.38830751211157</v>
      </c>
      <c r="AE118" s="674">
        <v>717.79669420606342</v>
      </c>
      <c r="AF118" s="674">
        <v>0</v>
      </c>
      <c r="AG118" s="674">
        <v>0</v>
      </c>
      <c r="AH118" s="442">
        <v>0</v>
      </c>
      <c r="AI118" s="442">
        <v>0</v>
      </c>
      <c r="AK118" s="3" t="e">
        <f>IF(F118="", " ", VLOOKUP(F118,#REF!, 1, FALSE))</f>
        <v>#REF!</v>
      </c>
    </row>
    <row r="119" spans="1:37" ht="36" x14ac:dyDescent="0.25">
      <c r="A119" s="587" t="s">
        <v>2709</v>
      </c>
      <c r="B119" s="369" t="s">
        <v>25</v>
      </c>
      <c r="C119" s="588"/>
      <c r="D119" s="589" t="s">
        <v>2998</v>
      </c>
      <c r="E119" s="44" t="s">
        <v>27</v>
      </c>
      <c r="F119" s="214">
        <v>95879</v>
      </c>
      <c r="G119" s="587" t="s">
        <v>789</v>
      </c>
      <c r="H119" s="590" t="s">
        <v>42</v>
      </c>
      <c r="I119" s="591">
        <v>464.50799999999998</v>
      </c>
      <c r="J119" s="592">
        <v>1.04</v>
      </c>
      <c r="K119" s="593">
        <v>0.2033513845915047</v>
      </c>
      <c r="L119" s="592">
        <v>1.2514854399751649</v>
      </c>
      <c r="M119" s="594">
        <v>581.32499875198391</v>
      </c>
      <c r="N119" s="439"/>
      <c r="O119" s="673"/>
      <c r="P119" s="361"/>
      <c r="Q119" s="441">
        <v>0</v>
      </c>
      <c r="R119" s="485"/>
      <c r="S119" s="442">
        <v>0</v>
      </c>
      <c r="T119" s="441">
        <v>464.50799999999998</v>
      </c>
      <c r="U119" s="485"/>
      <c r="V119" s="442">
        <v>30</v>
      </c>
      <c r="W119" s="578">
        <v>0</v>
      </c>
      <c r="X119" s="485"/>
      <c r="Y119" s="442">
        <v>30</v>
      </c>
      <c r="Z119" s="441">
        <v>0</v>
      </c>
      <c r="AA119" s="485"/>
      <c r="AB119" s="442">
        <v>0</v>
      </c>
      <c r="AC119" s="672"/>
      <c r="AD119" s="441">
        <v>39.127644146768148</v>
      </c>
      <c r="AE119" s="674">
        <v>335.37980697229835</v>
      </c>
      <c r="AF119" s="674">
        <v>206.81754763291733</v>
      </c>
      <c r="AG119" s="674">
        <v>0</v>
      </c>
      <c r="AH119" s="442">
        <v>0</v>
      </c>
      <c r="AI119" s="442">
        <v>1.1368683772161603E-13</v>
      </c>
      <c r="AK119" s="3" t="e">
        <f>IF(F119="", " ", VLOOKUP(F119,#REF!, 1, FALSE))</f>
        <v>#REF!</v>
      </c>
    </row>
    <row r="120" spans="1:37" ht="36" x14ac:dyDescent="0.25">
      <c r="A120" s="587" t="s">
        <v>2710</v>
      </c>
      <c r="B120" s="369" t="s">
        <v>25</v>
      </c>
      <c r="C120" s="588"/>
      <c r="D120" s="589" t="s">
        <v>2999</v>
      </c>
      <c r="E120" s="44" t="s">
        <v>27</v>
      </c>
      <c r="F120" s="214">
        <v>93599</v>
      </c>
      <c r="G120" s="587" t="s">
        <v>788</v>
      </c>
      <c r="H120" s="590" t="s">
        <v>42</v>
      </c>
      <c r="I120" s="591">
        <v>418.05719999999997</v>
      </c>
      <c r="J120" s="592">
        <v>0.41</v>
      </c>
      <c r="K120" s="593">
        <v>0.2033513845915047</v>
      </c>
      <c r="L120" s="592">
        <v>0.4933740676825169</v>
      </c>
      <c r="M120" s="594">
        <v>206.25858128796349</v>
      </c>
      <c r="N120" s="439"/>
      <c r="O120" s="673"/>
      <c r="P120" s="361"/>
      <c r="Q120" s="441">
        <v>0</v>
      </c>
      <c r="R120" s="485"/>
      <c r="S120" s="442">
        <v>0</v>
      </c>
      <c r="T120" s="441">
        <v>418.05719999999997</v>
      </c>
      <c r="U120" s="485"/>
      <c r="V120" s="442">
        <v>27</v>
      </c>
      <c r="W120" s="578">
        <v>0</v>
      </c>
      <c r="X120" s="485"/>
      <c r="Y120" s="442">
        <v>27</v>
      </c>
      <c r="Z120" s="441">
        <v>0</v>
      </c>
      <c r="AA120" s="485"/>
      <c r="AB120" s="442">
        <v>0</v>
      </c>
      <c r="AC120" s="672"/>
      <c r="AD120" s="441">
        <v>10.061394209168951</v>
      </c>
      <c r="AE120" s="674">
        <v>125.76742761461189</v>
      </c>
      <c r="AF120" s="674">
        <v>70.429759464182666</v>
      </c>
      <c r="AG120" s="674">
        <v>0</v>
      </c>
      <c r="AH120" s="442">
        <v>0</v>
      </c>
      <c r="AI120" s="442">
        <v>0</v>
      </c>
      <c r="AK120" s="3" t="e">
        <f>IF(F120="", " ", VLOOKUP(F120,#REF!, 1, FALSE))</f>
        <v>#REF!</v>
      </c>
    </row>
    <row r="121" spans="1:37" ht="36" x14ac:dyDescent="0.25">
      <c r="A121" s="587" t="s">
        <v>2711</v>
      </c>
      <c r="B121" s="369" t="s">
        <v>25</v>
      </c>
      <c r="C121" s="588"/>
      <c r="D121" s="589" t="s">
        <v>3000</v>
      </c>
      <c r="E121" s="44" t="s">
        <v>27</v>
      </c>
      <c r="F121" s="214">
        <v>100943</v>
      </c>
      <c r="G121" s="587" t="s">
        <v>786</v>
      </c>
      <c r="H121" s="590" t="s">
        <v>42</v>
      </c>
      <c r="I121" s="591">
        <v>15.483599999999999</v>
      </c>
      <c r="J121" s="592">
        <v>3.1</v>
      </c>
      <c r="K121" s="593">
        <v>0.2033513845915047</v>
      </c>
      <c r="L121" s="592">
        <v>3.7303892922336646</v>
      </c>
      <c r="M121" s="594">
        <v>57.759855645229166</v>
      </c>
      <c r="N121" s="439"/>
      <c r="O121" s="673"/>
      <c r="P121" s="361"/>
      <c r="Q121" s="441">
        <v>0</v>
      </c>
      <c r="R121" s="485"/>
      <c r="S121" s="442">
        <v>0</v>
      </c>
      <c r="T121" s="441">
        <v>15.483599999999999</v>
      </c>
      <c r="U121" s="485"/>
      <c r="V121" s="442">
        <v>1</v>
      </c>
      <c r="W121" s="578">
        <v>0</v>
      </c>
      <c r="X121" s="485"/>
      <c r="Y121" s="442">
        <v>0.6</v>
      </c>
      <c r="Z121" s="441">
        <v>0</v>
      </c>
      <c r="AA121" s="485"/>
      <c r="AB121" s="442">
        <v>0</v>
      </c>
      <c r="AC121" s="672"/>
      <c r="AD121" s="441">
        <v>4.0990865296614247</v>
      </c>
      <c r="AE121" s="674">
        <v>32.233725892337567</v>
      </c>
      <c r="AF121" s="674">
        <v>21.427043223230175</v>
      </c>
      <c r="AG121" s="674">
        <v>0</v>
      </c>
      <c r="AH121" s="442">
        <v>0</v>
      </c>
      <c r="AI121" s="442">
        <v>0</v>
      </c>
      <c r="AK121" s="3" t="e">
        <f>IF(F121="", " ", VLOOKUP(F121,#REF!, 1, FALSE))</f>
        <v>#REF!</v>
      </c>
    </row>
    <row r="122" spans="1:37" ht="48" x14ac:dyDescent="0.25">
      <c r="A122" s="587" t="s">
        <v>1394</v>
      </c>
      <c r="B122" s="369" t="s">
        <v>20</v>
      </c>
      <c r="C122" s="588"/>
      <c r="D122" s="589" t="s">
        <v>3001</v>
      </c>
      <c r="E122" s="44" t="s">
        <v>27</v>
      </c>
      <c r="F122" s="214">
        <v>92756</v>
      </c>
      <c r="G122" s="587" t="s">
        <v>629</v>
      </c>
      <c r="H122" s="590" t="s">
        <v>51</v>
      </c>
      <c r="I122" s="591">
        <v>40.799999999999997</v>
      </c>
      <c r="J122" s="592">
        <v>231.86</v>
      </c>
      <c r="K122" s="593">
        <v>0.2033513845915047</v>
      </c>
      <c r="L122" s="592">
        <v>279.00905203138632</v>
      </c>
      <c r="M122" s="594">
        <v>11383.569322880561</v>
      </c>
      <c r="N122" s="439"/>
      <c r="O122" s="673"/>
      <c r="P122" s="361"/>
      <c r="Q122" s="441"/>
      <c r="R122" s="794">
        <v>0.3795</v>
      </c>
      <c r="S122" s="442"/>
      <c r="T122" s="441">
        <v>40.799999999999997</v>
      </c>
      <c r="U122" s="485">
        <v>0.3795</v>
      </c>
      <c r="V122" s="442"/>
      <c r="W122" s="441">
        <v>0</v>
      </c>
      <c r="X122" s="485">
        <v>0.3795</v>
      </c>
      <c r="Y122" s="442"/>
      <c r="Z122" s="441"/>
      <c r="AA122" s="485">
        <v>0.3795</v>
      </c>
      <c r="AB122" s="442"/>
      <c r="AC122" s="672"/>
      <c r="AD122" s="441">
        <v>1756.1902642949954</v>
      </c>
      <c r="AE122" s="674">
        <v>8907.6209016226167</v>
      </c>
      <c r="AF122" s="674">
        <v>719.7581569629474</v>
      </c>
      <c r="AG122" s="674">
        <v>0</v>
      </c>
      <c r="AH122" s="442">
        <v>0</v>
      </c>
      <c r="AI122" s="442">
        <v>1.8189894035458565E-12</v>
      </c>
      <c r="AK122" s="3" t="e">
        <f>IF(F122="", " ", VLOOKUP(F122,#REF!, 1, FALSE))</f>
        <v>#REF!</v>
      </c>
    </row>
    <row r="123" spans="1:37" ht="24" x14ac:dyDescent="0.25">
      <c r="A123" s="587" t="s">
        <v>2719</v>
      </c>
      <c r="B123" s="369" t="s">
        <v>20</v>
      </c>
      <c r="C123" s="588"/>
      <c r="D123" s="589" t="s">
        <v>3086</v>
      </c>
      <c r="E123" s="44" t="s">
        <v>138</v>
      </c>
      <c r="F123" s="214" t="s">
        <v>1183</v>
      </c>
      <c r="G123" s="587" t="s">
        <v>2718</v>
      </c>
      <c r="H123" s="590" t="s">
        <v>51</v>
      </c>
      <c r="I123" s="591">
        <v>2.0840000000000001</v>
      </c>
      <c r="J123" s="592">
        <v>1722.5153</v>
      </c>
      <c r="K123" s="593">
        <v>0.2033513845915047</v>
      </c>
      <c r="L123" s="592">
        <v>2072.791171235051</v>
      </c>
      <c r="M123" s="594">
        <v>4319.6968008538461</v>
      </c>
      <c r="N123" s="439"/>
      <c r="O123" s="673"/>
      <c r="P123" s="361"/>
      <c r="Q123" s="441"/>
      <c r="R123" s="485"/>
      <c r="S123" s="442"/>
      <c r="T123" s="441">
        <v>2.0840000000000001</v>
      </c>
      <c r="U123" s="485"/>
      <c r="V123" s="442"/>
      <c r="W123" s="578">
        <v>0</v>
      </c>
      <c r="X123" s="485"/>
      <c r="Y123" s="442"/>
      <c r="Z123" s="441"/>
      <c r="AA123" s="485"/>
      <c r="AB123" s="442"/>
      <c r="AC123" s="672"/>
      <c r="AD123" s="441">
        <v>4029.9832658237656</v>
      </c>
      <c r="AE123" s="674">
        <v>289.54835563847729</v>
      </c>
      <c r="AF123" s="674">
        <v>0.10699879618085104</v>
      </c>
      <c r="AG123" s="674">
        <v>0</v>
      </c>
      <c r="AH123" s="442">
        <v>5.8180595423260061E-2</v>
      </c>
      <c r="AI123" s="442">
        <v>-9.0949470177292824E-13</v>
      </c>
      <c r="AK123" s="3" t="e">
        <f>IF(F123="", " ", VLOOKUP(F123,#REF!, 1, FALSE))</f>
        <v>#REF!</v>
      </c>
    </row>
    <row r="124" spans="1:37" x14ac:dyDescent="0.25">
      <c r="A124" s="1145" t="s">
        <v>2784</v>
      </c>
      <c r="B124" s="1146"/>
      <c r="C124" s="1147"/>
      <c r="D124" s="1148" t="s">
        <v>2785</v>
      </c>
      <c r="E124" s="1146"/>
      <c r="F124" s="1149"/>
      <c r="G124" s="1145" t="s">
        <v>2784</v>
      </c>
      <c r="H124" s="1150" t="s">
        <v>21</v>
      </c>
      <c r="I124" s="1151" t="s">
        <v>21</v>
      </c>
      <c r="J124" s="1152" t="s">
        <v>21</v>
      </c>
      <c r="K124" s="1153" t="s">
        <v>21</v>
      </c>
      <c r="L124" s="1152" t="s">
        <v>21</v>
      </c>
      <c r="M124" s="1154">
        <v>303078.62962546607</v>
      </c>
      <c r="N124" s="1155"/>
      <c r="O124" s="1156"/>
      <c r="P124" s="1157"/>
      <c r="Q124" s="1158"/>
      <c r="R124" s="1159"/>
      <c r="S124" s="1160"/>
      <c r="T124" s="1158"/>
      <c r="U124" s="1159"/>
      <c r="V124" s="1160"/>
      <c r="W124" s="1161"/>
      <c r="X124" s="1159"/>
      <c r="Y124" s="1160"/>
      <c r="Z124" s="1158"/>
      <c r="AA124" s="1159"/>
      <c r="AB124" s="1160"/>
      <c r="AC124" s="1162"/>
      <c r="AD124" s="1158" t="s">
        <v>21</v>
      </c>
      <c r="AE124" s="1163" t="s">
        <v>21</v>
      </c>
      <c r="AF124" s="1163" t="s">
        <v>21</v>
      </c>
      <c r="AG124" s="1163" t="s">
        <v>21</v>
      </c>
      <c r="AH124" s="1160" t="s">
        <v>21</v>
      </c>
      <c r="AI124" s="1160" t="s">
        <v>21</v>
      </c>
      <c r="AK124" s="3" t="str">
        <f>IF(F124="", " ", VLOOKUP(F124,#REF!, 1, FALSE))</f>
        <v xml:space="preserve"> </v>
      </c>
    </row>
    <row r="125" spans="1:37" x14ac:dyDescent="0.25">
      <c r="A125" s="587" t="s">
        <v>1858</v>
      </c>
      <c r="B125" s="369"/>
      <c r="C125" s="588"/>
      <c r="D125" s="589" t="s">
        <v>2786</v>
      </c>
      <c r="E125" s="44"/>
      <c r="F125" s="214"/>
      <c r="G125" s="587" t="s">
        <v>1858</v>
      </c>
      <c r="H125" s="590" t="s">
        <v>21</v>
      </c>
      <c r="I125" s="591" t="str">
        <f>IF($F125="","",IF('TRECHO(S) A IMPRIMIR'!$B$1= 1, SUM(Q125, T125, W125, Z125), IF('TRECHO(S) A IMPRIMIR'!$B$1= 2, T125, IF('TRECHO(S) A IMPRIMIR'!$B$1= 3, W125, 0))))</f>
        <v/>
      </c>
      <c r="J125" s="592" t="s">
        <v>21</v>
      </c>
      <c r="K125" s="593" t="str">
        <f t="shared" si="19"/>
        <v/>
      </c>
      <c r="L125" s="592" t="str">
        <f>IF(J125="","",
  IF(AND(J125&lt;&gt;"",K125=""),J125,J125 * (1 + K125)))</f>
        <v/>
      </c>
      <c r="M125" s="594" t="str">
        <f>IF(OR(I125="",L125=""),"",I125*L125)</f>
        <v/>
      </c>
      <c r="N125" s="439"/>
      <c r="O125" s="673"/>
      <c r="P125" s="361"/>
      <c r="Q125" s="441"/>
      <c r="R125" s="485"/>
      <c r="S125" s="442"/>
      <c r="T125" s="441"/>
      <c r="U125" s="485"/>
      <c r="V125" s="442"/>
      <c r="W125" s="578"/>
      <c r="X125" s="485"/>
      <c r="Y125" s="442"/>
      <c r="Z125" s="441"/>
      <c r="AA125" s="485"/>
      <c r="AB125" s="442"/>
      <c r="AC125" s="672"/>
      <c r="AD125" s="441" t="s">
        <v>21</v>
      </c>
      <c r="AE125" s="674" t="s">
        <v>21</v>
      </c>
      <c r="AF125" s="674" t="s">
        <v>21</v>
      </c>
      <c r="AG125" s="674" t="s">
        <v>21</v>
      </c>
      <c r="AH125" s="442" t="s">
        <v>21</v>
      </c>
      <c r="AI125" s="442" t="s">
        <v>21</v>
      </c>
      <c r="AK125" s="3" t="str">
        <f>IF(F125="", " ", VLOOKUP(F125,#REF!, 1, FALSE))</f>
        <v xml:space="preserve"> </v>
      </c>
    </row>
    <row r="126" spans="1:37" ht="36" hidden="1" x14ac:dyDescent="0.25">
      <c r="A126" s="587" t="s">
        <v>2720</v>
      </c>
      <c r="B126" s="369" t="s">
        <v>23</v>
      </c>
      <c r="C126" s="588"/>
      <c r="D126" s="589" t="s">
        <v>2787</v>
      </c>
      <c r="E126" s="44" t="s">
        <v>27</v>
      </c>
      <c r="F126" s="214">
        <v>101010</v>
      </c>
      <c r="G126" s="587" t="s">
        <v>770</v>
      </c>
      <c r="H126" s="590" t="s">
        <v>55</v>
      </c>
      <c r="I126" s="591">
        <f>IF($F126="","",IF('TRECHO(S) A IMPRIMIR'!$B$1= 1, SUM(Q126, T126, W126, Z126), IF('TRECHO(S) A IMPRIMIR'!$B$1= 2, T126, IF('TRECHO(S) A IMPRIMIR'!$B$1= 3, W126, 0))))</f>
        <v>0</v>
      </c>
      <c r="J126" s="592">
        <v>17.260000000000002</v>
      </c>
      <c r="K126" s="593">
        <f t="shared" si="19"/>
        <v>0.2033513845915047</v>
      </c>
      <c r="L126" s="592">
        <f t="shared" ref="L126:L168" si="22">IF(J126="","",
  IF(AND(J126&lt;&gt;"",K126=""),J126,J126 * (1 + K126)))</f>
        <v>20.769844898049374</v>
      </c>
      <c r="M126" s="594">
        <f t="shared" ref="M126:M168" si="23">IF(OR(I126="",L126=""),"",I126*L126)</f>
        <v>0</v>
      </c>
      <c r="N126" s="439"/>
      <c r="O126" s="673"/>
      <c r="P126" s="361"/>
      <c r="Q126" s="441"/>
      <c r="R126" s="485"/>
      <c r="S126" s="442"/>
      <c r="T126" s="441">
        <f>'04-MLQ-CR-LAGOAS'!F118</f>
        <v>0</v>
      </c>
      <c r="U126" s="485"/>
      <c r="V126" s="442"/>
      <c r="W126" s="578">
        <f>'04-MLQ-CR-LAGOAS'!L118</f>
        <v>0</v>
      </c>
      <c r="X126" s="485"/>
      <c r="Y126" s="442"/>
      <c r="Z126" s="441"/>
      <c r="AA126" s="485"/>
      <c r="AB126" s="442"/>
      <c r="AC126" s="672"/>
      <c r="AD126" s="441" t="s">
        <v>21</v>
      </c>
      <c r="AE126" s="674" t="s">
        <v>21</v>
      </c>
      <c r="AF126" s="674" t="s">
        <v>21</v>
      </c>
      <c r="AG126" s="674" t="s">
        <v>21</v>
      </c>
      <c r="AH126" s="442" t="s">
        <v>21</v>
      </c>
      <c r="AI126" s="442" t="str">
        <f t="shared" ref="AI126:AI168" si="24">IF(SUM(AD126:AH126)=0,"",M126 - SUM(AD126:AH126))</f>
        <v/>
      </c>
      <c r="AK126" s="3" t="e">
        <f>IF(F126="", " ", VLOOKUP(F126,#REF!, 1, FALSE))</f>
        <v>#REF!</v>
      </c>
    </row>
    <row r="127" spans="1:37" ht="48" hidden="1" x14ac:dyDescent="0.25">
      <c r="A127" s="587" t="s">
        <v>2721</v>
      </c>
      <c r="B127" s="369" t="s">
        <v>25</v>
      </c>
      <c r="C127" s="588"/>
      <c r="D127" s="589" t="s">
        <v>2788</v>
      </c>
      <c r="E127" s="44" t="s">
        <v>27</v>
      </c>
      <c r="F127" s="214">
        <v>100954</v>
      </c>
      <c r="G127" s="587" t="s">
        <v>794</v>
      </c>
      <c r="H127" s="590" t="s">
        <v>42</v>
      </c>
      <c r="I127" s="591">
        <f>IF($F127="","",IF('TRECHO(S) A IMPRIMIR'!$B$1= 1, SUM(Q127, T127, W127, Z127), IF('TRECHO(S) A IMPRIMIR'!$B$1= 2, T127, IF('TRECHO(S) A IMPRIMIR'!$B$1= 3, W127, 0))))</f>
        <v>0</v>
      </c>
      <c r="J127" s="592">
        <v>5.41</v>
      </c>
      <c r="K127" s="593">
        <f t="shared" si="19"/>
        <v>0.2033513845915047</v>
      </c>
      <c r="L127" s="592">
        <f t="shared" si="22"/>
        <v>6.5101309906400404</v>
      </c>
      <c r="M127" s="594">
        <f t="shared" si="23"/>
        <v>0</v>
      </c>
      <c r="N127" s="439"/>
      <c r="O127" s="673"/>
      <c r="P127" s="361"/>
      <c r="Q127" s="441">
        <f>Q126 * S127</f>
        <v>0</v>
      </c>
      <c r="R127" s="485"/>
      <c r="S127" s="442">
        <v>0</v>
      </c>
      <c r="T127" s="441">
        <f>T126 * V127</f>
        <v>0</v>
      </c>
      <c r="U127" s="485"/>
      <c r="V127" s="442">
        <f>'MLQ-DMT-TR1'!$E$16</f>
        <v>1</v>
      </c>
      <c r="W127" s="578">
        <f>W126 * Y127</f>
        <v>0</v>
      </c>
      <c r="X127" s="485"/>
      <c r="Y127" s="442">
        <f>'MLQ-DMT-TR3'!$E$16</f>
        <v>0.6</v>
      </c>
      <c r="Z127" s="441">
        <f>Z126 * AB127</f>
        <v>0</v>
      </c>
      <c r="AA127" s="485"/>
      <c r="AB127" s="442">
        <v>0</v>
      </c>
      <c r="AC127" s="672"/>
      <c r="AD127" s="441" t="s">
        <v>21</v>
      </c>
      <c r="AE127" s="674" t="s">
        <v>21</v>
      </c>
      <c r="AF127" s="674" t="s">
        <v>21</v>
      </c>
      <c r="AG127" s="674" t="s">
        <v>21</v>
      </c>
      <c r="AH127" s="442" t="s">
        <v>21</v>
      </c>
      <c r="AI127" s="442" t="str">
        <f t="shared" si="24"/>
        <v/>
      </c>
      <c r="AK127" s="3" t="e">
        <f>IF(F127="", " ", VLOOKUP(F127,#REF!, 1, FALSE))</f>
        <v>#REF!</v>
      </c>
    </row>
    <row r="128" spans="1:37" ht="36" hidden="1" x14ac:dyDescent="0.25">
      <c r="A128" s="587" t="s">
        <v>2726</v>
      </c>
      <c r="B128" s="369" t="s">
        <v>26</v>
      </c>
      <c r="C128" s="588"/>
      <c r="D128" s="589" t="s">
        <v>2789</v>
      </c>
      <c r="E128" s="44" t="s">
        <v>27</v>
      </c>
      <c r="F128" s="214">
        <v>101176</v>
      </c>
      <c r="G128" s="587" t="s">
        <v>566</v>
      </c>
      <c r="H128" s="590" t="s">
        <v>22</v>
      </c>
      <c r="I128" s="591">
        <f>IF($F128="","",IF('TRECHO(S) A IMPRIMIR'!$B$1= 1, SUM(Q128, T128, W128, Z128), IF('TRECHO(S) A IMPRIMIR'!$B$1= 2, T128, IF('TRECHO(S) A IMPRIMIR'!$B$1= 3, W128, 0))))</f>
        <v>0</v>
      </c>
      <c r="J128" s="592">
        <v>137.46</v>
      </c>
      <c r="K128" s="593">
        <f t="shared" si="19"/>
        <v>0.2033513845915047</v>
      </c>
      <c r="L128" s="592">
        <f t="shared" si="22"/>
        <v>165.41268132594826</v>
      </c>
      <c r="M128" s="594">
        <f t="shared" si="23"/>
        <v>0</v>
      </c>
      <c r="N128" s="439"/>
      <c r="O128" s="673"/>
      <c r="P128" s="361"/>
      <c r="Q128" s="441"/>
      <c r="R128" s="485"/>
      <c r="S128" s="442"/>
      <c r="T128" s="441">
        <f>'04-MLQ-CR-LAGOAS'!F120</f>
        <v>0</v>
      </c>
      <c r="U128" s="485"/>
      <c r="V128" s="442"/>
      <c r="W128" s="578">
        <f>'04-MLQ-CR-LAGOAS'!L120</f>
        <v>0</v>
      </c>
      <c r="X128" s="485"/>
      <c r="Y128" s="442"/>
      <c r="Z128" s="441"/>
      <c r="AA128" s="485"/>
      <c r="AB128" s="442"/>
      <c r="AC128" s="672"/>
      <c r="AD128" s="441" t="s">
        <v>21</v>
      </c>
      <c r="AE128" s="674" t="s">
        <v>21</v>
      </c>
      <c r="AF128" s="674" t="s">
        <v>21</v>
      </c>
      <c r="AG128" s="674" t="s">
        <v>21</v>
      </c>
      <c r="AH128" s="442" t="s">
        <v>21</v>
      </c>
      <c r="AI128" s="442" t="str">
        <f t="shared" si="24"/>
        <v/>
      </c>
      <c r="AK128" s="3" t="e">
        <f>IF(F128="", " ", VLOOKUP(F128,#REF!, 1, FALSE))</f>
        <v>#REF!</v>
      </c>
    </row>
    <row r="129" spans="1:37" ht="36" x14ac:dyDescent="0.25">
      <c r="A129" s="587" t="s">
        <v>2725</v>
      </c>
      <c r="B129" s="369"/>
      <c r="C129" s="588"/>
      <c r="D129" s="589" t="s">
        <v>2790</v>
      </c>
      <c r="E129" s="44"/>
      <c r="F129" s="214"/>
      <c r="G129" s="587" t="s">
        <v>2725</v>
      </c>
      <c r="H129" s="590" t="s">
        <v>21</v>
      </c>
      <c r="I129" s="591" t="str">
        <f>IF($F129="","",IF('TRECHO(S) A IMPRIMIR'!$B$1= 1, SUM(Q129, T129, W129, Z129), IF('TRECHO(S) A IMPRIMIR'!$B$1= 2, T129, IF('TRECHO(S) A IMPRIMIR'!$B$1= 3, W129, 0))))</f>
        <v/>
      </c>
      <c r="J129" s="592" t="s">
        <v>21</v>
      </c>
      <c r="K129" s="593" t="str">
        <f t="shared" si="19"/>
        <v/>
      </c>
      <c r="L129" s="592" t="str">
        <f t="shared" si="22"/>
        <v/>
      </c>
      <c r="M129" s="594" t="str">
        <f t="shared" si="23"/>
        <v/>
      </c>
      <c r="N129" s="439"/>
      <c r="O129" s="673"/>
      <c r="P129" s="361"/>
      <c r="Q129" s="441"/>
      <c r="R129" s="485"/>
      <c r="S129" s="442"/>
      <c r="T129" s="441"/>
      <c r="U129" s="485"/>
      <c r="V129" s="442"/>
      <c r="W129" s="578"/>
      <c r="X129" s="485"/>
      <c r="Y129" s="442"/>
      <c r="Z129" s="441"/>
      <c r="AA129" s="485"/>
      <c r="AB129" s="442"/>
      <c r="AC129" s="672"/>
      <c r="AD129" s="441" t="s">
        <v>21</v>
      </c>
      <c r="AE129" s="674" t="s">
        <v>21</v>
      </c>
      <c r="AF129" s="674" t="s">
        <v>21</v>
      </c>
      <c r="AG129" s="674" t="s">
        <v>21</v>
      </c>
      <c r="AH129" s="442" t="s">
        <v>21</v>
      </c>
      <c r="AI129" s="442" t="str">
        <f t="shared" si="24"/>
        <v/>
      </c>
      <c r="AK129" s="3" t="str">
        <f>IF(F129="", " ", VLOOKUP(F129,#REF!, 1, FALSE))</f>
        <v xml:space="preserve"> </v>
      </c>
    </row>
    <row r="130" spans="1:37" ht="24" hidden="1" x14ac:dyDescent="0.25">
      <c r="A130" s="587" t="s">
        <v>925</v>
      </c>
      <c r="B130" s="369" t="s">
        <v>28</v>
      </c>
      <c r="C130" s="588"/>
      <c r="D130" s="589" t="s">
        <v>2791</v>
      </c>
      <c r="E130" s="44" t="s">
        <v>27</v>
      </c>
      <c r="F130" s="214">
        <v>93358</v>
      </c>
      <c r="G130" s="587" t="s">
        <v>1293</v>
      </c>
      <c r="H130" s="590" t="s">
        <v>44</v>
      </c>
      <c r="I130" s="591">
        <f>IF($F130="","",IF('TRECHO(S) A IMPRIMIR'!$B$1= 1, SUM(Q130, T130, W130, Z130), IF('TRECHO(S) A IMPRIMIR'!$B$1= 2, T130, IF('TRECHO(S) A IMPRIMIR'!$B$1= 3, W130, 0))))</f>
        <v>0</v>
      </c>
      <c r="J130" s="592">
        <v>69.66</v>
      </c>
      <c r="K130" s="593">
        <f t="shared" si="19"/>
        <v>0.2033513845915047</v>
      </c>
      <c r="L130" s="592">
        <f t="shared" si="22"/>
        <v>83.825457450644208</v>
      </c>
      <c r="M130" s="594">
        <f t="shared" si="23"/>
        <v>0</v>
      </c>
      <c r="N130" s="439"/>
      <c r="O130" s="673"/>
      <c r="P130" s="361"/>
      <c r="Q130" s="441"/>
      <c r="R130" s="485"/>
      <c r="S130" s="442"/>
      <c r="T130" s="441">
        <f>'04-MLQ-CR-LAGOAS'!F122</f>
        <v>0</v>
      </c>
      <c r="U130" s="485"/>
      <c r="V130" s="442"/>
      <c r="W130" s="441">
        <f>'04-MLQ-CR-LAGOAS'!L122</f>
        <v>0</v>
      </c>
      <c r="X130" s="485"/>
      <c r="Y130" s="442"/>
      <c r="Z130" s="441"/>
      <c r="AA130" s="485"/>
      <c r="AB130" s="442"/>
      <c r="AC130" s="672"/>
      <c r="AD130" s="441" t="s">
        <v>21</v>
      </c>
      <c r="AE130" s="674" t="s">
        <v>21</v>
      </c>
      <c r="AF130" s="674" t="s">
        <v>21</v>
      </c>
      <c r="AG130" s="674" t="s">
        <v>21</v>
      </c>
      <c r="AH130" s="442" t="s">
        <v>21</v>
      </c>
      <c r="AI130" s="442" t="str">
        <f t="shared" si="24"/>
        <v/>
      </c>
      <c r="AK130" s="3" t="e">
        <f>IF(F130="", " ", VLOOKUP(F130,#REF!, 1, FALSE))</f>
        <v>#REF!</v>
      </c>
    </row>
    <row r="131" spans="1:37" ht="24" hidden="1" x14ac:dyDescent="0.25">
      <c r="A131" s="587" t="s">
        <v>1862</v>
      </c>
      <c r="B131" s="369" t="s">
        <v>20</v>
      </c>
      <c r="C131" s="588"/>
      <c r="D131" s="589" t="s">
        <v>2792</v>
      </c>
      <c r="E131" s="44" t="s">
        <v>27</v>
      </c>
      <c r="F131" s="214">
        <v>101616</v>
      </c>
      <c r="G131" s="587" t="s">
        <v>1169</v>
      </c>
      <c r="H131" s="590" t="s">
        <v>51</v>
      </c>
      <c r="I131" s="591">
        <f>IF($F131="","",IF('TRECHO(S) A IMPRIMIR'!$B$1= 1, SUM(Q131, T131, W131, Z131), IF('TRECHO(S) A IMPRIMIR'!$B$1= 2, T131, IF('TRECHO(S) A IMPRIMIR'!$B$1= 3, W131, 0))))</f>
        <v>0</v>
      </c>
      <c r="J131" s="592">
        <v>5.27</v>
      </c>
      <c r="K131" s="593">
        <f t="shared" si="19"/>
        <v>0.2033513845915047</v>
      </c>
      <c r="L131" s="592">
        <f t="shared" si="22"/>
        <v>6.3416617967972293</v>
      </c>
      <c r="M131" s="594">
        <f t="shared" si="23"/>
        <v>0</v>
      </c>
      <c r="N131" s="439"/>
      <c r="O131" s="673"/>
      <c r="P131" s="361"/>
      <c r="Q131" s="441"/>
      <c r="R131" s="485"/>
      <c r="S131" s="442"/>
      <c r="T131" s="441">
        <f>'04-MLQ-CR-LAGOAS'!F123</f>
        <v>0</v>
      </c>
      <c r="U131" s="485"/>
      <c r="V131" s="442"/>
      <c r="W131" s="441">
        <f>'04-MLQ-CR-LAGOAS'!L123</f>
        <v>0</v>
      </c>
      <c r="X131" s="485"/>
      <c r="Y131" s="442"/>
      <c r="Z131" s="441"/>
      <c r="AA131" s="485"/>
      <c r="AB131" s="442"/>
      <c r="AC131" s="672"/>
      <c r="AD131" s="441" t="s">
        <v>21</v>
      </c>
      <c r="AE131" s="674" t="s">
        <v>21</v>
      </c>
      <c r="AF131" s="674" t="s">
        <v>21</v>
      </c>
      <c r="AG131" s="674" t="s">
        <v>21</v>
      </c>
      <c r="AH131" s="442" t="s">
        <v>21</v>
      </c>
      <c r="AI131" s="442" t="str">
        <f t="shared" si="24"/>
        <v/>
      </c>
      <c r="AK131" s="3" t="e">
        <f>IF(F131="", " ", VLOOKUP(F131,#REF!, 1, FALSE))</f>
        <v>#REF!</v>
      </c>
    </row>
    <row r="132" spans="1:37" ht="24" hidden="1" x14ac:dyDescent="0.25">
      <c r="A132" s="587" t="s">
        <v>2723</v>
      </c>
      <c r="B132" s="369" t="s">
        <v>39</v>
      </c>
      <c r="C132" s="588"/>
      <c r="D132" s="589" t="s">
        <v>2793</v>
      </c>
      <c r="E132" s="44" t="s">
        <v>27</v>
      </c>
      <c r="F132" s="214">
        <v>95601</v>
      </c>
      <c r="G132" s="587" t="s">
        <v>3655</v>
      </c>
      <c r="H132" s="590" t="s">
        <v>41</v>
      </c>
      <c r="I132" s="591">
        <f>IF($F132="","",IF('TRECHO(S) A IMPRIMIR'!$B$1= 1, SUM(Q132, T132, W132, Z132), IF('TRECHO(S) A IMPRIMIR'!$B$1= 2, T132, IF('TRECHO(S) A IMPRIMIR'!$B$1= 3, W132, 0))))</f>
        <v>0</v>
      </c>
      <c r="J132" s="592">
        <v>13.84</v>
      </c>
      <c r="K132" s="593">
        <f t="shared" si="19"/>
        <v>0.2033513845915047</v>
      </c>
      <c r="L132" s="592">
        <f t="shared" si="22"/>
        <v>16.654383162746424</v>
      </c>
      <c r="M132" s="594">
        <f t="shared" si="23"/>
        <v>0</v>
      </c>
      <c r="N132" s="439"/>
      <c r="O132" s="673"/>
      <c r="P132" s="361"/>
      <c r="Q132" s="441"/>
      <c r="R132" s="485"/>
      <c r="S132" s="442"/>
      <c r="T132" s="441">
        <f>'04-MLQ-CR-LAGOAS'!F124</f>
        <v>0</v>
      </c>
      <c r="U132" s="485"/>
      <c r="V132" s="442"/>
      <c r="W132" s="441">
        <f>'04-MLQ-CR-LAGOAS'!L124</f>
        <v>0</v>
      </c>
      <c r="X132" s="485"/>
      <c r="Y132" s="442"/>
      <c r="Z132" s="441"/>
      <c r="AA132" s="485"/>
      <c r="AB132" s="442"/>
      <c r="AC132" s="672"/>
      <c r="AD132" s="441" t="s">
        <v>21</v>
      </c>
      <c r="AE132" s="674" t="s">
        <v>21</v>
      </c>
      <c r="AF132" s="674" t="s">
        <v>21</v>
      </c>
      <c r="AG132" s="674" t="s">
        <v>21</v>
      </c>
      <c r="AH132" s="442" t="s">
        <v>21</v>
      </c>
      <c r="AI132" s="442" t="str">
        <f t="shared" si="24"/>
        <v/>
      </c>
      <c r="AK132" s="3" t="e">
        <f>IF(F132="", " ", VLOOKUP(F132,#REF!, 1, FALSE))</f>
        <v>#REF!</v>
      </c>
    </row>
    <row r="133" spans="1:37" ht="36" hidden="1" x14ac:dyDescent="0.25">
      <c r="A133" s="587" t="s">
        <v>1288</v>
      </c>
      <c r="B133" s="369" t="s">
        <v>28</v>
      </c>
      <c r="C133" s="588"/>
      <c r="D133" s="589" t="s">
        <v>2794</v>
      </c>
      <c r="E133" s="44" t="s">
        <v>27</v>
      </c>
      <c r="F133" s="214">
        <v>94962</v>
      </c>
      <c r="G133" s="587" t="s">
        <v>3658</v>
      </c>
      <c r="H133" s="590" t="s">
        <v>44</v>
      </c>
      <c r="I133" s="591">
        <f>IF($F133="","",IF('TRECHO(S) A IMPRIMIR'!$B$1= 1, SUM(Q133, T133, W133, Z133), IF('TRECHO(S) A IMPRIMIR'!$B$1= 2, T133, IF('TRECHO(S) A IMPRIMIR'!$B$1= 3, W133, 0))))</f>
        <v>0</v>
      </c>
      <c r="J133" s="592">
        <v>329.54</v>
      </c>
      <c r="K133" s="593">
        <f t="shared" si="19"/>
        <v>0.2033513845915047</v>
      </c>
      <c r="L133" s="592">
        <f t="shared" si="22"/>
        <v>396.55241527828446</v>
      </c>
      <c r="M133" s="594">
        <f t="shared" si="23"/>
        <v>0</v>
      </c>
      <c r="N133" s="439"/>
      <c r="O133" s="673"/>
      <c r="P133" s="361"/>
      <c r="Q133" s="441"/>
      <c r="R133" s="485"/>
      <c r="S133" s="442"/>
      <c r="T133" s="441">
        <f>'04-MLQ-CR-LAGOAS'!F125</f>
        <v>0</v>
      </c>
      <c r="U133" s="485"/>
      <c r="V133" s="442"/>
      <c r="W133" s="441">
        <f>'04-MLQ-CR-LAGOAS'!L125</f>
        <v>0</v>
      </c>
      <c r="X133" s="485"/>
      <c r="Y133" s="442"/>
      <c r="Z133" s="441"/>
      <c r="AA133" s="485"/>
      <c r="AB133" s="442"/>
      <c r="AC133" s="672"/>
      <c r="AD133" s="441" t="s">
        <v>21</v>
      </c>
      <c r="AE133" s="674" t="s">
        <v>21</v>
      </c>
      <c r="AF133" s="674" t="s">
        <v>21</v>
      </c>
      <c r="AG133" s="674" t="s">
        <v>21</v>
      </c>
      <c r="AH133" s="442" t="s">
        <v>21</v>
      </c>
      <c r="AI133" s="442" t="str">
        <f t="shared" si="24"/>
        <v/>
      </c>
      <c r="AK133" s="3" t="e">
        <f>IF(F133="", " ", VLOOKUP(F133,#REF!, 1, FALSE))</f>
        <v>#REF!</v>
      </c>
    </row>
    <row r="134" spans="1:37" ht="36" hidden="1" x14ac:dyDescent="0.25">
      <c r="A134" s="587" t="s">
        <v>2728</v>
      </c>
      <c r="B134" s="369" t="s">
        <v>20</v>
      </c>
      <c r="C134" s="588"/>
      <c r="D134" s="589" t="s">
        <v>2795</v>
      </c>
      <c r="E134" s="44" t="s">
        <v>27</v>
      </c>
      <c r="F134" s="214">
        <v>96534</v>
      </c>
      <c r="G134" s="587" t="s">
        <v>581</v>
      </c>
      <c r="H134" s="590" t="s">
        <v>51</v>
      </c>
      <c r="I134" s="591">
        <f>IF($F134="","",IF('TRECHO(S) A IMPRIMIR'!$B$1= 1, SUM(Q134, T134, W134, Z134), IF('TRECHO(S) A IMPRIMIR'!$B$1= 2, T134, IF('TRECHO(S) A IMPRIMIR'!$B$1= 3, W134, 0))))</f>
        <v>0</v>
      </c>
      <c r="J134" s="592">
        <v>79.489999999999995</v>
      </c>
      <c r="K134" s="593">
        <f t="shared" si="19"/>
        <v>0.2033513845915047</v>
      </c>
      <c r="L134" s="592">
        <f t="shared" si="22"/>
        <v>95.654401561178702</v>
      </c>
      <c r="M134" s="594">
        <f t="shared" si="23"/>
        <v>0</v>
      </c>
      <c r="N134" s="439"/>
      <c r="O134" s="673"/>
      <c r="P134" s="361"/>
      <c r="Q134" s="441"/>
      <c r="R134" s="485"/>
      <c r="S134" s="442"/>
      <c r="T134" s="441">
        <f>'04-MLQ-CR-LAGOAS'!F126</f>
        <v>0</v>
      </c>
      <c r="U134" s="485"/>
      <c r="V134" s="442"/>
      <c r="W134" s="441">
        <f>'04-MLQ-CR-LAGOAS'!L126</f>
        <v>0</v>
      </c>
      <c r="X134" s="485"/>
      <c r="Y134" s="442"/>
      <c r="Z134" s="441"/>
      <c r="AA134" s="485"/>
      <c r="AB134" s="442"/>
      <c r="AC134" s="672"/>
      <c r="AD134" s="441" t="s">
        <v>21</v>
      </c>
      <c r="AE134" s="674" t="s">
        <v>21</v>
      </c>
      <c r="AF134" s="674" t="s">
        <v>21</v>
      </c>
      <c r="AG134" s="674" t="s">
        <v>21</v>
      </c>
      <c r="AH134" s="442" t="s">
        <v>21</v>
      </c>
      <c r="AI134" s="442" t="str">
        <f t="shared" si="24"/>
        <v/>
      </c>
      <c r="AK134" s="3" t="e">
        <f>IF(F134="", " ", VLOOKUP(F134,#REF!, 1, FALSE))</f>
        <v>#REF!</v>
      </c>
    </row>
    <row r="135" spans="1:37" ht="36" hidden="1" x14ac:dyDescent="0.25">
      <c r="A135" s="587" t="s">
        <v>2729</v>
      </c>
      <c r="B135" s="369" t="s">
        <v>20</v>
      </c>
      <c r="C135" s="588"/>
      <c r="D135" s="589" t="s">
        <v>2796</v>
      </c>
      <c r="E135" s="44" t="s">
        <v>27</v>
      </c>
      <c r="F135" s="214">
        <v>96536</v>
      </c>
      <c r="G135" s="587" t="s">
        <v>67</v>
      </c>
      <c r="H135" s="590" t="s">
        <v>51</v>
      </c>
      <c r="I135" s="591">
        <f>IF($F135="","",IF('TRECHO(S) A IMPRIMIR'!$B$1= 1, SUM(Q135, T135, W135, Z135), IF('TRECHO(S) A IMPRIMIR'!$B$1= 2, T135, IF('TRECHO(S) A IMPRIMIR'!$B$1= 3, W135, 0))))</f>
        <v>0</v>
      </c>
      <c r="J135" s="592">
        <v>68.62</v>
      </c>
      <c r="K135" s="593">
        <f t="shared" si="19"/>
        <v>0.2033513845915047</v>
      </c>
      <c r="L135" s="592">
        <f t="shared" si="22"/>
        <v>82.573972010669053</v>
      </c>
      <c r="M135" s="594">
        <f t="shared" si="23"/>
        <v>0</v>
      </c>
      <c r="N135" s="439"/>
      <c r="O135" s="673"/>
      <c r="P135" s="361"/>
      <c r="Q135" s="441"/>
      <c r="R135" s="485"/>
      <c r="S135" s="442"/>
      <c r="T135" s="441">
        <f>'04-MLQ-CR-LAGOAS'!F127</f>
        <v>0</v>
      </c>
      <c r="U135" s="485"/>
      <c r="V135" s="442"/>
      <c r="W135" s="441">
        <f>'04-MLQ-CR-LAGOAS'!L127</f>
        <v>0</v>
      </c>
      <c r="X135" s="485"/>
      <c r="Y135" s="442"/>
      <c r="Z135" s="441"/>
      <c r="AA135" s="485"/>
      <c r="AB135" s="442"/>
      <c r="AC135" s="672"/>
      <c r="AD135" s="441" t="s">
        <v>21</v>
      </c>
      <c r="AE135" s="674" t="s">
        <v>21</v>
      </c>
      <c r="AF135" s="674" t="s">
        <v>21</v>
      </c>
      <c r="AG135" s="674" t="s">
        <v>21</v>
      </c>
      <c r="AH135" s="442" t="s">
        <v>21</v>
      </c>
      <c r="AI135" s="442" t="str">
        <f t="shared" si="24"/>
        <v/>
      </c>
      <c r="AK135" s="3" t="e">
        <f>IF(F135="", " ", VLOOKUP(F135,#REF!, 1, FALSE))</f>
        <v>#REF!</v>
      </c>
    </row>
    <row r="136" spans="1:37" ht="36" hidden="1" x14ac:dyDescent="0.25">
      <c r="A136" s="587" t="s">
        <v>2720</v>
      </c>
      <c r="B136" s="369" t="s">
        <v>23</v>
      </c>
      <c r="C136" s="588"/>
      <c r="D136" s="589" t="s">
        <v>2797</v>
      </c>
      <c r="E136" s="44" t="s">
        <v>27</v>
      </c>
      <c r="F136" s="214">
        <v>101010</v>
      </c>
      <c r="G136" s="587" t="s">
        <v>770</v>
      </c>
      <c r="H136" s="590" t="s">
        <v>55</v>
      </c>
      <c r="I136" s="591">
        <f>IF($F136="","",IF('TRECHO(S) A IMPRIMIR'!$B$1= 1, SUM(Q136, T136, W136, Z136), IF('TRECHO(S) A IMPRIMIR'!$B$1= 2, T136, IF('TRECHO(S) A IMPRIMIR'!$B$1= 3, W136, 0))))</f>
        <v>0</v>
      </c>
      <c r="J136" s="592">
        <v>17.260000000000002</v>
      </c>
      <c r="K136" s="593">
        <f t="shared" si="19"/>
        <v>0.2033513845915047</v>
      </c>
      <c r="L136" s="592">
        <f>IF(J136="","",
  IF(AND(J136&lt;&gt;"",K136=""),J136,J136 * (1 + K136)))</f>
        <v>20.769844898049374</v>
      </c>
      <c r="M136" s="594">
        <f>IF(OR(I136="",L136=""),"",I136*L136)</f>
        <v>0</v>
      </c>
      <c r="N136" s="439"/>
      <c r="O136" s="673"/>
      <c r="P136" s="361"/>
      <c r="Q136" s="441"/>
      <c r="R136" s="485"/>
      <c r="S136" s="442"/>
      <c r="T136" s="441">
        <f>'04-MLQ-CR-LAGOAS'!F128</f>
        <v>0</v>
      </c>
      <c r="U136" s="485"/>
      <c r="V136" s="442"/>
      <c r="W136" s="441">
        <f>'04-MLQ-CR-LAGOAS'!L128</f>
        <v>0</v>
      </c>
      <c r="X136" s="485"/>
      <c r="Y136" s="442"/>
      <c r="Z136" s="441"/>
      <c r="AA136" s="485"/>
      <c r="AB136" s="442"/>
      <c r="AC136" s="672"/>
      <c r="AD136" s="441" t="s">
        <v>21</v>
      </c>
      <c r="AE136" s="674" t="s">
        <v>21</v>
      </c>
      <c r="AF136" s="674" t="s">
        <v>21</v>
      </c>
      <c r="AG136" s="674" t="s">
        <v>21</v>
      </c>
      <c r="AH136" s="442" t="s">
        <v>21</v>
      </c>
      <c r="AI136" s="442" t="str">
        <f>IF(SUM(AD136:AH136)=0,"",M136 - SUM(AD136:AH136))</f>
        <v/>
      </c>
      <c r="AK136" s="3" t="e">
        <f>IF(F136="", " ", VLOOKUP(F136,#REF!, 1, FALSE))</f>
        <v>#REF!</v>
      </c>
    </row>
    <row r="137" spans="1:37" ht="48" hidden="1" x14ac:dyDescent="0.25">
      <c r="A137" s="587" t="s">
        <v>2721</v>
      </c>
      <c r="B137" s="369" t="s">
        <v>25</v>
      </c>
      <c r="C137" s="588"/>
      <c r="D137" s="589" t="s">
        <v>2798</v>
      </c>
      <c r="E137" s="44" t="s">
        <v>27</v>
      </c>
      <c r="F137" s="214">
        <v>100954</v>
      </c>
      <c r="G137" s="587" t="s">
        <v>794</v>
      </c>
      <c r="H137" s="590" t="s">
        <v>42</v>
      </c>
      <c r="I137" s="591">
        <f>IF($F137="","",IF('TRECHO(S) A IMPRIMIR'!$B$1= 1, SUM(Q137, T137, W137, Z137), IF('TRECHO(S) A IMPRIMIR'!$B$1= 2, T137, IF('TRECHO(S) A IMPRIMIR'!$B$1= 3, W137, 0))))</f>
        <v>0</v>
      </c>
      <c r="J137" s="592">
        <v>5.41</v>
      </c>
      <c r="K137" s="593">
        <f t="shared" si="19"/>
        <v>0.2033513845915047</v>
      </c>
      <c r="L137" s="592">
        <f>IF(J137="","",
  IF(AND(J137&lt;&gt;"",K137=""),J137,J137 * (1 + K137)))</f>
        <v>6.5101309906400404</v>
      </c>
      <c r="M137" s="594">
        <f>IF(OR(I137="",L137=""),"",I137*L137)</f>
        <v>0</v>
      </c>
      <c r="N137" s="439"/>
      <c r="O137" s="673"/>
      <c r="P137" s="361"/>
      <c r="Q137" s="441">
        <f>Q136 * S137</f>
        <v>0</v>
      </c>
      <c r="R137" s="485"/>
      <c r="S137" s="442">
        <v>0</v>
      </c>
      <c r="T137" s="441">
        <f>T136 * V137</f>
        <v>0</v>
      </c>
      <c r="U137" s="485"/>
      <c r="V137" s="442">
        <f>'MLQ-DMT-TR1'!$E$16</f>
        <v>1</v>
      </c>
      <c r="W137" s="578">
        <f>W136 * Y137</f>
        <v>0</v>
      </c>
      <c r="X137" s="485"/>
      <c r="Y137" s="442">
        <f>'MLQ-DMT-TR3'!$E$16</f>
        <v>0.6</v>
      </c>
      <c r="Z137" s="441">
        <f>Z136 * AB137</f>
        <v>0</v>
      </c>
      <c r="AA137" s="485"/>
      <c r="AB137" s="442">
        <v>0</v>
      </c>
      <c r="AC137" s="672"/>
      <c r="AD137" s="441" t="s">
        <v>21</v>
      </c>
      <c r="AE137" s="674" t="s">
        <v>21</v>
      </c>
      <c r="AF137" s="674" t="s">
        <v>21</v>
      </c>
      <c r="AG137" s="674" t="s">
        <v>21</v>
      </c>
      <c r="AH137" s="442" t="s">
        <v>21</v>
      </c>
      <c r="AI137" s="442" t="str">
        <f>IF(SUM(AD137:AH137)=0,"",M137 - SUM(AD137:AH137))</f>
        <v/>
      </c>
      <c r="AK137" s="3" t="e">
        <f>IF(F137="", " ", VLOOKUP(F137,#REF!, 1, FALSE))</f>
        <v>#REF!</v>
      </c>
    </row>
    <row r="138" spans="1:37" ht="36" hidden="1" x14ac:dyDescent="0.25">
      <c r="A138" s="587" t="s">
        <v>1864</v>
      </c>
      <c r="B138" s="369" t="s">
        <v>1880</v>
      </c>
      <c r="C138" s="588"/>
      <c r="D138" s="589" t="s">
        <v>2799</v>
      </c>
      <c r="E138" s="44" t="s">
        <v>27</v>
      </c>
      <c r="F138" s="214">
        <v>96544</v>
      </c>
      <c r="G138" s="587" t="s">
        <v>496</v>
      </c>
      <c r="H138" s="590" t="s">
        <v>54</v>
      </c>
      <c r="I138" s="591">
        <f>IF($F138="","",IF('TRECHO(S) A IMPRIMIR'!$B$1= 1, SUM(Q138, T138, W138, Z138), IF('TRECHO(S) A IMPRIMIR'!$B$1= 2, T138, IF('TRECHO(S) A IMPRIMIR'!$B$1= 3, W138, 0))))</f>
        <v>0</v>
      </c>
      <c r="J138" s="592">
        <v>17.350000000000001</v>
      </c>
      <c r="K138" s="593">
        <f t="shared" si="19"/>
        <v>0.2033513845915047</v>
      </c>
      <c r="L138" s="592">
        <f t="shared" si="22"/>
        <v>20.878146522662608</v>
      </c>
      <c r="M138" s="594">
        <f t="shared" si="23"/>
        <v>0</v>
      </c>
      <c r="N138" s="439"/>
      <c r="O138" s="673"/>
      <c r="P138" s="361"/>
      <c r="Q138" s="441"/>
      <c r="R138" s="485"/>
      <c r="S138" s="442"/>
      <c r="T138" s="441">
        <f>'04-MLQ-CR-LAGOAS'!F130</f>
        <v>0</v>
      </c>
      <c r="U138" s="485"/>
      <c r="V138" s="442"/>
      <c r="W138" s="441">
        <f>'04-MLQ-CR-LAGOAS'!L130</f>
        <v>0</v>
      </c>
      <c r="X138" s="485"/>
      <c r="Y138" s="442"/>
      <c r="Z138" s="441"/>
      <c r="AA138" s="485"/>
      <c r="AB138" s="442"/>
      <c r="AC138" s="672"/>
      <c r="AD138" s="441" t="s">
        <v>21</v>
      </c>
      <c r="AE138" s="674" t="s">
        <v>21</v>
      </c>
      <c r="AF138" s="674" t="s">
        <v>21</v>
      </c>
      <c r="AG138" s="674" t="s">
        <v>21</v>
      </c>
      <c r="AH138" s="442" t="s">
        <v>21</v>
      </c>
      <c r="AI138" s="442" t="str">
        <f t="shared" si="24"/>
        <v/>
      </c>
      <c r="AK138" s="3" t="e">
        <f>IF(F138="", " ", VLOOKUP(F138,#REF!, 1, FALSE))</f>
        <v>#REF!</v>
      </c>
    </row>
    <row r="139" spans="1:37" ht="24" hidden="1" x14ac:dyDescent="0.25">
      <c r="A139" s="587" t="s">
        <v>1864</v>
      </c>
      <c r="B139" s="369" t="s">
        <v>1880</v>
      </c>
      <c r="C139" s="588"/>
      <c r="D139" s="589" t="s">
        <v>2800</v>
      </c>
      <c r="E139" s="44" t="s">
        <v>27</v>
      </c>
      <c r="F139" s="214">
        <v>96545</v>
      </c>
      <c r="G139" s="587" t="s">
        <v>497</v>
      </c>
      <c r="H139" s="590" t="s">
        <v>54</v>
      </c>
      <c r="I139" s="591">
        <f>IF($F139="","",IF('TRECHO(S) A IMPRIMIR'!$B$1= 1, SUM(Q139, T139, W139, Z139), IF('TRECHO(S) A IMPRIMIR'!$B$1= 2, T139, IF('TRECHO(S) A IMPRIMIR'!$B$1= 3, W139, 0))))</f>
        <v>0</v>
      </c>
      <c r="J139" s="592">
        <v>16.16</v>
      </c>
      <c r="K139" s="593">
        <f t="shared" si="19"/>
        <v>0.2033513845915047</v>
      </c>
      <c r="L139" s="592">
        <f t="shared" si="22"/>
        <v>19.446158374998717</v>
      </c>
      <c r="M139" s="594">
        <f t="shared" si="23"/>
        <v>0</v>
      </c>
      <c r="N139" s="439"/>
      <c r="O139" s="673"/>
      <c r="P139" s="361"/>
      <c r="Q139" s="441"/>
      <c r="R139" s="485"/>
      <c r="S139" s="442"/>
      <c r="T139" s="441">
        <f>'04-MLQ-CR-LAGOAS'!F131</f>
        <v>0</v>
      </c>
      <c r="U139" s="485"/>
      <c r="V139" s="442"/>
      <c r="W139" s="441">
        <f>'04-MLQ-CR-LAGOAS'!L131</f>
        <v>0</v>
      </c>
      <c r="X139" s="485"/>
      <c r="Y139" s="442"/>
      <c r="Z139" s="441"/>
      <c r="AA139" s="485"/>
      <c r="AB139" s="442"/>
      <c r="AC139" s="672"/>
      <c r="AD139" s="441" t="s">
        <v>21</v>
      </c>
      <c r="AE139" s="674" t="s">
        <v>21</v>
      </c>
      <c r="AF139" s="674" t="s">
        <v>21</v>
      </c>
      <c r="AG139" s="674" t="s">
        <v>21</v>
      </c>
      <c r="AH139" s="442" t="s">
        <v>21</v>
      </c>
      <c r="AI139" s="442" t="str">
        <f t="shared" si="24"/>
        <v/>
      </c>
      <c r="AK139" s="3" t="e">
        <f>IF(F139="", " ", VLOOKUP(F139,#REF!, 1, FALSE))</f>
        <v>#REF!</v>
      </c>
    </row>
    <row r="140" spans="1:37" ht="36" hidden="1" x14ac:dyDescent="0.25">
      <c r="A140" s="587" t="s">
        <v>1864</v>
      </c>
      <c r="B140" s="369" t="s">
        <v>1880</v>
      </c>
      <c r="C140" s="588"/>
      <c r="D140" s="589" t="s">
        <v>2801</v>
      </c>
      <c r="E140" s="44" t="s">
        <v>27</v>
      </c>
      <c r="F140" s="214">
        <v>96546</v>
      </c>
      <c r="G140" s="587" t="s">
        <v>494</v>
      </c>
      <c r="H140" s="590" t="s">
        <v>54</v>
      </c>
      <c r="I140" s="591">
        <f>IF($F140="","",IF('TRECHO(S) A IMPRIMIR'!$B$1= 1, SUM(Q140, T140, W140, Z140), IF('TRECHO(S) A IMPRIMIR'!$B$1= 2, T140, IF('TRECHO(S) A IMPRIMIR'!$B$1= 3, W140, 0))))</f>
        <v>0</v>
      </c>
      <c r="J140" s="592">
        <v>14.4</v>
      </c>
      <c r="K140" s="593">
        <f t="shared" si="19"/>
        <v>0.2033513845915047</v>
      </c>
      <c r="L140" s="592">
        <f t="shared" si="22"/>
        <v>17.328259938117668</v>
      </c>
      <c r="M140" s="594">
        <f t="shared" si="23"/>
        <v>0</v>
      </c>
      <c r="N140" s="439"/>
      <c r="O140" s="673"/>
      <c r="P140" s="361"/>
      <c r="Q140" s="441"/>
      <c r="R140" s="485"/>
      <c r="S140" s="442"/>
      <c r="T140" s="441">
        <f>'04-MLQ-CR-LAGOAS'!F132</f>
        <v>0</v>
      </c>
      <c r="U140" s="485"/>
      <c r="V140" s="442"/>
      <c r="W140" s="441">
        <f>'04-MLQ-CR-LAGOAS'!L132</f>
        <v>0</v>
      </c>
      <c r="X140" s="485"/>
      <c r="Y140" s="442"/>
      <c r="Z140" s="441"/>
      <c r="AA140" s="485"/>
      <c r="AB140" s="442"/>
      <c r="AC140" s="672"/>
      <c r="AD140" s="441" t="s">
        <v>21</v>
      </c>
      <c r="AE140" s="674" t="s">
        <v>21</v>
      </c>
      <c r="AF140" s="674" t="s">
        <v>21</v>
      </c>
      <c r="AG140" s="674" t="s">
        <v>21</v>
      </c>
      <c r="AH140" s="442" t="s">
        <v>21</v>
      </c>
      <c r="AI140" s="442" t="str">
        <f t="shared" si="24"/>
        <v/>
      </c>
      <c r="AK140" s="3" t="e">
        <f>IF(F140="", " ", VLOOKUP(F140,#REF!, 1, FALSE))</f>
        <v>#REF!</v>
      </c>
    </row>
    <row r="141" spans="1:37" ht="36" hidden="1" x14ac:dyDescent="0.25">
      <c r="A141" s="587" t="s">
        <v>1864</v>
      </c>
      <c r="B141" s="369" t="s">
        <v>1880</v>
      </c>
      <c r="C141" s="588"/>
      <c r="D141" s="589" t="s">
        <v>2802</v>
      </c>
      <c r="E141" s="44" t="s">
        <v>27</v>
      </c>
      <c r="F141" s="214">
        <v>96547</v>
      </c>
      <c r="G141" s="587" t="s">
        <v>495</v>
      </c>
      <c r="H141" s="590" t="s">
        <v>54</v>
      </c>
      <c r="I141" s="591">
        <f>IF($F141="","",IF('TRECHO(S) A IMPRIMIR'!$B$1= 1, SUM(Q141, T141, W141, Z141), IF('TRECHO(S) A IMPRIMIR'!$B$1= 2, T141, IF('TRECHO(S) A IMPRIMIR'!$B$1= 3, W141, 0))))</f>
        <v>0</v>
      </c>
      <c r="J141" s="592">
        <v>12.14</v>
      </c>
      <c r="K141" s="593">
        <f t="shared" si="19"/>
        <v>0.2033513845915047</v>
      </c>
      <c r="L141" s="592">
        <f t="shared" si="22"/>
        <v>14.608685808940868</v>
      </c>
      <c r="M141" s="594">
        <f t="shared" si="23"/>
        <v>0</v>
      </c>
      <c r="N141" s="439"/>
      <c r="O141" s="673"/>
      <c r="P141" s="361"/>
      <c r="Q141" s="441"/>
      <c r="R141" s="485"/>
      <c r="S141" s="442"/>
      <c r="T141" s="441">
        <f>'04-MLQ-CR-LAGOAS'!F133</f>
        <v>0</v>
      </c>
      <c r="U141" s="485"/>
      <c r="V141" s="442"/>
      <c r="W141" s="441">
        <f>'04-MLQ-CR-LAGOAS'!L133</f>
        <v>0</v>
      </c>
      <c r="X141" s="485"/>
      <c r="Y141" s="442"/>
      <c r="Z141" s="441"/>
      <c r="AA141" s="485"/>
      <c r="AB141" s="442"/>
      <c r="AC141" s="672"/>
      <c r="AD141" s="441" t="s">
        <v>21</v>
      </c>
      <c r="AE141" s="674" t="s">
        <v>21</v>
      </c>
      <c r="AF141" s="674" t="s">
        <v>21</v>
      </c>
      <c r="AG141" s="674" t="s">
        <v>21</v>
      </c>
      <c r="AH141" s="442" t="s">
        <v>21</v>
      </c>
      <c r="AI141" s="442" t="str">
        <f t="shared" si="24"/>
        <v/>
      </c>
      <c r="AK141" s="3" t="e">
        <f>IF(F141="", " ", VLOOKUP(F141,#REF!, 1, FALSE))</f>
        <v>#REF!</v>
      </c>
    </row>
    <row r="142" spans="1:37" ht="36" hidden="1" x14ac:dyDescent="0.25">
      <c r="A142" s="587" t="s">
        <v>1865</v>
      </c>
      <c r="B142" s="369" t="s">
        <v>28</v>
      </c>
      <c r="C142" s="588"/>
      <c r="D142" s="589" t="s">
        <v>2803</v>
      </c>
      <c r="E142" s="44" t="s">
        <v>27</v>
      </c>
      <c r="F142" s="214">
        <v>94965</v>
      </c>
      <c r="G142" s="587" t="s">
        <v>3659</v>
      </c>
      <c r="H142" s="590" t="s">
        <v>44</v>
      </c>
      <c r="I142" s="591">
        <f>IF($F142="","",IF('TRECHO(S) A IMPRIMIR'!$B$1= 1, SUM(Q142, T142, W142, Z142), IF('TRECHO(S) A IMPRIMIR'!$B$1= 2, T142, IF('TRECHO(S) A IMPRIMIR'!$B$1= 3, W142, 0))))</f>
        <v>0</v>
      </c>
      <c r="J142" s="592">
        <v>402.84</v>
      </c>
      <c r="K142" s="593">
        <f t="shared" si="19"/>
        <v>0.2033513845915047</v>
      </c>
      <c r="L142" s="592">
        <f t="shared" si="22"/>
        <v>484.75807176884172</v>
      </c>
      <c r="M142" s="594">
        <f t="shared" si="23"/>
        <v>0</v>
      </c>
      <c r="N142" s="439"/>
      <c r="O142" s="673"/>
      <c r="P142" s="361"/>
      <c r="Q142" s="441"/>
      <c r="R142" s="485"/>
      <c r="S142" s="442"/>
      <c r="T142" s="441">
        <f>'04-MLQ-CR-LAGOAS'!F134</f>
        <v>0</v>
      </c>
      <c r="U142" s="485"/>
      <c r="V142" s="442"/>
      <c r="W142" s="441">
        <f>'04-MLQ-CR-LAGOAS'!L134</f>
        <v>0</v>
      </c>
      <c r="X142" s="485"/>
      <c r="Y142" s="442"/>
      <c r="Z142" s="441"/>
      <c r="AA142" s="485"/>
      <c r="AB142" s="442"/>
      <c r="AC142" s="672"/>
      <c r="AD142" s="441" t="s">
        <v>21</v>
      </c>
      <c r="AE142" s="674" t="s">
        <v>21</v>
      </c>
      <c r="AF142" s="674" t="s">
        <v>21</v>
      </c>
      <c r="AG142" s="674" t="s">
        <v>21</v>
      </c>
      <c r="AH142" s="442" t="s">
        <v>21</v>
      </c>
      <c r="AI142" s="442" t="str">
        <f t="shared" si="24"/>
        <v/>
      </c>
      <c r="AK142" s="3" t="e">
        <f>IF(F142="", " ", VLOOKUP(F142,#REF!, 1, FALSE))</f>
        <v>#REF!</v>
      </c>
    </row>
    <row r="143" spans="1:37" ht="36" hidden="1" x14ac:dyDescent="0.25">
      <c r="A143" s="587" t="s">
        <v>2727</v>
      </c>
      <c r="B143" s="369" t="s">
        <v>28</v>
      </c>
      <c r="C143" s="588"/>
      <c r="D143" s="589" t="s">
        <v>2942</v>
      </c>
      <c r="E143" s="44" t="s">
        <v>27</v>
      </c>
      <c r="F143" s="214">
        <v>92873</v>
      </c>
      <c r="G143" s="587" t="s">
        <v>595</v>
      </c>
      <c r="H143" s="590" t="s">
        <v>44</v>
      </c>
      <c r="I143" s="591">
        <f>IF($F143="","",IF('TRECHO(S) A IMPRIMIR'!$B$1= 1, SUM(Q143, T143, W143, Z143), IF('TRECHO(S) A IMPRIMIR'!$B$1= 2, T143, IF('TRECHO(S) A IMPRIMIR'!$B$1= 3, W143, 0))))</f>
        <v>0</v>
      </c>
      <c r="J143" s="592">
        <v>186.89</v>
      </c>
      <c r="K143" s="593">
        <f t="shared" si="19"/>
        <v>0.2033513845915047</v>
      </c>
      <c r="L143" s="592">
        <f t="shared" si="22"/>
        <v>224.8943402663063</v>
      </c>
      <c r="M143" s="594">
        <f t="shared" si="23"/>
        <v>0</v>
      </c>
      <c r="N143" s="439"/>
      <c r="O143" s="673"/>
      <c r="P143" s="361"/>
      <c r="Q143" s="441"/>
      <c r="R143" s="485"/>
      <c r="S143" s="442"/>
      <c r="T143" s="441">
        <f>'04-MLQ-CR-LAGOAS'!F135</f>
        <v>0</v>
      </c>
      <c r="U143" s="485"/>
      <c r="V143" s="442"/>
      <c r="W143" s="441">
        <f>'04-MLQ-CR-LAGOAS'!L135</f>
        <v>0</v>
      </c>
      <c r="X143" s="485"/>
      <c r="Y143" s="442"/>
      <c r="Z143" s="441"/>
      <c r="AA143" s="485"/>
      <c r="AB143" s="442"/>
      <c r="AC143" s="672"/>
      <c r="AD143" s="441" t="s">
        <v>21</v>
      </c>
      <c r="AE143" s="674" t="s">
        <v>21</v>
      </c>
      <c r="AF143" s="674" t="s">
        <v>21</v>
      </c>
      <c r="AG143" s="674" t="s">
        <v>21</v>
      </c>
      <c r="AH143" s="442" t="s">
        <v>21</v>
      </c>
      <c r="AI143" s="442" t="str">
        <f t="shared" si="24"/>
        <v/>
      </c>
      <c r="AK143" s="3" t="e">
        <f>IF(F143="", " ", VLOOKUP(F143,#REF!, 1, FALSE))</f>
        <v>#REF!</v>
      </c>
    </row>
    <row r="144" spans="1:37" ht="24" hidden="1" x14ac:dyDescent="0.25">
      <c r="A144" s="587" t="s">
        <v>2724</v>
      </c>
      <c r="B144" s="369" t="s">
        <v>28</v>
      </c>
      <c r="C144" s="588"/>
      <c r="D144" s="589" t="s">
        <v>2943</v>
      </c>
      <c r="E144" s="44" t="s">
        <v>27</v>
      </c>
      <c r="F144" s="214">
        <v>93382</v>
      </c>
      <c r="G144" s="587" t="s">
        <v>40</v>
      </c>
      <c r="H144" s="590" t="s">
        <v>44</v>
      </c>
      <c r="I144" s="591">
        <f>IF($F144="","",IF('TRECHO(S) A IMPRIMIR'!$B$1= 1, SUM(Q144, T144, W144, Z144), IF('TRECHO(S) A IMPRIMIR'!$B$1= 2, T144, IF('TRECHO(S) A IMPRIMIR'!$B$1= 3, W144, 0))))</f>
        <v>0</v>
      </c>
      <c r="J144" s="592">
        <v>25.09</v>
      </c>
      <c r="K144" s="593">
        <f t="shared" si="19"/>
        <v>0.2033513845915047</v>
      </c>
      <c r="L144" s="592">
        <f t="shared" si="22"/>
        <v>30.192086239400854</v>
      </c>
      <c r="M144" s="594">
        <f t="shared" si="23"/>
        <v>0</v>
      </c>
      <c r="N144" s="439"/>
      <c r="O144" s="673"/>
      <c r="P144" s="361"/>
      <c r="Q144" s="441"/>
      <c r="R144" s="485"/>
      <c r="S144" s="442"/>
      <c r="T144" s="441">
        <f>'04-MLQ-CR-LAGOAS'!F136</f>
        <v>0</v>
      </c>
      <c r="U144" s="485"/>
      <c r="V144" s="442"/>
      <c r="W144" s="441">
        <f>'04-MLQ-CR-LAGOAS'!L136</f>
        <v>0</v>
      </c>
      <c r="X144" s="485"/>
      <c r="Y144" s="442"/>
      <c r="Z144" s="441"/>
      <c r="AA144" s="485"/>
      <c r="AB144" s="442"/>
      <c r="AC144" s="672"/>
      <c r="AD144" s="441" t="s">
        <v>21</v>
      </c>
      <c r="AE144" s="674" t="s">
        <v>21</v>
      </c>
      <c r="AF144" s="674" t="s">
        <v>21</v>
      </c>
      <c r="AG144" s="674" t="s">
        <v>21</v>
      </c>
      <c r="AH144" s="442" t="s">
        <v>21</v>
      </c>
      <c r="AI144" s="442" t="str">
        <f t="shared" si="24"/>
        <v/>
      </c>
      <c r="AK144" s="3" t="e">
        <f>IF(F144="", " ", VLOOKUP(F144,#REF!, 1, FALSE))</f>
        <v>#REF!</v>
      </c>
    </row>
    <row r="145" spans="1:37" x14ac:dyDescent="0.25">
      <c r="A145" s="587" t="s">
        <v>2818</v>
      </c>
      <c r="B145" s="369"/>
      <c r="C145" s="588"/>
      <c r="D145" s="589" t="s">
        <v>2804</v>
      </c>
      <c r="E145" s="44"/>
      <c r="F145" s="214"/>
      <c r="G145" s="587" t="s">
        <v>2818</v>
      </c>
      <c r="H145" s="590" t="s">
        <v>21</v>
      </c>
      <c r="I145" s="591" t="str">
        <f>IF($F145="","",IF('TRECHO(S) A IMPRIMIR'!$B$1= 1, SUM(Q145, T145, W145, Z145), IF('TRECHO(S) A IMPRIMIR'!$B$1= 2, T145, IF('TRECHO(S) A IMPRIMIR'!$B$1= 3, W145, 0))))</f>
        <v/>
      </c>
      <c r="J145" s="592" t="s">
        <v>21</v>
      </c>
      <c r="K145" s="593" t="str">
        <f t="shared" si="19"/>
        <v/>
      </c>
      <c r="L145" s="592" t="str">
        <f t="shared" si="22"/>
        <v/>
      </c>
      <c r="M145" s="594" t="str">
        <f t="shared" si="23"/>
        <v/>
      </c>
      <c r="N145" s="439"/>
      <c r="O145" s="673"/>
      <c r="P145" s="361"/>
      <c r="Q145" s="441"/>
      <c r="R145" s="485"/>
      <c r="S145" s="442"/>
      <c r="T145" s="441"/>
      <c r="U145" s="485"/>
      <c r="V145" s="442"/>
      <c r="W145" s="578"/>
      <c r="X145" s="485"/>
      <c r="Y145" s="442"/>
      <c r="Z145" s="441"/>
      <c r="AA145" s="485"/>
      <c r="AB145" s="442"/>
      <c r="AC145" s="672"/>
      <c r="AD145" s="441" t="s">
        <v>21</v>
      </c>
      <c r="AE145" s="674" t="s">
        <v>21</v>
      </c>
      <c r="AF145" s="674" t="s">
        <v>21</v>
      </c>
      <c r="AG145" s="674" t="s">
        <v>21</v>
      </c>
      <c r="AH145" s="442" t="s">
        <v>21</v>
      </c>
      <c r="AI145" s="442" t="str">
        <f t="shared" si="24"/>
        <v/>
      </c>
      <c r="AK145" s="3" t="str">
        <f>IF(F145="", " ", VLOOKUP(F145,#REF!, 1, FALSE))</f>
        <v xml:space="preserve"> </v>
      </c>
    </row>
    <row r="146" spans="1:37" ht="36" x14ac:dyDescent="0.25">
      <c r="A146" s="587" t="s">
        <v>1288</v>
      </c>
      <c r="B146" s="369" t="s">
        <v>28</v>
      </c>
      <c r="C146" s="588"/>
      <c r="D146" s="589" t="s">
        <v>2805</v>
      </c>
      <c r="E146" s="44" t="s">
        <v>27</v>
      </c>
      <c r="F146" s="214">
        <v>94962</v>
      </c>
      <c r="G146" s="587" t="s">
        <v>3658</v>
      </c>
      <c r="H146" s="590" t="s">
        <v>44</v>
      </c>
      <c r="I146" s="591">
        <v>10.85</v>
      </c>
      <c r="J146" s="592">
        <v>329.54</v>
      </c>
      <c r="K146" s="593">
        <v>0.2033513845915047</v>
      </c>
      <c r="L146" s="592">
        <v>396.55241527828446</v>
      </c>
      <c r="M146" s="594">
        <v>4302.5937057693864</v>
      </c>
      <c r="N146" s="439"/>
      <c r="O146" s="673"/>
      <c r="P146" s="361"/>
      <c r="Q146" s="441"/>
      <c r="R146" s="485"/>
      <c r="S146" s="442"/>
      <c r="T146" s="441">
        <v>8.44</v>
      </c>
      <c r="U146" s="485"/>
      <c r="V146" s="442"/>
      <c r="W146" s="441">
        <v>2.41</v>
      </c>
      <c r="X146" s="485"/>
      <c r="Y146" s="442"/>
      <c r="Z146" s="441"/>
      <c r="AA146" s="485"/>
      <c r="AB146" s="442"/>
      <c r="AC146" s="672"/>
      <c r="AD146" s="441">
        <v>598.24253079551283</v>
      </c>
      <c r="AE146" s="674">
        <v>3688.5529763212639</v>
      </c>
      <c r="AF146" s="674">
        <v>7.8338175136906951</v>
      </c>
      <c r="AG146" s="674">
        <v>0</v>
      </c>
      <c r="AH146" s="442">
        <v>7.9643811389188741</v>
      </c>
      <c r="AI146" s="442">
        <v>0</v>
      </c>
      <c r="AK146" s="3" t="e">
        <f>IF(F146="", " ", VLOOKUP(F146,#REF!, 1, FALSE))</f>
        <v>#REF!</v>
      </c>
    </row>
    <row r="147" spans="1:37" ht="48" x14ac:dyDescent="0.25">
      <c r="A147" s="587" t="s">
        <v>1871</v>
      </c>
      <c r="B147" s="369" t="s">
        <v>20</v>
      </c>
      <c r="C147" s="588"/>
      <c r="D147" s="589" t="s">
        <v>2806</v>
      </c>
      <c r="E147" s="44" t="s">
        <v>27</v>
      </c>
      <c r="F147" s="214">
        <v>100341</v>
      </c>
      <c r="G147" s="587" t="s">
        <v>582</v>
      </c>
      <c r="H147" s="590" t="s">
        <v>51</v>
      </c>
      <c r="I147" s="591">
        <v>402.87</v>
      </c>
      <c r="J147" s="592">
        <v>29.98</v>
      </c>
      <c r="K147" s="593">
        <v>0.2033513845915047</v>
      </c>
      <c r="L147" s="592">
        <v>36.076474510053309</v>
      </c>
      <c r="M147" s="594">
        <v>14534.129285865176</v>
      </c>
      <c r="N147" s="439"/>
      <c r="O147" s="673"/>
      <c r="P147" s="361"/>
      <c r="Q147" s="441"/>
      <c r="R147" s="485"/>
      <c r="S147" s="442"/>
      <c r="T147" s="441">
        <v>262.45</v>
      </c>
      <c r="U147" s="485"/>
      <c r="V147" s="442"/>
      <c r="W147" s="441">
        <v>140.41999999999999</v>
      </c>
      <c r="X147" s="485"/>
      <c r="Y147" s="442"/>
      <c r="Z147" s="441"/>
      <c r="AA147" s="485"/>
      <c r="AB147" s="442"/>
      <c r="AC147" s="672"/>
      <c r="AD147" s="441">
        <v>5846.6177180631776</v>
      </c>
      <c r="AE147" s="674">
        <v>6850.141654745662</v>
      </c>
      <c r="AF147" s="674">
        <v>1837.3699130563384</v>
      </c>
      <c r="AG147" s="674">
        <v>0</v>
      </c>
      <c r="AH147" s="442">
        <v>0</v>
      </c>
      <c r="AI147" s="442">
        <v>-1.8189894035458565E-12</v>
      </c>
      <c r="AK147" s="3" t="e">
        <f>IF(F147="", " ", VLOOKUP(F147,#REF!, 1, FALSE))</f>
        <v>#REF!</v>
      </c>
    </row>
    <row r="148" spans="1:37" ht="36" x14ac:dyDescent="0.25">
      <c r="A148" s="587" t="s">
        <v>2720</v>
      </c>
      <c r="B148" s="369" t="s">
        <v>23</v>
      </c>
      <c r="C148" s="588"/>
      <c r="D148" s="589" t="s">
        <v>2807</v>
      </c>
      <c r="E148" s="44" t="s">
        <v>27</v>
      </c>
      <c r="F148" s="214">
        <v>101010</v>
      </c>
      <c r="G148" s="587" t="s">
        <v>770</v>
      </c>
      <c r="H148" s="590" t="s">
        <v>55</v>
      </c>
      <c r="I148" s="591">
        <v>7.9212000000000007</v>
      </c>
      <c r="J148" s="592">
        <v>17.260000000000002</v>
      </c>
      <c r="K148" s="593">
        <v>0.2033513845915047</v>
      </c>
      <c r="L148" s="592">
        <v>20.769844898049374</v>
      </c>
      <c r="M148" s="594">
        <v>164.52209540642872</v>
      </c>
      <c r="N148" s="439"/>
      <c r="O148" s="673"/>
      <c r="P148" s="361"/>
      <c r="Q148" s="441"/>
      <c r="R148" s="485"/>
      <c r="S148" s="442"/>
      <c r="T148" s="441">
        <v>5.0592000000000006</v>
      </c>
      <c r="U148" s="485"/>
      <c r="V148" s="442"/>
      <c r="W148" s="441">
        <v>2.8620000000000001</v>
      </c>
      <c r="X148" s="485"/>
      <c r="Y148" s="442"/>
      <c r="Z148" s="441"/>
      <c r="AA148" s="485"/>
      <c r="AB148" s="442"/>
      <c r="AC148" s="672"/>
      <c r="AD148" s="441">
        <v>16.109058009088326</v>
      </c>
      <c r="AE148" s="674">
        <v>108.47401191918647</v>
      </c>
      <c r="AF148" s="674">
        <v>39.939025478153901</v>
      </c>
      <c r="AG148" s="674">
        <v>0</v>
      </c>
      <c r="AH148" s="442">
        <v>0</v>
      </c>
      <c r="AI148" s="442">
        <v>2.8421709430404007E-14</v>
      </c>
      <c r="AK148" s="3" t="e">
        <f>IF(F148="", " ", VLOOKUP(F148,#REF!, 1, FALSE))</f>
        <v>#REF!</v>
      </c>
    </row>
    <row r="149" spans="1:37" ht="48" x14ac:dyDescent="0.25">
      <c r="A149" s="587" t="s">
        <v>2721</v>
      </c>
      <c r="B149" s="369" t="s">
        <v>25</v>
      </c>
      <c r="C149" s="588"/>
      <c r="D149" s="589" t="s">
        <v>2808</v>
      </c>
      <c r="E149" s="44" t="s">
        <v>27</v>
      </c>
      <c r="F149" s="214">
        <v>100954</v>
      </c>
      <c r="G149" s="587" t="s">
        <v>794</v>
      </c>
      <c r="H149" s="590" t="s">
        <v>42</v>
      </c>
      <c r="I149" s="591">
        <v>6.7764000000000006</v>
      </c>
      <c r="J149" s="592">
        <v>5.41</v>
      </c>
      <c r="K149" s="593">
        <v>0.2033513845915047</v>
      </c>
      <c r="L149" s="592">
        <v>6.5101309906400404</v>
      </c>
      <c r="M149" s="594">
        <v>44.115251644973171</v>
      </c>
      <c r="N149" s="439"/>
      <c r="O149" s="673"/>
      <c r="P149" s="361"/>
      <c r="Q149" s="441">
        <v>0</v>
      </c>
      <c r="R149" s="485"/>
      <c r="S149" s="442">
        <v>0</v>
      </c>
      <c r="T149" s="441">
        <v>5.0592000000000006</v>
      </c>
      <c r="U149" s="485"/>
      <c r="V149" s="442">
        <v>1</v>
      </c>
      <c r="W149" s="578">
        <v>1.7172000000000001</v>
      </c>
      <c r="X149" s="485"/>
      <c r="Y149" s="442">
        <v>0.6</v>
      </c>
      <c r="Z149" s="441">
        <v>0</v>
      </c>
      <c r="AA149" s="485"/>
      <c r="AB149" s="442">
        <v>0</v>
      </c>
      <c r="AC149" s="672"/>
      <c r="AD149" s="441">
        <v>4.2402829677238545</v>
      </c>
      <c r="AE149" s="674">
        <v>29.355805161165144</v>
      </c>
      <c r="AF149" s="674">
        <v>10.519163516084177</v>
      </c>
      <c r="AG149" s="674">
        <v>0</v>
      </c>
      <c r="AH149" s="442">
        <v>0</v>
      </c>
      <c r="AI149" s="442">
        <v>-7.1054273576010019E-15</v>
      </c>
      <c r="AK149" s="3" t="e">
        <f>IF(F149="", " ", VLOOKUP(F149,#REF!, 1, FALSE))</f>
        <v>#REF!</v>
      </c>
    </row>
    <row r="150" spans="1:37" ht="48" x14ac:dyDescent="0.25">
      <c r="A150" s="587" t="s">
        <v>1864</v>
      </c>
      <c r="B150" s="369" t="s">
        <v>1880</v>
      </c>
      <c r="C150" s="588"/>
      <c r="D150" s="589" t="s">
        <v>2809</v>
      </c>
      <c r="E150" s="44" t="s">
        <v>27</v>
      </c>
      <c r="F150" s="214">
        <v>92916</v>
      </c>
      <c r="G150" s="587" t="s">
        <v>507</v>
      </c>
      <c r="H150" s="590" t="s">
        <v>54</v>
      </c>
      <c r="I150" s="591">
        <v>1320.2</v>
      </c>
      <c r="J150" s="592">
        <v>16.38</v>
      </c>
      <c r="K150" s="593">
        <v>0.2033513845915047</v>
      </c>
      <c r="L150" s="592">
        <v>19.710895679608846</v>
      </c>
      <c r="M150" s="594">
        <v>26022.324476219601</v>
      </c>
      <c r="N150" s="439"/>
      <c r="O150" s="673"/>
      <c r="P150" s="361"/>
      <c r="Q150" s="441"/>
      <c r="R150" s="485"/>
      <c r="S150" s="442"/>
      <c r="T150" s="441">
        <v>843.2</v>
      </c>
      <c r="U150" s="485"/>
      <c r="V150" s="442"/>
      <c r="W150" s="441">
        <v>477</v>
      </c>
      <c r="X150" s="485"/>
      <c r="Y150" s="442"/>
      <c r="Z150" s="441"/>
      <c r="AA150" s="485"/>
      <c r="AB150" s="442"/>
      <c r="AC150" s="672"/>
      <c r="AD150" s="441">
        <v>5433.2325829469492</v>
      </c>
      <c r="AE150" s="674">
        <v>20589.091893272653</v>
      </c>
      <c r="AF150" s="674">
        <v>0</v>
      </c>
      <c r="AG150" s="674">
        <v>0</v>
      </c>
      <c r="AH150" s="442">
        <v>0</v>
      </c>
      <c r="AI150" s="442">
        <v>0</v>
      </c>
      <c r="AK150" s="3" t="e">
        <f>IF(F150="", " ", VLOOKUP(F150,#REF!, 1, FALSE))</f>
        <v>#REF!</v>
      </c>
    </row>
    <row r="151" spans="1:37" ht="48" x14ac:dyDescent="0.25">
      <c r="A151" s="587" t="s">
        <v>1864</v>
      </c>
      <c r="B151" s="369" t="s">
        <v>1880</v>
      </c>
      <c r="C151" s="588"/>
      <c r="D151" s="589" t="s">
        <v>2810</v>
      </c>
      <c r="E151" s="44" t="s">
        <v>27</v>
      </c>
      <c r="F151" s="214">
        <v>92917</v>
      </c>
      <c r="G151" s="587" t="s">
        <v>508</v>
      </c>
      <c r="H151" s="590" t="s">
        <v>54</v>
      </c>
      <c r="I151" s="591">
        <v>1980.3</v>
      </c>
      <c r="J151" s="592">
        <v>15.38</v>
      </c>
      <c r="K151" s="593">
        <v>0.2033513845915047</v>
      </c>
      <c r="L151" s="592">
        <v>18.507544295017343</v>
      </c>
      <c r="M151" s="594">
        <v>36650.489967422844</v>
      </c>
      <c r="N151" s="439"/>
      <c r="O151" s="673"/>
      <c r="P151" s="361"/>
      <c r="Q151" s="441"/>
      <c r="R151" s="485"/>
      <c r="S151" s="442"/>
      <c r="T151" s="441">
        <v>1264.8</v>
      </c>
      <c r="U151" s="485"/>
      <c r="V151" s="442"/>
      <c r="W151" s="441">
        <v>715.5</v>
      </c>
      <c r="X151" s="485"/>
      <c r="Y151" s="442"/>
      <c r="Z151" s="441"/>
      <c r="AA151" s="485"/>
      <c r="AB151" s="442"/>
      <c r="AC151" s="672"/>
      <c r="AD151" s="441">
        <v>5623.8723226994734</v>
      </c>
      <c r="AE151" s="674">
        <v>31026.617644723367</v>
      </c>
      <c r="AF151" s="674">
        <v>0</v>
      </c>
      <c r="AG151" s="674">
        <v>0</v>
      </c>
      <c r="AH151" s="442">
        <v>0</v>
      </c>
      <c r="AI151" s="442">
        <v>7.2759576141834259E-12</v>
      </c>
      <c r="AK151" s="3" t="e">
        <f>IF(F151="", " ", VLOOKUP(F151,#REF!, 1, FALSE))</f>
        <v>#REF!</v>
      </c>
    </row>
    <row r="152" spans="1:37" ht="48" x14ac:dyDescent="0.25">
      <c r="A152" s="587" t="s">
        <v>1864</v>
      </c>
      <c r="B152" s="369" t="s">
        <v>1880</v>
      </c>
      <c r="C152" s="588"/>
      <c r="D152" s="589" t="s">
        <v>2811</v>
      </c>
      <c r="E152" s="44" t="s">
        <v>27</v>
      </c>
      <c r="F152" s="214">
        <v>92919</v>
      </c>
      <c r="G152" s="587" t="s">
        <v>502</v>
      </c>
      <c r="H152" s="590" t="s">
        <v>54</v>
      </c>
      <c r="I152" s="591">
        <v>3300.5</v>
      </c>
      <c r="J152" s="592">
        <v>13.76</v>
      </c>
      <c r="K152" s="593">
        <v>0.2033513845915047</v>
      </c>
      <c r="L152" s="592">
        <v>16.558115051979104</v>
      </c>
      <c r="M152" s="594">
        <v>54650.058729057033</v>
      </c>
      <c r="N152" s="439"/>
      <c r="O152" s="673"/>
      <c r="P152" s="361"/>
      <c r="Q152" s="441"/>
      <c r="R152" s="485"/>
      <c r="S152" s="442"/>
      <c r="T152" s="441">
        <v>2108</v>
      </c>
      <c r="U152" s="485"/>
      <c r="V152" s="442"/>
      <c r="W152" s="441">
        <v>1192.5</v>
      </c>
      <c r="X152" s="485"/>
      <c r="Y152" s="442"/>
      <c r="Z152" s="441"/>
      <c r="AA152" s="485"/>
      <c r="AB152" s="442"/>
      <c r="AC152" s="672"/>
      <c r="AD152" s="441">
        <v>6672.3908913383593</v>
      </c>
      <c r="AE152" s="674">
        <v>47977.667837718676</v>
      </c>
      <c r="AF152" s="674">
        <v>0</v>
      </c>
      <c r="AG152" s="674">
        <v>0</v>
      </c>
      <c r="AH152" s="442">
        <v>0</v>
      </c>
      <c r="AI152" s="442">
        <v>0</v>
      </c>
      <c r="AK152" s="3" t="e">
        <f>IF(F152="", " ", VLOOKUP(F152,#REF!, 1, FALSE))</f>
        <v>#REF!</v>
      </c>
    </row>
    <row r="153" spans="1:37" ht="48" x14ac:dyDescent="0.25">
      <c r="A153" s="587" t="s">
        <v>1864</v>
      </c>
      <c r="B153" s="369" t="s">
        <v>1880</v>
      </c>
      <c r="C153" s="588"/>
      <c r="D153" s="589" t="s">
        <v>2812</v>
      </c>
      <c r="E153" s="44" t="s">
        <v>27</v>
      </c>
      <c r="F153" s="214">
        <v>92921</v>
      </c>
      <c r="G153" s="587" t="s">
        <v>503</v>
      </c>
      <c r="H153" s="590" t="s">
        <v>54</v>
      </c>
      <c r="I153" s="591">
        <v>1320.2</v>
      </c>
      <c r="J153" s="592">
        <v>11.58</v>
      </c>
      <c r="K153" s="593">
        <v>0.2033513845915047</v>
      </c>
      <c r="L153" s="592">
        <v>13.934809033569625</v>
      </c>
      <c r="M153" s="594">
        <v>18396.734886118618</v>
      </c>
      <c r="N153" s="439"/>
      <c r="O153" s="673"/>
      <c r="P153" s="361"/>
      <c r="Q153" s="441"/>
      <c r="R153" s="485"/>
      <c r="S153" s="442"/>
      <c r="T153" s="441">
        <v>843.2</v>
      </c>
      <c r="U153" s="485"/>
      <c r="V153" s="442"/>
      <c r="W153" s="441">
        <v>477</v>
      </c>
      <c r="X153" s="485"/>
      <c r="Y153" s="442"/>
      <c r="Z153" s="441"/>
      <c r="AA153" s="485"/>
      <c r="AB153" s="442"/>
      <c r="AC153" s="672"/>
      <c r="AD153" s="441">
        <v>1858.7374625871144</v>
      </c>
      <c r="AE153" s="674">
        <v>16537.997423531506</v>
      </c>
      <c r="AF153" s="674">
        <v>0</v>
      </c>
      <c r="AG153" s="674">
        <v>0</v>
      </c>
      <c r="AH153" s="442">
        <v>0</v>
      </c>
      <c r="AI153" s="442">
        <v>0</v>
      </c>
      <c r="AK153" s="3" t="e">
        <f>IF(F153="", " ", VLOOKUP(F153,#REF!, 1, FALSE))</f>
        <v>#REF!</v>
      </c>
    </row>
    <row r="154" spans="1:37" ht="36" x14ac:dyDescent="0.25">
      <c r="A154" s="587" t="s">
        <v>1865</v>
      </c>
      <c r="B154" s="369" t="s">
        <v>28</v>
      </c>
      <c r="C154" s="588"/>
      <c r="D154" s="589" t="s">
        <v>2816</v>
      </c>
      <c r="E154" s="44" t="s">
        <v>27</v>
      </c>
      <c r="F154" s="214">
        <v>94965</v>
      </c>
      <c r="G154" s="587" t="s">
        <v>3659</v>
      </c>
      <c r="H154" s="590" t="s">
        <v>44</v>
      </c>
      <c r="I154" s="591">
        <v>66.010000000000005</v>
      </c>
      <c r="J154" s="592">
        <v>402.84</v>
      </c>
      <c r="K154" s="593">
        <v>0.2033513845915047</v>
      </c>
      <c r="L154" s="592">
        <v>484.75807176884172</v>
      </c>
      <c r="M154" s="594">
        <v>31998.880317461244</v>
      </c>
      <c r="N154" s="439"/>
      <c r="O154" s="673"/>
      <c r="P154" s="361"/>
      <c r="Q154" s="441"/>
      <c r="R154" s="485"/>
      <c r="S154" s="442"/>
      <c r="T154" s="441">
        <v>42.160000000000004</v>
      </c>
      <c r="U154" s="485"/>
      <c r="V154" s="442"/>
      <c r="W154" s="441">
        <v>23.85</v>
      </c>
      <c r="X154" s="485"/>
      <c r="Y154" s="442"/>
      <c r="Z154" s="441"/>
      <c r="AA154" s="485"/>
      <c r="AB154" s="442"/>
      <c r="AC154" s="672"/>
      <c r="AD154" s="441">
        <v>3592.7647620861189</v>
      </c>
      <c r="AE154" s="674">
        <v>28310.79568549887</v>
      </c>
      <c r="AF154" s="674">
        <v>46.865602689162287</v>
      </c>
      <c r="AG154" s="674">
        <v>0</v>
      </c>
      <c r="AH154" s="442">
        <v>48.454267187099987</v>
      </c>
      <c r="AI154" s="442">
        <v>-7.2759576141834259E-12</v>
      </c>
      <c r="AK154" s="3" t="e">
        <f>IF(F154="", " ", VLOOKUP(F154,#REF!, 1, FALSE))</f>
        <v>#REF!</v>
      </c>
    </row>
    <row r="155" spans="1:37" ht="36" x14ac:dyDescent="0.25">
      <c r="A155" s="587" t="s">
        <v>2727</v>
      </c>
      <c r="B155" s="369" t="s">
        <v>28</v>
      </c>
      <c r="C155" s="588"/>
      <c r="D155" s="589" t="s">
        <v>2817</v>
      </c>
      <c r="E155" s="44" t="s">
        <v>27</v>
      </c>
      <c r="F155" s="214">
        <v>92873</v>
      </c>
      <c r="G155" s="587" t="s">
        <v>595</v>
      </c>
      <c r="H155" s="590" t="s">
        <v>44</v>
      </c>
      <c r="I155" s="591">
        <v>66.010000000000005</v>
      </c>
      <c r="J155" s="592">
        <v>186.89</v>
      </c>
      <c r="K155" s="593">
        <v>0.2033513845915047</v>
      </c>
      <c r="L155" s="592">
        <v>224.8943402663063</v>
      </c>
      <c r="M155" s="594">
        <v>14845.27540097888</v>
      </c>
      <c r="N155" s="439"/>
      <c r="O155" s="673"/>
      <c r="P155" s="361"/>
      <c r="Q155" s="441"/>
      <c r="R155" s="485"/>
      <c r="S155" s="442"/>
      <c r="T155" s="441">
        <v>42.160000000000004</v>
      </c>
      <c r="U155" s="485"/>
      <c r="V155" s="442"/>
      <c r="W155" s="441">
        <v>23.85</v>
      </c>
      <c r="X155" s="485"/>
      <c r="Y155" s="442"/>
      <c r="Z155" s="441"/>
      <c r="AA155" s="485"/>
      <c r="AB155" s="442"/>
      <c r="AC155" s="672"/>
      <c r="AD155" s="441">
        <v>10303.283601374984</v>
      </c>
      <c r="AE155" s="674">
        <v>4421.2532977606315</v>
      </c>
      <c r="AF155" s="674">
        <v>77.844560398947522</v>
      </c>
      <c r="AG155" s="674">
        <v>0</v>
      </c>
      <c r="AH155" s="442">
        <v>42.893941444318024</v>
      </c>
      <c r="AI155" s="442">
        <v>0</v>
      </c>
      <c r="AK155" s="3" t="e">
        <f>IF(F155="", " ", VLOOKUP(F155,#REF!, 1, FALSE))</f>
        <v>#REF!</v>
      </c>
    </row>
    <row r="156" spans="1:37" x14ac:dyDescent="0.25">
      <c r="A156" s="587" t="s">
        <v>2823</v>
      </c>
      <c r="B156" s="369" t="s">
        <v>26</v>
      </c>
      <c r="C156" s="588"/>
      <c r="D156" s="589" t="s">
        <v>2813</v>
      </c>
      <c r="E156" s="44" t="s">
        <v>138</v>
      </c>
      <c r="F156" s="214" t="s">
        <v>2824</v>
      </c>
      <c r="G156" s="587" t="s">
        <v>2825</v>
      </c>
      <c r="H156" s="590" t="s">
        <v>22</v>
      </c>
      <c r="I156" s="591">
        <v>12</v>
      </c>
      <c r="J156" s="592">
        <v>89.45174999999999</v>
      </c>
      <c r="K156" s="593">
        <v>0.11096635744680849</v>
      </c>
      <c r="L156" s="592">
        <v>99.377884864742541</v>
      </c>
      <c r="M156" s="594">
        <v>1192.5346183769104</v>
      </c>
      <c r="N156" s="439"/>
      <c r="O156" s="673"/>
      <c r="P156" s="361"/>
      <c r="Q156" s="441"/>
      <c r="R156" s="485"/>
      <c r="S156" s="442"/>
      <c r="T156" s="441">
        <v>8</v>
      </c>
      <c r="U156" s="485"/>
      <c r="V156" s="442"/>
      <c r="W156" s="441">
        <v>4</v>
      </c>
      <c r="X156" s="485"/>
      <c r="Y156" s="442"/>
      <c r="Z156" s="441"/>
      <c r="AA156" s="485"/>
      <c r="AB156" s="442"/>
      <c r="AC156" s="672"/>
      <c r="AD156" s="441">
        <v>0</v>
      </c>
      <c r="AE156" s="674">
        <v>1192.5346183769104</v>
      </c>
      <c r="AF156" s="674">
        <v>0</v>
      </c>
      <c r="AG156" s="674">
        <v>0</v>
      </c>
      <c r="AH156" s="442">
        <v>0</v>
      </c>
      <c r="AI156" s="442">
        <v>0</v>
      </c>
      <c r="AK156" s="3" t="e">
        <f>IF(F156="", " ", VLOOKUP(F156,#REF!, 1, FALSE))</f>
        <v>#REF!</v>
      </c>
    </row>
    <row r="157" spans="1:37" x14ac:dyDescent="0.25">
      <c r="A157" s="587" t="s">
        <v>2712</v>
      </c>
      <c r="B157" s="369" t="s">
        <v>26</v>
      </c>
      <c r="C157" s="588"/>
      <c r="D157" s="589" t="s">
        <v>2814</v>
      </c>
      <c r="E157" s="44" t="s">
        <v>138</v>
      </c>
      <c r="F157" s="214" t="s">
        <v>2346</v>
      </c>
      <c r="G157" s="587" t="s">
        <v>2352</v>
      </c>
      <c r="H157" s="590" t="s">
        <v>22</v>
      </c>
      <c r="I157" s="591">
        <v>45</v>
      </c>
      <c r="J157" s="592">
        <v>223.64474999999999</v>
      </c>
      <c r="K157" s="593">
        <v>0.11096635744680849</v>
      </c>
      <c r="L157" s="592">
        <v>248.46179326960211</v>
      </c>
      <c r="M157" s="594">
        <v>11180.780697132095</v>
      </c>
      <c r="N157" s="439"/>
      <c r="O157" s="673"/>
      <c r="P157" s="361"/>
      <c r="Q157" s="441"/>
      <c r="R157" s="485"/>
      <c r="S157" s="442"/>
      <c r="T157" s="441">
        <v>34.5</v>
      </c>
      <c r="U157" s="485"/>
      <c r="V157" s="442"/>
      <c r="W157" s="441">
        <v>10.5</v>
      </c>
      <c r="X157" s="485"/>
      <c r="Y157" s="442"/>
      <c r="Z157" s="441"/>
      <c r="AA157" s="485"/>
      <c r="AB157" s="442"/>
      <c r="AC157" s="672"/>
      <c r="AD157" s="441">
        <v>0</v>
      </c>
      <c r="AE157" s="674">
        <v>11180.780697132095</v>
      </c>
      <c r="AF157" s="674">
        <v>0</v>
      </c>
      <c r="AG157" s="674">
        <v>0</v>
      </c>
      <c r="AH157" s="442">
        <v>0</v>
      </c>
      <c r="AI157" s="442">
        <v>0</v>
      </c>
      <c r="AK157" s="3" t="e">
        <f>IF(F157="", " ", VLOOKUP(F157,#REF!, 1, FALSE))</f>
        <v>#REF!</v>
      </c>
    </row>
    <row r="158" spans="1:37" ht="36" x14ac:dyDescent="0.25">
      <c r="A158" s="587" t="s">
        <v>2713</v>
      </c>
      <c r="B158" s="369" t="s">
        <v>23</v>
      </c>
      <c r="C158" s="588"/>
      <c r="D158" s="589" t="s">
        <v>2815</v>
      </c>
      <c r="E158" s="44" t="s">
        <v>27</v>
      </c>
      <c r="F158" s="214">
        <v>101463</v>
      </c>
      <c r="G158" s="587" t="s">
        <v>780</v>
      </c>
      <c r="H158" s="590" t="s">
        <v>55</v>
      </c>
      <c r="I158" s="591">
        <v>23.657999999999998</v>
      </c>
      <c r="J158" s="592">
        <v>30.23</v>
      </c>
      <c r="K158" s="593">
        <v>0.2033513845915047</v>
      </c>
      <c r="L158" s="592">
        <v>36.377312356201188</v>
      </c>
      <c r="M158" s="594">
        <v>860.61445572300761</v>
      </c>
      <c r="N158" s="439"/>
      <c r="O158" s="673"/>
      <c r="P158" s="361"/>
      <c r="Q158" s="441"/>
      <c r="R158" s="485"/>
      <c r="S158" s="442"/>
      <c r="T158" s="441">
        <v>17.841999999999999</v>
      </c>
      <c r="U158" s="485"/>
      <c r="V158" s="442"/>
      <c r="W158" s="441">
        <v>5.8159999999999998</v>
      </c>
      <c r="X158" s="485"/>
      <c r="Y158" s="442"/>
      <c r="Z158" s="441"/>
      <c r="AA158" s="485"/>
      <c r="AB158" s="442"/>
      <c r="AC158" s="672"/>
      <c r="AD158" s="441">
        <v>183.62432151549453</v>
      </c>
      <c r="AE158" s="674">
        <v>510.4471449260181</v>
      </c>
      <c r="AF158" s="674">
        <v>166.54298928149501</v>
      </c>
      <c r="AG158" s="674">
        <v>0</v>
      </c>
      <c r="AH158" s="442">
        <v>0</v>
      </c>
      <c r="AI158" s="442">
        <v>0</v>
      </c>
      <c r="AK158" s="3" t="e">
        <f>IF(F158="", " ", VLOOKUP(F158,#REF!, 1, FALSE))</f>
        <v>#REF!</v>
      </c>
    </row>
    <row r="159" spans="1:37" ht="48" x14ac:dyDescent="0.25">
      <c r="A159" s="587" t="s">
        <v>2714</v>
      </c>
      <c r="B159" s="369" t="s">
        <v>25</v>
      </c>
      <c r="C159" s="588"/>
      <c r="D159" s="589" t="s">
        <v>2820</v>
      </c>
      <c r="E159" s="44" t="s">
        <v>27</v>
      </c>
      <c r="F159" s="214">
        <v>100952</v>
      </c>
      <c r="G159" s="587" t="s">
        <v>797</v>
      </c>
      <c r="H159" s="590" t="s">
        <v>42</v>
      </c>
      <c r="I159" s="591">
        <v>160.184</v>
      </c>
      <c r="J159" s="592">
        <v>1.81</v>
      </c>
      <c r="K159" s="593">
        <v>0.2033513845915047</v>
      </c>
      <c r="L159" s="592">
        <v>2.1780660061106234</v>
      </c>
      <c r="M159" s="594">
        <v>348.89132512282407</v>
      </c>
      <c r="N159" s="439"/>
      <c r="O159" s="673"/>
      <c r="P159" s="361"/>
      <c r="Q159" s="441">
        <v>0</v>
      </c>
      <c r="R159" s="485"/>
      <c r="S159" s="442">
        <v>0</v>
      </c>
      <c r="T159" s="441">
        <v>142.73599999999999</v>
      </c>
      <c r="U159" s="485"/>
      <c r="V159" s="442">
        <v>8</v>
      </c>
      <c r="W159" s="441">
        <v>17.448</v>
      </c>
      <c r="X159" s="485"/>
      <c r="Y159" s="442">
        <v>3</v>
      </c>
      <c r="Z159" s="441">
        <v>0</v>
      </c>
      <c r="AA159" s="485"/>
      <c r="AB159" s="442">
        <v>0</v>
      </c>
      <c r="AC159" s="672"/>
      <c r="AD159" s="441">
        <v>32.768798492198954</v>
      </c>
      <c r="AE159" s="674">
        <v>239.01947135486293</v>
      </c>
      <c r="AF159" s="674">
        <v>77.10305527576223</v>
      </c>
      <c r="AG159" s="674">
        <v>0</v>
      </c>
      <c r="AH159" s="442">
        <v>0</v>
      </c>
      <c r="AI159" s="442">
        <v>-5.6843418860808015E-14</v>
      </c>
      <c r="AK159" s="3" t="e">
        <f>IF(F159="", " ", VLOOKUP(F159,#REF!, 1, FALSE))</f>
        <v>#REF!</v>
      </c>
    </row>
    <row r="160" spans="1:37" ht="48" hidden="1" x14ac:dyDescent="0.25">
      <c r="A160" s="587" t="s">
        <v>2715</v>
      </c>
      <c r="B160" s="369" t="s">
        <v>25</v>
      </c>
      <c r="C160" s="588"/>
      <c r="D160" s="589" t="s">
        <v>2821</v>
      </c>
      <c r="E160" s="44" t="s">
        <v>27</v>
      </c>
      <c r="F160" s="214">
        <v>100953</v>
      </c>
      <c r="G160" s="587" t="s">
        <v>796</v>
      </c>
      <c r="H160" s="590" t="s">
        <v>42</v>
      </c>
      <c r="I160" s="591">
        <f>IF($F160="","",IF('TRECHO(S) A IMPRIMIR'!$B$1= 1, SUM(Q160, T160, W160, Z160), IF('TRECHO(S) A IMPRIMIR'!$B$1= 2, T160, IF('TRECHO(S) A IMPRIMIR'!$B$1= 3, W160, 0))))</f>
        <v>0</v>
      </c>
      <c r="J160" s="592">
        <v>0.71</v>
      </c>
      <c r="K160" s="593">
        <f t="shared" ref="K157:K220" si="25">IF(AND(F160&lt;&gt;"", J160&lt;&gt;""),
  IF(OR(F160= "CP9001", F160= "CP9091", F160= "CP9092"), 0,
  IF(ISNA(VLOOKUP(F160, $M$626:$M$646, 1, FALSE)), $M$4, $M$5)), "")</f>
        <v>0.2033513845915047</v>
      </c>
      <c r="L160" s="592">
        <f t="shared" si="22"/>
        <v>0.85437948305996825</v>
      </c>
      <c r="M160" s="594">
        <f t="shared" si="23"/>
        <v>0</v>
      </c>
      <c r="N160" s="439"/>
      <c r="O160" s="673"/>
      <c r="P160" s="361"/>
      <c r="Q160" s="441">
        <f>Q158 * S160</f>
        <v>0</v>
      </c>
      <c r="R160" s="485"/>
      <c r="S160" s="442">
        <v>0</v>
      </c>
      <c r="T160" s="441">
        <f>T158 * V160</f>
        <v>0</v>
      </c>
      <c r="U160" s="485"/>
      <c r="V160" s="442">
        <f>IF('MLQ-DMT-TR1'!$E$11 &gt; 30, 'MLQ-DMT-TR1'!$E$11 - 30, 0)</f>
        <v>0</v>
      </c>
      <c r="W160" s="441">
        <f>W158 * Y160</f>
        <v>0</v>
      </c>
      <c r="X160" s="485"/>
      <c r="Y160" s="442">
        <f>IF('MLQ-DMT-TR3'!$E$11 &gt; 30, 'MLQ-DMT-TR3'!$E$11 - 30, 0)</f>
        <v>0</v>
      </c>
      <c r="Z160" s="441">
        <f>Z158 * AB160</f>
        <v>0</v>
      </c>
      <c r="AA160" s="485"/>
      <c r="AB160" s="442">
        <v>0</v>
      </c>
      <c r="AC160" s="672"/>
      <c r="AD160" s="441" t="s">
        <v>21</v>
      </c>
      <c r="AE160" s="674" t="s">
        <v>21</v>
      </c>
      <c r="AF160" s="674" t="s">
        <v>21</v>
      </c>
      <c r="AG160" s="674" t="s">
        <v>21</v>
      </c>
      <c r="AH160" s="442" t="s">
        <v>21</v>
      </c>
      <c r="AI160" s="442" t="str">
        <f t="shared" si="24"/>
        <v/>
      </c>
      <c r="AK160" s="3" t="e">
        <f>IF(F160="", " ", VLOOKUP(F160,#REF!, 1, FALSE))</f>
        <v>#REF!</v>
      </c>
    </row>
    <row r="161" spans="1:37" ht="48" x14ac:dyDescent="0.25">
      <c r="A161" s="587" t="s">
        <v>2716</v>
      </c>
      <c r="B161" s="369" t="s">
        <v>25</v>
      </c>
      <c r="C161" s="588"/>
      <c r="D161" s="589" t="s">
        <v>2822</v>
      </c>
      <c r="E161" s="44" t="s">
        <v>27</v>
      </c>
      <c r="F161" s="214">
        <v>100954</v>
      </c>
      <c r="G161" s="587" t="s">
        <v>794</v>
      </c>
      <c r="H161" s="590" t="s">
        <v>42</v>
      </c>
      <c r="I161" s="591">
        <v>21.331599999999998</v>
      </c>
      <c r="J161" s="592">
        <v>5.41</v>
      </c>
      <c r="K161" s="593">
        <v>0.2033513845915047</v>
      </c>
      <c r="L161" s="592">
        <v>6.5101309906400404</v>
      </c>
      <c r="M161" s="594">
        <v>138.87151023993707</v>
      </c>
      <c r="N161" s="439"/>
      <c r="O161" s="673"/>
      <c r="P161" s="361"/>
      <c r="Q161" s="441">
        <v>0</v>
      </c>
      <c r="R161" s="485"/>
      <c r="S161" s="442">
        <v>0</v>
      </c>
      <c r="T161" s="441">
        <v>17.841999999999999</v>
      </c>
      <c r="U161" s="485"/>
      <c r="V161" s="442">
        <v>1</v>
      </c>
      <c r="W161" s="441">
        <v>3.4895999999999998</v>
      </c>
      <c r="X161" s="485"/>
      <c r="Y161" s="442">
        <v>0.6</v>
      </c>
      <c r="Z161" s="441">
        <v>0</v>
      </c>
      <c r="AA161" s="485"/>
      <c r="AB161" s="442">
        <v>0</v>
      </c>
      <c r="AC161" s="672"/>
      <c r="AD161" s="441">
        <v>13.348093405687113</v>
      </c>
      <c r="AE161" s="674">
        <v>92.409877423987695</v>
      </c>
      <c r="AF161" s="674">
        <v>33.113539410262263</v>
      </c>
      <c r="AG161" s="674">
        <v>0</v>
      </c>
      <c r="AH161" s="442">
        <v>0</v>
      </c>
      <c r="AI161" s="442">
        <v>0</v>
      </c>
      <c r="AK161" s="3" t="e">
        <f>IF(F161="", " ", VLOOKUP(F161,#REF!, 1, FALSE))</f>
        <v>#REF!</v>
      </c>
    </row>
    <row r="162" spans="1:37" ht="60" x14ac:dyDescent="0.25">
      <c r="A162" s="587" t="s">
        <v>3006</v>
      </c>
      <c r="B162" s="369" t="s">
        <v>26</v>
      </c>
      <c r="C162" s="588"/>
      <c r="D162" s="589" t="s">
        <v>3004</v>
      </c>
      <c r="E162" s="44" t="s">
        <v>27</v>
      </c>
      <c r="F162" s="214">
        <v>92808</v>
      </c>
      <c r="G162" s="587" t="s">
        <v>519</v>
      </c>
      <c r="H162" s="590" t="s">
        <v>22</v>
      </c>
      <c r="I162" s="591">
        <v>12</v>
      </c>
      <c r="J162" s="592">
        <v>31.06</v>
      </c>
      <c r="K162" s="593">
        <v>0.2033513845915047</v>
      </c>
      <c r="L162" s="592">
        <v>37.376094005412135</v>
      </c>
      <c r="M162" s="594">
        <v>448.51312806494559</v>
      </c>
      <c r="N162" s="439"/>
      <c r="O162" s="673"/>
      <c r="P162" s="361"/>
      <c r="Q162" s="441"/>
      <c r="R162" s="485"/>
      <c r="S162" s="442"/>
      <c r="T162" s="441">
        <v>8</v>
      </c>
      <c r="U162" s="485"/>
      <c r="V162" s="442"/>
      <c r="W162" s="441">
        <v>4</v>
      </c>
      <c r="X162" s="485"/>
      <c r="Y162" s="442"/>
      <c r="Z162" s="441"/>
      <c r="AA162" s="485"/>
      <c r="AB162" s="442"/>
      <c r="AC162" s="672"/>
      <c r="AD162" s="441">
        <v>192.05488098080417</v>
      </c>
      <c r="AE162" s="674">
        <v>127.21830837901388</v>
      </c>
      <c r="AF162" s="674">
        <v>129.2399387051276</v>
      </c>
      <c r="AG162" s="674">
        <v>0</v>
      </c>
      <c r="AH162" s="442">
        <v>0</v>
      </c>
      <c r="AI162" s="442">
        <v>-5.6843418860808015E-14</v>
      </c>
      <c r="AK162" s="3" t="e">
        <f>IF(F162="", " ", VLOOKUP(F162,#REF!, 1, FALSE))</f>
        <v>#REF!</v>
      </c>
    </row>
    <row r="163" spans="1:37" ht="60" x14ac:dyDescent="0.25">
      <c r="A163" s="587" t="s">
        <v>3002</v>
      </c>
      <c r="B163" s="369" t="s">
        <v>26</v>
      </c>
      <c r="C163" s="588"/>
      <c r="D163" s="589" t="s">
        <v>3005</v>
      </c>
      <c r="E163" s="44" t="s">
        <v>27</v>
      </c>
      <c r="F163" s="214">
        <v>92811</v>
      </c>
      <c r="G163" s="587" t="s">
        <v>522</v>
      </c>
      <c r="H163" s="590" t="s">
        <v>22</v>
      </c>
      <c r="I163" s="591">
        <v>45</v>
      </c>
      <c r="J163" s="592">
        <v>57.83</v>
      </c>
      <c r="K163" s="593">
        <v>0.2033513845915047</v>
      </c>
      <c r="L163" s="592">
        <v>69.589810570926716</v>
      </c>
      <c r="M163" s="594">
        <v>3131.5414756917021</v>
      </c>
      <c r="N163" s="439"/>
      <c r="O163" s="673"/>
      <c r="P163" s="361"/>
      <c r="Q163" s="441"/>
      <c r="R163" s="485"/>
      <c r="S163" s="442"/>
      <c r="T163" s="441">
        <v>34.5</v>
      </c>
      <c r="U163" s="485"/>
      <c r="V163" s="442"/>
      <c r="W163" s="441">
        <v>10.5</v>
      </c>
      <c r="X163" s="485"/>
      <c r="Y163" s="442"/>
      <c r="Z163" s="441"/>
      <c r="AA163" s="485"/>
      <c r="AB163" s="442"/>
      <c r="AC163" s="672"/>
      <c r="AD163" s="441">
        <v>1318.5722796661412</v>
      </c>
      <c r="AE163" s="674">
        <v>937.35056102755254</v>
      </c>
      <c r="AF163" s="674">
        <v>875.61863499800847</v>
      </c>
      <c r="AG163" s="674">
        <v>0</v>
      </c>
      <c r="AH163" s="442">
        <v>0</v>
      </c>
      <c r="AI163" s="442">
        <v>0</v>
      </c>
      <c r="AK163" s="3" t="e">
        <f>IF(F163="", " ", VLOOKUP(F163,#REF!, 1, FALSE))</f>
        <v>#REF!</v>
      </c>
    </row>
    <row r="164" spans="1:37" ht="24" x14ac:dyDescent="0.25">
      <c r="A164" s="587" t="s">
        <v>3088</v>
      </c>
      <c r="B164" s="369" t="s">
        <v>20</v>
      </c>
      <c r="C164" s="588"/>
      <c r="D164" s="589" t="s">
        <v>3087</v>
      </c>
      <c r="E164" s="44" t="s">
        <v>138</v>
      </c>
      <c r="F164" s="214" t="s">
        <v>1183</v>
      </c>
      <c r="G164" s="587" t="s">
        <v>2718</v>
      </c>
      <c r="H164" s="590" t="s">
        <v>51</v>
      </c>
      <c r="I164" s="591">
        <v>40.606000000000002</v>
      </c>
      <c r="J164" s="592">
        <v>1722.5153</v>
      </c>
      <c r="K164" s="593">
        <v>0.2033513845915047</v>
      </c>
      <c r="L164" s="592">
        <v>2072.791171235051</v>
      </c>
      <c r="M164" s="594">
        <v>84167.758299170484</v>
      </c>
      <c r="N164" s="439"/>
      <c r="O164" s="673"/>
      <c r="P164" s="361"/>
      <c r="Q164" s="441"/>
      <c r="R164" s="485"/>
      <c r="S164" s="442"/>
      <c r="T164" s="441">
        <v>25.077999999999999</v>
      </c>
      <c r="U164" s="485"/>
      <c r="V164" s="442"/>
      <c r="W164" s="578">
        <v>15.528</v>
      </c>
      <c r="X164" s="485"/>
      <c r="Y164" s="442"/>
      <c r="Z164" s="441"/>
      <c r="AA164" s="485"/>
      <c r="AB164" s="442"/>
      <c r="AC164" s="672"/>
      <c r="AD164" s="441">
        <v>78522.792942437532</v>
      </c>
      <c r="AE164" s="674">
        <v>5641.7468949405029</v>
      </c>
      <c r="AF164" s="674">
        <v>2.0848335497694994</v>
      </c>
      <c r="AG164" s="674">
        <v>0</v>
      </c>
      <c r="AH164" s="442">
        <v>1.1336282426856517</v>
      </c>
      <c r="AI164" s="442">
        <v>-1.4551915228366852E-11</v>
      </c>
      <c r="AK164" s="3" t="e">
        <f>IF(F164="", " ", VLOOKUP(F164,#REF!, 1, FALSE))</f>
        <v>#REF!</v>
      </c>
    </row>
    <row r="165" spans="1:37" x14ac:dyDescent="0.25">
      <c r="A165" s="1145" t="s">
        <v>3104</v>
      </c>
      <c r="B165" s="1146"/>
      <c r="C165" s="1147"/>
      <c r="D165" s="1148" t="s">
        <v>2826</v>
      </c>
      <c r="E165" s="1146"/>
      <c r="F165" s="1149"/>
      <c r="G165" s="1145" t="s">
        <v>3104</v>
      </c>
      <c r="H165" s="1150" t="s">
        <v>21</v>
      </c>
      <c r="I165" s="1151" t="s">
        <v>21</v>
      </c>
      <c r="J165" s="1152" t="s">
        <v>21</v>
      </c>
      <c r="K165" s="1153" t="s">
        <v>21</v>
      </c>
      <c r="L165" s="1152" t="s">
        <v>21</v>
      </c>
      <c r="M165" s="1154">
        <v>181929.00894696155</v>
      </c>
      <c r="N165" s="1155"/>
      <c r="O165" s="1156"/>
      <c r="P165" s="1157"/>
      <c r="Q165" s="1158"/>
      <c r="R165" s="1159"/>
      <c r="S165" s="1160"/>
      <c r="T165" s="1158"/>
      <c r="U165" s="1159"/>
      <c r="V165" s="1160"/>
      <c r="W165" s="1161"/>
      <c r="X165" s="1159"/>
      <c r="Y165" s="1160"/>
      <c r="Z165" s="1158"/>
      <c r="AA165" s="1159"/>
      <c r="AB165" s="1160"/>
      <c r="AC165" s="1162"/>
      <c r="AD165" s="1158" t="s">
        <v>21</v>
      </c>
      <c r="AE165" s="1163" t="s">
        <v>21</v>
      </c>
      <c r="AF165" s="1163" t="s">
        <v>21</v>
      </c>
      <c r="AG165" s="1163" t="s">
        <v>21</v>
      </c>
      <c r="AH165" s="1160" t="s">
        <v>21</v>
      </c>
      <c r="AI165" s="1160" t="s">
        <v>21</v>
      </c>
      <c r="AK165" s="3" t="str">
        <f>IF(F165="", " ", VLOOKUP(F165,#REF!, 1, FALSE))</f>
        <v xml:space="preserve"> </v>
      </c>
    </row>
    <row r="166" spans="1:37" ht="24" x14ac:dyDescent="0.25">
      <c r="A166" s="587" t="s">
        <v>2846</v>
      </c>
      <c r="B166" s="369"/>
      <c r="C166" s="588"/>
      <c r="D166" s="589" t="s">
        <v>2827</v>
      </c>
      <c r="E166" s="44"/>
      <c r="F166" s="214"/>
      <c r="G166" s="587" t="s">
        <v>2846</v>
      </c>
      <c r="H166" s="590" t="s">
        <v>21</v>
      </c>
      <c r="I166" s="591" t="s">
        <v>21</v>
      </c>
      <c r="J166" s="592" t="s">
        <v>21</v>
      </c>
      <c r="K166" s="593" t="s">
        <v>21</v>
      </c>
      <c r="L166" s="592" t="s">
        <v>21</v>
      </c>
      <c r="M166" s="594" t="s">
        <v>21</v>
      </c>
      <c r="N166" s="439"/>
      <c r="O166" s="673"/>
      <c r="P166" s="361"/>
      <c r="Q166" s="441"/>
      <c r="R166" s="485"/>
      <c r="S166" s="442"/>
      <c r="T166" s="441"/>
      <c r="U166" s="485"/>
      <c r="V166" s="442"/>
      <c r="W166" s="578"/>
      <c r="X166" s="485"/>
      <c r="Y166" s="442"/>
      <c r="Z166" s="441"/>
      <c r="AA166" s="485"/>
      <c r="AB166" s="442"/>
      <c r="AC166" s="672"/>
      <c r="AD166" s="441" t="s">
        <v>21</v>
      </c>
      <c r="AE166" s="674" t="s">
        <v>21</v>
      </c>
      <c r="AF166" s="674" t="s">
        <v>21</v>
      </c>
      <c r="AG166" s="674" t="s">
        <v>21</v>
      </c>
      <c r="AH166" s="442" t="s">
        <v>21</v>
      </c>
      <c r="AI166" s="442" t="s">
        <v>21</v>
      </c>
      <c r="AK166" s="3" t="str">
        <f>IF(F166="", " ", VLOOKUP(F166,#REF!, 1, FALSE))</f>
        <v xml:space="preserve"> </v>
      </c>
    </row>
    <row r="167" spans="1:37" ht="24" x14ac:dyDescent="0.25">
      <c r="A167" s="587" t="s">
        <v>2845</v>
      </c>
      <c r="B167" s="369" t="s">
        <v>20</v>
      </c>
      <c r="C167" s="588"/>
      <c r="D167" s="589" t="s">
        <v>2842</v>
      </c>
      <c r="E167" s="44" t="s">
        <v>27</v>
      </c>
      <c r="F167" s="214">
        <v>98524</v>
      </c>
      <c r="G167" s="587" t="s">
        <v>52</v>
      </c>
      <c r="H167" s="590" t="s">
        <v>51</v>
      </c>
      <c r="I167" s="591">
        <v>146.25</v>
      </c>
      <c r="J167" s="592">
        <v>2.92</v>
      </c>
      <c r="K167" s="593">
        <v>0.2033513845915047</v>
      </c>
      <c r="L167" s="592">
        <v>3.5137860430071934</v>
      </c>
      <c r="M167" s="594">
        <v>513.89120878980202</v>
      </c>
      <c r="N167" s="439"/>
      <c r="O167" s="673"/>
      <c r="P167" s="361"/>
      <c r="Q167" s="441"/>
      <c r="R167" s="485"/>
      <c r="S167" s="442"/>
      <c r="T167" s="441">
        <v>146.25</v>
      </c>
      <c r="U167" s="485"/>
      <c r="V167" s="442"/>
      <c r="W167" s="441">
        <v>0</v>
      </c>
      <c r="X167" s="485"/>
      <c r="Y167" s="442"/>
      <c r="Z167" s="441"/>
      <c r="AA167" s="485"/>
      <c r="AB167" s="442"/>
      <c r="AC167" s="672"/>
      <c r="AD167" s="441">
        <v>371.33919539263093</v>
      </c>
      <c r="AE167" s="674">
        <v>142.55201339717112</v>
      </c>
      <c r="AF167" s="674">
        <v>0</v>
      </c>
      <c r="AG167" s="674">
        <v>0</v>
      </c>
      <c r="AH167" s="442">
        <v>0</v>
      </c>
      <c r="AI167" s="442">
        <v>0</v>
      </c>
      <c r="AK167" s="3" t="e">
        <f>IF(F167="", " ", VLOOKUP(F167,#REF!, 1, FALSE))</f>
        <v>#REF!</v>
      </c>
    </row>
    <row r="168" spans="1:37" ht="24" x14ac:dyDescent="0.25">
      <c r="A168" s="587" t="s">
        <v>1862</v>
      </c>
      <c r="B168" s="369" t="s">
        <v>20</v>
      </c>
      <c r="C168" s="588"/>
      <c r="D168" s="589" t="s">
        <v>2843</v>
      </c>
      <c r="E168" s="44" t="s">
        <v>27</v>
      </c>
      <c r="F168" s="214">
        <v>101616</v>
      </c>
      <c r="G168" s="587" t="s">
        <v>1169</v>
      </c>
      <c r="H168" s="590" t="s">
        <v>51</v>
      </c>
      <c r="I168" s="591">
        <v>146.25</v>
      </c>
      <c r="J168" s="592">
        <v>5.27</v>
      </c>
      <c r="K168" s="593">
        <v>0.2033513845915047</v>
      </c>
      <c r="L168" s="592">
        <v>6.3416617967972293</v>
      </c>
      <c r="M168" s="594">
        <v>927.46803778159483</v>
      </c>
      <c r="N168" s="439"/>
      <c r="O168" s="673"/>
      <c r="P168" s="361"/>
      <c r="Q168" s="441"/>
      <c r="R168" s="485"/>
      <c r="S168" s="442"/>
      <c r="T168" s="441">
        <v>146.25</v>
      </c>
      <c r="U168" s="485"/>
      <c r="V168" s="442"/>
      <c r="W168" s="441">
        <v>0</v>
      </c>
      <c r="X168" s="485"/>
      <c r="Y168" s="442"/>
      <c r="Z168" s="441"/>
      <c r="AA168" s="485"/>
      <c r="AB168" s="442"/>
      <c r="AC168" s="672"/>
      <c r="AD168" s="441">
        <v>658.20312358693832</v>
      </c>
      <c r="AE168" s="674">
        <v>269.26491419465657</v>
      </c>
      <c r="AF168" s="674">
        <v>0</v>
      </c>
      <c r="AG168" s="674">
        <v>0</v>
      </c>
      <c r="AH168" s="442">
        <v>0</v>
      </c>
      <c r="AI168" s="442">
        <v>0</v>
      </c>
      <c r="AK168" s="3" t="e">
        <f>IF(F168="", " ", VLOOKUP(F168,#REF!, 1, FALSE))</f>
        <v>#REF!</v>
      </c>
    </row>
    <row r="169" spans="1:37" ht="36" x14ac:dyDescent="0.25">
      <c r="A169" s="587" t="s">
        <v>2725</v>
      </c>
      <c r="B169" s="369"/>
      <c r="C169" s="588"/>
      <c r="D169" s="589" t="s">
        <v>2828</v>
      </c>
      <c r="E169" s="44"/>
      <c r="F169" s="214"/>
      <c r="G169" s="587" t="s">
        <v>2725</v>
      </c>
      <c r="H169" s="590" t="s">
        <v>21</v>
      </c>
      <c r="I169" s="591" t="str">
        <f>IF($F169="","",IF('TRECHO(S) A IMPRIMIR'!$B$1= 1, SUM(Q169, T169, W169, Z169), IF('TRECHO(S) A IMPRIMIR'!$B$1= 2, T169, IF('TRECHO(S) A IMPRIMIR'!$B$1= 3, W169, 0))))</f>
        <v/>
      </c>
      <c r="J169" s="592" t="s">
        <v>21</v>
      </c>
      <c r="K169" s="593" t="str">
        <f t="shared" si="25"/>
        <v/>
      </c>
      <c r="L169" s="592" t="str">
        <f t="shared" ref="L169:L184" si="26">IF(J169="","",
  IF(AND(J169&lt;&gt;"",K169=""),J169,J169 * (1 + K169)))</f>
        <v/>
      </c>
      <c r="M169" s="594" t="str">
        <f t="shared" ref="M169:M184" si="27">IF(OR(I169="",L169=""),"",I169*L169)</f>
        <v/>
      </c>
      <c r="N169" s="439"/>
      <c r="O169" s="673"/>
      <c r="P169" s="361"/>
      <c r="Q169" s="441"/>
      <c r="R169" s="485"/>
      <c r="S169" s="442"/>
      <c r="T169" s="441"/>
      <c r="U169" s="485"/>
      <c r="V169" s="442"/>
      <c r="W169" s="578"/>
      <c r="X169" s="485"/>
      <c r="Y169" s="442"/>
      <c r="Z169" s="441"/>
      <c r="AA169" s="485"/>
      <c r="AB169" s="442"/>
      <c r="AC169" s="672"/>
      <c r="AD169" s="441" t="s">
        <v>21</v>
      </c>
      <c r="AE169" s="674" t="s">
        <v>21</v>
      </c>
      <c r="AF169" s="674" t="s">
        <v>21</v>
      </c>
      <c r="AG169" s="674" t="s">
        <v>21</v>
      </c>
      <c r="AH169" s="442" t="s">
        <v>21</v>
      </c>
      <c r="AI169" s="442" t="s">
        <v>21</v>
      </c>
      <c r="AK169" s="3" t="str">
        <f>IF(F169="", " ", VLOOKUP(F169,#REF!, 1, FALSE))</f>
        <v xml:space="preserve"> </v>
      </c>
    </row>
    <row r="170" spans="1:37" ht="24" hidden="1" x14ac:dyDescent="0.25">
      <c r="A170" s="587" t="s">
        <v>925</v>
      </c>
      <c r="B170" s="369" t="s">
        <v>28</v>
      </c>
      <c r="C170" s="588"/>
      <c r="D170" s="589" t="s">
        <v>2829</v>
      </c>
      <c r="E170" s="44" t="s">
        <v>27</v>
      </c>
      <c r="F170" s="214">
        <v>93358</v>
      </c>
      <c r="G170" s="587" t="s">
        <v>1293</v>
      </c>
      <c r="H170" s="590" t="s">
        <v>44</v>
      </c>
      <c r="I170" s="591">
        <f>IF($F170="","",IF('TRECHO(S) A IMPRIMIR'!$B$1= 1, SUM(Q170, T170, W170, Z170), IF('TRECHO(S) A IMPRIMIR'!$B$1= 2, T170, IF('TRECHO(S) A IMPRIMIR'!$B$1= 3, W170, 0))))</f>
        <v>0</v>
      </c>
      <c r="J170" s="592">
        <v>69.66</v>
      </c>
      <c r="K170" s="593">
        <f t="shared" si="25"/>
        <v>0.2033513845915047</v>
      </c>
      <c r="L170" s="592">
        <f t="shared" si="26"/>
        <v>83.825457450644208</v>
      </c>
      <c r="M170" s="594">
        <f t="shared" si="27"/>
        <v>0</v>
      </c>
      <c r="N170" s="439"/>
      <c r="O170" s="673"/>
      <c r="P170" s="361"/>
      <c r="Q170" s="441"/>
      <c r="R170" s="485"/>
      <c r="S170" s="442"/>
      <c r="T170" s="441">
        <f>'04-MLQ-CR-LAGOAS'!F162</f>
        <v>0</v>
      </c>
      <c r="U170" s="485"/>
      <c r="V170" s="442"/>
      <c r="W170" s="441">
        <f>'04-MLQ-CR-LAGOAS'!L162</f>
        <v>0</v>
      </c>
      <c r="X170" s="485"/>
      <c r="Y170" s="442"/>
      <c r="Z170" s="441"/>
      <c r="AA170" s="485"/>
      <c r="AB170" s="442"/>
      <c r="AC170" s="672"/>
      <c r="AD170" s="441" t="s">
        <v>21</v>
      </c>
      <c r="AE170" s="674" t="s">
        <v>21</v>
      </c>
      <c r="AF170" s="674" t="s">
        <v>21</v>
      </c>
      <c r="AG170" s="674" t="s">
        <v>21</v>
      </c>
      <c r="AH170" s="442" t="s">
        <v>21</v>
      </c>
      <c r="AI170" s="442" t="str">
        <f t="shared" ref="AI169:AI184" si="28">IF(SUM(AD170:AH170)=0,"",M170 - SUM(AD170:AH170))</f>
        <v/>
      </c>
      <c r="AK170" s="3" t="e">
        <f>IF(F170="", " ", VLOOKUP(F170,#REF!, 1, FALSE))</f>
        <v>#REF!</v>
      </c>
    </row>
    <row r="171" spans="1:37" ht="24" hidden="1" x14ac:dyDescent="0.25">
      <c r="A171" s="587" t="s">
        <v>1862</v>
      </c>
      <c r="B171" s="369" t="s">
        <v>20</v>
      </c>
      <c r="C171" s="588"/>
      <c r="D171" s="589" t="s">
        <v>2830</v>
      </c>
      <c r="E171" s="44" t="s">
        <v>27</v>
      </c>
      <c r="F171" s="214">
        <v>101616</v>
      </c>
      <c r="G171" s="587" t="s">
        <v>1169</v>
      </c>
      <c r="H171" s="590" t="s">
        <v>51</v>
      </c>
      <c r="I171" s="591">
        <f>IF($F171="","",IF('TRECHO(S) A IMPRIMIR'!$B$1= 1, SUM(Q171, T171, W171, Z171), IF('TRECHO(S) A IMPRIMIR'!$B$1= 2, T171, IF('TRECHO(S) A IMPRIMIR'!$B$1= 3, W171, 0))))</f>
        <v>0</v>
      </c>
      <c r="J171" s="592">
        <v>5.27</v>
      </c>
      <c r="K171" s="593">
        <f t="shared" si="25"/>
        <v>0.2033513845915047</v>
      </c>
      <c r="L171" s="592">
        <f t="shared" si="26"/>
        <v>6.3416617967972293</v>
      </c>
      <c r="M171" s="594">
        <f t="shared" si="27"/>
        <v>0</v>
      </c>
      <c r="N171" s="439"/>
      <c r="O171" s="673"/>
      <c r="P171" s="361"/>
      <c r="Q171" s="441"/>
      <c r="R171" s="485"/>
      <c r="S171" s="442"/>
      <c r="T171" s="441">
        <f>'04-MLQ-CR-LAGOAS'!F163</f>
        <v>0</v>
      </c>
      <c r="U171" s="485"/>
      <c r="V171" s="442"/>
      <c r="W171" s="441">
        <f>'04-MLQ-CR-LAGOAS'!L163</f>
        <v>0</v>
      </c>
      <c r="X171" s="485"/>
      <c r="Y171" s="442"/>
      <c r="Z171" s="441"/>
      <c r="AA171" s="485"/>
      <c r="AB171" s="442"/>
      <c r="AC171" s="672"/>
      <c r="AD171" s="441" t="s">
        <v>21</v>
      </c>
      <c r="AE171" s="674" t="s">
        <v>21</v>
      </c>
      <c r="AF171" s="674" t="s">
        <v>21</v>
      </c>
      <c r="AG171" s="674" t="s">
        <v>21</v>
      </c>
      <c r="AH171" s="442" t="s">
        <v>21</v>
      </c>
      <c r="AI171" s="442" t="str">
        <f t="shared" si="28"/>
        <v/>
      </c>
      <c r="AK171" s="3" t="e">
        <f>IF(F171="", " ", VLOOKUP(F171,#REF!, 1, FALSE))</f>
        <v>#REF!</v>
      </c>
    </row>
    <row r="172" spans="1:37" ht="24" hidden="1" x14ac:dyDescent="0.25">
      <c r="A172" s="587" t="s">
        <v>2723</v>
      </c>
      <c r="B172" s="369" t="s">
        <v>39</v>
      </c>
      <c r="C172" s="588"/>
      <c r="D172" s="589" t="s">
        <v>2831</v>
      </c>
      <c r="E172" s="44" t="s">
        <v>27</v>
      </c>
      <c r="F172" s="214">
        <v>95601</v>
      </c>
      <c r="G172" s="587" t="s">
        <v>3655</v>
      </c>
      <c r="H172" s="590" t="s">
        <v>41</v>
      </c>
      <c r="I172" s="591">
        <f>IF($F172="","",IF('TRECHO(S) A IMPRIMIR'!$B$1= 1, SUM(Q172, T172, W172, Z172), IF('TRECHO(S) A IMPRIMIR'!$B$1= 2, T172, IF('TRECHO(S) A IMPRIMIR'!$B$1= 3, W172, 0))))</f>
        <v>0</v>
      </c>
      <c r="J172" s="592">
        <v>13.84</v>
      </c>
      <c r="K172" s="593">
        <f t="shared" si="25"/>
        <v>0.2033513845915047</v>
      </c>
      <c r="L172" s="592">
        <f t="shared" si="26"/>
        <v>16.654383162746424</v>
      </c>
      <c r="M172" s="594">
        <f t="shared" si="27"/>
        <v>0</v>
      </c>
      <c r="N172" s="439"/>
      <c r="O172" s="673"/>
      <c r="P172" s="361"/>
      <c r="Q172" s="441"/>
      <c r="R172" s="485"/>
      <c r="S172" s="442"/>
      <c r="T172" s="441">
        <f>'04-MLQ-CR-LAGOAS'!F164</f>
        <v>0</v>
      </c>
      <c r="U172" s="485"/>
      <c r="V172" s="442"/>
      <c r="W172" s="441">
        <f>'04-MLQ-CR-LAGOAS'!L164</f>
        <v>0</v>
      </c>
      <c r="X172" s="485"/>
      <c r="Y172" s="442"/>
      <c r="Z172" s="441"/>
      <c r="AA172" s="485"/>
      <c r="AB172" s="442"/>
      <c r="AC172" s="672"/>
      <c r="AD172" s="441" t="s">
        <v>21</v>
      </c>
      <c r="AE172" s="674" t="s">
        <v>21</v>
      </c>
      <c r="AF172" s="674" t="s">
        <v>21</v>
      </c>
      <c r="AG172" s="674" t="s">
        <v>21</v>
      </c>
      <c r="AH172" s="442" t="s">
        <v>21</v>
      </c>
      <c r="AI172" s="442" t="str">
        <f t="shared" si="28"/>
        <v/>
      </c>
      <c r="AK172" s="3" t="e">
        <f>IF(F172="", " ", VLOOKUP(F172,#REF!, 1, FALSE))</f>
        <v>#REF!</v>
      </c>
    </row>
    <row r="173" spans="1:37" ht="36" hidden="1" x14ac:dyDescent="0.25">
      <c r="A173" s="587" t="s">
        <v>1288</v>
      </c>
      <c r="B173" s="369" t="s">
        <v>28</v>
      </c>
      <c r="C173" s="588"/>
      <c r="D173" s="589" t="s">
        <v>2832</v>
      </c>
      <c r="E173" s="44" t="s">
        <v>27</v>
      </c>
      <c r="F173" s="214">
        <v>94962</v>
      </c>
      <c r="G173" s="587" t="s">
        <v>3658</v>
      </c>
      <c r="H173" s="590" t="s">
        <v>44</v>
      </c>
      <c r="I173" s="591">
        <f>IF($F173="","",IF('TRECHO(S) A IMPRIMIR'!$B$1= 1, SUM(Q173, T173, W173, Z173), IF('TRECHO(S) A IMPRIMIR'!$B$1= 2, T173, IF('TRECHO(S) A IMPRIMIR'!$B$1= 3, W173, 0))))</f>
        <v>0</v>
      </c>
      <c r="J173" s="592">
        <v>329.54</v>
      </c>
      <c r="K173" s="593">
        <f t="shared" si="25"/>
        <v>0.2033513845915047</v>
      </c>
      <c r="L173" s="592">
        <f t="shared" si="26"/>
        <v>396.55241527828446</v>
      </c>
      <c r="M173" s="594">
        <f t="shared" si="27"/>
        <v>0</v>
      </c>
      <c r="N173" s="439"/>
      <c r="O173" s="673"/>
      <c r="P173" s="361"/>
      <c r="Q173" s="441"/>
      <c r="R173" s="485"/>
      <c r="S173" s="442"/>
      <c r="T173" s="441">
        <f>'04-MLQ-CR-LAGOAS'!F165</f>
        <v>0</v>
      </c>
      <c r="U173" s="485"/>
      <c r="V173" s="442"/>
      <c r="W173" s="441">
        <f>'04-MLQ-CR-LAGOAS'!L165</f>
        <v>0</v>
      </c>
      <c r="X173" s="485"/>
      <c r="Y173" s="442"/>
      <c r="Z173" s="441"/>
      <c r="AA173" s="485"/>
      <c r="AB173" s="442"/>
      <c r="AC173" s="672"/>
      <c r="AD173" s="441" t="s">
        <v>21</v>
      </c>
      <c r="AE173" s="674" t="s">
        <v>21</v>
      </c>
      <c r="AF173" s="674" t="s">
        <v>21</v>
      </c>
      <c r="AG173" s="674" t="s">
        <v>21</v>
      </c>
      <c r="AH173" s="442" t="s">
        <v>21</v>
      </c>
      <c r="AI173" s="442" t="str">
        <f t="shared" si="28"/>
        <v/>
      </c>
      <c r="AK173" s="3" t="e">
        <f>IF(F173="", " ", VLOOKUP(F173,#REF!, 1, FALSE))</f>
        <v>#REF!</v>
      </c>
    </row>
    <row r="174" spans="1:37" ht="36" hidden="1" x14ac:dyDescent="0.25">
      <c r="A174" s="587" t="s">
        <v>2728</v>
      </c>
      <c r="B174" s="369" t="s">
        <v>20</v>
      </c>
      <c r="C174" s="588"/>
      <c r="D174" s="589" t="s">
        <v>2833</v>
      </c>
      <c r="E174" s="44" t="s">
        <v>27</v>
      </c>
      <c r="F174" s="214">
        <v>96534</v>
      </c>
      <c r="G174" s="587" t="s">
        <v>581</v>
      </c>
      <c r="H174" s="590" t="s">
        <v>51</v>
      </c>
      <c r="I174" s="591">
        <f>IF($F174="","",IF('TRECHO(S) A IMPRIMIR'!$B$1= 1, SUM(Q174, T174, W174, Z174), IF('TRECHO(S) A IMPRIMIR'!$B$1= 2, T174, IF('TRECHO(S) A IMPRIMIR'!$B$1= 3, W174, 0))))</f>
        <v>0</v>
      </c>
      <c r="J174" s="592">
        <v>79.489999999999995</v>
      </c>
      <c r="K174" s="593">
        <f t="shared" si="25"/>
        <v>0.2033513845915047</v>
      </c>
      <c r="L174" s="592">
        <f t="shared" si="26"/>
        <v>95.654401561178702</v>
      </c>
      <c r="M174" s="594">
        <f t="shared" si="27"/>
        <v>0</v>
      </c>
      <c r="N174" s="439"/>
      <c r="O174" s="673"/>
      <c r="P174" s="361"/>
      <c r="Q174" s="441"/>
      <c r="R174" s="485"/>
      <c r="S174" s="442"/>
      <c r="T174" s="441">
        <f>'04-MLQ-CR-LAGOAS'!F166</f>
        <v>0</v>
      </c>
      <c r="U174" s="485"/>
      <c r="V174" s="442"/>
      <c r="W174" s="441">
        <f>'04-MLQ-CR-LAGOAS'!L166</f>
        <v>0</v>
      </c>
      <c r="X174" s="485"/>
      <c r="Y174" s="442"/>
      <c r="Z174" s="441"/>
      <c r="AA174" s="485"/>
      <c r="AB174" s="442"/>
      <c r="AC174" s="672"/>
      <c r="AD174" s="441" t="s">
        <v>21</v>
      </c>
      <c r="AE174" s="674" t="s">
        <v>21</v>
      </c>
      <c r="AF174" s="674" t="s">
        <v>21</v>
      </c>
      <c r="AG174" s="674" t="s">
        <v>21</v>
      </c>
      <c r="AH174" s="442" t="s">
        <v>21</v>
      </c>
      <c r="AI174" s="442" t="str">
        <f t="shared" si="28"/>
        <v/>
      </c>
      <c r="AK174" s="3" t="e">
        <f>IF(F174="", " ", VLOOKUP(F174,#REF!, 1, FALSE))</f>
        <v>#REF!</v>
      </c>
    </row>
    <row r="175" spans="1:37" ht="36" hidden="1" x14ac:dyDescent="0.25">
      <c r="A175" s="587" t="s">
        <v>2729</v>
      </c>
      <c r="B175" s="369" t="s">
        <v>20</v>
      </c>
      <c r="C175" s="588"/>
      <c r="D175" s="589" t="s">
        <v>2834</v>
      </c>
      <c r="E175" s="44" t="s">
        <v>27</v>
      </c>
      <c r="F175" s="214">
        <v>96536</v>
      </c>
      <c r="G175" s="587" t="s">
        <v>67</v>
      </c>
      <c r="H175" s="590" t="s">
        <v>51</v>
      </c>
      <c r="I175" s="591">
        <f>IF($F175="","",IF('TRECHO(S) A IMPRIMIR'!$B$1= 1, SUM(Q175, T175, W175, Z175), IF('TRECHO(S) A IMPRIMIR'!$B$1= 2, T175, IF('TRECHO(S) A IMPRIMIR'!$B$1= 3, W175, 0))))</f>
        <v>0</v>
      </c>
      <c r="J175" s="592">
        <v>68.62</v>
      </c>
      <c r="K175" s="593">
        <f t="shared" si="25"/>
        <v>0.2033513845915047</v>
      </c>
      <c r="L175" s="592">
        <f t="shared" si="26"/>
        <v>82.573972010669053</v>
      </c>
      <c r="M175" s="594">
        <f t="shared" si="27"/>
        <v>0</v>
      </c>
      <c r="N175" s="439"/>
      <c r="O175" s="673"/>
      <c r="P175" s="361"/>
      <c r="Q175" s="441"/>
      <c r="R175" s="485"/>
      <c r="S175" s="442"/>
      <c r="T175" s="441">
        <f>'04-MLQ-CR-LAGOAS'!F167</f>
        <v>0</v>
      </c>
      <c r="U175" s="485"/>
      <c r="V175" s="442"/>
      <c r="W175" s="441">
        <f>'04-MLQ-CR-LAGOAS'!L167</f>
        <v>0</v>
      </c>
      <c r="X175" s="485"/>
      <c r="Y175" s="442"/>
      <c r="Z175" s="441"/>
      <c r="AA175" s="485"/>
      <c r="AB175" s="442"/>
      <c r="AC175" s="672"/>
      <c r="AD175" s="441" t="s">
        <v>21</v>
      </c>
      <c r="AE175" s="674" t="s">
        <v>21</v>
      </c>
      <c r="AF175" s="674" t="s">
        <v>21</v>
      </c>
      <c r="AG175" s="674" t="s">
        <v>21</v>
      </c>
      <c r="AH175" s="442" t="s">
        <v>21</v>
      </c>
      <c r="AI175" s="442" t="str">
        <f t="shared" si="28"/>
        <v/>
      </c>
      <c r="AK175" s="3" t="e">
        <f>IF(F175="", " ", VLOOKUP(F175,#REF!, 1, FALSE))</f>
        <v>#REF!</v>
      </c>
    </row>
    <row r="176" spans="1:37" ht="36" hidden="1" x14ac:dyDescent="0.25">
      <c r="A176" s="587" t="s">
        <v>2720</v>
      </c>
      <c r="B176" s="369" t="s">
        <v>23</v>
      </c>
      <c r="C176" s="588"/>
      <c r="D176" s="589" t="s">
        <v>2835</v>
      </c>
      <c r="E176" s="44" t="s">
        <v>27</v>
      </c>
      <c r="F176" s="214">
        <v>101010</v>
      </c>
      <c r="G176" s="587" t="s">
        <v>770</v>
      </c>
      <c r="H176" s="590" t="s">
        <v>55</v>
      </c>
      <c r="I176" s="591">
        <f>IF($F176="","",IF('TRECHO(S) A IMPRIMIR'!$B$1= 1, SUM(Q176, T176, W176, Z176), IF('TRECHO(S) A IMPRIMIR'!$B$1= 2, T176, IF('TRECHO(S) A IMPRIMIR'!$B$1= 3, W176, 0))))</f>
        <v>0</v>
      </c>
      <c r="J176" s="592">
        <v>17.260000000000002</v>
      </c>
      <c r="K176" s="593">
        <f t="shared" si="25"/>
        <v>0.2033513845915047</v>
      </c>
      <c r="L176" s="592">
        <f t="shared" si="26"/>
        <v>20.769844898049374</v>
      </c>
      <c r="M176" s="594">
        <f t="shared" si="27"/>
        <v>0</v>
      </c>
      <c r="N176" s="439"/>
      <c r="O176" s="673"/>
      <c r="P176" s="361"/>
      <c r="Q176" s="441"/>
      <c r="R176" s="485"/>
      <c r="S176" s="442"/>
      <c r="T176" s="441">
        <f>'04-MLQ-CR-LAGOAS'!F168</f>
        <v>0</v>
      </c>
      <c r="U176" s="485"/>
      <c r="V176" s="442"/>
      <c r="W176" s="441">
        <f>'04-MLQ-CR-LAGOAS'!L168</f>
        <v>0</v>
      </c>
      <c r="X176" s="485"/>
      <c r="Y176" s="442"/>
      <c r="Z176" s="441"/>
      <c r="AA176" s="485"/>
      <c r="AB176" s="442"/>
      <c r="AC176" s="672"/>
      <c r="AD176" s="441" t="s">
        <v>21</v>
      </c>
      <c r="AE176" s="674" t="s">
        <v>21</v>
      </c>
      <c r="AF176" s="674" t="s">
        <v>21</v>
      </c>
      <c r="AG176" s="674" t="s">
        <v>21</v>
      </c>
      <c r="AH176" s="442" t="s">
        <v>21</v>
      </c>
      <c r="AI176" s="442" t="str">
        <f t="shared" si="28"/>
        <v/>
      </c>
      <c r="AK176" s="3" t="e">
        <f>IF(F176="", " ", VLOOKUP(F176,#REF!, 1, FALSE))</f>
        <v>#REF!</v>
      </c>
    </row>
    <row r="177" spans="1:37" ht="48" hidden="1" x14ac:dyDescent="0.25">
      <c r="A177" s="587" t="s">
        <v>2721</v>
      </c>
      <c r="B177" s="369" t="s">
        <v>25</v>
      </c>
      <c r="C177" s="588"/>
      <c r="D177" s="589" t="s">
        <v>2836</v>
      </c>
      <c r="E177" s="44" t="s">
        <v>27</v>
      </c>
      <c r="F177" s="214">
        <v>100954</v>
      </c>
      <c r="G177" s="587" t="s">
        <v>794</v>
      </c>
      <c r="H177" s="590" t="s">
        <v>42</v>
      </c>
      <c r="I177" s="591">
        <f>IF($F177="","",IF('TRECHO(S) A IMPRIMIR'!$B$1= 1, SUM(Q177, T177, W177, Z177), IF('TRECHO(S) A IMPRIMIR'!$B$1= 2, T177, IF('TRECHO(S) A IMPRIMIR'!$B$1= 3, W177, 0))))</f>
        <v>0</v>
      </c>
      <c r="J177" s="592">
        <v>5.41</v>
      </c>
      <c r="K177" s="593">
        <f t="shared" si="25"/>
        <v>0.2033513845915047</v>
      </c>
      <c r="L177" s="592">
        <f t="shared" si="26"/>
        <v>6.5101309906400404</v>
      </c>
      <c r="M177" s="594">
        <f t="shared" si="27"/>
        <v>0</v>
      </c>
      <c r="N177" s="439"/>
      <c r="O177" s="673"/>
      <c r="P177" s="361"/>
      <c r="Q177" s="441">
        <f>Q176 * S177</f>
        <v>0</v>
      </c>
      <c r="R177" s="485"/>
      <c r="S177" s="442">
        <v>0</v>
      </c>
      <c r="T177" s="441">
        <f>T176 * V177</f>
        <v>0</v>
      </c>
      <c r="U177" s="485"/>
      <c r="V177" s="442">
        <f>'MLQ-DMT-TR1'!$E$16</f>
        <v>1</v>
      </c>
      <c r="W177" s="578">
        <f>W176 * Y177</f>
        <v>0</v>
      </c>
      <c r="X177" s="485"/>
      <c r="Y177" s="442">
        <f>'MLQ-DMT-TR3'!$E$16</f>
        <v>0.6</v>
      </c>
      <c r="Z177" s="441">
        <f>Z176 * AB177</f>
        <v>0</v>
      </c>
      <c r="AA177" s="485"/>
      <c r="AB177" s="442">
        <v>0</v>
      </c>
      <c r="AC177" s="672"/>
      <c r="AD177" s="441" t="s">
        <v>21</v>
      </c>
      <c r="AE177" s="674" t="s">
        <v>21</v>
      </c>
      <c r="AF177" s="674" t="s">
        <v>21</v>
      </c>
      <c r="AG177" s="674" t="s">
        <v>21</v>
      </c>
      <c r="AH177" s="442" t="s">
        <v>21</v>
      </c>
      <c r="AI177" s="442" t="str">
        <f t="shared" si="28"/>
        <v/>
      </c>
      <c r="AK177" s="3" t="e">
        <f>IF(F177="", " ", VLOOKUP(F177,#REF!, 1, FALSE))</f>
        <v>#REF!</v>
      </c>
    </row>
    <row r="178" spans="1:37" ht="36" hidden="1" x14ac:dyDescent="0.25">
      <c r="A178" s="587" t="s">
        <v>1864</v>
      </c>
      <c r="B178" s="369" t="s">
        <v>1880</v>
      </c>
      <c r="C178" s="588"/>
      <c r="D178" s="589" t="s">
        <v>2837</v>
      </c>
      <c r="E178" s="44" t="s">
        <v>27</v>
      </c>
      <c r="F178" s="214">
        <v>96544</v>
      </c>
      <c r="G178" s="587" t="s">
        <v>496</v>
      </c>
      <c r="H178" s="590" t="s">
        <v>54</v>
      </c>
      <c r="I178" s="591">
        <f>IF($F178="","",IF('TRECHO(S) A IMPRIMIR'!$B$1= 1, SUM(Q178, T178, W178, Z178), IF('TRECHO(S) A IMPRIMIR'!$B$1= 2, T178, IF('TRECHO(S) A IMPRIMIR'!$B$1= 3, W178, 0))))</f>
        <v>0</v>
      </c>
      <c r="J178" s="592">
        <v>17.350000000000001</v>
      </c>
      <c r="K178" s="593">
        <f t="shared" si="25"/>
        <v>0.2033513845915047</v>
      </c>
      <c r="L178" s="592">
        <f t="shared" si="26"/>
        <v>20.878146522662608</v>
      </c>
      <c r="M178" s="594">
        <f t="shared" si="27"/>
        <v>0</v>
      </c>
      <c r="N178" s="439"/>
      <c r="O178" s="673"/>
      <c r="P178" s="361"/>
      <c r="Q178" s="441"/>
      <c r="R178" s="485"/>
      <c r="S178" s="442"/>
      <c r="T178" s="441">
        <f>'04-MLQ-CR-LAGOAS'!F170</f>
        <v>0</v>
      </c>
      <c r="U178" s="485"/>
      <c r="V178" s="442"/>
      <c r="W178" s="441">
        <f>'04-MLQ-CR-LAGOAS'!L170</f>
        <v>0</v>
      </c>
      <c r="X178" s="485"/>
      <c r="Y178" s="442"/>
      <c r="Z178" s="441"/>
      <c r="AA178" s="485"/>
      <c r="AB178" s="442"/>
      <c r="AC178" s="672"/>
      <c r="AD178" s="441" t="s">
        <v>21</v>
      </c>
      <c r="AE178" s="674" t="s">
        <v>21</v>
      </c>
      <c r="AF178" s="674" t="s">
        <v>21</v>
      </c>
      <c r="AG178" s="674" t="s">
        <v>21</v>
      </c>
      <c r="AH178" s="442" t="s">
        <v>21</v>
      </c>
      <c r="AI178" s="442" t="str">
        <f t="shared" si="28"/>
        <v/>
      </c>
      <c r="AK178" s="3" t="e">
        <f>IF(F178="", " ", VLOOKUP(F178,#REF!, 1, FALSE))</f>
        <v>#REF!</v>
      </c>
    </row>
    <row r="179" spans="1:37" ht="24" hidden="1" x14ac:dyDescent="0.25">
      <c r="A179" s="587" t="s">
        <v>1864</v>
      </c>
      <c r="B179" s="369" t="s">
        <v>1880</v>
      </c>
      <c r="C179" s="588"/>
      <c r="D179" s="589" t="s">
        <v>2838</v>
      </c>
      <c r="E179" s="44" t="s">
        <v>27</v>
      </c>
      <c r="F179" s="214">
        <v>96545</v>
      </c>
      <c r="G179" s="587" t="s">
        <v>497</v>
      </c>
      <c r="H179" s="590" t="s">
        <v>54</v>
      </c>
      <c r="I179" s="591">
        <f>IF($F179="","",IF('TRECHO(S) A IMPRIMIR'!$B$1= 1, SUM(Q179, T179, W179, Z179), IF('TRECHO(S) A IMPRIMIR'!$B$1= 2, T179, IF('TRECHO(S) A IMPRIMIR'!$B$1= 3, W179, 0))))</f>
        <v>0</v>
      </c>
      <c r="J179" s="592">
        <v>16.16</v>
      </c>
      <c r="K179" s="593">
        <f t="shared" si="25"/>
        <v>0.2033513845915047</v>
      </c>
      <c r="L179" s="592">
        <f t="shared" si="26"/>
        <v>19.446158374998717</v>
      </c>
      <c r="M179" s="594">
        <f t="shared" si="27"/>
        <v>0</v>
      </c>
      <c r="N179" s="439"/>
      <c r="O179" s="673"/>
      <c r="P179" s="361"/>
      <c r="Q179" s="441"/>
      <c r="R179" s="485"/>
      <c r="S179" s="442"/>
      <c r="T179" s="441">
        <f>'04-MLQ-CR-LAGOAS'!F171</f>
        <v>0</v>
      </c>
      <c r="U179" s="485"/>
      <c r="V179" s="442"/>
      <c r="W179" s="441">
        <f>'04-MLQ-CR-LAGOAS'!L171</f>
        <v>0</v>
      </c>
      <c r="X179" s="485"/>
      <c r="Y179" s="442"/>
      <c r="Z179" s="441"/>
      <c r="AA179" s="485"/>
      <c r="AB179" s="442"/>
      <c r="AC179" s="672"/>
      <c r="AD179" s="441" t="s">
        <v>21</v>
      </c>
      <c r="AE179" s="674" t="s">
        <v>21</v>
      </c>
      <c r="AF179" s="674" t="s">
        <v>21</v>
      </c>
      <c r="AG179" s="674" t="s">
        <v>21</v>
      </c>
      <c r="AH179" s="442" t="s">
        <v>21</v>
      </c>
      <c r="AI179" s="442" t="str">
        <f t="shared" si="28"/>
        <v/>
      </c>
      <c r="AK179" s="3" t="e">
        <f>IF(F179="", " ", VLOOKUP(F179,#REF!, 1, FALSE))</f>
        <v>#REF!</v>
      </c>
    </row>
    <row r="180" spans="1:37" ht="36" hidden="1" x14ac:dyDescent="0.25">
      <c r="A180" s="587" t="s">
        <v>1864</v>
      </c>
      <c r="B180" s="369" t="s">
        <v>1880</v>
      </c>
      <c r="C180" s="588"/>
      <c r="D180" s="589" t="s">
        <v>2839</v>
      </c>
      <c r="E180" s="44" t="s">
        <v>27</v>
      </c>
      <c r="F180" s="214">
        <v>96546</v>
      </c>
      <c r="G180" s="587" t="s">
        <v>494</v>
      </c>
      <c r="H180" s="590" t="s">
        <v>54</v>
      </c>
      <c r="I180" s="591">
        <f>IF($F180="","",IF('TRECHO(S) A IMPRIMIR'!$B$1= 1, SUM(Q180, T180, W180, Z180), IF('TRECHO(S) A IMPRIMIR'!$B$1= 2, T180, IF('TRECHO(S) A IMPRIMIR'!$B$1= 3, W180, 0))))</f>
        <v>0</v>
      </c>
      <c r="J180" s="592">
        <v>14.4</v>
      </c>
      <c r="K180" s="593">
        <f t="shared" si="25"/>
        <v>0.2033513845915047</v>
      </c>
      <c r="L180" s="592">
        <f t="shared" si="26"/>
        <v>17.328259938117668</v>
      </c>
      <c r="M180" s="594">
        <f t="shared" si="27"/>
        <v>0</v>
      </c>
      <c r="N180" s="439"/>
      <c r="O180" s="673"/>
      <c r="P180" s="361"/>
      <c r="Q180" s="441"/>
      <c r="R180" s="485"/>
      <c r="S180" s="442"/>
      <c r="T180" s="441">
        <f>'04-MLQ-CR-LAGOAS'!F172</f>
        <v>0</v>
      </c>
      <c r="U180" s="485"/>
      <c r="V180" s="442"/>
      <c r="W180" s="441">
        <f>'04-MLQ-CR-LAGOAS'!L172</f>
        <v>0</v>
      </c>
      <c r="X180" s="485"/>
      <c r="Y180" s="442"/>
      <c r="Z180" s="441"/>
      <c r="AA180" s="485"/>
      <c r="AB180" s="442"/>
      <c r="AC180" s="672"/>
      <c r="AD180" s="441" t="s">
        <v>21</v>
      </c>
      <c r="AE180" s="674" t="s">
        <v>21</v>
      </c>
      <c r="AF180" s="674" t="s">
        <v>21</v>
      </c>
      <c r="AG180" s="674" t="s">
        <v>21</v>
      </c>
      <c r="AH180" s="442" t="s">
        <v>21</v>
      </c>
      <c r="AI180" s="442" t="str">
        <f t="shared" si="28"/>
        <v/>
      </c>
      <c r="AK180" s="3" t="e">
        <f>IF(F180="", " ", VLOOKUP(F180,#REF!, 1, FALSE))</f>
        <v>#REF!</v>
      </c>
    </row>
    <row r="181" spans="1:37" ht="36" hidden="1" x14ac:dyDescent="0.25">
      <c r="A181" s="587" t="s">
        <v>1864</v>
      </c>
      <c r="B181" s="369" t="s">
        <v>1880</v>
      </c>
      <c r="C181" s="588"/>
      <c r="D181" s="589" t="s">
        <v>2840</v>
      </c>
      <c r="E181" s="44" t="s">
        <v>27</v>
      </c>
      <c r="F181" s="214">
        <v>96547</v>
      </c>
      <c r="G181" s="587" t="s">
        <v>495</v>
      </c>
      <c r="H181" s="590" t="s">
        <v>54</v>
      </c>
      <c r="I181" s="591">
        <f>IF($F181="","",IF('TRECHO(S) A IMPRIMIR'!$B$1= 1, SUM(Q181, T181, W181, Z181), IF('TRECHO(S) A IMPRIMIR'!$B$1= 2, T181, IF('TRECHO(S) A IMPRIMIR'!$B$1= 3, W181, 0))))</f>
        <v>0</v>
      </c>
      <c r="J181" s="592">
        <v>12.14</v>
      </c>
      <c r="K181" s="593">
        <f t="shared" si="25"/>
        <v>0.2033513845915047</v>
      </c>
      <c r="L181" s="592">
        <f t="shared" si="26"/>
        <v>14.608685808940868</v>
      </c>
      <c r="M181" s="594">
        <f t="shared" si="27"/>
        <v>0</v>
      </c>
      <c r="N181" s="439"/>
      <c r="O181" s="673"/>
      <c r="P181" s="361"/>
      <c r="Q181" s="441"/>
      <c r="R181" s="485"/>
      <c r="S181" s="442"/>
      <c r="T181" s="441">
        <f>'04-MLQ-CR-LAGOAS'!F173</f>
        <v>0</v>
      </c>
      <c r="U181" s="485"/>
      <c r="V181" s="442"/>
      <c r="W181" s="441">
        <f>'04-MLQ-CR-LAGOAS'!L173</f>
        <v>0</v>
      </c>
      <c r="X181" s="485"/>
      <c r="Y181" s="442"/>
      <c r="Z181" s="441"/>
      <c r="AA181" s="485"/>
      <c r="AB181" s="442"/>
      <c r="AC181" s="672"/>
      <c r="AD181" s="441" t="s">
        <v>21</v>
      </c>
      <c r="AE181" s="674" t="s">
        <v>21</v>
      </c>
      <c r="AF181" s="674" t="s">
        <v>21</v>
      </c>
      <c r="AG181" s="674" t="s">
        <v>21</v>
      </c>
      <c r="AH181" s="442" t="s">
        <v>21</v>
      </c>
      <c r="AI181" s="442" t="str">
        <f t="shared" si="28"/>
        <v/>
      </c>
      <c r="AK181" s="3" t="e">
        <f>IF(F181="", " ", VLOOKUP(F181,#REF!, 1, FALSE))</f>
        <v>#REF!</v>
      </c>
    </row>
    <row r="182" spans="1:37" ht="36" hidden="1" x14ac:dyDescent="0.25">
      <c r="A182" s="587" t="s">
        <v>1865</v>
      </c>
      <c r="B182" s="369" t="s">
        <v>28</v>
      </c>
      <c r="C182" s="588"/>
      <c r="D182" s="589" t="s">
        <v>2841</v>
      </c>
      <c r="E182" s="44" t="s">
        <v>27</v>
      </c>
      <c r="F182" s="214">
        <v>94965</v>
      </c>
      <c r="G182" s="587" t="s">
        <v>3659</v>
      </c>
      <c r="H182" s="590" t="s">
        <v>44</v>
      </c>
      <c r="I182" s="591">
        <f>IF($F182="","",IF('TRECHO(S) A IMPRIMIR'!$B$1= 1, SUM(Q182, T182, W182, Z182), IF('TRECHO(S) A IMPRIMIR'!$B$1= 2, T182, IF('TRECHO(S) A IMPRIMIR'!$B$1= 3, W182, 0))))</f>
        <v>0</v>
      </c>
      <c r="J182" s="592">
        <v>402.84</v>
      </c>
      <c r="K182" s="593">
        <f t="shared" si="25"/>
        <v>0.2033513845915047</v>
      </c>
      <c r="L182" s="592">
        <f t="shared" si="26"/>
        <v>484.75807176884172</v>
      </c>
      <c r="M182" s="594">
        <f t="shared" si="27"/>
        <v>0</v>
      </c>
      <c r="N182" s="439"/>
      <c r="O182" s="673"/>
      <c r="P182" s="361"/>
      <c r="Q182" s="441"/>
      <c r="R182" s="485"/>
      <c r="S182" s="442"/>
      <c r="T182" s="441">
        <f>'04-MLQ-CR-LAGOAS'!F174</f>
        <v>0</v>
      </c>
      <c r="U182" s="485"/>
      <c r="V182" s="442"/>
      <c r="W182" s="441">
        <f>'04-MLQ-CR-LAGOAS'!L174</f>
        <v>0</v>
      </c>
      <c r="X182" s="485"/>
      <c r="Y182" s="442"/>
      <c r="Z182" s="441"/>
      <c r="AA182" s="485"/>
      <c r="AB182" s="442"/>
      <c r="AC182" s="672"/>
      <c r="AD182" s="441" t="s">
        <v>21</v>
      </c>
      <c r="AE182" s="674" t="s">
        <v>21</v>
      </c>
      <c r="AF182" s="674" t="s">
        <v>21</v>
      </c>
      <c r="AG182" s="674" t="s">
        <v>21</v>
      </c>
      <c r="AH182" s="442" t="s">
        <v>21</v>
      </c>
      <c r="AI182" s="442" t="str">
        <f t="shared" si="28"/>
        <v/>
      </c>
      <c r="AK182" s="3" t="e">
        <f>IF(F182="", " ", VLOOKUP(F182,#REF!, 1, FALSE))</f>
        <v>#REF!</v>
      </c>
    </row>
    <row r="183" spans="1:37" ht="36" hidden="1" x14ac:dyDescent="0.25">
      <c r="A183" s="587" t="s">
        <v>2727</v>
      </c>
      <c r="B183" s="369" t="s">
        <v>28</v>
      </c>
      <c r="C183" s="588"/>
      <c r="D183" s="589" t="s">
        <v>2944</v>
      </c>
      <c r="E183" s="44" t="s">
        <v>27</v>
      </c>
      <c r="F183" s="214">
        <v>92873</v>
      </c>
      <c r="G183" s="587" t="s">
        <v>595</v>
      </c>
      <c r="H183" s="590" t="s">
        <v>44</v>
      </c>
      <c r="I183" s="591">
        <f>IF($F183="","",IF('TRECHO(S) A IMPRIMIR'!$B$1= 1, SUM(Q183, T183, W183, Z183), IF('TRECHO(S) A IMPRIMIR'!$B$1= 2, T183, IF('TRECHO(S) A IMPRIMIR'!$B$1= 3, W183, 0))))</f>
        <v>0</v>
      </c>
      <c r="J183" s="592">
        <v>186.89</v>
      </c>
      <c r="K183" s="593">
        <f t="shared" si="25"/>
        <v>0.2033513845915047</v>
      </c>
      <c r="L183" s="592">
        <f t="shared" si="26"/>
        <v>224.8943402663063</v>
      </c>
      <c r="M183" s="594">
        <f t="shared" si="27"/>
        <v>0</v>
      </c>
      <c r="N183" s="439"/>
      <c r="O183" s="673"/>
      <c r="P183" s="361"/>
      <c r="Q183" s="441"/>
      <c r="R183" s="485"/>
      <c r="S183" s="442"/>
      <c r="T183" s="441">
        <f>'04-MLQ-CR-LAGOAS'!F175</f>
        <v>0</v>
      </c>
      <c r="U183" s="485"/>
      <c r="V183" s="442"/>
      <c r="W183" s="441">
        <f>'04-MLQ-CR-LAGOAS'!L175</f>
        <v>0</v>
      </c>
      <c r="X183" s="485"/>
      <c r="Y183" s="442"/>
      <c r="Z183" s="441"/>
      <c r="AA183" s="485"/>
      <c r="AB183" s="442"/>
      <c r="AC183" s="672"/>
      <c r="AD183" s="441" t="s">
        <v>21</v>
      </c>
      <c r="AE183" s="674" t="s">
        <v>21</v>
      </c>
      <c r="AF183" s="674" t="s">
        <v>21</v>
      </c>
      <c r="AG183" s="674" t="s">
        <v>21</v>
      </c>
      <c r="AH183" s="442" t="s">
        <v>21</v>
      </c>
      <c r="AI183" s="442" t="str">
        <f t="shared" si="28"/>
        <v/>
      </c>
      <c r="AK183" s="3" t="e">
        <f>IF(F183="", " ", VLOOKUP(F183,#REF!, 1, FALSE))</f>
        <v>#REF!</v>
      </c>
    </row>
    <row r="184" spans="1:37" ht="24" hidden="1" x14ac:dyDescent="0.25">
      <c r="A184" s="587" t="s">
        <v>2724</v>
      </c>
      <c r="B184" s="369" t="s">
        <v>28</v>
      </c>
      <c r="C184" s="588"/>
      <c r="D184" s="589" t="s">
        <v>2945</v>
      </c>
      <c r="E184" s="44" t="s">
        <v>27</v>
      </c>
      <c r="F184" s="214">
        <v>93382</v>
      </c>
      <c r="G184" s="587" t="s">
        <v>40</v>
      </c>
      <c r="H184" s="590" t="s">
        <v>44</v>
      </c>
      <c r="I184" s="591">
        <f>IF($F184="","",IF('TRECHO(S) A IMPRIMIR'!$B$1= 1, SUM(Q184, T184, W184, Z184), IF('TRECHO(S) A IMPRIMIR'!$B$1= 2, T184, IF('TRECHO(S) A IMPRIMIR'!$B$1= 3, W184, 0))))</f>
        <v>0</v>
      </c>
      <c r="J184" s="592">
        <v>25.09</v>
      </c>
      <c r="K184" s="593">
        <f t="shared" si="25"/>
        <v>0.2033513845915047</v>
      </c>
      <c r="L184" s="592">
        <f t="shared" si="26"/>
        <v>30.192086239400854</v>
      </c>
      <c r="M184" s="594">
        <f t="shared" si="27"/>
        <v>0</v>
      </c>
      <c r="N184" s="439"/>
      <c r="O184" s="673"/>
      <c r="P184" s="361"/>
      <c r="Q184" s="441"/>
      <c r="R184" s="485"/>
      <c r="S184" s="442"/>
      <c r="T184" s="441">
        <f>'04-MLQ-CR-LAGOAS'!F176</f>
        <v>0</v>
      </c>
      <c r="U184" s="485"/>
      <c r="V184" s="442"/>
      <c r="W184" s="441">
        <f>'04-MLQ-CR-LAGOAS'!L176</f>
        <v>0</v>
      </c>
      <c r="X184" s="485"/>
      <c r="Y184" s="442"/>
      <c r="Z184" s="441"/>
      <c r="AA184" s="485"/>
      <c r="AB184" s="442"/>
      <c r="AC184" s="672"/>
      <c r="AD184" s="441" t="s">
        <v>21</v>
      </c>
      <c r="AE184" s="674" t="s">
        <v>21</v>
      </c>
      <c r="AF184" s="674" t="s">
        <v>21</v>
      </c>
      <c r="AG184" s="674" t="s">
        <v>21</v>
      </c>
      <c r="AH184" s="442" t="s">
        <v>21</v>
      </c>
      <c r="AI184" s="442" t="str">
        <f t="shared" si="28"/>
        <v/>
      </c>
      <c r="AK184" s="3" t="e">
        <f>IF(F184="", " ", VLOOKUP(F184,#REF!, 1, FALSE))</f>
        <v>#REF!</v>
      </c>
    </row>
    <row r="185" spans="1:37" x14ac:dyDescent="0.25">
      <c r="A185" s="587" t="s">
        <v>2844</v>
      </c>
      <c r="B185" s="369"/>
      <c r="C185" s="588"/>
      <c r="D185" s="589" t="s">
        <v>2847</v>
      </c>
      <c r="E185" s="44"/>
      <c r="F185" s="214"/>
      <c r="G185" s="587" t="s">
        <v>2844</v>
      </c>
      <c r="H185" s="590" t="s">
        <v>21</v>
      </c>
      <c r="I185" s="591" t="str">
        <f>IF($F185="","",IF('TRECHO(S) A IMPRIMIR'!$B$1= 1, SUM(Q185, T185, W185, Z185), IF('TRECHO(S) A IMPRIMIR'!$B$1= 2, T185, IF('TRECHO(S) A IMPRIMIR'!$B$1= 3, W185, 0))))</f>
        <v/>
      </c>
      <c r="J185" s="592" t="s">
        <v>21</v>
      </c>
      <c r="K185" s="593" t="str">
        <f t="shared" si="25"/>
        <v/>
      </c>
      <c r="L185" s="592" t="str">
        <f>IF(J185="","",
  IF(AND(J185&lt;&gt;"",K185=""),J185,J185 * (1 + K185)))</f>
        <v/>
      </c>
      <c r="M185" s="594" t="str">
        <f>IF(OR(I185="",L185=""),"",I185*L185)</f>
        <v/>
      </c>
      <c r="N185" s="439"/>
      <c r="O185" s="673"/>
      <c r="P185" s="361"/>
      <c r="Q185" s="441"/>
      <c r="R185" s="485"/>
      <c r="S185" s="442"/>
      <c r="T185" s="441"/>
      <c r="U185" s="485"/>
      <c r="V185" s="442"/>
      <c r="W185" s="578"/>
      <c r="X185" s="485"/>
      <c r="Y185" s="442"/>
      <c r="Z185" s="441"/>
      <c r="AA185" s="485"/>
      <c r="AB185" s="442"/>
      <c r="AC185" s="672"/>
      <c r="AD185" s="441" t="s">
        <v>21</v>
      </c>
      <c r="AE185" s="674" t="s">
        <v>21</v>
      </c>
      <c r="AF185" s="674" t="s">
        <v>21</v>
      </c>
      <c r="AG185" s="674" t="s">
        <v>21</v>
      </c>
      <c r="AH185" s="442" t="s">
        <v>21</v>
      </c>
      <c r="AI185" s="442" t="s">
        <v>21</v>
      </c>
      <c r="AK185" s="3" t="str">
        <f>IF(F185="", " ", VLOOKUP(F185,#REF!, 1, FALSE))</f>
        <v xml:space="preserve"> </v>
      </c>
    </row>
    <row r="186" spans="1:37" ht="36" x14ac:dyDescent="0.25">
      <c r="A186" s="587" t="s">
        <v>1288</v>
      </c>
      <c r="B186" s="369" t="s">
        <v>28</v>
      </c>
      <c r="C186" s="588"/>
      <c r="D186" s="589" t="s">
        <v>2848</v>
      </c>
      <c r="E186" s="44" t="s">
        <v>27</v>
      </c>
      <c r="F186" s="214">
        <v>94962</v>
      </c>
      <c r="G186" s="587" t="s">
        <v>3658</v>
      </c>
      <c r="H186" s="590" t="s">
        <v>44</v>
      </c>
      <c r="I186" s="591">
        <v>6.97</v>
      </c>
      <c r="J186" s="592">
        <v>329.54</v>
      </c>
      <c r="K186" s="593">
        <v>0.2033513845915047</v>
      </c>
      <c r="L186" s="592">
        <v>396.55241527828446</v>
      </c>
      <c r="M186" s="594">
        <v>2763.9703344896425</v>
      </c>
      <c r="N186" s="439"/>
      <c r="O186" s="673"/>
      <c r="P186" s="361"/>
      <c r="Q186" s="441"/>
      <c r="R186" s="485"/>
      <c r="S186" s="442"/>
      <c r="T186" s="441">
        <v>6.97</v>
      </c>
      <c r="U186" s="485"/>
      <c r="V186" s="442"/>
      <c r="W186" s="441">
        <v>0</v>
      </c>
      <c r="X186" s="485"/>
      <c r="Y186" s="442"/>
      <c r="Z186" s="441"/>
      <c r="AA186" s="485"/>
      <c r="AB186" s="442"/>
      <c r="AC186" s="672"/>
      <c r="AD186" s="441">
        <v>384.30879628061967</v>
      </c>
      <c r="AE186" s="674">
        <v>2369.5128336367934</v>
      </c>
      <c r="AF186" s="674">
        <v>5.0324154903616725</v>
      </c>
      <c r="AG186" s="674">
        <v>0</v>
      </c>
      <c r="AH186" s="442">
        <v>5.1162890818677003</v>
      </c>
      <c r="AI186" s="442">
        <v>0</v>
      </c>
      <c r="AK186" s="3" t="e">
        <f>IF(F186="", " ", VLOOKUP(F186,#REF!, 1, FALSE))</f>
        <v>#REF!</v>
      </c>
    </row>
    <row r="187" spans="1:37" ht="48" x14ac:dyDescent="0.25">
      <c r="A187" s="587" t="s">
        <v>1871</v>
      </c>
      <c r="B187" s="369" t="s">
        <v>20</v>
      </c>
      <c r="C187" s="588"/>
      <c r="D187" s="589" t="s">
        <v>2849</v>
      </c>
      <c r="E187" s="44" t="s">
        <v>27</v>
      </c>
      <c r="F187" s="214">
        <v>100341</v>
      </c>
      <c r="G187" s="587" t="s">
        <v>582</v>
      </c>
      <c r="H187" s="590" t="s">
        <v>51</v>
      </c>
      <c r="I187" s="591">
        <v>508.41</v>
      </c>
      <c r="J187" s="592">
        <v>29.98</v>
      </c>
      <c r="K187" s="593">
        <v>0.2033513845915047</v>
      </c>
      <c r="L187" s="592">
        <v>36.076474510053309</v>
      </c>
      <c r="M187" s="594">
        <v>18341.640405656202</v>
      </c>
      <c r="N187" s="439"/>
      <c r="O187" s="673"/>
      <c r="P187" s="361"/>
      <c r="Q187" s="441"/>
      <c r="R187" s="485"/>
      <c r="S187" s="442"/>
      <c r="T187" s="441">
        <v>508.41</v>
      </c>
      <c r="U187" s="485"/>
      <c r="V187" s="442"/>
      <c r="W187" s="441">
        <v>0</v>
      </c>
      <c r="X187" s="485"/>
      <c r="Y187" s="442"/>
      <c r="Z187" s="441"/>
      <c r="AA187" s="485"/>
      <c r="AB187" s="442"/>
      <c r="AC187" s="672"/>
      <c r="AD187" s="441">
        <v>7378.2582819284135</v>
      </c>
      <c r="AE187" s="674">
        <v>8644.6757482295598</v>
      </c>
      <c r="AF187" s="674">
        <v>2318.7063754982328</v>
      </c>
      <c r="AG187" s="674">
        <v>0</v>
      </c>
      <c r="AH187" s="442">
        <v>0</v>
      </c>
      <c r="AI187" s="442">
        <v>-3.637978807091713E-12</v>
      </c>
      <c r="AK187" s="3" t="e">
        <f>IF(F187="", " ", VLOOKUP(F187,#REF!, 1, FALSE))</f>
        <v>#REF!</v>
      </c>
    </row>
    <row r="188" spans="1:37" ht="36" x14ac:dyDescent="0.25">
      <c r="A188" s="587" t="s">
        <v>2720</v>
      </c>
      <c r="B188" s="369" t="s">
        <v>23</v>
      </c>
      <c r="C188" s="588"/>
      <c r="D188" s="589" t="s">
        <v>2850</v>
      </c>
      <c r="E188" s="44" t="s">
        <v>27</v>
      </c>
      <c r="F188" s="214">
        <v>101010</v>
      </c>
      <c r="G188" s="587" t="s">
        <v>770</v>
      </c>
      <c r="H188" s="590" t="s">
        <v>55</v>
      </c>
      <c r="I188" s="591">
        <v>6.9071999999999996</v>
      </c>
      <c r="J188" s="592">
        <v>17.260000000000002</v>
      </c>
      <c r="K188" s="593">
        <v>0.2033513845915047</v>
      </c>
      <c r="L188" s="592">
        <v>20.769844898049374</v>
      </c>
      <c r="M188" s="594">
        <v>143.46147267980663</v>
      </c>
      <c r="N188" s="439"/>
      <c r="O188" s="673"/>
      <c r="P188" s="361"/>
      <c r="Q188" s="441"/>
      <c r="R188" s="485"/>
      <c r="S188" s="442"/>
      <c r="T188" s="441">
        <v>6.9071999999999996</v>
      </c>
      <c r="U188" s="485"/>
      <c r="V188" s="442"/>
      <c r="W188" s="441">
        <v>0</v>
      </c>
      <c r="X188" s="485"/>
      <c r="Y188" s="442"/>
      <c r="Z188" s="441"/>
      <c r="AA188" s="485"/>
      <c r="AB188" s="442"/>
      <c r="AC188" s="672"/>
      <c r="AD188" s="441">
        <v>14.046922875369244</v>
      </c>
      <c r="AE188" s="674">
        <v>94.588155219942024</v>
      </c>
      <c r="AF188" s="674">
        <v>34.826394584495347</v>
      </c>
      <c r="AG188" s="674">
        <v>0</v>
      </c>
      <c r="AH188" s="442">
        <v>0</v>
      </c>
      <c r="AI188" s="442">
        <v>2.8421709430404007E-14</v>
      </c>
      <c r="AK188" s="3" t="e">
        <f>IF(F188="", " ", VLOOKUP(F188,#REF!, 1, FALSE))</f>
        <v>#REF!</v>
      </c>
    </row>
    <row r="189" spans="1:37" ht="48" x14ac:dyDescent="0.25">
      <c r="A189" s="587" t="s">
        <v>2721</v>
      </c>
      <c r="B189" s="369" t="s">
        <v>25</v>
      </c>
      <c r="C189" s="588"/>
      <c r="D189" s="589" t="s">
        <v>2851</v>
      </c>
      <c r="E189" s="44" t="s">
        <v>27</v>
      </c>
      <c r="F189" s="214">
        <v>100954</v>
      </c>
      <c r="G189" s="587" t="s">
        <v>794</v>
      </c>
      <c r="H189" s="590" t="s">
        <v>42</v>
      </c>
      <c r="I189" s="591">
        <v>6.9071999999999996</v>
      </c>
      <c r="J189" s="592">
        <v>5.41</v>
      </c>
      <c r="K189" s="593">
        <v>0.2033513845915047</v>
      </c>
      <c r="L189" s="592">
        <v>6.5101309906400404</v>
      </c>
      <c r="M189" s="594">
        <v>44.966776778548883</v>
      </c>
      <c r="N189" s="439"/>
      <c r="O189" s="673"/>
      <c r="P189" s="361"/>
      <c r="Q189" s="441">
        <v>0</v>
      </c>
      <c r="R189" s="485"/>
      <c r="S189" s="442">
        <v>0</v>
      </c>
      <c r="T189" s="441">
        <v>6.9071999999999996</v>
      </c>
      <c r="U189" s="485"/>
      <c r="V189" s="442">
        <v>1</v>
      </c>
      <c r="W189" s="578">
        <v>0</v>
      </c>
      <c r="X189" s="485"/>
      <c r="Y189" s="442">
        <v>0.6</v>
      </c>
      <c r="Z189" s="441">
        <v>0</v>
      </c>
      <c r="AA189" s="485"/>
      <c r="AB189" s="442">
        <v>0</v>
      </c>
      <c r="AC189" s="672"/>
      <c r="AD189" s="441">
        <v>4.3221301154982292</v>
      </c>
      <c r="AE189" s="674">
        <v>29.922439261141587</v>
      </c>
      <c r="AF189" s="674">
        <v>10.722207401909069</v>
      </c>
      <c r="AG189" s="674">
        <v>0</v>
      </c>
      <c r="AH189" s="442">
        <v>0</v>
      </c>
      <c r="AI189" s="442">
        <v>0</v>
      </c>
      <c r="AK189" s="3" t="e">
        <f>IF(F189="", " ", VLOOKUP(F189,#REF!, 1, FALSE))</f>
        <v>#REF!</v>
      </c>
    </row>
    <row r="190" spans="1:37" ht="48" x14ac:dyDescent="0.25">
      <c r="A190" s="587" t="s">
        <v>1864</v>
      </c>
      <c r="B190" s="369" t="s">
        <v>1880</v>
      </c>
      <c r="C190" s="588"/>
      <c r="D190" s="589" t="s">
        <v>2852</v>
      </c>
      <c r="E190" s="44" t="s">
        <v>27</v>
      </c>
      <c r="F190" s="214">
        <v>92916</v>
      </c>
      <c r="G190" s="587" t="s">
        <v>507</v>
      </c>
      <c r="H190" s="590" t="s">
        <v>54</v>
      </c>
      <c r="I190" s="591">
        <v>1151.1999999999998</v>
      </c>
      <c r="J190" s="592">
        <v>16.38</v>
      </c>
      <c r="K190" s="593">
        <v>0.2033513845915047</v>
      </c>
      <c r="L190" s="592">
        <v>19.710895679608846</v>
      </c>
      <c r="M190" s="594">
        <v>22691.183106365701</v>
      </c>
      <c r="N190" s="439"/>
      <c r="O190" s="1692">
        <v>20</v>
      </c>
      <c r="P190" s="361"/>
      <c r="Q190" s="441"/>
      <c r="R190" s="485"/>
      <c r="S190" s="442"/>
      <c r="T190" s="441">
        <v>1151.1999999999998</v>
      </c>
      <c r="U190" s="485"/>
      <c r="V190" s="442"/>
      <c r="W190" s="441">
        <v>0</v>
      </c>
      <c r="X190" s="485"/>
      <c r="Y190" s="442"/>
      <c r="Z190" s="441"/>
      <c r="AA190" s="485"/>
      <c r="AB190" s="442"/>
      <c r="AC190" s="672"/>
      <c r="AD190" s="441">
        <v>4737.7195496807508</v>
      </c>
      <c r="AE190" s="674">
        <v>17953.46355668495</v>
      </c>
      <c r="AF190" s="674">
        <v>0</v>
      </c>
      <c r="AG190" s="674">
        <v>0</v>
      </c>
      <c r="AH190" s="442">
        <v>0</v>
      </c>
      <c r="AI190" s="442">
        <v>0</v>
      </c>
      <c r="AK190" s="3" t="e">
        <f>IF(F190="", " ", VLOOKUP(F190,#REF!, 1, FALSE))</f>
        <v>#REF!</v>
      </c>
    </row>
    <row r="191" spans="1:37" ht="48" x14ac:dyDescent="0.25">
      <c r="A191" s="587" t="s">
        <v>1864</v>
      </c>
      <c r="B191" s="369" t="s">
        <v>1880</v>
      </c>
      <c r="C191" s="588"/>
      <c r="D191" s="589" t="s">
        <v>2853</v>
      </c>
      <c r="E191" s="44" t="s">
        <v>27</v>
      </c>
      <c r="F191" s="214">
        <v>92917</v>
      </c>
      <c r="G191" s="587" t="s">
        <v>508</v>
      </c>
      <c r="H191" s="590" t="s">
        <v>54</v>
      </c>
      <c r="I191" s="591">
        <v>1726.8</v>
      </c>
      <c r="J191" s="592">
        <v>15.38</v>
      </c>
      <c r="K191" s="593">
        <v>0.2033513845915047</v>
      </c>
      <c r="L191" s="592">
        <v>18.507544295017343</v>
      </c>
      <c r="M191" s="594">
        <v>31958.827488635947</v>
      </c>
      <c r="N191" s="439"/>
      <c r="O191" s="1692">
        <v>30</v>
      </c>
      <c r="P191" s="361"/>
      <c r="Q191" s="441"/>
      <c r="R191" s="485"/>
      <c r="S191" s="442"/>
      <c r="T191" s="441">
        <v>1726.8</v>
      </c>
      <c r="U191" s="485"/>
      <c r="V191" s="442"/>
      <c r="W191" s="441">
        <v>0</v>
      </c>
      <c r="X191" s="485"/>
      <c r="Y191" s="442"/>
      <c r="Z191" s="441"/>
      <c r="AA191" s="485"/>
      <c r="AB191" s="442"/>
      <c r="AC191" s="672"/>
      <c r="AD191" s="441">
        <v>4903.9553233537599</v>
      </c>
      <c r="AE191" s="674">
        <v>27054.872165282184</v>
      </c>
      <c r="AF191" s="674">
        <v>0</v>
      </c>
      <c r="AG191" s="674">
        <v>0</v>
      </c>
      <c r="AH191" s="442">
        <v>0</v>
      </c>
      <c r="AI191" s="442">
        <v>3.637978807091713E-12</v>
      </c>
      <c r="AK191" s="3" t="e">
        <f>IF(F191="", " ", VLOOKUP(F191,#REF!, 1, FALSE))</f>
        <v>#REF!</v>
      </c>
    </row>
    <row r="192" spans="1:37" ht="48" x14ac:dyDescent="0.25">
      <c r="A192" s="587" t="s">
        <v>1864</v>
      </c>
      <c r="B192" s="369" t="s">
        <v>1880</v>
      </c>
      <c r="C192" s="588"/>
      <c r="D192" s="589" t="s">
        <v>2854</v>
      </c>
      <c r="E192" s="44" t="s">
        <v>27</v>
      </c>
      <c r="F192" s="214">
        <v>92919</v>
      </c>
      <c r="G192" s="587" t="s">
        <v>502</v>
      </c>
      <c r="H192" s="590" t="s">
        <v>54</v>
      </c>
      <c r="I192" s="591">
        <v>2877.9999999999995</v>
      </c>
      <c r="J192" s="592">
        <v>13.76</v>
      </c>
      <c r="K192" s="593">
        <v>0.2033513845915047</v>
      </c>
      <c r="L192" s="592">
        <v>16.558115051979104</v>
      </c>
      <c r="M192" s="594">
        <v>47654.255119595859</v>
      </c>
      <c r="N192" s="439"/>
      <c r="O192" s="1692">
        <v>50</v>
      </c>
      <c r="P192" s="361"/>
      <c r="Q192" s="441"/>
      <c r="R192" s="485"/>
      <c r="S192" s="442"/>
      <c r="T192" s="441">
        <v>2877.9999999999995</v>
      </c>
      <c r="U192" s="485"/>
      <c r="V192" s="442"/>
      <c r="W192" s="441">
        <v>0</v>
      </c>
      <c r="X192" s="485"/>
      <c r="Y192" s="442"/>
      <c r="Z192" s="441"/>
      <c r="AA192" s="485"/>
      <c r="AB192" s="442"/>
      <c r="AC192" s="672"/>
      <c r="AD192" s="441">
        <v>5818.2520785553079</v>
      </c>
      <c r="AE192" s="674">
        <v>41836.003041040552</v>
      </c>
      <c r="AF192" s="674">
        <v>0</v>
      </c>
      <c r="AG192" s="674">
        <v>0</v>
      </c>
      <c r="AH192" s="442">
        <v>0</v>
      </c>
      <c r="AI192" s="442">
        <v>0</v>
      </c>
      <c r="AK192" s="3" t="e">
        <f>IF(F192="", " ", VLOOKUP(F192,#REF!, 1, FALSE))</f>
        <v>#REF!</v>
      </c>
    </row>
    <row r="193" spans="1:37" ht="48" x14ac:dyDescent="0.25">
      <c r="A193" s="587" t="s">
        <v>1864</v>
      </c>
      <c r="B193" s="369" t="s">
        <v>1880</v>
      </c>
      <c r="C193" s="588"/>
      <c r="D193" s="589" t="s">
        <v>2855</v>
      </c>
      <c r="E193" s="44" t="s">
        <v>27</v>
      </c>
      <c r="F193" s="214">
        <v>92921</v>
      </c>
      <c r="G193" s="587" t="s">
        <v>503</v>
      </c>
      <c r="H193" s="590" t="s">
        <v>54</v>
      </c>
      <c r="I193" s="591">
        <v>1151.1999999999998</v>
      </c>
      <c r="J193" s="592">
        <v>11.58</v>
      </c>
      <c r="K193" s="593">
        <v>0.2033513845915047</v>
      </c>
      <c r="L193" s="592">
        <v>13.934809033569625</v>
      </c>
      <c r="M193" s="594">
        <v>16041.75215944535</v>
      </c>
      <c r="N193" s="439"/>
      <c r="O193" s="1692">
        <v>20</v>
      </c>
      <c r="P193" s="361"/>
      <c r="Q193" s="441"/>
      <c r="R193" s="485"/>
      <c r="S193" s="442"/>
      <c r="T193" s="441">
        <v>1151.1999999999998</v>
      </c>
      <c r="U193" s="485"/>
      <c r="V193" s="442"/>
      <c r="W193" s="441">
        <v>0</v>
      </c>
      <c r="X193" s="485"/>
      <c r="Y193" s="442"/>
      <c r="Z193" s="441"/>
      <c r="AA193" s="485"/>
      <c r="AB193" s="442"/>
      <c r="AC193" s="672"/>
      <c r="AD193" s="441">
        <v>1620.7987933118359</v>
      </c>
      <c r="AE193" s="674">
        <v>14420.953366133514</v>
      </c>
      <c r="AF193" s="674">
        <v>0</v>
      </c>
      <c r="AG193" s="674">
        <v>0</v>
      </c>
      <c r="AH193" s="442">
        <v>0</v>
      </c>
      <c r="AI193" s="442">
        <v>0</v>
      </c>
      <c r="AK193" s="3" t="e">
        <f>IF(F193="", " ", VLOOKUP(F193,#REF!, 1, FALSE))</f>
        <v>#REF!</v>
      </c>
    </row>
    <row r="194" spans="1:37" ht="36" x14ac:dyDescent="0.25">
      <c r="A194" s="587" t="s">
        <v>1865</v>
      </c>
      <c r="B194" s="369" t="s">
        <v>28</v>
      </c>
      <c r="C194" s="588"/>
      <c r="D194" s="589" t="s">
        <v>2856</v>
      </c>
      <c r="E194" s="44" t="s">
        <v>27</v>
      </c>
      <c r="F194" s="214">
        <v>94965</v>
      </c>
      <c r="G194" s="587" t="s">
        <v>3659</v>
      </c>
      <c r="H194" s="590" t="s">
        <v>44</v>
      </c>
      <c r="I194" s="591">
        <v>57.559999999999995</v>
      </c>
      <c r="J194" s="592">
        <v>402.84</v>
      </c>
      <c r="K194" s="593">
        <v>0.2033513845915047</v>
      </c>
      <c r="L194" s="592">
        <v>484.75807176884172</v>
      </c>
      <c r="M194" s="594">
        <v>27902.674611014529</v>
      </c>
      <c r="N194" s="439"/>
      <c r="O194" s="673"/>
      <c r="P194" s="361"/>
      <c r="Q194" s="441"/>
      <c r="R194" s="485"/>
      <c r="S194" s="442"/>
      <c r="T194" s="441">
        <v>57.559999999999995</v>
      </c>
      <c r="U194" s="485"/>
      <c r="V194" s="442"/>
      <c r="W194" s="441">
        <v>0</v>
      </c>
      <c r="X194" s="485"/>
      <c r="Y194" s="442"/>
      <c r="Z194" s="441"/>
      <c r="AA194" s="485"/>
      <c r="AB194" s="442"/>
      <c r="AC194" s="672"/>
      <c r="AD194" s="441">
        <v>3132.851684679245</v>
      </c>
      <c r="AE194" s="674">
        <v>24686.705039498778</v>
      </c>
      <c r="AF194" s="674">
        <v>40.866294361281327</v>
      </c>
      <c r="AG194" s="674">
        <v>0</v>
      </c>
      <c r="AH194" s="442">
        <v>42.25159247522307</v>
      </c>
      <c r="AI194" s="442">
        <v>3.637978807091713E-12</v>
      </c>
      <c r="AK194" s="3" t="e">
        <f>IF(F194="", " ", VLOOKUP(F194,#REF!, 1, FALSE))</f>
        <v>#REF!</v>
      </c>
    </row>
    <row r="195" spans="1:37" ht="36" x14ac:dyDescent="0.25">
      <c r="A195" s="587" t="s">
        <v>2727</v>
      </c>
      <c r="B195" s="369" t="s">
        <v>28</v>
      </c>
      <c r="C195" s="588"/>
      <c r="D195" s="589" t="s">
        <v>2857</v>
      </c>
      <c r="E195" s="44" t="s">
        <v>27</v>
      </c>
      <c r="F195" s="214">
        <v>92873</v>
      </c>
      <c r="G195" s="587" t="s">
        <v>595</v>
      </c>
      <c r="H195" s="590" t="s">
        <v>44</v>
      </c>
      <c r="I195" s="591">
        <v>57.559999999999995</v>
      </c>
      <c r="J195" s="592">
        <v>186.89</v>
      </c>
      <c r="K195" s="593">
        <v>0.2033513845915047</v>
      </c>
      <c r="L195" s="592">
        <v>224.8943402663063</v>
      </c>
      <c r="M195" s="594">
        <v>12944.91822572859</v>
      </c>
      <c r="N195" s="439"/>
      <c r="O195" s="673"/>
      <c r="P195" s="361"/>
      <c r="Q195" s="441"/>
      <c r="R195" s="485"/>
      <c r="S195" s="442"/>
      <c r="T195" s="441">
        <v>57.559999999999995</v>
      </c>
      <c r="U195" s="485"/>
      <c r="V195" s="442"/>
      <c r="W195" s="441">
        <v>0</v>
      </c>
      <c r="X195" s="485"/>
      <c r="Y195" s="442"/>
      <c r="Z195" s="441"/>
      <c r="AA195" s="485"/>
      <c r="AB195" s="442"/>
      <c r="AC195" s="672"/>
      <c r="AD195" s="441">
        <v>8984.3509179691573</v>
      </c>
      <c r="AE195" s="674">
        <v>3855.2846510998625</v>
      </c>
      <c r="AF195" s="674">
        <v>67.879607583145258</v>
      </c>
      <c r="AG195" s="674">
        <v>0</v>
      </c>
      <c r="AH195" s="442">
        <v>37.403049076426989</v>
      </c>
      <c r="AI195" s="442">
        <v>-1.8189894035458565E-12</v>
      </c>
      <c r="AK195" s="3" t="e">
        <f>IF(F195="", " ", VLOOKUP(F195,#REF!, 1, FALSE))</f>
        <v>#REF!</v>
      </c>
    </row>
    <row r="196" spans="1:37" x14ac:dyDescent="0.25">
      <c r="A196" s="1145" t="s">
        <v>3105</v>
      </c>
      <c r="B196" s="1146"/>
      <c r="C196" s="1147"/>
      <c r="D196" s="1148" t="s">
        <v>2858</v>
      </c>
      <c r="E196" s="1146"/>
      <c r="F196" s="1149"/>
      <c r="G196" s="1145" t="s">
        <v>3105</v>
      </c>
      <c r="H196" s="1150" t="s">
        <v>21</v>
      </c>
      <c r="I196" s="1151" t="s">
        <v>21</v>
      </c>
      <c r="J196" s="1152" t="s">
        <v>21</v>
      </c>
      <c r="K196" s="1153" t="s">
        <v>21</v>
      </c>
      <c r="L196" s="1152" t="s">
        <v>21</v>
      </c>
      <c r="M196" s="1154">
        <v>86967.51269017368</v>
      </c>
      <c r="N196" s="1155"/>
      <c r="O196" s="1156"/>
      <c r="P196" s="1157"/>
      <c r="Q196" s="1158"/>
      <c r="R196" s="1159"/>
      <c r="S196" s="1160"/>
      <c r="T196" s="1158"/>
      <c r="U196" s="1159"/>
      <c r="V196" s="1160"/>
      <c r="W196" s="1161"/>
      <c r="X196" s="1159"/>
      <c r="Y196" s="1160"/>
      <c r="Z196" s="1158"/>
      <c r="AA196" s="1159"/>
      <c r="AB196" s="1160"/>
      <c r="AC196" s="1162"/>
      <c r="AD196" s="1158" t="s">
        <v>21</v>
      </c>
      <c r="AE196" s="1163" t="s">
        <v>21</v>
      </c>
      <c r="AF196" s="1163" t="s">
        <v>21</v>
      </c>
      <c r="AG196" s="1163" t="s">
        <v>21</v>
      </c>
      <c r="AH196" s="1160" t="s">
        <v>21</v>
      </c>
      <c r="AI196" s="1160" t="str">
        <f t="shared" ref="AI187:AI276" si="29">IF(SUM(AD196:AH196)=0,"",M196 - SUM(AD196:AH196))</f>
        <v/>
      </c>
      <c r="AK196" s="3" t="str">
        <f>IF(F196="", " ", VLOOKUP(F196,#REF!, 1, FALSE))</f>
        <v xml:space="preserve"> </v>
      </c>
    </row>
    <row r="197" spans="1:37" ht="24" x14ac:dyDescent="0.25">
      <c r="A197" s="587" t="s">
        <v>2889</v>
      </c>
      <c r="B197" s="369"/>
      <c r="C197" s="588"/>
      <c r="D197" s="589" t="s">
        <v>2859</v>
      </c>
      <c r="E197" s="44"/>
      <c r="F197" s="214"/>
      <c r="G197" s="587" t="s">
        <v>2889</v>
      </c>
      <c r="H197" s="590" t="s">
        <v>21</v>
      </c>
      <c r="I197" s="591" t="str">
        <f>IF($F197="","",IF('TRECHO(S) A IMPRIMIR'!$B$1= 1, SUM(Q197, T197, W197, Z197), IF('TRECHO(S) A IMPRIMIR'!$B$1= 2, T197, IF('TRECHO(S) A IMPRIMIR'!$B$1= 3, W197, 0))))</f>
        <v/>
      </c>
      <c r="J197" s="592" t="s">
        <v>21</v>
      </c>
      <c r="K197" s="593" t="str">
        <f t="shared" si="25"/>
        <v/>
      </c>
      <c r="L197" s="592" t="str">
        <f t="shared" ref="L187:L276" si="30">IF(J197="","",
  IF(AND(J197&lt;&gt;"",K197=""),J197,J197 * (1 + K197)))</f>
        <v/>
      </c>
      <c r="M197" s="594" t="str">
        <f t="shared" ref="M187:M276" si="31">IF(OR(I197="",L197=""),"",I197*L197)</f>
        <v/>
      </c>
      <c r="N197" s="439"/>
      <c r="O197" s="673"/>
      <c r="P197" s="361"/>
      <c r="Q197" s="441"/>
      <c r="R197" s="485"/>
      <c r="S197" s="442"/>
      <c r="T197" s="441"/>
      <c r="U197" s="485"/>
      <c r="V197" s="442"/>
      <c r="W197" s="578"/>
      <c r="X197" s="485"/>
      <c r="Y197" s="442"/>
      <c r="Z197" s="441"/>
      <c r="AA197" s="485"/>
      <c r="AB197" s="442"/>
      <c r="AC197" s="672"/>
      <c r="AD197" s="441" t="s">
        <v>21</v>
      </c>
      <c r="AE197" s="674" t="s">
        <v>21</v>
      </c>
      <c r="AF197" s="674" t="s">
        <v>21</v>
      </c>
      <c r="AG197" s="674" t="s">
        <v>21</v>
      </c>
      <c r="AH197" s="442" t="s">
        <v>21</v>
      </c>
      <c r="AI197" s="442" t="s">
        <v>21</v>
      </c>
      <c r="AK197" s="3" t="str">
        <f>IF(F197="", " ", VLOOKUP(F197,#REF!, 1, FALSE))</f>
        <v xml:space="preserve"> </v>
      </c>
    </row>
    <row r="198" spans="1:37" ht="24" x14ac:dyDescent="0.25">
      <c r="A198" s="587" t="s">
        <v>2845</v>
      </c>
      <c r="B198" s="369" t="s">
        <v>20</v>
      </c>
      <c r="C198" s="588"/>
      <c r="D198" s="589" t="s">
        <v>2860</v>
      </c>
      <c r="E198" s="44" t="s">
        <v>27</v>
      </c>
      <c r="F198" s="214">
        <v>98524</v>
      </c>
      <c r="G198" s="587" t="s">
        <v>52</v>
      </c>
      <c r="H198" s="590" t="s">
        <v>51</v>
      </c>
      <c r="I198" s="591">
        <v>10</v>
      </c>
      <c r="J198" s="592">
        <v>2.92</v>
      </c>
      <c r="K198" s="593">
        <v>0.2033513845915047</v>
      </c>
      <c r="L198" s="592">
        <v>3.5137860430071934</v>
      </c>
      <c r="M198" s="594">
        <v>35.137860430071932</v>
      </c>
      <c r="N198" s="439"/>
      <c r="O198" s="673"/>
      <c r="P198" s="361"/>
      <c r="Q198" s="441"/>
      <c r="R198" s="485"/>
      <c r="S198" s="442"/>
      <c r="T198" s="441">
        <v>10</v>
      </c>
      <c r="U198" s="485"/>
      <c r="V198" s="442"/>
      <c r="W198" s="441">
        <v>0</v>
      </c>
      <c r="X198" s="485"/>
      <c r="Y198" s="442"/>
      <c r="Z198" s="441"/>
      <c r="AA198" s="485"/>
      <c r="AB198" s="442"/>
      <c r="AC198" s="672"/>
      <c r="AD198" s="441">
        <v>25.390714214880745</v>
      </c>
      <c r="AE198" s="674">
        <v>9.7471462151911901</v>
      </c>
      <c r="AF198" s="674">
        <v>0</v>
      </c>
      <c r="AG198" s="674">
        <v>0</v>
      </c>
      <c r="AH198" s="442">
        <v>0</v>
      </c>
      <c r="AI198" s="442">
        <v>-7.1054273576010019E-15</v>
      </c>
      <c r="AK198" s="3" t="e">
        <f>IF(F198="", " ", VLOOKUP(F198,#REF!, 1, FALSE))</f>
        <v>#REF!</v>
      </c>
    </row>
    <row r="199" spans="1:37" ht="24" x14ac:dyDescent="0.25">
      <c r="A199" s="587" t="s">
        <v>1862</v>
      </c>
      <c r="B199" s="369" t="s">
        <v>20</v>
      </c>
      <c r="C199" s="588"/>
      <c r="D199" s="589" t="s">
        <v>2861</v>
      </c>
      <c r="E199" s="44" t="s">
        <v>27</v>
      </c>
      <c r="F199" s="214">
        <v>101616</v>
      </c>
      <c r="G199" s="587" t="s">
        <v>1169</v>
      </c>
      <c r="H199" s="590" t="s">
        <v>51</v>
      </c>
      <c r="I199" s="591">
        <v>10</v>
      </c>
      <c r="J199" s="592">
        <v>5.27</v>
      </c>
      <c r="K199" s="593">
        <v>0.2033513845915047</v>
      </c>
      <c r="L199" s="592">
        <v>6.3416617967972293</v>
      </c>
      <c r="M199" s="594">
        <v>63.416617967972293</v>
      </c>
      <c r="N199" s="439"/>
      <c r="O199" s="673"/>
      <c r="P199" s="361"/>
      <c r="Q199" s="441"/>
      <c r="R199" s="485"/>
      <c r="S199" s="442"/>
      <c r="T199" s="441">
        <v>10</v>
      </c>
      <c r="U199" s="485"/>
      <c r="V199" s="442"/>
      <c r="W199" s="441">
        <v>0</v>
      </c>
      <c r="X199" s="485"/>
      <c r="Y199" s="442"/>
      <c r="Z199" s="441"/>
      <c r="AA199" s="485"/>
      <c r="AB199" s="442"/>
      <c r="AC199" s="672"/>
      <c r="AD199" s="441">
        <v>45.00534178372228</v>
      </c>
      <c r="AE199" s="674">
        <v>18.411276184250024</v>
      </c>
      <c r="AF199" s="674">
        <v>0</v>
      </c>
      <c r="AG199" s="674">
        <v>0</v>
      </c>
      <c r="AH199" s="442">
        <v>0</v>
      </c>
      <c r="AI199" s="442">
        <v>-7.1054273576010019E-15</v>
      </c>
      <c r="AK199" s="3" t="e">
        <f>IF(F199="", " ", VLOOKUP(F199,#REF!, 1, FALSE))</f>
        <v>#REF!</v>
      </c>
    </row>
    <row r="200" spans="1:37" x14ac:dyDescent="0.25">
      <c r="A200" s="587" t="s">
        <v>1858</v>
      </c>
      <c r="B200" s="369"/>
      <c r="C200" s="588"/>
      <c r="D200" s="589" t="s">
        <v>2862</v>
      </c>
      <c r="E200" s="44"/>
      <c r="F200" s="214"/>
      <c r="G200" s="587" t="s">
        <v>1858</v>
      </c>
      <c r="H200" s="590" t="s">
        <v>21</v>
      </c>
      <c r="I200" s="591" t="str">
        <f>IF($F200="","",IF('TRECHO(S) A IMPRIMIR'!$B$1= 1, SUM(Q200, T200, W200, Z200), IF('TRECHO(S) A IMPRIMIR'!$B$1= 2, T200, IF('TRECHO(S) A IMPRIMIR'!$B$1= 3, W200, 0))))</f>
        <v/>
      </c>
      <c r="J200" s="592" t="s">
        <v>21</v>
      </c>
      <c r="K200" s="593" t="str">
        <f t="shared" si="25"/>
        <v/>
      </c>
      <c r="L200" s="592" t="str">
        <f t="shared" si="30"/>
        <v/>
      </c>
      <c r="M200" s="594" t="str">
        <f t="shared" si="31"/>
        <v/>
      </c>
      <c r="N200" s="439"/>
      <c r="O200" s="673"/>
      <c r="P200" s="361"/>
      <c r="Q200" s="441"/>
      <c r="R200" s="485"/>
      <c r="S200" s="442"/>
      <c r="T200" s="441"/>
      <c r="U200" s="485"/>
      <c r="V200" s="442"/>
      <c r="W200" s="578"/>
      <c r="X200" s="485"/>
      <c r="Y200" s="442"/>
      <c r="Z200" s="441"/>
      <c r="AA200" s="485"/>
      <c r="AB200" s="442"/>
      <c r="AC200" s="672"/>
      <c r="AD200" s="441" t="s">
        <v>21</v>
      </c>
      <c r="AE200" s="674" t="s">
        <v>21</v>
      </c>
      <c r="AF200" s="674" t="s">
        <v>21</v>
      </c>
      <c r="AG200" s="674" t="s">
        <v>21</v>
      </c>
      <c r="AH200" s="442" t="s">
        <v>21</v>
      </c>
      <c r="AI200" s="442" t="s">
        <v>21</v>
      </c>
      <c r="AK200" s="3" t="str">
        <f>IF(F200="", " ", VLOOKUP(F200,#REF!, 1, FALSE))</f>
        <v xml:space="preserve"> </v>
      </c>
    </row>
    <row r="201" spans="1:37" ht="36" hidden="1" x14ac:dyDescent="0.25">
      <c r="A201" s="587" t="s">
        <v>2720</v>
      </c>
      <c r="B201" s="369" t="s">
        <v>23</v>
      </c>
      <c r="C201" s="588"/>
      <c r="D201" s="589" t="s">
        <v>2863</v>
      </c>
      <c r="E201" s="44" t="s">
        <v>27</v>
      </c>
      <c r="F201" s="214">
        <v>101010</v>
      </c>
      <c r="G201" s="587" t="s">
        <v>770</v>
      </c>
      <c r="H201" s="590" t="s">
        <v>55</v>
      </c>
      <c r="I201" s="591">
        <f>IF($F201="","",IF('TRECHO(S) A IMPRIMIR'!$B$1= 1, SUM(Q201, T201, W201, Z201), IF('TRECHO(S) A IMPRIMIR'!$B$1= 2, T201, IF('TRECHO(S) A IMPRIMIR'!$B$1= 3, W201, 0))))</f>
        <v>0</v>
      </c>
      <c r="J201" s="592">
        <v>17.260000000000002</v>
      </c>
      <c r="K201" s="593">
        <f t="shared" si="25"/>
        <v>0.2033513845915047</v>
      </c>
      <c r="L201" s="592">
        <f t="shared" si="30"/>
        <v>20.769844898049374</v>
      </c>
      <c r="M201" s="594">
        <f t="shared" si="31"/>
        <v>0</v>
      </c>
      <c r="N201" s="439"/>
      <c r="O201" s="673"/>
      <c r="P201" s="361"/>
      <c r="Q201" s="441"/>
      <c r="R201" s="485"/>
      <c r="S201" s="442"/>
      <c r="T201" s="441">
        <f>'04-MLQ-CR-LAGOAS'!F193</f>
        <v>0</v>
      </c>
      <c r="U201" s="485"/>
      <c r="V201" s="442"/>
      <c r="W201" s="578">
        <f>'04-MLQ-CR-LAGOAS'!L193</f>
        <v>0</v>
      </c>
      <c r="X201" s="485"/>
      <c r="Y201" s="442"/>
      <c r="Z201" s="441"/>
      <c r="AA201" s="485"/>
      <c r="AB201" s="442"/>
      <c r="AC201" s="672"/>
      <c r="AD201" s="441" t="s">
        <v>21</v>
      </c>
      <c r="AE201" s="674" t="s">
        <v>21</v>
      </c>
      <c r="AF201" s="674" t="s">
        <v>21</v>
      </c>
      <c r="AG201" s="674" t="s">
        <v>21</v>
      </c>
      <c r="AH201" s="442" t="s">
        <v>21</v>
      </c>
      <c r="AI201" s="442" t="str">
        <f t="shared" si="29"/>
        <v/>
      </c>
      <c r="AK201" s="3" t="e">
        <f>IF(F201="", " ", VLOOKUP(F201,#REF!, 1, FALSE))</f>
        <v>#REF!</v>
      </c>
    </row>
    <row r="202" spans="1:37" ht="48" hidden="1" x14ac:dyDescent="0.25">
      <c r="A202" s="587" t="s">
        <v>2721</v>
      </c>
      <c r="B202" s="369" t="s">
        <v>25</v>
      </c>
      <c r="C202" s="588"/>
      <c r="D202" s="589" t="s">
        <v>2864</v>
      </c>
      <c r="E202" s="44" t="s">
        <v>27</v>
      </c>
      <c r="F202" s="214">
        <v>100954</v>
      </c>
      <c r="G202" s="587" t="s">
        <v>794</v>
      </c>
      <c r="H202" s="590" t="s">
        <v>42</v>
      </c>
      <c r="I202" s="591">
        <f>IF($F202="","",IF('TRECHO(S) A IMPRIMIR'!$B$1= 1, SUM(Q202, T202, W202, Z202), IF('TRECHO(S) A IMPRIMIR'!$B$1= 2, T202, IF('TRECHO(S) A IMPRIMIR'!$B$1= 3, W202, 0))))</f>
        <v>0</v>
      </c>
      <c r="J202" s="592">
        <v>5.41</v>
      </c>
      <c r="K202" s="593">
        <f t="shared" si="25"/>
        <v>0.2033513845915047</v>
      </c>
      <c r="L202" s="592">
        <f t="shared" si="30"/>
        <v>6.5101309906400404</v>
      </c>
      <c r="M202" s="594">
        <f t="shared" si="31"/>
        <v>0</v>
      </c>
      <c r="N202" s="439"/>
      <c r="O202" s="673"/>
      <c r="P202" s="361"/>
      <c r="Q202" s="441">
        <f>Q201 * S202</f>
        <v>0</v>
      </c>
      <c r="R202" s="485"/>
      <c r="S202" s="442">
        <v>0</v>
      </c>
      <c r="T202" s="441">
        <f>T201 * V202</f>
        <v>0</v>
      </c>
      <c r="U202" s="485"/>
      <c r="V202" s="442">
        <f>'MLQ-DMT-TR1'!$E$16</f>
        <v>1</v>
      </c>
      <c r="W202" s="578">
        <f>W201 * Y202</f>
        <v>0</v>
      </c>
      <c r="X202" s="485"/>
      <c r="Y202" s="442">
        <f>'MLQ-DMT-TR3'!$E$16</f>
        <v>0.6</v>
      </c>
      <c r="Z202" s="441">
        <f>Z201 * AB202</f>
        <v>0</v>
      </c>
      <c r="AA202" s="485"/>
      <c r="AB202" s="442">
        <v>0</v>
      </c>
      <c r="AC202" s="672"/>
      <c r="AD202" s="441" t="s">
        <v>21</v>
      </c>
      <c r="AE202" s="674" t="s">
        <v>21</v>
      </c>
      <c r="AF202" s="674" t="s">
        <v>21</v>
      </c>
      <c r="AG202" s="674" t="s">
        <v>21</v>
      </c>
      <c r="AH202" s="442" t="s">
        <v>21</v>
      </c>
      <c r="AI202" s="442" t="str">
        <f t="shared" si="29"/>
        <v/>
      </c>
      <c r="AK202" s="3" t="e">
        <f>IF(F202="", " ", VLOOKUP(F202,#REF!, 1, FALSE))</f>
        <v>#REF!</v>
      </c>
    </row>
    <row r="203" spans="1:37" ht="36" hidden="1" x14ac:dyDescent="0.25">
      <c r="A203" s="587" t="s">
        <v>2726</v>
      </c>
      <c r="B203" s="369" t="s">
        <v>26</v>
      </c>
      <c r="C203" s="588"/>
      <c r="D203" s="589" t="s">
        <v>2865</v>
      </c>
      <c r="E203" s="44" t="s">
        <v>27</v>
      </c>
      <c r="F203" s="214">
        <v>101176</v>
      </c>
      <c r="G203" s="587" t="s">
        <v>566</v>
      </c>
      <c r="H203" s="590" t="s">
        <v>22</v>
      </c>
      <c r="I203" s="591">
        <f>IF($F203="","",IF('TRECHO(S) A IMPRIMIR'!$B$1= 1, SUM(Q203, T203, W203, Z203), IF('TRECHO(S) A IMPRIMIR'!$B$1= 2, T203, IF('TRECHO(S) A IMPRIMIR'!$B$1= 3, W203, 0))))</f>
        <v>0</v>
      </c>
      <c r="J203" s="592">
        <v>137.46</v>
      </c>
      <c r="K203" s="593">
        <f t="shared" si="25"/>
        <v>0.2033513845915047</v>
      </c>
      <c r="L203" s="592">
        <f t="shared" si="30"/>
        <v>165.41268132594826</v>
      </c>
      <c r="M203" s="594">
        <f t="shared" si="31"/>
        <v>0</v>
      </c>
      <c r="N203" s="439"/>
      <c r="O203" s="673"/>
      <c r="P203" s="361"/>
      <c r="Q203" s="441"/>
      <c r="R203" s="485"/>
      <c r="S203" s="442"/>
      <c r="T203" s="441">
        <f>'04-MLQ-CR-LAGOAS'!F195</f>
        <v>0</v>
      </c>
      <c r="U203" s="485"/>
      <c r="V203" s="442"/>
      <c r="W203" s="578">
        <f>'04-MLQ-CR-LAGOAS'!L195</f>
        <v>0</v>
      </c>
      <c r="X203" s="485"/>
      <c r="Y203" s="442"/>
      <c r="Z203" s="441"/>
      <c r="AA203" s="485"/>
      <c r="AB203" s="442"/>
      <c r="AC203" s="672"/>
      <c r="AD203" s="441" t="s">
        <v>21</v>
      </c>
      <c r="AE203" s="674" t="s">
        <v>21</v>
      </c>
      <c r="AF203" s="674" t="s">
        <v>21</v>
      </c>
      <c r="AG203" s="674" t="s">
        <v>21</v>
      </c>
      <c r="AH203" s="442" t="s">
        <v>21</v>
      </c>
      <c r="AI203" s="442" t="str">
        <f t="shared" si="29"/>
        <v/>
      </c>
      <c r="AK203" s="3" t="e">
        <f>IF(F203="", " ", VLOOKUP(F203,#REF!, 1, FALSE))</f>
        <v>#REF!</v>
      </c>
    </row>
    <row r="204" spans="1:37" ht="36" x14ac:dyDescent="0.25">
      <c r="A204" s="587" t="s">
        <v>2725</v>
      </c>
      <c r="B204" s="369"/>
      <c r="C204" s="588"/>
      <c r="D204" s="589" t="s">
        <v>2866</v>
      </c>
      <c r="E204" s="44"/>
      <c r="F204" s="214"/>
      <c r="G204" s="587" t="s">
        <v>2725</v>
      </c>
      <c r="H204" s="590" t="s">
        <v>21</v>
      </c>
      <c r="I204" s="591" t="str">
        <f>IF($F204="","",IF('TRECHO(S) A IMPRIMIR'!$B$1= 1, SUM(Q204, T204, W204, Z204), IF('TRECHO(S) A IMPRIMIR'!$B$1= 2, T204, IF('TRECHO(S) A IMPRIMIR'!$B$1= 3, W204, 0))))</f>
        <v/>
      </c>
      <c r="J204" s="592" t="s">
        <v>21</v>
      </c>
      <c r="K204" s="593" t="str">
        <f t="shared" si="25"/>
        <v/>
      </c>
      <c r="L204" s="592" t="str">
        <f t="shared" si="30"/>
        <v/>
      </c>
      <c r="M204" s="594" t="str">
        <f t="shared" si="31"/>
        <v/>
      </c>
      <c r="N204" s="439"/>
      <c r="O204" s="673"/>
      <c r="P204" s="361"/>
      <c r="Q204" s="441"/>
      <c r="R204" s="485"/>
      <c r="S204" s="442"/>
      <c r="T204" s="441"/>
      <c r="U204" s="485"/>
      <c r="V204" s="442"/>
      <c r="W204" s="578"/>
      <c r="X204" s="485"/>
      <c r="Y204" s="442"/>
      <c r="Z204" s="441"/>
      <c r="AA204" s="485"/>
      <c r="AB204" s="442"/>
      <c r="AC204" s="672"/>
      <c r="AD204" s="441" t="s">
        <v>21</v>
      </c>
      <c r="AE204" s="674" t="s">
        <v>21</v>
      </c>
      <c r="AF204" s="674" t="s">
        <v>21</v>
      </c>
      <c r="AG204" s="674" t="s">
        <v>21</v>
      </c>
      <c r="AH204" s="442" t="s">
        <v>21</v>
      </c>
      <c r="AI204" s="442" t="str">
        <f t="shared" si="29"/>
        <v/>
      </c>
      <c r="AK204" s="3" t="str">
        <f>IF(F204="", " ", VLOOKUP(F204,#REF!, 1, FALSE))</f>
        <v xml:space="preserve"> </v>
      </c>
    </row>
    <row r="205" spans="1:37" ht="24" hidden="1" x14ac:dyDescent="0.25">
      <c r="A205" s="587" t="s">
        <v>925</v>
      </c>
      <c r="B205" s="369" t="s">
        <v>28</v>
      </c>
      <c r="C205" s="588"/>
      <c r="D205" s="589" t="s">
        <v>2867</v>
      </c>
      <c r="E205" s="44" t="s">
        <v>27</v>
      </c>
      <c r="F205" s="214">
        <v>93358</v>
      </c>
      <c r="G205" s="587" t="s">
        <v>1293</v>
      </c>
      <c r="H205" s="590" t="s">
        <v>44</v>
      </c>
      <c r="I205" s="591">
        <f>IF($F205="","",IF('TRECHO(S) A IMPRIMIR'!$B$1= 1, SUM(Q205, T205, W205, Z205), IF('TRECHO(S) A IMPRIMIR'!$B$1= 2, T205, IF('TRECHO(S) A IMPRIMIR'!$B$1= 3, W205, 0))))</f>
        <v>0</v>
      </c>
      <c r="J205" s="592">
        <v>69.66</v>
      </c>
      <c r="K205" s="593">
        <f t="shared" si="25"/>
        <v>0.2033513845915047</v>
      </c>
      <c r="L205" s="592">
        <f t="shared" si="30"/>
        <v>83.825457450644208</v>
      </c>
      <c r="M205" s="594">
        <f t="shared" si="31"/>
        <v>0</v>
      </c>
      <c r="N205" s="439"/>
      <c r="O205" s="673"/>
      <c r="P205" s="361"/>
      <c r="Q205" s="441"/>
      <c r="R205" s="485"/>
      <c r="S205" s="442"/>
      <c r="T205" s="441">
        <f>'04-MLQ-CR-LAGOAS'!F197</f>
        <v>0</v>
      </c>
      <c r="U205" s="485"/>
      <c r="V205" s="442"/>
      <c r="W205" s="441">
        <f>'04-MLQ-CR-LAGOAS'!L197</f>
        <v>0</v>
      </c>
      <c r="X205" s="485"/>
      <c r="Y205" s="442"/>
      <c r="Z205" s="441"/>
      <c r="AA205" s="485"/>
      <c r="AB205" s="442"/>
      <c r="AC205" s="672"/>
      <c r="AD205" s="441" t="s">
        <v>21</v>
      </c>
      <c r="AE205" s="674" t="s">
        <v>21</v>
      </c>
      <c r="AF205" s="674" t="s">
        <v>21</v>
      </c>
      <c r="AG205" s="674" t="s">
        <v>21</v>
      </c>
      <c r="AH205" s="442" t="s">
        <v>21</v>
      </c>
      <c r="AI205" s="442" t="str">
        <f t="shared" si="29"/>
        <v/>
      </c>
      <c r="AK205" s="3" t="e">
        <f>IF(F205="", " ", VLOOKUP(F205,#REF!, 1, FALSE))</f>
        <v>#REF!</v>
      </c>
    </row>
    <row r="206" spans="1:37" ht="24" hidden="1" x14ac:dyDescent="0.25">
      <c r="A206" s="587" t="s">
        <v>1862</v>
      </c>
      <c r="B206" s="369" t="s">
        <v>20</v>
      </c>
      <c r="C206" s="588"/>
      <c r="D206" s="589" t="s">
        <v>2868</v>
      </c>
      <c r="E206" s="44" t="s">
        <v>27</v>
      </c>
      <c r="F206" s="214">
        <v>101616</v>
      </c>
      <c r="G206" s="587" t="s">
        <v>1169</v>
      </c>
      <c r="H206" s="590" t="s">
        <v>51</v>
      </c>
      <c r="I206" s="591">
        <f>IF($F206="","",IF('TRECHO(S) A IMPRIMIR'!$B$1= 1, SUM(Q206, T206, W206, Z206), IF('TRECHO(S) A IMPRIMIR'!$B$1= 2, T206, IF('TRECHO(S) A IMPRIMIR'!$B$1= 3, W206, 0))))</f>
        <v>0</v>
      </c>
      <c r="J206" s="592">
        <v>5.27</v>
      </c>
      <c r="K206" s="593">
        <f t="shared" si="25"/>
        <v>0.2033513845915047</v>
      </c>
      <c r="L206" s="592">
        <f t="shared" si="30"/>
        <v>6.3416617967972293</v>
      </c>
      <c r="M206" s="594">
        <f t="shared" si="31"/>
        <v>0</v>
      </c>
      <c r="N206" s="439"/>
      <c r="O206" s="673"/>
      <c r="P206" s="361"/>
      <c r="Q206" s="441"/>
      <c r="R206" s="485"/>
      <c r="S206" s="442"/>
      <c r="T206" s="441">
        <f>'04-MLQ-CR-LAGOAS'!F198</f>
        <v>0</v>
      </c>
      <c r="U206" s="485"/>
      <c r="V206" s="442"/>
      <c r="W206" s="441">
        <f>'04-MLQ-CR-LAGOAS'!L198</f>
        <v>0</v>
      </c>
      <c r="X206" s="485"/>
      <c r="Y206" s="442"/>
      <c r="Z206" s="441"/>
      <c r="AA206" s="485"/>
      <c r="AB206" s="442"/>
      <c r="AC206" s="672"/>
      <c r="AD206" s="441" t="s">
        <v>21</v>
      </c>
      <c r="AE206" s="674" t="s">
        <v>21</v>
      </c>
      <c r="AF206" s="674" t="s">
        <v>21</v>
      </c>
      <c r="AG206" s="674" t="s">
        <v>21</v>
      </c>
      <c r="AH206" s="442" t="s">
        <v>21</v>
      </c>
      <c r="AI206" s="442" t="str">
        <f t="shared" si="29"/>
        <v/>
      </c>
      <c r="AK206" s="3" t="e">
        <f>IF(F206="", " ", VLOOKUP(F206,#REF!, 1, FALSE))</f>
        <v>#REF!</v>
      </c>
    </row>
    <row r="207" spans="1:37" ht="24" hidden="1" x14ac:dyDescent="0.25">
      <c r="A207" s="587" t="s">
        <v>2723</v>
      </c>
      <c r="B207" s="369" t="s">
        <v>39</v>
      </c>
      <c r="C207" s="588"/>
      <c r="D207" s="589" t="s">
        <v>2869</v>
      </c>
      <c r="E207" s="44" t="s">
        <v>27</v>
      </c>
      <c r="F207" s="214">
        <v>95601</v>
      </c>
      <c r="G207" s="587" t="s">
        <v>3655</v>
      </c>
      <c r="H207" s="590" t="s">
        <v>41</v>
      </c>
      <c r="I207" s="591">
        <f>IF($F207="","",IF('TRECHO(S) A IMPRIMIR'!$B$1= 1, SUM(Q207, T207, W207, Z207), IF('TRECHO(S) A IMPRIMIR'!$B$1= 2, T207, IF('TRECHO(S) A IMPRIMIR'!$B$1= 3, W207, 0))))</f>
        <v>0</v>
      </c>
      <c r="J207" s="592">
        <v>13.84</v>
      </c>
      <c r="K207" s="593">
        <f t="shared" si="25"/>
        <v>0.2033513845915047</v>
      </c>
      <c r="L207" s="592">
        <f t="shared" si="30"/>
        <v>16.654383162746424</v>
      </c>
      <c r="M207" s="594">
        <f t="shared" si="31"/>
        <v>0</v>
      </c>
      <c r="N207" s="439"/>
      <c r="O207" s="673"/>
      <c r="P207" s="361"/>
      <c r="Q207" s="441"/>
      <c r="R207" s="485"/>
      <c r="S207" s="442"/>
      <c r="T207" s="441">
        <f>'04-MLQ-CR-LAGOAS'!F199</f>
        <v>0</v>
      </c>
      <c r="U207" s="485"/>
      <c r="V207" s="442"/>
      <c r="W207" s="441">
        <f>'04-MLQ-CR-LAGOAS'!L199</f>
        <v>0</v>
      </c>
      <c r="X207" s="485"/>
      <c r="Y207" s="442"/>
      <c r="Z207" s="441"/>
      <c r="AA207" s="485"/>
      <c r="AB207" s="442"/>
      <c r="AC207" s="672"/>
      <c r="AD207" s="441" t="s">
        <v>21</v>
      </c>
      <c r="AE207" s="674" t="s">
        <v>21</v>
      </c>
      <c r="AF207" s="674" t="s">
        <v>21</v>
      </c>
      <c r="AG207" s="674" t="s">
        <v>21</v>
      </c>
      <c r="AH207" s="442" t="s">
        <v>21</v>
      </c>
      <c r="AI207" s="442" t="str">
        <f t="shared" si="29"/>
        <v/>
      </c>
      <c r="AK207" s="3" t="e">
        <f>IF(F207="", " ", VLOOKUP(F207,#REF!, 1, FALSE))</f>
        <v>#REF!</v>
      </c>
    </row>
    <row r="208" spans="1:37" ht="36" hidden="1" x14ac:dyDescent="0.25">
      <c r="A208" s="587" t="s">
        <v>1288</v>
      </c>
      <c r="B208" s="369" t="s">
        <v>28</v>
      </c>
      <c r="C208" s="588"/>
      <c r="D208" s="589" t="s">
        <v>2870</v>
      </c>
      <c r="E208" s="44" t="s">
        <v>27</v>
      </c>
      <c r="F208" s="214">
        <v>94962</v>
      </c>
      <c r="G208" s="587" t="s">
        <v>3658</v>
      </c>
      <c r="H208" s="590" t="s">
        <v>44</v>
      </c>
      <c r="I208" s="591">
        <f>IF($F208="","",IF('TRECHO(S) A IMPRIMIR'!$B$1= 1, SUM(Q208, T208, W208, Z208), IF('TRECHO(S) A IMPRIMIR'!$B$1= 2, T208, IF('TRECHO(S) A IMPRIMIR'!$B$1= 3, W208, 0))))</f>
        <v>0</v>
      </c>
      <c r="J208" s="592">
        <v>329.54</v>
      </c>
      <c r="K208" s="593">
        <f t="shared" si="25"/>
        <v>0.2033513845915047</v>
      </c>
      <c r="L208" s="592">
        <f t="shared" si="30"/>
        <v>396.55241527828446</v>
      </c>
      <c r="M208" s="594">
        <f t="shared" si="31"/>
        <v>0</v>
      </c>
      <c r="N208" s="439"/>
      <c r="O208" s="673"/>
      <c r="P208" s="361"/>
      <c r="Q208" s="441"/>
      <c r="R208" s="485"/>
      <c r="S208" s="442"/>
      <c r="T208" s="441">
        <f>'04-MLQ-CR-LAGOAS'!F200</f>
        <v>0</v>
      </c>
      <c r="U208" s="485"/>
      <c r="V208" s="442"/>
      <c r="W208" s="441">
        <f>'04-MLQ-CR-LAGOAS'!L200</f>
        <v>0</v>
      </c>
      <c r="X208" s="485"/>
      <c r="Y208" s="442"/>
      <c r="Z208" s="441"/>
      <c r="AA208" s="485"/>
      <c r="AB208" s="442"/>
      <c r="AC208" s="672"/>
      <c r="AD208" s="441" t="s">
        <v>21</v>
      </c>
      <c r="AE208" s="674" t="s">
        <v>21</v>
      </c>
      <c r="AF208" s="674" t="s">
        <v>21</v>
      </c>
      <c r="AG208" s="674" t="s">
        <v>21</v>
      </c>
      <c r="AH208" s="442" t="s">
        <v>21</v>
      </c>
      <c r="AI208" s="442" t="str">
        <f t="shared" si="29"/>
        <v/>
      </c>
      <c r="AK208" s="3" t="e">
        <f>IF(F208="", " ", VLOOKUP(F208,#REF!, 1, FALSE))</f>
        <v>#REF!</v>
      </c>
    </row>
    <row r="209" spans="1:37" ht="36" hidden="1" x14ac:dyDescent="0.25">
      <c r="A209" s="587" t="s">
        <v>2728</v>
      </c>
      <c r="B209" s="369" t="s">
        <v>20</v>
      </c>
      <c r="C209" s="588"/>
      <c r="D209" s="589" t="s">
        <v>2871</v>
      </c>
      <c r="E209" s="44" t="s">
        <v>27</v>
      </c>
      <c r="F209" s="214">
        <v>96534</v>
      </c>
      <c r="G209" s="587" t="s">
        <v>581</v>
      </c>
      <c r="H209" s="590" t="s">
        <v>51</v>
      </c>
      <c r="I209" s="591">
        <f>IF($F209="","",IF('TRECHO(S) A IMPRIMIR'!$B$1= 1, SUM(Q209, T209, W209, Z209), IF('TRECHO(S) A IMPRIMIR'!$B$1= 2, T209, IF('TRECHO(S) A IMPRIMIR'!$B$1= 3, W209, 0))))</f>
        <v>0</v>
      </c>
      <c r="J209" s="592">
        <v>79.489999999999995</v>
      </c>
      <c r="K209" s="593">
        <f t="shared" si="25"/>
        <v>0.2033513845915047</v>
      </c>
      <c r="L209" s="592">
        <f t="shared" si="30"/>
        <v>95.654401561178702</v>
      </c>
      <c r="M209" s="594">
        <f t="shared" si="31"/>
        <v>0</v>
      </c>
      <c r="N209" s="439"/>
      <c r="O209" s="673"/>
      <c r="P209" s="361"/>
      <c r="Q209" s="441"/>
      <c r="R209" s="485"/>
      <c r="S209" s="442"/>
      <c r="T209" s="441">
        <f>'04-MLQ-CR-LAGOAS'!F201</f>
        <v>0</v>
      </c>
      <c r="U209" s="485"/>
      <c r="V209" s="442"/>
      <c r="W209" s="441">
        <f>'04-MLQ-CR-LAGOAS'!L201</f>
        <v>0</v>
      </c>
      <c r="X209" s="485"/>
      <c r="Y209" s="442"/>
      <c r="Z209" s="441"/>
      <c r="AA209" s="485"/>
      <c r="AB209" s="442"/>
      <c r="AC209" s="672"/>
      <c r="AD209" s="441" t="s">
        <v>21</v>
      </c>
      <c r="AE209" s="674" t="s">
        <v>21</v>
      </c>
      <c r="AF209" s="674" t="s">
        <v>21</v>
      </c>
      <c r="AG209" s="674" t="s">
        <v>21</v>
      </c>
      <c r="AH209" s="442" t="s">
        <v>21</v>
      </c>
      <c r="AI209" s="442" t="str">
        <f t="shared" si="29"/>
        <v/>
      </c>
      <c r="AK209" s="3" t="e">
        <f>IF(F209="", " ", VLOOKUP(F209,#REF!, 1, FALSE))</f>
        <v>#REF!</v>
      </c>
    </row>
    <row r="210" spans="1:37" ht="36" hidden="1" x14ac:dyDescent="0.25">
      <c r="A210" s="587" t="s">
        <v>2729</v>
      </c>
      <c r="B210" s="369" t="s">
        <v>20</v>
      </c>
      <c r="C210" s="588"/>
      <c r="D210" s="589" t="s">
        <v>2872</v>
      </c>
      <c r="E210" s="44" t="s">
        <v>27</v>
      </c>
      <c r="F210" s="214">
        <v>96536</v>
      </c>
      <c r="G210" s="587" t="s">
        <v>67</v>
      </c>
      <c r="H210" s="590" t="s">
        <v>51</v>
      </c>
      <c r="I210" s="591">
        <f>IF($F210="","",IF('TRECHO(S) A IMPRIMIR'!$B$1= 1, SUM(Q210, T210, W210, Z210), IF('TRECHO(S) A IMPRIMIR'!$B$1= 2, T210, IF('TRECHO(S) A IMPRIMIR'!$B$1= 3, W210, 0))))</f>
        <v>0</v>
      </c>
      <c r="J210" s="592">
        <v>68.62</v>
      </c>
      <c r="K210" s="593">
        <f t="shared" si="25"/>
        <v>0.2033513845915047</v>
      </c>
      <c r="L210" s="592">
        <f t="shared" si="30"/>
        <v>82.573972010669053</v>
      </c>
      <c r="M210" s="594">
        <f t="shared" si="31"/>
        <v>0</v>
      </c>
      <c r="N210" s="439"/>
      <c r="O210" s="673"/>
      <c r="P210" s="361"/>
      <c r="Q210" s="441"/>
      <c r="R210" s="485"/>
      <c r="S210" s="442"/>
      <c r="T210" s="441">
        <f>'04-MLQ-CR-LAGOAS'!F202</f>
        <v>0</v>
      </c>
      <c r="U210" s="485"/>
      <c r="V210" s="442"/>
      <c r="W210" s="441">
        <f>'04-MLQ-CR-LAGOAS'!L202</f>
        <v>0</v>
      </c>
      <c r="X210" s="485"/>
      <c r="Y210" s="442"/>
      <c r="Z210" s="441"/>
      <c r="AA210" s="485"/>
      <c r="AB210" s="442"/>
      <c r="AC210" s="672"/>
      <c r="AD210" s="441" t="s">
        <v>21</v>
      </c>
      <c r="AE210" s="674" t="s">
        <v>21</v>
      </c>
      <c r="AF210" s="674" t="s">
        <v>21</v>
      </c>
      <c r="AG210" s="674" t="s">
        <v>21</v>
      </c>
      <c r="AH210" s="442" t="s">
        <v>21</v>
      </c>
      <c r="AI210" s="442" t="str">
        <f t="shared" si="29"/>
        <v/>
      </c>
      <c r="AK210" s="3" t="e">
        <f>IF(F210="", " ", VLOOKUP(F210,#REF!, 1, FALSE))</f>
        <v>#REF!</v>
      </c>
    </row>
    <row r="211" spans="1:37" ht="36" hidden="1" x14ac:dyDescent="0.25">
      <c r="A211" s="587" t="s">
        <v>2720</v>
      </c>
      <c r="B211" s="369" t="s">
        <v>23</v>
      </c>
      <c r="C211" s="588"/>
      <c r="D211" s="589" t="s">
        <v>2873</v>
      </c>
      <c r="E211" s="44" t="s">
        <v>27</v>
      </c>
      <c r="F211" s="214">
        <v>101010</v>
      </c>
      <c r="G211" s="587" t="s">
        <v>770</v>
      </c>
      <c r="H211" s="590" t="s">
        <v>55</v>
      </c>
      <c r="I211" s="591">
        <f>IF($F211="","",IF('TRECHO(S) A IMPRIMIR'!$B$1= 1, SUM(Q211, T211, W211, Z211), IF('TRECHO(S) A IMPRIMIR'!$B$1= 2, T211, IF('TRECHO(S) A IMPRIMIR'!$B$1= 3, W211, 0))))</f>
        <v>0</v>
      </c>
      <c r="J211" s="592">
        <v>17.260000000000002</v>
      </c>
      <c r="K211" s="593">
        <f t="shared" si="25"/>
        <v>0.2033513845915047</v>
      </c>
      <c r="L211" s="592">
        <f>IF(J211="","",
  IF(AND(J211&lt;&gt;"",K211=""),J211,J211 * (1 + K211)))</f>
        <v>20.769844898049374</v>
      </c>
      <c r="M211" s="594">
        <f>IF(OR(I211="",L211=""),"",I211*L211)</f>
        <v>0</v>
      </c>
      <c r="N211" s="439"/>
      <c r="O211" s="673"/>
      <c r="P211" s="361"/>
      <c r="Q211" s="441"/>
      <c r="R211" s="485"/>
      <c r="S211" s="442"/>
      <c r="T211" s="441">
        <f>'04-MLQ-CR-LAGOAS'!F203</f>
        <v>0</v>
      </c>
      <c r="U211" s="485"/>
      <c r="V211" s="442"/>
      <c r="W211" s="441">
        <f>'04-MLQ-CR-LAGOAS'!L203</f>
        <v>0</v>
      </c>
      <c r="X211" s="485"/>
      <c r="Y211" s="442"/>
      <c r="Z211" s="441"/>
      <c r="AA211" s="485"/>
      <c r="AB211" s="442"/>
      <c r="AC211" s="672"/>
      <c r="AD211" s="441" t="s">
        <v>21</v>
      </c>
      <c r="AE211" s="674" t="s">
        <v>21</v>
      </c>
      <c r="AF211" s="674" t="s">
        <v>21</v>
      </c>
      <c r="AG211" s="674" t="s">
        <v>21</v>
      </c>
      <c r="AH211" s="442" t="s">
        <v>21</v>
      </c>
      <c r="AI211" s="442" t="str">
        <f>IF(SUM(AD211:AH211)=0,"",M211 - SUM(AD211:AH211))</f>
        <v/>
      </c>
      <c r="AK211" s="3" t="e">
        <f>IF(F211="", " ", VLOOKUP(F211,#REF!, 1, FALSE))</f>
        <v>#REF!</v>
      </c>
    </row>
    <row r="212" spans="1:37" ht="48" hidden="1" x14ac:dyDescent="0.25">
      <c r="A212" s="587" t="s">
        <v>2721</v>
      </c>
      <c r="B212" s="369" t="s">
        <v>25</v>
      </c>
      <c r="C212" s="588"/>
      <c r="D212" s="589" t="s">
        <v>2874</v>
      </c>
      <c r="E212" s="44" t="s">
        <v>27</v>
      </c>
      <c r="F212" s="214">
        <v>100954</v>
      </c>
      <c r="G212" s="587" t="s">
        <v>794</v>
      </c>
      <c r="H212" s="590" t="s">
        <v>42</v>
      </c>
      <c r="I212" s="591">
        <f>IF($F212="","",IF('TRECHO(S) A IMPRIMIR'!$B$1= 1, SUM(Q212, T212, W212, Z212), IF('TRECHO(S) A IMPRIMIR'!$B$1= 2, T212, IF('TRECHO(S) A IMPRIMIR'!$B$1= 3, W212, 0))))</f>
        <v>0</v>
      </c>
      <c r="J212" s="592">
        <v>5.41</v>
      </c>
      <c r="K212" s="593">
        <f t="shared" si="25"/>
        <v>0.2033513845915047</v>
      </c>
      <c r="L212" s="592">
        <f>IF(J212="","",
  IF(AND(J212&lt;&gt;"",K212=""),J212,J212 * (1 + K212)))</f>
        <v>6.5101309906400404</v>
      </c>
      <c r="M212" s="594">
        <f>IF(OR(I212="",L212=""),"",I212*L212)</f>
        <v>0</v>
      </c>
      <c r="N212" s="439"/>
      <c r="O212" s="673"/>
      <c r="P212" s="361"/>
      <c r="Q212" s="441">
        <f>Q211 * S212</f>
        <v>0</v>
      </c>
      <c r="R212" s="485"/>
      <c r="S212" s="442">
        <v>0</v>
      </c>
      <c r="T212" s="441">
        <f>T211 * V212</f>
        <v>0</v>
      </c>
      <c r="U212" s="485"/>
      <c r="V212" s="442">
        <f>'MLQ-DMT-TR1'!$E$16</f>
        <v>1</v>
      </c>
      <c r="W212" s="578">
        <f>W211 * Y212</f>
        <v>0</v>
      </c>
      <c r="X212" s="485"/>
      <c r="Y212" s="442">
        <f>'MLQ-DMT-TR3'!$E$16</f>
        <v>0.6</v>
      </c>
      <c r="Z212" s="441">
        <f>Z211 * AB212</f>
        <v>0</v>
      </c>
      <c r="AA212" s="485"/>
      <c r="AB212" s="442">
        <v>0</v>
      </c>
      <c r="AC212" s="672"/>
      <c r="AD212" s="441" t="s">
        <v>21</v>
      </c>
      <c r="AE212" s="674" t="s">
        <v>21</v>
      </c>
      <c r="AF212" s="674" t="s">
        <v>21</v>
      </c>
      <c r="AG212" s="674" t="s">
        <v>21</v>
      </c>
      <c r="AH212" s="442" t="s">
        <v>21</v>
      </c>
      <c r="AI212" s="442" t="str">
        <f>IF(SUM(AD212:AH212)=0,"",M212 - SUM(AD212:AH212))</f>
        <v/>
      </c>
      <c r="AK212" s="3" t="e">
        <f>IF(F212="", " ", VLOOKUP(F212,#REF!, 1, FALSE))</f>
        <v>#REF!</v>
      </c>
    </row>
    <row r="213" spans="1:37" ht="36" hidden="1" x14ac:dyDescent="0.25">
      <c r="A213" s="587" t="s">
        <v>1864</v>
      </c>
      <c r="B213" s="369" t="s">
        <v>1880</v>
      </c>
      <c r="C213" s="588"/>
      <c r="D213" s="589" t="s">
        <v>2875</v>
      </c>
      <c r="E213" s="44" t="s">
        <v>27</v>
      </c>
      <c r="F213" s="214">
        <v>96544</v>
      </c>
      <c r="G213" s="587" t="s">
        <v>496</v>
      </c>
      <c r="H213" s="590" t="s">
        <v>54</v>
      </c>
      <c r="I213" s="591">
        <f>IF($F213="","",IF('TRECHO(S) A IMPRIMIR'!$B$1= 1, SUM(Q213, T213, W213, Z213), IF('TRECHO(S) A IMPRIMIR'!$B$1= 2, T213, IF('TRECHO(S) A IMPRIMIR'!$B$1= 3, W213, 0))))</f>
        <v>0</v>
      </c>
      <c r="J213" s="592">
        <v>17.350000000000001</v>
      </c>
      <c r="K213" s="593">
        <f t="shared" si="25"/>
        <v>0.2033513845915047</v>
      </c>
      <c r="L213" s="592">
        <f t="shared" si="30"/>
        <v>20.878146522662608</v>
      </c>
      <c r="M213" s="594">
        <f t="shared" si="31"/>
        <v>0</v>
      </c>
      <c r="N213" s="439"/>
      <c r="O213" s="673"/>
      <c r="P213" s="361"/>
      <c r="Q213" s="441"/>
      <c r="R213" s="485"/>
      <c r="S213" s="442"/>
      <c r="T213" s="441">
        <f>'04-MLQ-CR-LAGOAS'!F205</f>
        <v>0</v>
      </c>
      <c r="U213" s="485"/>
      <c r="V213" s="442"/>
      <c r="W213" s="441">
        <f>'04-MLQ-CR-LAGOAS'!L205</f>
        <v>0</v>
      </c>
      <c r="X213" s="485"/>
      <c r="Y213" s="442"/>
      <c r="Z213" s="441"/>
      <c r="AA213" s="485"/>
      <c r="AB213" s="442"/>
      <c r="AC213" s="672"/>
      <c r="AD213" s="441" t="s">
        <v>21</v>
      </c>
      <c r="AE213" s="674" t="s">
        <v>21</v>
      </c>
      <c r="AF213" s="674" t="s">
        <v>21</v>
      </c>
      <c r="AG213" s="674" t="s">
        <v>21</v>
      </c>
      <c r="AH213" s="442" t="s">
        <v>21</v>
      </c>
      <c r="AI213" s="442" t="str">
        <f t="shared" si="29"/>
        <v/>
      </c>
      <c r="AK213" s="3" t="e">
        <f>IF(F213="", " ", VLOOKUP(F213,#REF!, 1, FALSE))</f>
        <v>#REF!</v>
      </c>
    </row>
    <row r="214" spans="1:37" ht="24" hidden="1" x14ac:dyDescent="0.25">
      <c r="A214" s="587" t="s">
        <v>1864</v>
      </c>
      <c r="B214" s="369" t="s">
        <v>1880</v>
      </c>
      <c r="C214" s="588"/>
      <c r="D214" s="589" t="s">
        <v>2876</v>
      </c>
      <c r="E214" s="44" t="s">
        <v>27</v>
      </c>
      <c r="F214" s="214">
        <v>96545</v>
      </c>
      <c r="G214" s="587" t="s">
        <v>497</v>
      </c>
      <c r="H214" s="590" t="s">
        <v>54</v>
      </c>
      <c r="I214" s="591">
        <f>IF($F214="","",IF('TRECHO(S) A IMPRIMIR'!$B$1= 1, SUM(Q214, T214, W214, Z214), IF('TRECHO(S) A IMPRIMIR'!$B$1= 2, T214, IF('TRECHO(S) A IMPRIMIR'!$B$1= 3, W214, 0))))</f>
        <v>0</v>
      </c>
      <c r="J214" s="592">
        <v>16.16</v>
      </c>
      <c r="K214" s="593">
        <f t="shared" si="25"/>
        <v>0.2033513845915047</v>
      </c>
      <c r="L214" s="592">
        <f t="shared" si="30"/>
        <v>19.446158374998717</v>
      </c>
      <c r="M214" s="594">
        <f t="shared" si="31"/>
        <v>0</v>
      </c>
      <c r="N214" s="439"/>
      <c r="O214" s="673"/>
      <c r="P214" s="361"/>
      <c r="Q214" s="441"/>
      <c r="R214" s="485"/>
      <c r="S214" s="442"/>
      <c r="T214" s="441">
        <f>'04-MLQ-CR-LAGOAS'!F206</f>
        <v>0</v>
      </c>
      <c r="U214" s="485"/>
      <c r="V214" s="442"/>
      <c r="W214" s="441">
        <f>'04-MLQ-CR-LAGOAS'!L206</f>
        <v>0</v>
      </c>
      <c r="X214" s="485"/>
      <c r="Y214" s="442"/>
      <c r="Z214" s="441"/>
      <c r="AA214" s="485"/>
      <c r="AB214" s="442"/>
      <c r="AC214" s="672"/>
      <c r="AD214" s="441" t="s">
        <v>21</v>
      </c>
      <c r="AE214" s="674" t="s">
        <v>21</v>
      </c>
      <c r="AF214" s="674" t="s">
        <v>21</v>
      </c>
      <c r="AG214" s="674" t="s">
        <v>21</v>
      </c>
      <c r="AH214" s="442" t="s">
        <v>21</v>
      </c>
      <c r="AI214" s="442" t="str">
        <f t="shared" si="29"/>
        <v/>
      </c>
      <c r="AK214" s="3" t="e">
        <f>IF(F214="", " ", VLOOKUP(F214,#REF!, 1, FALSE))</f>
        <v>#REF!</v>
      </c>
    </row>
    <row r="215" spans="1:37" ht="36" hidden="1" x14ac:dyDescent="0.25">
      <c r="A215" s="587" t="s">
        <v>1864</v>
      </c>
      <c r="B215" s="369" t="s">
        <v>1880</v>
      </c>
      <c r="C215" s="588"/>
      <c r="D215" s="589" t="s">
        <v>2877</v>
      </c>
      <c r="E215" s="44" t="s">
        <v>27</v>
      </c>
      <c r="F215" s="214">
        <v>96546</v>
      </c>
      <c r="G215" s="587" t="s">
        <v>494</v>
      </c>
      <c r="H215" s="590" t="s">
        <v>54</v>
      </c>
      <c r="I215" s="591">
        <f>IF($F215="","",IF('TRECHO(S) A IMPRIMIR'!$B$1= 1, SUM(Q215, T215, W215, Z215), IF('TRECHO(S) A IMPRIMIR'!$B$1= 2, T215, IF('TRECHO(S) A IMPRIMIR'!$B$1= 3, W215, 0))))</f>
        <v>0</v>
      </c>
      <c r="J215" s="592">
        <v>14.4</v>
      </c>
      <c r="K215" s="593">
        <f t="shared" si="25"/>
        <v>0.2033513845915047</v>
      </c>
      <c r="L215" s="592">
        <f t="shared" si="30"/>
        <v>17.328259938117668</v>
      </c>
      <c r="M215" s="594">
        <f t="shared" si="31"/>
        <v>0</v>
      </c>
      <c r="N215" s="439"/>
      <c r="O215" s="673"/>
      <c r="P215" s="361"/>
      <c r="Q215" s="441"/>
      <c r="R215" s="485"/>
      <c r="S215" s="442"/>
      <c r="T215" s="441">
        <f>'04-MLQ-CR-LAGOAS'!F207</f>
        <v>0</v>
      </c>
      <c r="U215" s="485"/>
      <c r="V215" s="442"/>
      <c r="W215" s="441">
        <f>'04-MLQ-CR-LAGOAS'!L207</f>
        <v>0</v>
      </c>
      <c r="X215" s="485"/>
      <c r="Y215" s="442"/>
      <c r="Z215" s="441"/>
      <c r="AA215" s="485"/>
      <c r="AB215" s="442"/>
      <c r="AC215" s="672"/>
      <c r="AD215" s="441" t="s">
        <v>21</v>
      </c>
      <c r="AE215" s="674" t="s">
        <v>21</v>
      </c>
      <c r="AF215" s="674" t="s">
        <v>21</v>
      </c>
      <c r="AG215" s="674" t="s">
        <v>21</v>
      </c>
      <c r="AH215" s="442" t="s">
        <v>21</v>
      </c>
      <c r="AI215" s="442" t="str">
        <f t="shared" si="29"/>
        <v/>
      </c>
      <c r="AK215" s="3" t="e">
        <f>IF(F215="", " ", VLOOKUP(F215,#REF!, 1, FALSE))</f>
        <v>#REF!</v>
      </c>
    </row>
    <row r="216" spans="1:37" ht="36" hidden="1" x14ac:dyDescent="0.25">
      <c r="A216" s="587" t="s">
        <v>1864</v>
      </c>
      <c r="B216" s="369" t="s">
        <v>1880</v>
      </c>
      <c r="C216" s="588"/>
      <c r="D216" s="589" t="s">
        <v>2878</v>
      </c>
      <c r="E216" s="44" t="s">
        <v>27</v>
      </c>
      <c r="F216" s="214">
        <v>96547</v>
      </c>
      <c r="G216" s="587" t="s">
        <v>495</v>
      </c>
      <c r="H216" s="590" t="s">
        <v>54</v>
      </c>
      <c r="I216" s="591">
        <f>IF($F216="","",IF('TRECHO(S) A IMPRIMIR'!$B$1= 1, SUM(Q216, T216, W216, Z216), IF('TRECHO(S) A IMPRIMIR'!$B$1= 2, T216, IF('TRECHO(S) A IMPRIMIR'!$B$1= 3, W216, 0))))</f>
        <v>0</v>
      </c>
      <c r="J216" s="592">
        <v>12.14</v>
      </c>
      <c r="K216" s="593">
        <f t="shared" si="25"/>
        <v>0.2033513845915047</v>
      </c>
      <c r="L216" s="592">
        <f t="shared" si="30"/>
        <v>14.608685808940868</v>
      </c>
      <c r="M216" s="594">
        <f t="shared" si="31"/>
        <v>0</v>
      </c>
      <c r="N216" s="439"/>
      <c r="O216" s="673"/>
      <c r="P216" s="361"/>
      <c r="Q216" s="441"/>
      <c r="R216" s="485"/>
      <c r="S216" s="442"/>
      <c r="T216" s="441">
        <f>'04-MLQ-CR-LAGOAS'!F208</f>
        <v>0</v>
      </c>
      <c r="U216" s="485"/>
      <c r="V216" s="442"/>
      <c r="W216" s="441">
        <f>'04-MLQ-CR-LAGOAS'!L208</f>
        <v>0</v>
      </c>
      <c r="X216" s="485"/>
      <c r="Y216" s="442"/>
      <c r="Z216" s="441"/>
      <c r="AA216" s="485"/>
      <c r="AB216" s="442"/>
      <c r="AC216" s="672"/>
      <c r="AD216" s="441" t="s">
        <v>21</v>
      </c>
      <c r="AE216" s="674" t="s">
        <v>21</v>
      </c>
      <c r="AF216" s="674" t="s">
        <v>21</v>
      </c>
      <c r="AG216" s="674" t="s">
        <v>21</v>
      </c>
      <c r="AH216" s="442" t="s">
        <v>21</v>
      </c>
      <c r="AI216" s="442" t="str">
        <f t="shared" si="29"/>
        <v/>
      </c>
      <c r="AK216" s="3" t="e">
        <f>IF(F216="", " ", VLOOKUP(F216,#REF!, 1, FALSE))</f>
        <v>#REF!</v>
      </c>
    </row>
    <row r="217" spans="1:37" ht="36" hidden="1" x14ac:dyDescent="0.25">
      <c r="A217" s="587" t="s">
        <v>1865</v>
      </c>
      <c r="B217" s="369" t="s">
        <v>28</v>
      </c>
      <c r="C217" s="588"/>
      <c r="D217" s="589" t="s">
        <v>2879</v>
      </c>
      <c r="E217" s="44" t="s">
        <v>27</v>
      </c>
      <c r="F217" s="214">
        <v>94965</v>
      </c>
      <c r="G217" s="587" t="s">
        <v>3659</v>
      </c>
      <c r="H217" s="590" t="s">
        <v>44</v>
      </c>
      <c r="I217" s="591">
        <f>IF($F217="","",IF('TRECHO(S) A IMPRIMIR'!$B$1= 1, SUM(Q217, T217, W217, Z217), IF('TRECHO(S) A IMPRIMIR'!$B$1= 2, T217, IF('TRECHO(S) A IMPRIMIR'!$B$1= 3, W217, 0))))</f>
        <v>0</v>
      </c>
      <c r="J217" s="592">
        <v>402.84</v>
      </c>
      <c r="K217" s="593">
        <f t="shared" si="25"/>
        <v>0.2033513845915047</v>
      </c>
      <c r="L217" s="592">
        <f t="shared" si="30"/>
        <v>484.75807176884172</v>
      </c>
      <c r="M217" s="594">
        <f t="shared" si="31"/>
        <v>0</v>
      </c>
      <c r="N217" s="439"/>
      <c r="O217" s="673"/>
      <c r="P217" s="361"/>
      <c r="Q217" s="441"/>
      <c r="R217" s="485"/>
      <c r="S217" s="442"/>
      <c r="T217" s="441">
        <f>'04-MLQ-CR-LAGOAS'!F209</f>
        <v>0</v>
      </c>
      <c r="U217" s="485"/>
      <c r="V217" s="442"/>
      <c r="W217" s="441">
        <f>'04-MLQ-CR-LAGOAS'!L209</f>
        <v>0</v>
      </c>
      <c r="X217" s="485"/>
      <c r="Y217" s="442"/>
      <c r="Z217" s="441"/>
      <c r="AA217" s="485"/>
      <c r="AB217" s="442"/>
      <c r="AC217" s="672"/>
      <c r="AD217" s="441" t="s">
        <v>21</v>
      </c>
      <c r="AE217" s="674" t="s">
        <v>21</v>
      </c>
      <c r="AF217" s="674" t="s">
        <v>21</v>
      </c>
      <c r="AG217" s="674" t="s">
        <v>21</v>
      </c>
      <c r="AH217" s="442" t="s">
        <v>21</v>
      </c>
      <c r="AI217" s="442" t="str">
        <f t="shared" si="29"/>
        <v/>
      </c>
      <c r="AK217" s="3" t="e">
        <f>IF(F217="", " ", VLOOKUP(F217,#REF!, 1, FALSE))</f>
        <v>#REF!</v>
      </c>
    </row>
    <row r="218" spans="1:37" ht="36" hidden="1" x14ac:dyDescent="0.25">
      <c r="A218" s="587" t="s">
        <v>2727</v>
      </c>
      <c r="B218" s="369" t="s">
        <v>28</v>
      </c>
      <c r="C218" s="588"/>
      <c r="D218" s="589" t="s">
        <v>2946</v>
      </c>
      <c r="E218" s="44" t="s">
        <v>27</v>
      </c>
      <c r="F218" s="214">
        <v>92873</v>
      </c>
      <c r="G218" s="587" t="s">
        <v>595</v>
      </c>
      <c r="H218" s="590" t="s">
        <v>44</v>
      </c>
      <c r="I218" s="591">
        <f>IF($F218="","",IF('TRECHO(S) A IMPRIMIR'!$B$1= 1, SUM(Q218, T218, W218, Z218), IF('TRECHO(S) A IMPRIMIR'!$B$1= 2, T218, IF('TRECHO(S) A IMPRIMIR'!$B$1= 3, W218, 0))))</f>
        <v>0</v>
      </c>
      <c r="J218" s="592">
        <v>186.89</v>
      </c>
      <c r="K218" s="593">
        <f t="shared" si="25"/>
        <v>0.2033513845915047</v>
      </c>
      <c r="L218" s="592">
        <f t="shared" si="30"/>
        <v>224.8943402663063</v>
      </c>
      <c r="M218" s="594">
        <f t="shared" si="31"/>
        <v>0</v>
      </c>
      <c r="N218" s="439"/>
      <c r="O218" s="673"/>
      <c r="P218" s="361"/>
      <c r="Q218" s="441"/>
      <c r="R218" s="485"/>
      <c r="S218" s="442"/>
      <c r="T218" s="441">
        <f>'04-MLQ-CR-LAGOAS'!F210</f>
        <v>0</v>
      </c>
      <c r="U218" s="485"/>
      <c r="V218" s="442"/>
      <c r="W218" s="441">
        <f>'04-MLQ-CR-LAGOAS'!L210</f>
        <v>0</v>
      </c>
      <c r="X218" s="485"/>
      <c r="Y218" s="442"/>
      <c r="Z218" s="441"/>
      <c r="AA218" s="485"/>
      <c r="AB218" s="442"/>
      <c r="AC218" s="672"/>
      <c r="AD218" s="441" t="s">
        <v>21</v>
      </c>
      <c r="AE218" s="674" t="s">
        <v>21</v>
      </c>
      <c r="AF218" s="674" t="s">
        <v>21</v>
      </c>
      <c r="AG218" s="674" t="s">
        <v>21</v>
      </c>
      <c r="AH218" s="442" t="s">
        <v>21</v>
      </c>
      <c r="AI218" s="442" t="str">
        <f t="shared" si="29"/>
        <v/>
      </c>
      <c r="AK218" s="3" t="e">
        <f>IF(F218="", " ", VLOOKUP(F218,#REF!, 1, FALSE))</f>
        <v>#REF!</v>
      </c>
    </row>
    <row r="219" spans="1:37" ht="24" hidden="1" x14ac:dyDescent="0.25">
      <c r="A219" s="587" t="s">
        <v>2724</v>
      </c>
      <c r="B219" s="369" t="s">
        <v>28</v>
      </c>
      <c r="C219" s="588"/>
      <c r="D219" s="589" t="s">
        <v>2947</v>
      </c>
      <c r="E219" s="44" t="s">
        <v>27</v>
      </c>
      <c r="F219" s="214">
        <v>93382</v>
      </c>
      <c r="G219" s="587" t="s">
        <v>40</v>
      </c>
      <c r="H219" s="590" t="s">
        <v>44</v>
      </c>
      <c r="I219" s="591">
        <f>IF($F219="","",IF('TRECHO(S) A IMPRIMIR'!$B$1= 1, SUM(Q219, T219, W219, Z219), IF('TRECHO(S) A IMPRIMIR'!$B$1= 2, T219, IF('TRECHO(S) A IMPRIMIR'!$B$1= 3, W219, 0))))</f>
        <v>0</v>
      </c>
      <c r="J219" s="592">
        <v>25.09</v>
      </c>
      <c r="K219" s="593">
        <f t="shared" si="25"/>
        <v>0.2033513845915047</v>
      </c>
      <c r="L219" s="592">
        <f t="shared" si="30"/>
        <v>30.192086239400854</v>
      </c>
      <c r="M219" s="594">
        <f t="shared" si="31"/>
        <v>0</v>
      </c>
      <c r="N219" s="439"/>
      <c r="O219" s="673"/>
      <c r="P219" s="361"/>
      <c r="Q219" s="441"/>
      <c r="R219" s="485"/>
      <c r="S219" s="442"/>
      <c r="T219" s="441">
        <f>'04-MLQ-CR-LAGOAS'!F211</f>
        <v>0</v>
      </c>
      <c r="U219" s="485"/>
      <c r="V219" s="442"/>
      <c r="W219" s="441">
        <f>'04-MLQ-CR-LAGOAS'!L211</f>
        <v>0</v>
      </c>
      <c r="X219" s="485"/>
      <c r="Y219" s="442"/>
      <c r="Z219" s="441"/>
      <c r="AA219" s="485"/>
      <c r="AB219" s="442"/>
      <c r="AC219" s="672"/>
      <c r="AD219" s="441" t="s">
        <v>21</v>
      </c>
      <c r="AE219" s="674" t="s">
        <v>21</v>
      </c>
      <c r="AF219" s="674" t="s">
        <v>21</v>
      </c>
      <c r="AG219" s="674" t="s">
        <v>21</v>
      </c>
      <c r="AH219" s="442" t="s">
        <v>21</v>
      </c>
      <c r="AI219" s="442" t="str">
        <f t="shared" si="29"/>
        <v/>
      </c>
      <c r="AK219" s="3" t="e">
        <f>IF(F219="", " ", VLOOKUP(F219,#REF!, 1, FALSE))</f>
        <v>#REF!</v>
      </c>
    </row>
    <row r="220" spans="1:37" ht="24" x14ac:dyDescent="0.25">
      <c r="A220" s="587" t="s">
        <v>3107</v>
      </c>
      <c r="B220" s="369"/>
      <c r="C220" s="588"/>
      <c r="D220" s="589" t="s">
        <v>2880</v>
      </c>
      <c r="E220" s="44"/>
      <c r="F220" s="214"/>
      <c r="G220" s="587" t="s">
        <v>3107</v>
      </c>
      <c r="H220" s="590" t="s">
        <v>21</v>
      </c>
      <c r="I220" s="591" t="str">
        <f>IF($F220="","",IF('TRECHO(S) A IMPRIMIR'!$B$1= 1, SUM(Q220, T220, W220, Z220), IF('TRECHO(S) A IMPRIMIR'!$B$1= 2, T220, IF('TRECHO(S) A IMPRIMIR'!$B$1= 3, W220, 0))))</f>
        <v/>
      </c>
      <c r="J220" s="592" t="s">
        <v>21</v>
      </c>
      <c r="K220" s="593" t="str">
        <f t="shared" si="25"/>
        <v/>
      </c>
      <c r="L220" s="592" t="str">
        <f t="shared" si="30"/>
        <v/>
      </c>
      <c r="M220" s="594" t="str">
        <f t="shared" si="31"/>
        <v/>
      </c>
      <c r="N220" s="439"/>
      <c r="O220" s="673"/>
      <c r="P220" s="361"/>
      <c r="Q220" s="441"/>
      <c r="R220" s="485"/>
      <c r="S220" s="442"/>
      <c r="T220" s="441"/>
      <c r="U220" s="485"/>
      <c r="V220" s="442"/>
      <c r="W220" s="578"/>
      <c r="X220" s="485"/>
      <c r="Y220" s="442"/>
      <c r="Z220" s="441"/>
      <c r="AA220" s="485"/>
      <c r="AB220" s="442"/>
      <c r="AC220" s="672"/>
      <c r="AD220" s="441" t="s">
        <v>21</v>
      </c>
      <c r="AE220" s="674" t="s">
        <v>21</v>
      </c>
      <c r="AF220" s="674" t="s">
        <v>21</v>
      </c>
      <c r="AG220" s="674" t="s">
        <v>21</v>
      </c>
      <c r="AH220" s="442" t="s">
        <v>21</v>
      </c>
      <c r="AI220" s="442" t="str">
        <f t="shared" si="29"/>
        <v/>
      </c>
      <c r="AK220" s="3" t="str">
        <f>IF(F220="", " ", VLOOKUP(F220,#REF!, 1, FALSE))</f>
        <v xml:space="preserve"> </v>
      </c>
    </row>
    <row r="221" spans="1:37" ht="36" hidden="1" x14ac:dyDescent="0.25">
      <c r="A221" s="587" t="s">
        <v>2567</v>
      </c>
      <c r="B221" s="369" t="s">
        <v>25</v>
      </c>
      <c r="C221" s="588"/>
      <c r="D221" s="589" t="s">
        <v>2881</v>
      </c>
      <c r="E221" s="44" t="s">
        <v>27</v>
      </c>
      <c r="F221" s="214">
        <v>95879</v>
      </c>
      <c r="G221" s="587" t="s">
        <v>789</v>
      </c>
      <c r="H221" s="590" t="s">
        <v>42</v>
      </c>
      <c r="I221" s="591">
        <f>IF($F221="","",IF('TRECHO(S) A IMPRIMIR'!$B$1= 1, SUM(Q221, T221, W221, Z221), IF('TRECHO(S) A IMPRIMIR'!$B$1= 2, T221, IF('TRECHO(S) A IMPRIMIR'!$B$1= 3, W221, 0))))</f>
        <v>0</v>
      </c>
      <c r="J221" s="592">
        <v>1.04</v>
      </c>
      <c r="K221" s="593">
        <f t="shared" ref="K221:K284" si="32">IF(AND(F221&lt;&gt;"", J221&lt;&gt;""),
  IF(OR(F221= "CP9001", F221= "CP9091", F221= "CP9092"), 0,
  IF(ISNA(VLOOKUP(F221, $M$626:$M$646, 1, FALSE)), $M$4, $M$5)), "")</f>
        <v>0.2033513845915047</v>
      </c>
      <c r="L221" s="592">
        <f>IF(J221="","",
  IF(AND(J221&lt;&gt;"",K221=""),J221,J221 * (1 + K221)))</f>
        <v>1.2514854399751649</v>
      </c>
      <c r="M221" s="594">
        <f>IF(OR(I221="",L221=""),"",I221*L221)</f>
        <v>0</v>
      </c>
      <c r="N221" s="439"/>
      <c r="O221" s="673"/>
      <c r="P221" s="361"/>
      <c r="Q221" s="441">
        <f>(Q224 * R224) * S221</f>
        <v>0</v>
      </c>
      <c r="R221" s="485"/>
      <c r="S221" s="442">
        <v>0</v>
      </c>
      <c r="T221" s="441">
        <f>(T224 * U224) * V221</f>
        <v>0</v>
      </c>
      <c r="U221" s="485"/>
      <c r="V221" s="1608"/>
      <c r="W221" s="578">
        <f>(W224 * X224) * Y221</f>
        <v>0</v>
      </c>
      <c r="X221" s="485"/>
      <c r="Y221" s="1608"/>
      <c r="Z221" s="441">
        <f>(Z224 * AA224) * AB221</f>
        <v>0</v>
      </c>
      <c r="AA221" s="485"/>
      <c r="AB221" s="442">
        <v>0</v>
      </c>
      <c r="AC221" s="672"/>
      <c r="AD221" s="441" t="s">
        <v>21</v>
      </c>
      <c r="AE221" s="674" t="s">
        <v>21</v>
      </c>
      <c r="AF221" s="674" t="s">
        <v>21</v>
      </c>
      <c r="AG221" s="674" t="s">
        <v>21</v>
      </c>
      <c r="AH221" s="442" t="s">
        <v>21</v>
      </c>
      <c r="AI221" s="442" t="str">
        <f>IF(SUM(AD221:AH221)=0,"",M221 - SUM(AD221:AH221))</f>
        <v/>
      </c>
      <c r="AK221" s="3" t="e">
        <f>IF(F221="", " ", VLOOKUP(F221,#REF!, 1, FALSE))</f>
        <v>#REF!</v>
      </c>
    </row>
    <row r="222" spans="1:37" ht="36" hidden="1" x14ac:dyDescent="0.25">
      <c r="A222" s="587" t="s">
        <v>2886</v>
      </c>
      <c r="B222" s="369" t="s">
        <v>25</v>
      </c>
      <c r="C222" s="588"/>
      <c r="D222" s="589" t="s">
        <v>2882</v>
      </c>
      <c r="E222" s="44" t="s">
        <v>27</v>
      </c>
      <c r="F222" s="214">
        <v>93599</v>
      </c>
      <c r="G222" s="587" t="s">
        <v>788</v>
      </c>
      <c r="H222" s="590" t="s">
        <v>42</v>
      </c>
      <c r="I222" s="591">
        <f>IF($F222="","",IF('TRECHO(S) A IMPRIMIR'!$B$1= 1, SUM(Q222, T222, W222, Z222), IF('TRECHO(S) A IMPRIMIR'!$B$1= 2, T222, IF('TRECHO(S) A IMPRIMIR'!$B$1= 3, W222, 0))))</f>
        <v>0</v>
      </c>
      <c r="J222" s="592">
        <v>0.41</v>
      </c>
      <c r="K222" s="593">
        <f t="shared" si="32"/>
        <v>0.2033513845915047</v>
      </c>
      <c r="L222" s="592">
        <f>IF(J222="","",
  IF(AND(J222&lt;&gt;"",K222=""),J222,J222 * (1 + K222)))</f>
        <v>0.4933740676825169</v>
      </c>
      <c r="M222" s="594">
        <f>IF(OR(I222="",L222=""),"",I222*L222)</f>
        <v>0</v>
      </c>
      <c r="N222" s="439"/>
      <c r="O222" s="673"/>
      <c r="P222" s="361"/>
      <c r="Q222" s="441">
        <f>(Q224 * R224) * S222</f>
        <v>0</v>
      </c>
      <c r="R222" s="485"/>
      <c r="S222" s="442">
        <v>0</v>
      </c>
      <c r="T222" s="441">
        <f>(T224 * U224) * V222</f>
        <v>0</v>
      </c>
      <c r="U222" s="485"/>
      <c r="V222" s="1608"/>
      <c r="W222" s="578">
        <f>(W224 * X224) * Y222</f>
        <v>0</v>
      </c>
      <c r="X222" s="485"/>
      <c r="Y222" s="1608"/>
      <c r="Z222" s="441">
        <f>(Z224 * AA224) * AB222</f>
        <v>0</v>
      </c>
      <c r="AA222" s="485"/>
      <c r="AB222" s="442">
        <v>0</v>
      </c>
      <c r="AC222" s="672"/>
      <c r="AD222" s="441" t="s">
        <v>21</v>
      </c>
      <c r="AE222" s="674" t="s">
        <v>21</v>
      </c>
      <c r="AF222" s="674" t="s">
        <v>21</v>
      </c>
      <c r="AG222" s="674" t="s">
        <v>21</v>
      </c>
      <c r="AH222" s="442" t="s">
        <v>21</v>
      </c>
      <c r="AI222" s="442" t="str">
        <f>IF(SUM(AD222:AH222)=0,"",M222 - SUM(AD222:AH222))</f>
        <v/>
      </c>
      <c r="AK222" s="3" t="e">
        <f>IF(F222="", " ", VLOOKUP(F222,#REF!, 1, FALSE))</f>
        <v>#REF!</v>
      </c>
    </row>
    <row r="223" spans="1:37" ht="36" hidden="1" x14ac:dyDescent="0.25">
      <c r="A223" s="587" t="s">
        <v>2887</v>
      </c>
      <c r="B223" s="369" t="s">
        <v>25</v>
      </c>
      <c r="C223" s="588"/>
      <c r="D223" s="589" t="s">
        <v>2883</v>
      </c>
      <c r="E223" s="44" t="s">
        <v>27</v>
      </c>
      <c r="F223" s="214">
        <v>100943</v>
      </c>
      <c r="G223" s="587" t="s">
        <v>786</v>
      </c>
      <c r="H223" s="590" t="s">
        <v>42</v>
      </c>
      <c r="I223" s="591">
        <f>IF($F223="","",IF('TRECHO(S) A IMPRIMIR'!$B$1= 1, SUM(Q223, T223, W223, Z223), IF('TRECHO(S) A IMPRIMIR'!$B$1= 2, T223, IF('TRECHO(S) A IMPRIMIR'!$B$1= 3, W223, 0))))</f>
        <v>0</v>
      </c>
      <c r="J223" s="592">
        <v>3.1</v>
      </c>
      <c r="K223" s="593">
        <f t="shared" si="32"/>
        <v>0.2033513845915047</v>
      </c>
      <c r="L223" s="592">
        <f>IF(J223="","",
  IF(AND(J223&lt;&gt;"",K223=""),J223,J223 * (1 + K223)))</f>
        <v>3.7303892922336646</v>
      </c>
      <c r="M223" s="594">
        <f>IF(OR(I223="",L223=""),"",I223*L223)</f>
        <v>0</v>
      </c>
      <c r="N223" s="439"/>
      <c r="O223" s="673"/>
      <c r="P223" s="361"/>
      <c r="Q223" s="441">
        <f>(Q224 * R224) * S223</f>
        <v>0</v>
      </c>
      <c r="R223" s="485"/>
      <c r="S223" s="442">
        <v>0</v>
      </c>
      <c r="T223" s="441">
        <f>(T224 * U224) * V223</f>
        <v>0</v>
      </c>
      <c r="U223" s="485"/>
      <c r="V223" s="1608"/>
      <c r="W223" s="578">
        <f>(W224 * X224) * Y223</f>
        <v>0</v>
      </c>
      <c r="X223" s="485"/>
      <c r="Y223" s="1608"/>
      <c r="Z223" s="441">
        <f>(Z224 * AA224) * AB223</f>
        <v>0</v>
      </c>
      <c r="AA223" s="485"/>
      <c r="AB223" s="442">
        <v>0</v>
      </c>
      <c r="AC223" s="672"/>
      <c r="AD223" s="441" t="s">
        <v>21</v>
      </c>
      <c r="AE223" s="674" t="s">
        <v>21</v>
      </c>
      <c r="AF223" s="674" t="s">
        <v>21</v>
      </c>
      <c r="AG223" s="674" t="s">
        <v>21</v>
      </c>
      <c r="AH223" s="442" t="s">
        <v>21</v>
      </c>
      <c r="AI223" s="442" t="str">
        <f>IF(SUM(AD223:AH223)=0,"",M223 - SUM(AD223:AH223))</f>
        <v/>
      </c>
      <c r="AK223" s="3" t="e">
        <f>IF(F223="", " ", VLOOKUP(F223,#REF!, 1, FALSE))</f>
        <v>#REF!</v>
      </c>
    </row>
    <row r="224" spans="1:37" ht="36" x14ac:dyDescent="0.25">
      <c r="A224" s="587" t="s">
        <v>2888</v>
      </c>
      <c r="B224" s="369" t="s">
        <v>28</v>
      </c>
      <c r="C224" s="588"/>
      <c r="D224" s="589" t="s">
        <v>2884</v>
      </c>
      <c r="E224" s="44" t="s">
        <v>27</v>
      </c>
      <c r="F224" s="214">
        <v>96624</v>
      </c>
      <c r="G224" s="587" t="s">
        <v>1306</v>
      </c>
      <c r="H224" s="590" t="s">
        <v>44</v>
      </c>
      <c r="I224" s="591">
        <v>1.92</v>
      </c>
      <c r="J224" s="592">
        <v>176</v>
      </c>
      <c r="K224" s="593">
        <v>0.2033513845915047</v>
      </c>
      <c r="L224" s="592">
        <v>211.78984368810484</v>
      </c>
      <c r="M224" s="594">
        <v>406.63649988116128</v>
      </c>
      <c r="N224" s="439"/>
      <c r="O224" s="673"/>
      <c r="P224" s="361"/>
      <c r="Q224" s="441"/>
      <c r="R224" s="485">
        <v>1.65</v>
      </c>
      <c r="S224" s="442"/>
      <c r="T224" s="441">
        <v>1.92</v>
      </c>
      <c r="U224" s="485">
        <v>1.65</v>
      </c>
      <c r="V224" s="442"/>
      <c r="W224" s="441">
        <v>0</v>
      </c>
      <c r="X224" s="485">
        <v>1.65</v>
      </c>
      <c r="Y224" s="442"/>
      <c r="Z224" s="441"/>
      <c r="AA224" s="485">
        <v>1.65</v>
      </c>
      <c r="AB224" s="442"/>
      <c r="AC224" s="672"/>
      <c r="AD224" s="441">
        <v>51.476484189501548</v>
      </c>
      <c r="AE224" s="674">
        <v>355.09070265190724</v>
      </c>
      <c r="AF224" s="674">
        <v>6.9313039752470662E-2</v>
      </c>
      <c r="AG224" s="674">
        <v>0</v>
      </c>
      <c r="AH224" s="442">
        <v>0</v>
      </c>
      <c r="AI224" s="442">
        <v>5.6843418860808015E-14</v>
      </c>
      <c r="AK224" s="3" t="e">
        <f>IF(F224="", " ", VLOOKUP(F224,#REF!, 1, FALSE))</f>
        <v>#REF!</v>
      </c>
    </row>
    <row r="225" spans="1:37" ht="36" x14ac:dyDescent="0.25">
      <c r="A225" s="587" t="s">
        <v>1288</v>
      </c>
      <c r="B225" s="369" t="s">
        <v>28</v>
      </c>
      <c r="C225" s="588"/>
      <c r="D225" s="589" t="s">
        <v>2885</v>
      </c>
      <c r="E225" s="44" t="s">
        <v>27</v>
      </c>
      <c r="F225" s="214">
        <v>94962</v>
      </c>
      <c r="G225" s="587" t="s">
        <v>3658</v>
      </c>
      <c r="H225" s="590" t="s">
        <v>44</v>
      </c>
      <c r="I225" s="591">
        <v>0.9</v>
      </c>
      <c r="J225" s="592">
        <v>329.54</v>
      </c>
      <c r="K225" s="593">
        <v>0.2033513845915047</v>
      </c>
      <c r="L225" s="592">
        <v>396.55241527828446</v>
      </c>
      <c r="M225" s="594">
        <v>356.89717375045603</v>
      </c>
      <c r="N225" s="439"/>
      <c r="O225" s="673"/>
      <c r="P225" s="361"/>
      <c r="Q225" s="441"/>
      <c r="R225" s="485"/>
      <c r="S225" s="442"/>
      <c r="T225" s="441">
        <v>0.9</v>
      </c>
      <c r="U225" s="485"/>
      <c r="V225" s="442"/>
      <c r="W225" s="441">
        <v>0</v>
      </c>
      <c r="X225" s="485"/>
      <c r="Y225" s="442"/>
      <c r="Z225" s="441"/>
      <c r="AA225" s="485"/>
      <c r="AB225" s="442"/>
      <c r="AC225" s="672"/>
      <c r="AD225" s="441">
        <v>49.623804397784468</v>
      </c>
      <c r="AE225" s="674">
        <v>305.96291969485139</v>
      </c>
      <c r="AF225" s="674">
        <v>0.64980974767941257</v>
      </c>
      <c r="AG225" s="674">
        <v>0</v>
      </c>
      <c r="AH225" s="442">
        <v>0.66063991014073609</v>
      </c>
      <c r="AI225" s="442">
        <v>5.6843418860808015E-14</v>
      </c>
      <c r="AK225" s="3" t="e">
        <f>IF(F225="", " ", VLOOKUP(F225,#REF!, 1, FALSE))</f>
        <v>#REF!</v>
      </c>
    </row>
    <row r="226" spans="1:37" ht="48" x14ac:dyDescent="0.25">
      <c r="A226" s="587" t="s">
        <v>1871</v>
      </c>
      <c r="B226" s="369" t="s">
        <v>20</v>
      </c>
      <c r="C226" s="588"/>
      <c r="D226" s="589" t="s">
        <v>2890</v>
      </c>
      <c r="E226" s="44" t="s">
        <v>27</v>
      </c>
      <c r="F226" s="214">
        <v>100341</v>
      </c>
      <c r="G226" s="587" t="s">
        <v>582</v>
      </c>
      <c r="H226" s="590" t="s">
        <v>51</v>
      </c>
      <c r="I226" s="591">
        <v>166.43</v>
      </c>
      <c r="J226" s="592">
        <v>29.98</v>
      </c>
      <c r="K226" s="593">
        <v>0.2033513845915047</v>
      </c>
      <c r="L226" s="592">
        <v>36.076474510053309</v>
      </c>
      <c r="M226" s="594">
        <v>6004.2076527081726</v>
      </c>
      <c r="N226" s="439"/>
      <c r="O226" s="673"/>
      <c r="P226" s="361"/>
      <c r="Q226" s="441"/>
      <c r="R226" s="485"/>
      <c r="S226" s="442"/>
      <c r="T226" s="441">
        <v>166.43</v>
      </c>
      <c r="U226" s="485"/>
      <c r="V226" s="442"/>
      <c r="W226" s="441">
        <v>0</v>
      </c>
      <c r="X226" s="485"/>
      <c r="Y226" s="442"/>
      <c r="Z226" s="441"/>
      <c r="AA226" s="485"/>
      <c r="AB226" s="442"/>
      <c r="AC226" s="672"/>
      <c r="AD226" s="441">
        <v>2415.3016775070237</v>
      </c>
      <c r="AE226" s="674">
        <v>2829.8683833477812</v>
      </c>
      <c r="AF226" s="674">
        <v>759.0375918533681</v>
      </c>
      <c r="AG226" s="674">
        <v>0</v>
      </c>
      <c r="AH226" s="442">
        <v>0</v>
      </c>
      <c r="AI226" s="442">
        <v>-9.0949470177292824E-13</v>
      </c>
      <c r="AK226" s="3" t="e">
        <f>IF(F226="", " ", VLOOKUP(F226,#REF!, 1, FALSE))</f>
        <v>#REF!</v>
      </c>
    </row>
    <row r="227" spans="1:37" ht="36" x14ac:dyDescent="0.25">
      <c r="A227" s="587" t="s">
        <v>2720</v>
      </c>
      <c r="B227" s="369" t="s">
        <v>23</v>
      </c>
      <c r="C227" s="588"/>
      <c r="D227" s="589" t="s">
        <v>2891</v>
      </c>
      <c r="E227" s="44" t="s">
        <v>27</v>
      </c>
      <c r="F227" s="214">
        <v>101010</v>
      </c>
      <c r="G227" s="587" t="s">
        <v>770</v>
      </c>
      <c r="H227" s="590" t="s">
        <v>55</v>
      </c>
      <c r="I227" s="591">
        <v>2.8824000000000001</v>
      </c>
      <c r="J227" s="592">
        <v>17.260000000000002</v>
      </c>
      <c r="K227" s="593">
        <v>0.2033513845915047</v>
      </c>
      <c r="L227" s="592">
        <v>20.769844898049374</v>
      </c>
      <c r="M227" s="594">
        <v>59.867000934137515</v>
      </c>
      <c r="N227" s="439"/>
      <c r="O227" s="673"/>
      <c r="P227" s="361"/>
      <c r="Q227" s="441"/>
      <c r="R227" s="485"/>
      <c r="S227" s="442"/>
      <c r="T227" s="441">
        <v>2.8824000000000001</v>
      </c>
      <c r="U227" s="485"/>
      <c r="V227" s="442"/>
      <c r="W227" s="441">
        <v>0</v>
      </c>
      <c r="X227" s="485"/>
      <c r="Y227" s="442"/>
      <c r="Z227" s="441"/>
      <c r="AA227" s="485"/>
      <c r="AB227" s="442"/>
      <c r="AC227" s="672"/>
      <c r="AD227" s="441">
        <v>5.8618326522996744</v>
      </c>
      <c r="AE227" s="674">
        <v>39.47198555217178</v>
      </c>
      <c r="AF227" s="674">
        <v>14.533182729666061</v>
      </c>
      <c r="AG227" s="674">
        <v>0</v>
      </c>
      <c r="AH227" s="442">
        <v>0</v>
      </c>
      <c r="AI227" s="442">
        <v>0</v>
      </c>
      <c r="AK227" s="3" t="e">
        <f>IF(F227="", " ", VLOOKUP(F227,#REF!, 1, FALSE))</f>
        <v>#REF!</v>
      </c>
    </row>
    <row r="228" spans="1:37" ht="48" x14ac:dyDescent="0.25">
      <c r="A228" s="587" t="s">
        <v>2721</v>
      </c>
      <c r="B228" s="369" t="s">
        <v>25</v>
      </c>
      <c r="C228" s="588"/>
      <c r="D228" s="589" t="s">
        <v>2892</v>
      </c>
      <c r="E228" s="44" t="s">
        <v>27</v>
      </c>
      <c r="F228" s="214">
        <v>100954</v>
      </c>
      <c r="G228" s="587" t="s">
        <v>794</v>
      </c>
      <c r="H228" s="590" t="s">
        <v>42</v>
      </c>
      <c r="I228" s="591">
        <v>2.8824000000000001</v>
      </c>
      <c r="J228" s="592">
        <v>5.41</v>
      </c>
      <c r="K228" s="593">
        <v>0.2033513845915047</v>
      </c>
      <c r="L228" s="592">
        <v>6.5101309906400404</v>
      </c>
      <c r="M228" s="594">
        <v>18.764801567420854</v>
      </c>
      <c r="N228" s="439"/>
      <c r="O228" s="673"/>
      <c r="P228" s="361"/>
      <c r="Q228" s="441">
        <v>0</v>
      </c>
      <c r="R228" s="485"/>
      <c r="S228" s="442">
        <v>0</v>
      </c>
      <c r="T228" s="441">
        <v>2.8824000000000001</v>
      </c>
      <c r="U228" s="485"/>
      <c r="V228" s="442">
        <v>1</v>
      </c>
      <c r="W228" s="578">
        <v>0</v>
      </c>
      <c r="X228" s="485"/>
      <c r="Y228" s="442">
        <v>0.6</v>
      </c>
      <c r="Z228" s="441">
        <v>0</v>
      </c>
      <c r="AA228" s="485"/>
      <c r="AB228" s="442">
        <v>0</v>
      </c>
      <c r="AC228" s="672"/>
      <c r="AD228" s="441">
        <v>1.8036408160922079</v>
      </c>
      <c r="AE228" s="674">
        <v>12.486744111407592</v>
      </c>
      <c r="AF228" s="674">
        <v>4.4744166399210537</v>
      </c>
      <c r="AG228" s="674">
        <v>0</v>
      </c>
      <c r="AH228" s="442">
        <v>0</v>
      </c>
      <c r="AI228" s="442">
        <v>0</v>
      </c>
      <c r="AK228" s="3" t="e">
        <f>IF(F228="", " ", VLOOKUP(F228,#REF!, 1, FALSE))</f>
        <v>#REF!</v>
      </c>
    </row>
    <row r="229" spans="1:37" ht="48" x14ac:dyDescent="0.25">
      <c r="A229" s="587" t="s">
        <v>1864</v>
      </c>
      <c r="B229" s="369" t="s">
        <v>1880</v>
      </c>
      <c r="C229" s="588"/>
      <c r="D229" s="589" t="s">
        <v>2893</v>
      </c>
      <c r="E229" s="44" t="s">
        <v>27</v>
      </c>
      <c r="F229" s="214">
        <v>92916</v>
      </c>
      <c r="G229" s="587" t="s">
        <v>507</v>
      </c>
      <c r="H229" s="590" t="s">
        <v>54</v>
      </c>
      <c r="I229" s="591">
        <v>480.4</v>
      </c>
      <c r="J229" s="592">
        <v>16.38</v>
      </c>
      <c r="K229" s="593">
        <v>0.2033513845915047</v>
      </c>
      <c r="L229" s="592">
        <v>19.710895679608846</v>
      </c>
      <c r="M229" s="594">
        <v>9469.1142844840888</v>
      </c>
      <c r="N229" s="439"/>
      <c r="O229" s="673"/>
      <c r="P229" s="361"/>
      <c r="Q229" s="441"/>
      <c r="R229" s="485"/>
      <c r="S229" s="442"/>
      <c r="T229" s="441">
        <v>480.4</v>
      </c>
      <c r="U229" s="485"/>
      <c r="V229" s="442"/>
      <c r="W229" s="441">
        <v>0</v>
      </c>
      <c r="X229" s="485"/>
      <c r="Y229" s="442"/>
      <c r="Z229" s="441"/>
      <c r="AA229" s="485"/>
      <c r="AB229" s="442"/>
      <c r="AC229" s="672"/>
      <c r="AD229" s="441">
        <v>1977.0678176395352</v>
      </c>
      <c r="AE229" s="674">
        <v>7492.0464668445557</v>
      </c>
      <c r="AF229" s="674">
        <v>0</v>
      </c>
      <c r="AG229" s="674">
        <v>0</v>
      </c>
      <c r="AH229" s="442">
        <v>0</v>
      </c>
      <c r="AI229" s="442">
        <v>-1.8189894035458565E-12</v>
      </c>
      <c r="AK229" s="3" t="e">
        <f>IF(F229="", " ", VLOOKUP(F229,#REF!, 1, FALSE))</f>
        <v>#REF!</v>
      </c>
    </row>
    <row r="230" spans="1:37" ht="48" x14ac:dyDescent="0.25">
      <c r="A230" s="587" t="s">
        <v>1864</v>
      </c>
      <c r="B230" s="369" t="s">
        <v>1880</v>
      </c>
      <c r="C230" s="588"/>
      <c r="D230" s="589" t="s">
        <v>2894</v>
      </c>
      <c r="E230" s="44" t="s">
        <v>27</v>
      </c>
      <c r="F230" s="214">
        <v>92917</v>
      </c>
      <c r="G230" s="587" t="s">
        <v>508</v>
      </c>
      <c r="H230" s="590" t="s">
        <v>54</v>
      </c>
      <c r="I230" s="591">
        <v>720.6</v>
      </c>
      <c r="J230" s="592">
        <v>15.38</v>
      </c>
      <c r="K230" s="593">
        <v>0.2033513845915047</v>
      </c>
      <c r="L230" s="592">
        <v>18.507544295017343</v>
      </c>
      <c r="M230" s="594">
        <v>13336.536418989497</v>
      </c>
      <c r="N230" s="439"/>
      <c r="O230" s="673"/>
      <c r="P230" s="361"/>
      <c r="Q230" s="441"/>
      <c r="R230" s="485"/>
      <c r="S230" s="442"/>
      <c r="T230" s="441">
        <v>720.6</v>
      </c>
      <c r="U230" s="485"/>
      <c r="V230" s="442"/>
      <c r="W230" s="441">
        <v>0</v>
      </c>
      <c r="X230" s="485"/>
      <c r="Y230" s="442"/>
      <c r="Z230" s="441"/>
      <c r="AA230" s="485"/>
      <c r="AB230" s="442"/>
      <c r="AC230" s="672"/>
      <c r="AD230" s="441">
        <v>2046.4386182584662</v>
      </c>
      <c r="AE230" s="674">
        <v>11290.09780073103</v>
      </c>
      <c r="AF230" s="674">
        <v>0</v>
      </c>
      <c r="AG230" s="674">
        <v>0</v>
      </c>
      <c r="AH230" s="442">
        <v>0</v>
      </c>
      <c r="AI230" s="442">
        <v>1.8189894035458565E-12</v>
      </c>
      <c r="AK230" s="3" t="e">
        <f>IF(F230="", " ", VLOOKUP(F230,#REF!, 1, FALSE))</f>
        <v>#REF!</v>
      </c>
    </row>
    <row r="231" spans="1:37" ht="48" x14ac:dyDescent="0.25">
      <c r="A231" s="587" t="s">
        <v>1864</v>
      </c>
      <c r="B231" s="369" t="s">
        <v>1880</v>
      </c>
      <c r="C231" s="588"/>
      <c r="D231" s="589" t="s">
        <v>2895</v>
      </c>
      <c r="E231" s="44" t="s">
        <v>27</v>
      </c>
      <c r="F231" s="214">
        <v>92919</v>
      </c>
      <c r="G231" s="587" t="s">
        <v>502</v>
      </c>
      <c r="H231" s="590" t="s">
        <v>54</v>
      </c>
      <c r="I231" s="591">
        <v>1201</v>
      </c>
      <c r="J231" s="592">
        <v>13.76</v>
      </c>
      <c r="K231" s="593">
        <v>0.2033513845915047</v>
      </c>
      <c r="L231" s="592">
        <v>16.558115051979104</v>
      </c>
      <c r="M231" s="594">
        <v>19886.296177426906</v>
      </c>
      <c r="N231" s="439"/>
      <c r="O231" s="673"/>
      <c r="P231" s="361"/>
      <c r="Q231" s="441"/>
      <c r="R231" s="485"/>
      <c r="S231" s="442"/>
      <c r="T231" s="441">
        <v>1201</v>
      </c>
      <c r="U231" s="485"/>
      <c r="V231" s="442"/>
      <c r="W231" s="441">
        <v>0</v>
      </c>
      <c r="X231" s="485"/>
      <c r="Y231" s="442"/>
      <c r="Z231" s="441"/>
      <c r="AA231" s="485"/>
      <c r="AB231" s="442"/>
      <c r="AC231" s="672"/>
      <c r="AD231" s="441">
        <v>2427.9780216625868</v>
      </c>
      <c r="AE231" s="674">
        <v>17458.318155764318</v>
      </c>
      <c r="AF231" s="674">
        <v>0</v>
      </c>
      <c r="AG231" s="674">
        <v>0</v>
      </c>
      <c r="AH231" s="442">
        <v>0</v>
      </c>
      <c r="AI231" s="442">
        <v>0</v>
      </c>
      <c r="AK231" s="3" t="e">
        <f>IF(F231="", " ", VLOOKUP(F231,#REF!, 1, FALSE))</f>
        <v>#REF!</v>
      </c>
    </row>
    <row r="232" spans="1:37" ht="48" x14ac:dyDescent="0.25">
      <c r="A232" s="587" t="s">
        <v>1864</v>
      </c>
      <c r="B232" s="369" t="s">
        <v>1880</v>
      </c>
      <c r="C232" s="588"/>
      <c r="D232" s="589" t="s">
        <v>2896</v>
      </c>
      <c r="E232" s="44" t="s">
        <v>27</v>
      </c>
      <c r="F232" s="214">
        <v>92921</v>
      </c>
      <c r="G232" s="587" t="s">
        <v>503</v>
      </c>
      <c r="H232" s="590" t="s">
        <v>54</v>
      </c>
      <c r="I232" s="591">
        <v>480.4</v>
      </c>
      <c r="J232" s="592">
        <v>11.58</v>
      </c>
      <c r="K232" s="593">
        <v>0.2033513845915047</v>
      </c>
      <c r="L232" s="592">
        <v>13.934809033569625</v>
      </c>
      <c r="M232" s="594">
        <v>6694.2822597268478</v>
      </c>
      <c r="N232" s="439"/>
      <c r="O232" s="673"/>
      <c r="P232" s="361"/>
      <c r="Q232" s="441"/>
      <c r="R232" s="485"/>
      <c r="S232" s="442"/>
      <c r="T232" s="441">
        <v>480.4</v>
      </c>
      <c r="U232" s="485"/>
      <c r="V232" s="442"/>
      <c r="W232" s="441">
        <v>0</v>
      </c>
      <c r="X232" s="485"/>
      <c r="Y232" s="442"/>
      <c r="Z232" s="441"/>
      <c r="AA232" s="485"/>
      <c r="AB232" s="442"/>
      <c r="AC232" s="672"/>
      <c r="AD232" s="441">
        <v>676.36530603457788</v>
      </c>
      <c r="AE232" s="674">
        <v>6017.91695369227</v>
      </c>
      <c r="AF232" s="674">
        <v>0</v>
      </c>
      <c r="AG232" s="674">
        <v>0</v>
      </c>
      <c r="AH232" s="442">
        <v>0</v>
      </c>
      <c r="AI232" s="442">
        <v>0</v>
      </c>
      <c r="AK232" s="3" t="e">
        <f>IF(F232="", " ", VLOOKUP(F232,#REF!, 1, FALSE))</f>
        <v>#REF!</v>
      </c>
    </row>
    <row r="233" spans="1:37" ht="36" x14ac:dyDescent="0.25">
      <c r="A233" s="587" t="s">
        <v>1865</v>
      </c>
      <c r="B233" s="369" t="s">
        <v>28</v>
      </c>
      <c r="C233" s="588"/>
      <c r="D233" s="589" t="s">
        <v>2897</v>
      </c>
      <c r="E233" s="44" t="s">
        <v>27</v>
      </c>
      <c r="F233" s="214">
        <v>94965</v>
      </c>
      <c r="G233" s="587" t="s">
        <v>3659</v>
      </c>
      <c r="H233" s="590" t="s">
        <v>44</v>
      </c>
      <c r="I233" s="591">
        <v>24.02</v>
      </c>
      <c r="J233" s="592">
        <v>402.84</v>
      </c>
      <c r="K233" s="593">
        <v>0.2033513845915047</v>
      </c>
      <c r="L233" s="592">
        <v>484.75807176884172</v>
      </c>
      <c r="M233" s="594">
        <v>11643.888883887577</v>
      </c>
      <c r="N233" s="439"/>
      <c r="O233" s="673"/>
      <c r="P233" s="361"/>
      <c r="Q233" s="441"/>
      <c r="R233" s="485"/>
      <c r="S233" s="442"/>
      <c r="T233" s="441">
        <v>24.02</v>
      </c>
      <c r="U233" s="485"/>
      <c r="V233" s="442"/>
      <c r="W233" s="441">
        <v>0</v>
      </c>
      <c r="X233" s="485"/>
      <c r="Y233" s="442"/>
      <c r="Z233" s="441"/>
      <c r="AA233" s="485"/>
      <c r="AB233" s="442"/>
      <c r="AC233" s="672"/>
      <c r="AD233" s="441">
        <v>1307.3505466642714</v>
      </c>
      <c r="AE233" s="674">
        <v>10301.852936913843</v>
      </c>
      <c r="AF233" s="674">
        <v>17.053655152153887</v>
      </c>
      <c r="AG233" s="674">
        <v>0</v>
      </c>
      <c r="AH233" s="442">
        <v>17.631745157311645</v>
      </c>
      <c r="AI233" s="442">
        <v>-3.637978807091713E-12</v>
      </c>
      <c r="AK233" s="3" t="e">
        <f>IF(F233="", " ", VLOOKUP(F233,#REF!, 1, FALSE))</f>
        <v>#REF!</v>
      </c>
    </row>
    <row r="234" spans="1:37" ht="36" x14ac:dyDescent="0.25">
      <c r="A234" s="587" t="s">
        <v>2727</v>
      </c>
      <c r="B234" s="369" t="s">
        <v>28</v>
      </c>
      <c r="C234" s="588"/>
      <c r="D234" s="589" t="s">
        <v>2948</v>
      </c>
      <c r="E234" s="44" t="s">
        <v>27</v>
      </c>
      <c r="F234" s="214">
        <v>92873</v>
      </c>
      <c r="G234" s="587" t="s">
        <v>595</v>
      </c>
      <c r="H234" s="590" t="s">
        <v>44</v>
      </c>
      <c r="I234" s="591">
        <v>24.02</v>
      </c>
      <c r="J234" s="592">
        <v>186.89</v>
      </c>
      <c r="K234" s="593">
        <v>0.2033513845915047</v>
      </c>
      <c r="L234" s="592">
        <v>224.8943402663063</v>
      </c>
      <c r="M234" s="594">
        <v>5401.9620531966775</v>
      </c>
      <c r="N234" s="439"/>
      <c r="O234" s="673"/>
      <c r="P234" s="361"/>
      <c r="Q234" s="441"/>
      <c r="R234" s="485"/>
      <c r="S234" s="442"/>
      <c r="T234" s="441">
        <v>24.02</v>
      </c>
      <c r="U234" s="485"/>
      <c r="V234" s="442"/>
      <c r="W234" s="441">
        <v>0</v>
      </c>
      <c r="X234" s="485"/>
      <c r="Y234" s="442"/>
      <c r="Z234" s="441"/>
      <c r="AA234" s="485"/>
      <c r="AB234" s="442"/>
      <c r="AC234" s="672"/>
      <c r="AD234" s="441">
        <v>3749.2027284506448</v>
      </c>
      <c r="AE234" s="674">
        <v>1608.8244843540429</v>
      </c>
      <c r="AF234" s="674">
        <v>28.326410252730184</v>
      </c>
      <c r="AG234" s="674">
        <v>0</v>
      </c>
      <c r="AH234" s="442">
        <v>15.60843013925949</v>
      </c>
      <c r="AI234" s="442">
        <v>9.0949470177292824E-13</v>
      </c>
      <c r="AK234" s="3" t="e">
        <f>IF(F234="", " ", VLOOKUP(F234,#REF!, 1, FALSE))</f>
        <v>#REF!</v>
      </c>
    </row>
    <row r="235" spans="1:37" x14ac:dyDescent="0.25">
      <c r="A235" s="587" t="s">
        <v>3106</v>
      </c>
      <c r="B235" s="369"/>
      <c r="C235" s="588"/>
      <c r="D235" s="589" t="s">
        <v>3108</v>
      </c>
      <c r="E235" s="44"/>
      <c r="F235" s="214"/>
      <c r="G235" s="587" t="s">
        <v>3106</v>
      </c>
      <c r="H235" s="590" t="s">
        <v>21</v>
      </c>
      <c r="I235" s="591" t="s">
        <v>21</v>
      </c>
      <c r="J235" s="592" t="s">
        <v>21</v>
      </c>
      <c r="K235" s="593" t="s">
        <v>21</v>
      </c>
      <c r="L235" s="592" t="s">
        <v>21</v>
      </c>
      <c r="M235" s="594" t="s">
        <v>21</v>
      </c>
      <c r="N235" s="439"/>
      <c r="O235" s="673"/>
      <c r="P235" s="361"/>
      <c r="Q235" s="441"/>
      <c r="R235" s="485"/>
      <c r="S235" s="442"/>
      <c r="T235" s="441"/>
      <c r="U235" s="485"/>
      <c r="V235" s="442"/>
      <c r="W235" s="578"/>
      <c r="X235" s="485"/>
      <c r="Y235" s="442"/>
      <c r="Z235" s="441"/>
      <c r="AA235" s="485"/>
      <c r="AB235" s="442"/>
      <c r="AC235" s="672"/>
      <c r="AD235" s="441" t="s">
        <v>21</v>
      </c>
      <c r="AE235" s="674" t="s">
        <v>21</v>
      </c>
      <c r="AF235" s="674" t="s">
        <v>21</v>
      </c>
      <c r="AG235" s="674" t="s">
        <v>21</v>
      </c>
      <c r="AH235" s="442" t="s">
        <v>21</v>
      </c>
      <c r="AI235" s="442" t="s">
        <v>21</v>
      </c>
      <c r="AK235" s="3" t="str">
        <f>IF(F235="", " ", VLOOKUP(F235,#REF!, 1, FALSE))</f>
        <v xml:space="preserve"> </v>
      </c>
    </row>
    <row r="236" spans="1:37" ht="36" hidden="1" x14ac:dyDescent="0.25">
      <c r="A236" s="587" t="s">
        <v>2567</v>
      </c>
      <c r="B236" s="369" t="s">
        <v>25</v>
      </c>
      <c r="C236" s="588"/>
      <c r="D236" s="589" t="s">
        <v>3109</v>
      </c>
      <c r="E236" s="44" t="s">
        <v>27</v>
      </c>
      <c r="F236" s="214">
        <v>95879</v>
      </c>
      <c r="G236" s="587" t="s">
        <v>789</v>
      </c>
      <c r="H236" s="590" t="s">
        <v>42</v>
      </c>
      <c r="I236" s="591">
        <f>IF($F236="","",IF('TRECHO(S) A IMPRIMIR'!$B$1= 1, SUM(Q236, T236, W236, Z236), IF('TRECHO(S) A IMPRIMIR'!$B$1= 2, T236, IF('TRECHO(S) A IMPRIMIR'!$B$1= 3, W236, 0))))</f>
        <v>0</v>
      </c>
      <c r="J236" s="592">
        <v>1.04</v>
      </c>
      <c r="K236" s="593">
        <f t="shared" si="32"/>
        <v>0.2033513845915047</v>
      </c>
      <c r="L236" s="592">
        <f t="shared" ref="L235:L249" si="33">IF(J236="","",
  IF(AND(J236&lt;&gt;"",K236=""),J236,J236 * (1 + K236)))</f>
        <v>1.2514854399751649</v>
      </c>
      <c r="M236" s="594">
        <f t="shared" ref="M235:M249" si="34">IF(OR(I236="",L236=""),"",I236*L236)</f>
        <v>0</v>
      </c>
      <c r="N236" s="439"/>
      <c r="O236" s="673"/>
      <c r="P236" s="361"/>
      <c r="Q236" s="441">
        <f>(Q239 * R239) * S236</f>
        <v>0</v>
      </c>
      <c r="R236" s="485"/>
      <c r="S236" s="442">
        <v>0</v>
      </c>
      <c r="T236" s="441">
        <f>(T239 * U239) * V236</f>
        <v>0</v>
      </c>
      <c r="U236" s="485"/>
      <c r="V236" s="1608"/>
      <c r="W236" s="578">
        <f>(W239 * X239) * Y236</f>
        <v>0</v>
      </c>
      <c r="X236" s="485"/>
      <c r="Y236" s="1608"/>
      <c r="Z236" s="441">
        <f>(Z239 * AA239) * AB236</f>
        <v>0</v>
      </c>
      <c r="AA236" s="485"/>
      <c r="AB236" s="442">
        <v>0</v>
      </c>
      <c r="AC236" s="672"/>
      <c r="AD236" s="441" t="s">
        <v>21</v>
      </c>
      <c r="AE236" s="674" t="s">
        <v>21</v>
      </c>
      <c r="AF236" s="674" t="s">
        <v>21</v>
      </c>
      <c r="AG236" s="674" t="s">
        <v>21</v>
      </c>
      <c r="AH236" s="442" t="s">
        <v>21</v>
      </c>
      <c r="AI236" s="442" t="str">
        <f t="shared" ref="AI235:AI249" si="35">IF(SUM(AD236:AH236)=0,"",M236 - SUM(AD236:AH236))</f>
        <v/>
      </c>
      <c r="AK236" s="3" t="e">
        <f>IF(F236="", " ", VLOOKUP(F236,#REF!, 1, FALSE))</f>
        <v>#REF!</v>
      </c>
    </row>
    <row r="237" spans="1:37" ht="36" hidden="1" x14ac:dyDescent="0.25">
      <c r="A237" s="587" t="s">
        <v>2886</v>
      </c>
      <c r="B237" s="369" t="s">
        <v>25</v>
      </c>
      <c r="C237" s="588"/>
      <c r="D237" s="589" t="s">
        <v>3110</v>
      </c>
      <c r="E237" s="44" t="s">
        <v>27</v>
      </c>
      <c r="F237" s="214">
        <v>93599</v>
      </c>
      <c r="G237" s="587" t="s">
        <v>788</v>
      </c>
      <c r="H237" s="590" t="s">
        <v>42</v>
      </c>
      <c r="I237" s="591">
        <f>IF($F237="","",IF('TRECHO(S) A IMPRIMIR'!$B$1= 1, SUM(Q237, T237, W237, Z237), IF('TRECHO(S) A IMPRIMIR'!$B$1= 2, T237, IF('TRECHO(S) A IMPRIMIR'!$B$1= 3, W237, 0))))</f>
        <v>0</v>
      </c>
      <c r="J237" s="592">
        <v>0.41</v>
      </c>
      <c r="K237" s="593">
        <f t="shared" si="32"/>
        <v>0.2033513845915047</v>
      </c>
      <c r="L237" s="592">
        <f t="shared" si="33"/>
        <v>0.4933740676825169</v>
      </c>
      <c r="M237" s="594">
        <f t="shared" si="34"/>
        <v>0</v>
      </c>
      <c r="N237" s="439"/>
      <c r="O237" s="673"/>
      <c r="P237" s="361"/>
      <c r="Q237" s="441">
        <f>(Q239 * R239) * S237</f>
        <v>0</v>
      </c>
      <c r="R237" s="485"/>
      <c r="S237" s="442">
        <v>0</v>
      </c>
      <c r="T237" s="441">
        <f>(T239 * U239) * V237</f>
        <v>0</v>
      </c>
      <c r="U237" s="485"/>
      <c r="V237" s="1608"/>
      <c r="W237" s="578">
        <f>(W239 * X239) * Y237</f>
        <v>0</v>
      </c>
      <c r="X237" s="485"/>
      <c r="Y237" s="1608"/>
      <c r="Z237" s="441">
        <f>(Z239 * AA239) * AB237</f>
        <v>0</v>
      </c>
      <c r="AA237" s="485"/>
      <c r="AB237" s="442">
        <v>0</v>
      </c>
      <c r="AC237" s="672"/>
      <c r="AD237" s="441" t="s">
        <v>21</v>
      </c>
      <c r="AE237" s="674" t="s">
        <v>21</v>
      </c>
      <c r="AF237" s="674" t="s">
        <v>21</v>
      </c>
      <c r="AG237" s="674" t="s">
        <v>21</v>
      </c>
      <c r="AH237" s="442" t="s">
        <v>21</v>
      </c>
      <c r="AI237" s="442" t="str">
        <f t="shared" si="35"/>
        <v/>
      </c>
      <c r="AK237" s="3" t="e">
        <f>IF(F237="", " ", VLOOKUP(F237,#REF!, 1, FALSE))</f>
        <v>#REF!</v>
      </c>
    </row>
    <row r="238" spans="1:37" ht="36" hidden="1" x14ac:dyDescent="0.25">
      <c r="A238" s="587" t="s">
        <v>2887</v>
      </c>
      <c r="B238" s="369" t="s">
        <v>25</v>
      </c>
      <c r="C238" s="588"/>
      <c r="D238" s="589" t="s">
        <v>3111</v>
      </c>
      <c r="E238" s="44" t="s">
        <v>27</v>
      </c>
      <c r="F238" s="214">
        <v>100943</v>
      </c>
      <c r="G238" s="587" t="s">
        <v>786</v>
      </c>
      <c r="H238" s="590" t="s">
        <v>42</v>
      </c>
      <c r="I238" s="591">
        <f>IF($F238="","",IF('TRECHO(S) A IMPRIMIR'!$B$1= 1, SUM(Q238, T238, W238, Z238), IF('TRECHO(S) A IMPRIMIR'!$B$1= 2, T238, IF('TRECHO(S) A IMPRIMIR'!$B$1= 3, W238, 0))))</f>
        <v>0</v>
      </c>
      <c r="J238" s="592">
        <v>3.1</v>
      </c>
      <c r="K238" s="593">
        <f t="shared" si="32"/>
        <v>0.2033513845915047</v>
      </c>
      <c r="L238" s="592">
        <f t="shared" si="33"/>
        <v>3.7303892922336646</v>
      </c>
      <c r="M238" s="594">
        <f t="shared" si="34"/>
        <v>0</v>
      </c>
      <c r="N238" s="439"/>
      <c r="O238" s="673"/>
      <c r="P238" s="361"/>
      <c r="Q238" s="441">
        <f>(Q239 * R239) * S238</f>
        <v>0</v>
      </c>
      <c r="R238" s="485"/>
      <c r="S238" s="442">
        <v>0</v>
      </c>
      <c r="T238" s="441">
        <f>(T239 * U239) * V238</f>
        <v>0</v>
      </c>
      <c r="U238" s="485"/>
      <c r="V238" s="1608"/>
      <c r="W238" s="578">
        <f>(W239 * X239) * Y238</f>
        <v>0</v>
      </c>
      <c r="X238" s="485"/>
      <c r="Y238" s="1608"/>
      <c r="Z238" s="441">
        <f>(Z239 * AA239) * AB238</f>
        <v>0</v>
      </c>
      <c r="AA238" s="485"/>
      <c r="AB238" s="442">
        <v>0</v>
      </c>
      <c r="AC238" s="672"/>
      <c r="AD238" s="441" t="s">
        <v>21</v>
      </c>
      <c r="AE238" s="674" t="s">
        <v>21</v>
      </c>
      <c r="AF238" s="674" t="s">
        <v>21</v>
      </c>
      <c r="AG238" s="674" t="s">
        <v>21</v>
      </c>
      <c r="AH238" s="442" t="s">
        <v>21</v>
      </c>
      <c r="AI238" s="442" t="str">
        <f t="shared" si="35"/>
        <v/>
      </c>
      <c r="AK238" s="3" t="e">
        <f>IF(F238="", " ", VLOOKUP(F238,#REF!, 1, FALSE))</f>
        <v>#REF!</v>
      </c>
    </row>
    <row r="239" spans="1:37" ht="36" hidden="1" x14ac:dyDescent="0.25">
      <c r="A239" s="587" t="s">
        <v>2888</v>
      </c>
      <c r="B239" s="369" t="s">
        <v>28</v>
      </c>
      <c r="C239" s="588"/>
      <c r="D239" s="589" t="s">
        <v>3112</v>
      </c>
      <c r="E239" s="44" t="s">
        <v>27</v>
      </c>
      <c r="F239" s="214">
        <v>96624</v>
      </c>
      <c r="G239" s="587" t="s">
        <v>1306</v>
      </c>
      <c r="H239" s="590" t="s">
        <v>44</v>
      </c>
      <c r="I239" s="591">
        <f>IF($F239="","",IF('TRECHO(S) A IMPRIMIR'!$B$1= 1, SUM(Q239, T239, W239, Z239), IF('TRECHO(S) A IMPRIMIR'!$B$1= 2, T239, IF('TRECHO(S) A IMPRIMIR'!$B$1= 3, W239, 0))))</f>
        <v>0</v>
      </c>
      <c r="J239" s="592">
        <v>176</v>
      </c>
      <c r="K239" s="593">
        <f t="shared" si="32"/>
        <v>0.2033513845915047</v>
      </c>
      <c r="L239" s="592">
        <f t="shared" si="33"/>
        <v>211.78984368810484</v>
      </c>
      <c r="M239" s="594">
        <f t="shared" si="34"/>
        <v>0</v>
      </c>
      <c r="N239" s="439"/>
      <c r="O239" s="673"/>
      <c r="P239" s="361"/>
      <c r="Q239" s="441"/>
      <c r="R239" s="485">
        <f>'MLQ-PESP'!$C$8</f>
        <v>1.65</v>
      </c>
      <c r="S239" s="442"/>
      <c r="T239" s="441">
        <f>'04-MLQ-CR-LAGOAS'!F231</f>
        <v>0</v>
      </c>
      <c r="U239" s="485">
        <f>'MLQ-PESP'!$C$8</f>
        <v>1.65</v>
      </c>
      <c r="V239" s="442"/>
      <c r="W239" s="441">
        <f>'04-MLQ-CR-LAGOAS'!L231</f>
        <v>0</v>
      </c>
      <c r="X239" s="485">
        <f>'MLQ-PESP'!$C$8</f>
        <v>1.65</v>
      </c>
      <c r="Y239" s="442"/>
      <c r="Z239" s="441"/>
      <c r="AA239" s="485">
        <f>'MLQ-PESP'!$C$8</f>
        <v>1.65</v>
      </c>
      <c r="AB239" s="442"/>
      <c r="AC239" s="672"/>
      <c r="AD239" s="441" t="s">
        <v>21</v>
      </c>
      <c r="AE239" s="674" t="s">
        <v>21</v>
      </c>
      <c r="AF239" s="674" t="s">
        <v>21</v>
      </c>
      <c r="AG239" s="674" t="s">
        <v>21</v>
      </c>
      <c r="AH239" s="442" t="s">
        <v>21</v>
      </c>
      <c r="AI239" s="442" t="str">
        <f t="shared" si="35"/>
        <v/>
      </c>
      <c r="AK239" s="3" t="e">
        <f>IF(F239="", " ", VLOOKUP(F239,#REF!, 1, FALSE))</f>
        <v>#REF!</v>
      </c>
    </row>
    <row r="240" spans="1:37" ht="36" x14ac:dyDescent="0.25">
      <c r="A240" s="587" t="s">
        <v>1288</v>
      </c>
      <c r="B240" s="369" t="s">
        <v>28</v>
      </c>
      <c r="C240" s="588"/>
      <c r="D240" s="589" t="s">
        <v>3113</v>
      </c>
      <c r="E240" s="44" t="s">
        <v>27</v>
      </c>
      <c r="F240" s="214">
        <v>94962</v>
      </c>
      <c r="G240" s="587" t="s">
        <v>3658</v>
      </c>
      <c r="H240" s="590" t="s">
        <v>44</v>
      </c>
      <c r="I240" s="591">
        <v>0.4</v>
      </c>
      <c r="J240" s="592">
        <v>329.54</v>
      </c>
      <c r="K240" s="593">
        <v>0.2033513845915047</v>
      </c>
      <c r="L240" s="592">
        <v>396.55241527828446</v>
      </c>
      <c r="M240" s="594">
        <v>158.62096611131381</v>
      </c>
      <c r="N240" s="439"/>
      <c r="O240" s="673"/>
      <c r="P240" s="361"/>
      <c r="Q240" s="441"/>
      <c r="R240" s="485"/>
      <c r="S240" s="442"/>
      <c r="T240" s="441">
        <v>0</v>
      </c>
      <c r="U240" s="485"/>
      <c r="V240" s="442"/>
      <c r="W240" s="441">
        <v>0.4</v>
      </c>
      <c r="X240" s="485"/>
      <c r="Y240" s="442"/>
      <c r="Z240" s="441"/>
      <c r="AA240" s="485"/>
      <c r="AB240" s="442"/>
      <c r="AC240" s="672"/>
      <c r="AD240" s="441">
        <v>22.055024176793097</v>
      </c>
      <c r="AE240" s="674">
        <v>135.98351986437839</v>
      </c>
      <c r="AF240" s="674">
        <v>0.28880433230196112</v>
      </c>
      <c r="AG240" s="674">
        <v>0</v>
      </c>
      <c r="AH240" s="442">
        <v>0.29361773784032713</v>
      </c>
      <c r="AI240" s="442">
        <v>2.8421709430404007E-14</v>
      </c>
      <c r="AK240" s="3" t="e">
        <f>IF(F240="", " ", VLOOKUP(F240,#REF!, 1, FALSE))</f>
        <v>#REF!</v>
      </c>
    </row>
    <row r="241" spans="1:37" ht="48" x14ac:dyDescent="0.25">
      <c r="A241" s="587" t="s">
        <v>1871</v>
      </c>
      <c r="B241" s="369" t="s">
        <v>20</v>
      </c>
      <c r="C241" s="588"/>
      <c r="D241" s="589" t="s">
        <v>3114</v>
      </c>
      <c r="E241" s="44" t="s">
        <v>27</v>
      </c>
      <c r="F241" s="214">
        <v>100341</v>
      </c>
      <c r="G241" s="587" t="s">
        <v>582</v>
      </c>
      <c r="H241" s="590" t="s">
        <v>51</v>
      </c>
      <c r="I241" s="591">
        <v>35.409999999999997</v>
      </c>
      <c r="J241" s="592">
        <v>29.98</v>
      </c>
      <c r="K241" s="593">
        <v>0.2033513845915047</v>
      </c>
      <c r="L241" s="592">
        <v>36.076474510053309</v>
      </c>
      <c r="M241" s="594">
        <v>1277.4679624009875</v>
      </c>
      <c r="N241" s="439"/>
      <c r="O241" s="673"/>
      <c r="P241" s="361"/>
      <c r="Q241" s="441"/>
      <c r="R241" s="485"/>
      <c r="S241" s="442"/>
      <c r="T241" s="441">
        <v>0</v>
      </c>
      <c r="U241" s="485"/>
      <c r="V241" s="442"/>
      <c r="W241" s="441">
        <v>35.409999999999997</v>
      </c>
      <c r="X241" s="485"/>
      <c r="Y241" s="442"/>
      <c r="Z241" s="441"/>
      <c r="AA241" s="485"/>
      <c r="AB241" s="442"/>
      <c r="AC241" s="672"/>
      <c r="AD241" s="441">
        <v>513.88471069232526</v>
      </c>
      <c r="AE241" s="674">
        <v>602.08880282608266</v>
      </c>
      <c r="AF241" s="674">
        <v>161.4944488825798</v>
      </c>
      <c r="AG241" s="674">
        <v>0</v>
      </c>
      <c r="AH241" s="442">
        <v>0</v>
      </c>
      <c r="AI241" s="442">
        <v>0</v>
      </c>
      <c r="AK241" s="3" t="e">
        <f>IF(F241="", " ", VLOOKUP(F241,#REF!, 1, FALSE))</f>
        <v>#REF!</v>
      </c>
    </row>
    <row r="242" spans="1:37" ht="36" x14ac:dyDescent="0.25">
      <c r="A242" s="587" t="s">
        <v>2720</v>
      </c>
      <c r="B242" s="369" t="s">
        <v>23</v>
      </c>
      <c r="C242" s="588"/>
      <c r="D242" s="589" t="s">
        <v>3115</v>
      </c>
      <c r="E242" s="44" t="s">
        <v>27</v>
      </c>
      <c r="F242" s="214">
        <v>101010</v>
      </c>
      <c r="G242" s="587" t="s">
        <v>770</v>
      </c>
      <c r="H242" s="590" t="s">
        <v>55</v>
      </c>
      <c r="I242" s="591">
        <v>0.52679999999999993</v>
      </c>
      <c r="J242" s="592">
        <v>17.260000000000002</v>
      </c>
      <c r="K242" s="593">
        <v>0.2033513845915047</v>
      </c>
      <c r="L242" s="592">
        <v>20.769844898049374</v>
      </c>
      <c r="M242" s="594">
        <v>10.941554292292409</v>
      </c>
      <c r="N242" s="439"/>
      <c r="O242" s="673"/>
      <c r="P242" s="361"/>
      <c r="Q242" s="441"/>
      <c r="R242" s="485"/>
      <c r="S242" s="442"/>
      <c r="T242" s="441">
        <v>0</v>
      </c>
      <c r="U242" s="485"/>
      <c r="V242" s="442"/>
      <c r="W242" s="441">
        <v>0.52679999999999993</v>
      </c>
      <c r="X242" s="485"/>
      <c r="Y242" s="442"/>
      <c r="Z242" s="441"/>
      <c r="AA242" s="485"/>
      <c r="AB242" s="442"/>
      <c r="AC242" s="672"/>
      <c r="AD242" s="441">
        <v>1.0713341108907397</v>
      </c>
      <c r="AE242" s="674">
        <v>7.2140722970039164</v>
      </c>
      <c r="AF242" s="674">
        <v>2.6561478843977513</v>
      </c>
      <c r="AG242" s="674">
        <v>0</v>
      </c>
      <c r="AH242" s="442">
        <v>0</v>
      </c>
      <c r="AI242" s="442">
        <v>0</v>
      </c>
      <c r="AK242" s="3" t="e">
        <f>IF(F242="", " ", VLOOKUP(F242,#REF!, 1, FALSE))</f>
        <v>#REF!</v>
      </c>
    </row>
    <row r="243" spans="1:37" ht="48" x14ac:dyDescent="0.25">
      <c r="A243" s="587" t="s">
        <v>2721</v>
      </c>
      <c r="B243" s="369" t="s">
        <v>25</v>
      </c>
      <c r="C243" s="588"/>
      <c r="D243" s="589" t="s">
        <v>3116</v>
      </c>
      <c r="E243" s="44" t="s">
        <v>27</v>
      </c>
      <c r="F243" s="214">
        <v>100954</v>
      </c>
      <c r="G243" s="587" t="s">
        <v>794</v>
      </c>
      <c r="H243" s="590" t="s">
        <v>42</v>
      </c>
      <c r="I243" s="591">
        <v>0.31607999999999997</v>
      </c>
      <c r="J243" s="592">
        <v>5.41</v>
      </c>
      <c r="K243" s="593">
        <v>0.2033513845915047</v>
      </c>
      <c r="L243" s="592">
        <v>6.5101309906400404</v>
      </c>
      <c r="M243" s="594">
        <v>2.0577222035215037</v>
      </c>
      <c r="N243" s="439"/>
      <c r="O243" s="673"/>
      <c r="P243" s="361"/>
      <c r="Q243" s="441">
        <v>0</v>
      </c>
      <c r="R243" s="485"/>
      <c r="S243" s="442">
        <v>0</v>
      </c>
      <c r="T243" s="441">
        <v>0</v>
      </c>
      <c r="U243" s="485"/>
      <c r="V243" s="442">
        <v>1</v>
      </c>
      <c r="W243" s="578">
        <v>0.31607999999999997</v>
      </c>
      <c r="X243" s="485"/>
      <c r="Y243" s="442">
        <v>0.6</v>
      </c>
      <c r="Z243" s="441">
        <v>0</v>
      </c>
      <c r="AA243" s="485"/>
      <c r="AB243" s="442">
        <v>0</v>
      </c>
      <c r="AC243" s="672"/>
      <c r="AD243" s="441">
        <v>0.19778475893367506</v>
      </c>
      <c r="AE243" s="674">
        <v>1.3692791003100582</v>
      </c>
      <c r="AF243" s="674">
        <v>0.49065834427777077</v>
      </c>
      <c r="AG243" s="674">
        <v>0</v>
      </c>
      <c r="AH243" s="442">
        <v>0</v>
      </c>
      <c r="AI243" s="442">
        <v>0</v>
      </c>
      <c r="AK243" s="3" t="e">
        <f>IF(F243="", " ", VLOOKUP(F243,#REF!, 1, FALSE))</f>
        <v>#REF!</v>
      </c>
    </row>
    <row r="244" spans="1:37" ht="48" x14ac:dyDescent="0.25">
      <c r="A244" s="587" t="s">
        <v>1864</v>
      </c>
      <c r="B244" s="369" t="s">
        <v>1880</v>
      </c>
      <c r="C244" s="588"/>
      <c r="D244" s="589" t="s">
        <v>3117</v>
      </c>
      <c r="E244" s="44" t="s">
        <v>27</v>
      </c>
      <c r="F244" s="214">
        <v>92916</v>
      </c>
      <c r="G244" s="587" t="s">
        <v>507</v>
      </c>
      <c r="H244" s="590" t="s">
        <v>54</v>
      </c>
      <c r="I244" s="591">
        <v>87.8</v>
      </c>
      <c r="J244" s="592">
        <v>16.38</v>
      </c>
      <c r="K244" s="593">
        <v>0.2033513845915047</v>
      </c>
      <c r="L244" s="592">
        <v>19.710895679608846</v>
      </c>
      <c r="M244" s="594">
        <v>1730.6166406696566</v>
      </c>
      <c r="N244" s="439"/>
      <c r="O244" s="673"/>
      <c r="P244" s="361"/>
      <c r="Q244" s="441"/>
      <c r="R244" s="485"/>
      <c r="S244" s="442"/>
      <c r="T244" s="441">
        <v>0</v>
      </c>
      <c r="U244" s="485"/>
      <c r="V244" s="442"/>
      <c r="W244" s="441">
        <v>87.8</v>
      </c>
      <c r="X244" s="485"/>
      <c r="Y244" s="442"/>
      <c r="Z244" s="441"/>
      <c r="AA244" s="485"/>
      <c r="AB244" s="442"/>
      <c r="AC244" s="672"/>
      <c r="AD244" s="441">
        <v>361.33754035959868</v>
      </c>
      <c r="AE244" s="674">
        <v>1369.2791003100583</v>
      </c>
      <c r="AF244" s="674">
        <v>0</v>
      </c>
      <c r="AG244" s="674">
        <v>0</v>
      </c>
      <c r="AH244" s="442">
        <v>0</v>
      </c>
      <c r="AI244" s="442">
        <v>-4.5474735088646412E-13</v>
      </c>
      <c r="AK244" s="3" t="e">
        <f>IF(F244="", " ", VLOOKUP(F244,#REF!, 1, FALSE))</f>
        <v>#REF!</v>
      </c>
    </row>
    <row r="245" spans="1:37" ht="48" x14ac:dyDescent="0.25">
      <c r="A245" s="587" t="s">
        <v>1864</v>
      </c>
      <c r="B245" s="369" t="s">
        <v>1880</v>
      </c>
      <c r="C245" s="588"/>
      <c r="D245" s="589" t="s">
        <v>3118</v>
      </c>
      <c r="E245" s="44" t="s">
        <v>27</v>
      </c>
      <c r="F245" s="214">
        <v>92917</v>
      </c>
      <c r="G245" s="587" t="s">
        <v>508</v>
      </c>
      <c r="H245" s="590" t="s">
        <v>54</v>
      </c>
      <c r="I245" s="591">
        <v>131.69999999999999</v>
      </c>
      <c r="J245" s="592">
        <v>15.38</v>
      </c>
      <c r="K245" s="593">
        <v>0.2033513845915047</v>
      </c>
      <c r="L245" s="592">
        <v>18.507544295017343</v>
      </c>
      <c r="M245" s="594">
        <v>2437.4435836537841</v>
      </c>
      <c r="N245" s="439"/>
      <c r="O245" s="673"/>
      <c r="P245" s="361"/>
      <c r="Q245" s="441"/>
      <c r="R245" s="485"/>
      <c r="S245" s="442"/>
      <c r="T245" s="441">
        <v>0</v>
      </c>
      <c r="U245" s="485"/>
      <c r="V245" s="442"/>
      <c r="W245" s="441">
        <v>131.69999999999999</v>
      </c>
      <c r="X245" s="485"/>
      <c r="Y245" s="442"/>
      <c r="Z245" s="441"/>
      <c r="AA245" s="485"/>
      <c r="AB245" s="442"/>
      <c r="AC245" s="672"/>
      <c r="AD245" s="441">
        <v>374.01605054765469</v>
      </c>
      <c r="AE245" s="674">
        <v>2063.427533106129</v>
      </c>
      <c r="AF245" s="674">
        <v>0</v>
      </c>
      <c r="AG245" s="674">
        <v>0</v>
      </c>
      <c r="AH245" s="442">
        <v>0</v>
      </c>
      <c r="AI245" s="442">
        <v>4.5474735088646412E-13</v>
      </c>
      <c r="AK245" s="3" t="e">
        <f>IF(F245="", " ", VLOOKUP(F245,#REF!, 1, FALSE))</f>
        <v>#REF!</v>
      </c>
    </row>
    <row r="246" spans="1:37" ht="48" x14ac:dyDescent="0.25">
      <c r="A246" s="587" t="s">
        <v>1864</v>
      </c>
      <c r="B246" s="369" t="s">
        <v>1880</v>
      </c>
      <c r="C246" s="588"/>
      <c r="D246" s="589" t="s">
        <v>3119</v>
      </c>
      <c r="E246" s="44" t="s">
        <v>27</v>
      </c>
      <c r="F246" s="214">
        <v>92919</v>
      </c>
      <c r="G246" s="587" t="s">
        <v>502</v>
      </c>
      <c r="H246" s="590" t="s">
        <v>54</v>
      </c>
      <c r="I246" s="591">
        <v>219.49999999999997</v>
      </c>
      <c r="J246" s="592">
        <v>13.76</v>
      </c>
      <c r="K246" s="593">
        <v>0.2033513845915047</v>
      </c>
      <c r="L246" s="592">
        <v>16.558115051979104</v>
      </c>
      <c r="M246" s="594">
        <v>3634.5062539094129</v>
      </c>
      <c r="N246" s="439"/>
      <c r="O246" s="673"/>
      <c r="P246" s="361"/>
      <c r="Q246" s="441"/>
      <c r="R246" s="485"/>
      <c r="S246" s="442"/>
      <c r="T246" s="441">
        <v>0</v>
      </c>
      <c r="U246" s="485"/>
      <c r="V246" s="442"/>
      <c r="W246" s="441">
        <v>219.49999999999997</v>
      </c>
      <c r="X246" s="485"/>
      <c r="Y246" s="442"/>
      <c r="Z246" s="441"/>
      <c r="AA246" s="485"/>
      <c r="AB246" s="442"/>
      <c r="AC246" s="672"/>
      <c r="AD246" s="441">
        <v>443.74785658196322</v>
      </c>
      <c r="AE246" s="674">
        <v>3190.7583973274495</v>
      </c>
      <c r="AF246" s="674">
        <v>0</v>
      </c>
      <c r="AG246" s="674">
        <v>0</v>
      </c>
      <c r="AH246" s="442">
        <v>0</v>
      </c>
      <c r="AI246" s="442">
        <v>0</v>
      </c>
      <c r="AK246" s="3" t="e">
        <f>IF(F246="", " ", VLOOKUP(F246,#REF!, 1, FALSE))</f>
        <v>#REF!</v>
      </c>
    </row>
    <row r="247" spans="1:37" ht="48" x14ac:dyDescent="0.25">
      <c r="A247" s="587" t="s">
        <v>1864</v>
      </c>
      <c r="B247" s="369" t="s">
        <v>1880</v>
      </c>
      <c r="C247" s="588"/>
      <c r="D247" s="589" t="s">
        <v>3120</v>
      </c>
      <c r="E247" s="44" t="s">
        <v>27</v>
      </c>
      <c r="F247" s="214">
        <v>92921</v>
      </c>
      <c r="G247" s="587" t="s">
        <v>503</v>
      </c>
      <c r="H247" s="590" t="s">
        <v>54</v>
      </c>
      <c r="I247" s="591">
        <v>87.8</v>
      </c>
      <c r="J247" s="592">
        <v>11.58</v>
      </c>
      <c r="K247" s="593">
        <v>0.2033513845915047</v>
      </c>
      <c r="L247" s="592">
        <v>13.934809033569625</v>
      </c>
      <c r="M247" s="594">
        <v>1223.476233147413</v>
      </c>
      <c r="N247" s="439"/>
      <c r="O247" s="673"/>
      <c r="P247" s="361"/>
      <c r="Q247" s="441"/>
      <c r="R247" s="485"/>
      <c r="S247" s="442"/>
      <c r="T247" s="441">
        <v>0</v>
      </c>
      <c r="U247" s="485"/>
      <c r="V247" s="442"/>
      <c r="W247" s="441">
        <v>87.8</v>
      </c>
      <c r="X247" s="485"/>
      <c r="Y247" s="442"/>
      <c r="Z247" s="441"/>
      <c r="AA247" s="485"/>
      <c r="AB247" s="442"/>
      <c r="AC247" s="672"/>
      <c r="AD247" s="441">
        <v>123.6154743335469</v>
      </c>
      <c r="AE247" s="674">
        <v>1099.8607588138661</v>
      </c>
      <c r="AF247" s="674">
        <v>0</v>
      </c>
      <c r="AG247" s="674">
        <v>0</v>
      </c>
      <c r="AH247" s="442">
        <v>0</v>
      </c>
      <c r="AI247" s="442">
        <v>0</v>
      </c>
      <c r="AK247" s="3" t="e">
        <f>IF(F247="", " ", VLOOKUP(F247,#REF!, 1, FALSE))</f>
        <v>#REF!</v>
      </c>
    </row>
    <row r="248" spans="1:37" ht="36" x14ac:dyDescent="0.25">
      <c r="A248" s="587" t="s">
        <v>1865</v>
      </c>
      <c r="B248" s="369" t="s">
        <v>28</v>
      </c>
      <c r="C248" s="588"/>
      <c r="D248" s="589" t="s">
        <v>3121</v>
      </c>
      <c r="E248" s="44" t="s">
        <v>27</v>
      </c>
      <c r="F248" s="214">
        <v>94965</v>
      </c>
      <c r="G248" s="587" t="s">
        <v>3659</v>
      </c>
      <c r="H248" s="590" t="s">
        <v>44</v>
      </c>
      <c r="I248" s="591">
        <v>4.3899999999999997</v>
      </c>
      <c r="J248" s="592">
        <v>402.84</v>
      </c>
      <c r="K248" s="593">
        <v>0.2033513845915047</v>
      </c>
      <c r="L248" s="592">
        <v>484.75807176884172</v>
      </c>
      <c r="M248" s="594">
        <v>2128.0879350652149</v>
      </c>
      <c r="N248" s="439"/>
      <c r="O248" s="673"/>
      <c r="P248" s="361"/>
      <c r="Q248" s="441"/>
      <c r="R248" s="485"/>
      <c r="S248" s="442"/>
      <c r="T248" s="441">
        <v>0</v>
      </c>
      <c r="U248" s="485"/>
      <c r="V248" s="442"/>
      <c r="W248" s="441">
        <v>4.3899999999999997</v>
      </c>
      <c r="X248" s="485"/>
      <c r="Y248" s="442"/>
      <c r="Z248" s="441"/>
      <c r="AA248" s="485"/>
      <c r="AB248" s="442"/>
      <c r="AC248" s="672"/>
      <c r="AD248" s="441">
        <v>238.93708991907374</v>
      </c>
      <c r="AE248" s="674">
        <v>1882.8115900521134</v>
      </c>
      <c r="AF248" s="674">
        <v>3.1168004212304559</v>
      </c>
      <c r="AG248" s="674">
        <v>0</v>
      </c>
      <c r="AH248" s="442">
        <v>3.22245467279759</v>
      </c>
      <c r="AI248" s="442">
        <v>0</v>
      </c>
      <c r="AK248" s="3" t="e">
        <f>IF(F248="", " ", VLOOKUP(F248,#REF!, 1, FALSE))</f>
        <v>#REF!</v>
      </c>
    </row>
    <row r="249" spans="1:37" ht="36" x14ac:dyDescent="0.25">
      <c r="A249" s="587" t="s">
        <v>2727</v>
      </c>
      <c r="B249" s="369" t="s">
        <v>28</v>
      </c>
      <c r="C249" s="588"/>
      <c r="D249" s="589" t="s">
        <v>3122</v>
      </c>
      <c r="E249" s="44" t="s">
        <v>27</v>
      </c>
      <c r="F249" s="214">
        <v>92873</v>
      </c>
      <c r="G249" s="587" t="s">
        <v>595</v>
      </c>
      <c r="H249" s="590" t="s">
        <v>44</v>
      </c>
      <c r="I249" s="591">
        <v>4.3899999999999997</v>
      </c>
      <c r="J249" s="592">
        <v>186.89</v>
      </c>
      <c r="K249" s="593">
        <v>0.2033513845915047</v>
      </c>
      <c r="L249" s="592">
        <v>224.8943402663063</v>
      </c>
      <c r="M249" s="594">
        <v>987.28615376908454</v>
      </c>
      <c r="N249" s="439"/>
      <c r="O249" s="673"/>
      <c r="P249" s="361"/>
      <c r="Q249" s="441"/>
      <c r="R249" s="485"/>
      <c r="S249" s="442"/>
      <c r="T249" s="441">
        <v>0</v>
      </c>
      <c r="U249" s="485"/>
      <c r="V249" s="442"/>
      <c r="W249" s="441">
        <v>4.3899999999999997</v>
      </c>
      <c r="X249" s="485"/>
      <c r="Y249" s="442"/>
      <c r="Z249" s="441"/>
      <c r="AA249" s="485"/>
      <c r="AB249" s="442"/>
      <c r="AC249" s="672"/>
      <c r="AD249" s="441">
        <v>685.22064853864833</v>
      </c>
      <c r="AE249" s="674">
        <v>294.03578211133419</v>
      </c>
      <c r="AF249" s="674">
        <v>5.1770583267895711</v>
      </c>
      <c r="AG249" s="674">
        <v>0</v>
      </c>
      <c r="AH249" s="442">
        <v>2.8526647923126212</v>
      </c>
      <c r="AI249" s="442">
        <v>-2.2737367544323206E-13</v>
      </c>
      <c r="AK249" s="3" t="e">
        <f>IF(F249="", " ", VLOOKUP(F249,#REF!, 1, FALSE))</f>
        <v>#REF!</v>
      </c>
    </row>
    <row r="250" spans="1:37" x14ac:dyDescent="0.25">
      <c r="A250" s="1145" t="s">
        <v>3103</v>
      </c>
      <c r="B250" s="1146"/>
      <c r="C250" s="1147"/>
      <c r="D250" s="1148" t="s">
        <v>2898</v>
      </c>
      <c r="E250" s="1146"/>
      <c r="F250" s="1149"/>
      <c r="G250" s="1145" t="s">
        <v>3103</v>
      </c>
      <c r="H250" s="1150" t="s">
        <v>21</v>
      </c>
      <c r="I250" s="1151" t="s">
        <v>21</v>
      </c>
      <c r="J250" s="1152" t="s">
        <v>21</v>
      </c>
      <c r="K250" s="1153" t="s">
        <v>21</v>
      </c>
      <c r="L250" s="1152" t="s">
        <v>21</v>
      </c>
      <c r="M250" s="1154">
        <v>42006.668730481091</v>
      </c>
      <c r="N250" s="1155"/>
      <c r="O250" s="1156"/>
      <c r="P250" s="1157"/>
      <c r="Q250" s="1158"/>
      <c r="R250" s="1159"/>
      <c r="S250" s="1160"/>
      <c r="T250" s="1158"/>
      <c r="U250" s="1159"/>
      <c r="V250" s="1160"/>
      <c r="W250" s="1161"/>
      <c r="X250" s="1159"/>
      <c r="Y250" s="1160"/>
      <c r="Z250" s="1158"/>
      <c r="AA250" s="1159"/>
      <c r="AB250" s="1160"/>
      <c r="AC250" s="1162"/>
      <c r="AD250" s="1158" t="s">
        <v>21</v>
      </c>
      <c r="AE250" s="1163" t="s">
        <v>21</v>
      </c>
      <c r="AF250" s="1163" t="s">
        <v>21</v>
      </c>
      <c r="AG250" s="1163" t="s">
        <v>21</v>
      </c>
      <c r="AH250" s="1160" t="s">
        <v>21</v>
      </c>
      <c r="AI250" s="1160" t="str">
        <f>IF(SUM(AD250:AH250)=0,"",M250 - SUM(AD250:AH250))</f>
        <v/>
      </c>
      <c r="AK250" s="3" t="str">
        <f>IF(F250="", " ", VLOOKUP(F250,#REF!, 1, FALSE))</f>
        <v xml:space="preserve"> </v>
      </c>
    </row>
    <row r="251" spans="1:37" ht="24" x14ac:dyDescent="0.25">
      <c r="A251" s="587" t="s">
        <v>2889</v>
      </c>
      <c r="B251" s="369"/>
      <c r="C251" s="588"/>
      <c r="D251" s="589" t="s">
        <v>2899</v>
      </c>
      <c r="E251" s="44"/>
      <c r="F251" s="214"/>
      <c r="G251" s="587" t="s">
        <v>2889</v>
      </c>
      <c r="H251" s="590" t="s">
        <v>21</v>
      </c>
      <c r="I251" s="591" t="s">
        <v>21</v>
      </c>
      <c r="J251" s="592" t="s">
        <v>21</v>
      </c>
      <c r="K251" s="593" t="s">
        <v>21</v>
      </c>
      <c r="L251" s="592" t="s">
        <v>21</v>
      </c>
      <c r="M251" s="594" t="s">
        <v>21</v>
      </c>
      <c r="N251" s="439"/>
      <c r="O251" s="673"/>
      <c r="P251" s="361"/>
      <c r="Q251" s="441"/>
      <c r="R251" s="485"/>
      <c r="S251" s="442"/>
      <c r="T251" s="441"/>
      <c r="U251" s="485"/>
      <c r="V251" s="442"/>
      <c r="W251" s="578"/>
      <c r="X251" s="485"/>
      <c r="Y251" s="442"/>
      <c r="Z251" s="441"/>
      <c r="AA251" s="485"/>
      <c r="AB251" s="442"/>
      <c r="AC251" s="672"/>
      <c r="AD251" s="441" t="s">
        <v>21</v>
      </c>
      <c r="AE251" s="674" t="s">
        <v>21</v>
      </c>
      <c r="AF251" s="674" t="s">
        <v>21</v>
      </c>
      <c r="AG251" s="674" t="s">
        <v>21</v>
      </c>
      <c r="AH251" s="442" t="s">
        <v>21</v>
      </c>
      <c r="AI251" s="442" t="s">
        <v>21</v>
      </c>
      <c r="AK251" s="3" t="str">
        <f>IF(F251="", " ", VLOOKUP(F251,#REF!, 1, FALSE))</f>
        <v xml:space="preserve"> </v>
      </c>
    </row>
    <row r="252" spans="1:37" ht="24" x14ac:dyDescent="0.25">
      <c r="A252" s="587" t="s">
        <v>2845</v>
      </c>
      <c r="B252" s="369" t="s">
        <v>20</v>
      </c>
      <c r="C252" s="588"/>
      <c r="D252" s="589" t="s">
        <v>2900</v>
      </c>
      <c r="E252" s="44" t="s">
        <v>27</v>
      </c>
      <c r="F252" s="214">
        <v>98524</v>
      </c>
      <c r="G252" s="587" t="s">
        <v>52</v>
      </c>
      <c r="H252" s="590" t="s">
        <v>51</v>
      </c>
      <c r="I252" s="591">
        <v>63.39</v>
      </c>
      <c r="J252" s="592">
        <v>2.92</v>
      </c>
      <c r="K252" s="593">
        <v>0.2033513845915047</v>
      </c>
      <c r="L252" s="592">
        <v>3.5137860430071934</v>
      </c>
      <c r="M252" s="594">
        <v>222.73889726622599</v>
      </c>
      <c r="N252" s="439"/>
      <c r="O252" s="673"/>
      <c r="P252" s="361"/>
      <c r="Q252" s="441"/>
      <c r="R252" s="485"/>
      <c r="S252" s="442"/>
      <c r="T252" s="441">
        <v>50</v>
      </c>
      <c r="U252" s="485"/>
      <c r="V252" s="442"/>
      <c r="W252" s="441">
        <v>13.39</v>
      </c>
      <c r="X252" s="485"/>
      <c r="Y252" s="442"/>
      <c r="Z252" s="441"/>
      <c r="AA252" s="485"/>
      <c r="AB252" s="442"/>
      <c r="AC252" s="672"/>
      <c r="AD252" s="441">
        <v>160.95173740812905</v>
      </c>
      <c r="AE252" s="674">
        <v>61.787159858096942</v>
      </c>
      <c r="AF252" s="674">
        <v>0</v>
      </c>
      <c r="AG252" s="674">
        <v>0</v>
      </c>
      <c r="AH252" s="442">
        <v>0</v>
      </c>
      <c r="AI252" s="442">
        <v>0</v>
      </c>
      <c r="AK252" s="3" t="e">
        <f>IF(F252="", " ", VLOOKUP(F252,#REF!, 1, FALSE))</f>
        <v>#REF!</v>
      </c>
    </row>
    <row r="253" spans="1:37" ht="24" x14ac:dyDescent="0.25">
      <c r="A253" s="587" t="s">
        <v>1862</v>
      </c>
      <c r="B253" s="369" t="s">
        <v>20</v>
      </c>
      <c r="C253" s="588"/>
      <c r="D253" s="589" t="s">
        <v>2908</v>
      </c>
      <c r="E253" s="44" t="s">
        <v>27</v>
      </c>
      <c r="F253" s="214">
        <v>101616</v>
      </c>
      <c r="G253" s="587" t="s">
        <v>1169</v>
      </c>
      <c r="H253" s="590" t="s">
        <v>51</v>
      </c>
      <c r="I253" s="591">
        <v>41.4</v>
      </c>
      <c r="J253" s="592">
        <v>5.27</v>
      </c>
      <c r="K253" s="593">
        <v>0.2033513845915047</v>
      </c>
      <c r="L253" s="592">
        <v>6.3416617967972293</v>
      </c>
      <c r="M253" s="594">
        <v>262.54479838740531</v>
      </c>
      <c r="N253" s="439"/>
      <c r="O253" s="673"/>
      <c r="P253" s="361"/>
      <c r="Q253" s="441"/>
      <c r="R253" s="485"/>
      <c r="S253" s="442"/>
      <c r="T253" s="441">
        <v>32</v>
      </c>
      <c r="U253" s="485"/>
      <c r="V253" s="442"/>
      <c r="W253" s="441">
        <v>9.4</v>
      </c>
      <c r="X253" s="485"/>
      <c r="Y253" s="442"/>
      <c r="Z253" s="441"/>
      <c r="AA253" s="485"/>
      <c r="AB253" s="442"/>
      <c r="AC253" s="672"/>
      <c r="AD253" s="441">
        <v>186.32211498461024</v>
      </c>
      <c r="AE253" s="674">
        <v>76.222683402795084</v>
      </c>
      <c r="AF253" s="674">
        <v>0</v>
      </c>
      <c r="AG253" s="674">
        <v>0</v>
      </c>
      <c r="AH253" s="442">
        <v>0</v>
      </c>
      <c r="AI253" s="442">
        <v>0</v>
      </c>
      <c r="AK253" s="3" t="e">
        <f>IF(F253="", " ", VLOOKUP(F253,#REF!, 1, FALSE))</f>
        <v>#REF!</v>
      </c>
    </row>
    <row r="254" spans="1:37" x14ac:dyDescent="0.25">
      <c r="A254" s="587" t="s">
        <v>2902</v>
      </c>
      <c r="B254" s="369"/>
      <c r="C254" s="588"/>
      <c r="D254" s="589" t="s">
        <v>2909</v>
      </c>
      <c r="E254" s="44"/>
      <c r="F254" s="214"/>
      <c r="G254" s="587" t="s">
        <v>2902</v>
      </c>
      <c r="H254" s="590" t="s">
        <v>21</v>
      </c>
      <c r="I254" s="591" t="s">
        <v>21</v>
      </c>
      <c r="J254" s="592" t="s">
        <v>21</v>
      </c>
      <c r="K254" s="593" t="s">
        <v>21</v>
      </c>
      <c r="L254" s="592" t="s">
        <v>21</v>
      </c>
      <c r="M254" s="594" t="s">
        <v>21</v>
      </c>
      <c r="N254" s="439"/>
      <c r="O254" s="673"/>
      <c r="P254" s="361"/>
      <c r="Q254" s="441"/>
      <c r="R254" s="485"/>
      <c r="S254" s="442"/>
      <c r="T254" s="441"/>
      <c r="U254" s="485"/>
      <c r="V254" s="442"/>
      <c r="W254" s="578"/>
      <c r="X254" s="485"/>
      <c r="Y254" s="442"/>
      <c r="Z254" s="441"/>
      <c r="AA254" s="485"/>
      <c r="AB254" s="442"/>
      <c r="AC254" s="672"/>
      <c r="AD254" s="441" t="s">
        <v>21</v>
      </c>
      <c r="AE254" s="674" t="s">
        <v>21</v>
      </c>
      <c r="AF254" s="674" t="s">
        <v>21</v>
      </c>
      <c r="AG254" s="674" t="s">
        <v>21</v>
      </c>
      <c r="AH254" s="442" t="s">
        <v>21</v>
      </c>
      <c r="AI254" s="442" t="s">
        <v>21</v>
      </c>
      <c r="AK254" s="3" t="str">
        <f>IF(F254="", " ", VLOOKUP(F254,#REF!, 1, FALSE))</f>
        <v xml:space="preserve"> </v>
      </c>
    </row>
    <row r="255" spans="1:37" x14ac:dyDescent="0.25">
      <c r="A255" s="587" t="s">
        <v>2712</v>
      </c>
      <c r="B255" s="369" t="s">
        <v>26</v>
      </c>
      <c r="C255" s="588"/>
      <c r="D255" s="589" t="s">
        <v>2901</v>
      </c>
      <c r="E255" s="44" t="s">
        <v>138</v>
      </c>
      <c r="F255" s="214" t="s">
        <v>2346</v>
      </c>
      <c r="G255" s="587" t="s">
        <v>2352</v>
      </c>
      <c r="H255" s="590" t="s">
        <v>22</v>
      </c>
      <c r="I255" s="591">
        <v>3</v>
      </c>
      <c r="J255" s="592">
        <v>223.64474999999999</v>
      </c>
      <c r="K255" s="593">
        <v>0.11096635744680849</v>
      </c>
      <c r="L255" s="592">
        <v>248.46179326960211</v>
      </c>
      <c r="M255" s="594">
        <v>745.38537980880631</v>
      </c>
      <c r="N255" s="439"/>
      <c r="O255" s="673"/>
      <c r="P255" s="361"/>
      <c r="Q255" s="441"/>
      <c r="R255" s="485"/>
      <c r="S255" s="442"/>
      <c r="T255" s="441">
        <v>3</v>
      </c>
      <c r="U255" s="485"/>
      <c r="V255" s="442"/>
      <c r="W255" s="441">
        <v>0</v>
      </c>
      <c r="X255" s="485"/>
      <c r="Y255" s="442"/>
      <c r="Z255" s="441"/>
      <c r="AA255" s="485"/>
      <c r="AB255" s="442"/>
      <c r="AC255" s="672"/>
      <c r="AD255" s="441">
        <v>0</v>
      </c>
      <c r="AE255" s="674">
        <v>745.38537980880642</v>
      </c>
      <c r="AF255" s="674">
        <v>0</v>
      </c>
      <c r="AG255" s="674">
        <v>0</v>
      </c>
      <c r="AH255" s="442">
        <v>0</v>
      </c>
      <c r="AI255" s="442">
        <v>-1.1368683772161603E-13</v>
      </c>
      <c r="AK255" s="3" t="e">
        <f>IF(F255="", " ", VLOOKUP(F255,#REF!, 1, FALSE))</f>
        <v>#REF!</v>
      </c>
    </row>
    <row r="256" spans="1:37" ht="36" x14ac:dyDescent="0.25">
      <c r="A256" s="587" t="s">
        <v>2713</v>
      </c>
      <c r="B256" s="369" t="s">
        <v>23</v>
      </c>
      <c r="C256" s="588"/>
      <c r="D256" s="589" t="s">
        <v>2904</v>
      </c>
      <c r="E256" s="44" t="s">
        <v>27</v>
      </c>
      <c r="F256" s="214">
        <v>101463</v>
      </c>
      <c r="G256" s="587" t="s">
        <v>780</v>
      </c>
      <c r="H256" s="590" t="s">
        <v>55</v>
      </c>
      <c r="I256" s="591">
        <v>1.38</v>
      </c>
      <c r="J256" s="592">
        <v>30.23</v>
      </c>
      <c r="K256" s="593">
        <v>0.2033513845915047</v>
      </c>
      <c r="L256" s="592">
        <v>36.377312356201188</v>
      </c>
      <c r="M256" s="594">
        <v>50.200691051557634</v>
      </c>
      <c r="N256" s="439"/>
      <c r="O256" s="673"/>
      <c r="P256" s="361"/>
      <c r="Q256" s="441"/>
      <c r="R256" s="485"/>
      <c r="S256" s="442"/>
      <c r="T256" s="441">
        <v>1.38</v>
      </c>
      <c r="U256" s="485"/>
      <c r="V256" s="442"/>
      <c r="W256" s="441">
        <v>0</v>
      </c>
      <c r="X256" s="485"/>
      <c r="Y256" s="442"/>
      <c r="Z256" s="441"/>
      <c r="AA256" s="485"/>
      <c r="AB256" s="442"/>
      <c r="AC256" s="672"/>
      <c r="AD256" s="441">
        <v>10.711030674248983</v>
      </c>
      <c r="AE256" s="674">
        <v>29.775004649501433</v>
      </c>
      <c r="AF256" s="674">
        <v>9.7146557278072159</v>
      </c>
      <c r="AG256" s="674">
        <v>0</v>
      </c>
      <c r="AH256" s="442">
        <v>0</v>
      </c>
      <c r="AI256" s="442">
        <v>7.1054273576010019E-15</v>
      </c>
      <c r="AK256" s="3" t="e">
        <f>IF(F256="", " ", VLOOKUP(F256,#REF!, 1, FALSE))</f>
        <v>#REF!</v>
      </c>
    </row>
    <row r="257" spans="1:37" ht="48" x14ac:dyDescent="0.25">
      <c r="A257" s="587" t="s">
        <v>2714</v>
      </c>
      <c r="B257" s="369" t="s">
        <v>25</v>
      </c>
      <c r="C257" s="588"/>
      <c r="D257" s="589" t="s">
        <v>2905</v>
      </c>
      <c r="E257" s="44" t="s">
        <v>27</v>
      </c>
      <c r="F257" s="214">
        <v>100952</v>
      </c>
      <c r="G257" s="587" t="s">
        <v>797</v>
      </c>
      <c r="H257" s="590" t="s">
        <v>42</v>
      </c>
      <c r="I257" s="591">
        <v>11.04</v>
      </c>
      <c r="J257" s="592">
        <v>1.81</v>
      </c>
      <c r="K257" s="593">
        <v>0.2033513845915047</v>
      </c>
      <c r="L257" s="592">
        <v>2.1780660061106234</v>
      </c>
      <c r="M257" s="594">
        <v>24.045848707461282</v>
      </c>
      <c r="N257" s="439"/>
      <c r="O257" s="673"/>
      <c r="P257" s="361"/>
      <c r="Q257" s="441">
        <v>0</v>
      </c>
      <c r="R257" s="485"/>
      <c r="S257" s="442">
        <v>0</v>
      </c>
      <c r="T257" s="441">
        <v>11.04</v>
      </c>
      <c r="U257" s="485"/>
      <c r="V257" s="442">
        <v>8</v>
      </c>
      <c r="W257" s="441">
        <v>0</v>
      </c>
      <c r="X257" s="485"/>
      <c r="Y257" s="442">
        <v>3</v>
      </c>
      <c r="Z257" s="441">
        <v>0</v>
      </c>
      <c r="AA257" s="485"/>
      <c r="AB257" s="442">
        <v>0</v>
      </c>
      <c r="AC257" s="672"/>
      <c r="AD257" s="441">
        <v>2.2584498786013358</v>
      </c>
      <c r="AE257" s="674">
        <v>16.473399114503859</v>
      </c>
      <c r="AF257" s="674">
        <v>5.3139997143560844</v>
      </c>
      <c r="AG257" s="674">
        <v>0</v>
      </c>
      <c r="AH257" s="442">
        <v>0</v>
      </c>
      <c r="AI257" s="442">
        <v>0</v>
      </c>
      <c r="AK257" s="3" t="e">
        <f>IF(F257="", " ", VLOOKUP(F257,#REF!, 1, FALSE))</f>
        <v>#REF!</v>
      </c>
    </row>
    <row r="258" spans="1:37" ht="48" hidden="1" x14ac:dyDescent="0.25">
      <c r="A258" s="587" t="s">
        <v>2715</v>
      </c>
      <c r="B258" s="369" t="s">
        <v>25</v>
      </c>
      <c r="C258" s="588"/>
      <c r="D258" s="589" t="s">
        <v>2906</v>
      </c>
      <c r="E258" s="44" t="s">
        <v>27</v>
      </c>
      <c r="F258" s="214">
        <v>100953</v>
      </c>
      <c r="G258" s="587" t="s">
        <v>796</v>
      </c>
      <c r="H258" s="590" t="s">
        <v>42</v>
      </c>
      <c r="I258" s="591">
        <f>IF($F258="","",IF('TRECHO(S) A IMPRIMIR'!$B$1= 1, SUM(Q258, T258, W258, Z258), IF('TRECHO(S) A IMPRIMIR'!$B$1= 2, T258, IF('TRECHO(S) A IMPRIMIR'!$B$1= 3, W258, 0))))</f>
        <v>0</v>
      </c>
      <c r="J258" s="592">
        <v>0.71</v>
      </c>
      <c r="K258" s="593">
        <f t="shared" si="32"/>
        <v>0.2033513845915047</v>
      </c>
      <c r="L258" s="592">
        <f t="shared" si="30"/>
        <v>0.85437948305996825</v>
      </c>
      <c r="M258" s="594">
        <f t="shared" si="31"/>
        <v>0</v>
      </c>
      <c r="N258" s="439"/>
      <c r="O258" s="673"/>
      <c r="P258" s="361"/>
      <c r="Q258" s="441">
        <f>Q256 * S258</f>
        <v>0</v>
      </c>
      <c r="R258" s="485"/>
      <c r="S258" s="442">
        <v>0</v>
      </c>
      <c r="T258" s="441">
        <f>T256 * V258</f>
        <v>0</v>
      </c>
      <c r="U258" s="485"/>
      <c r="V258" s="442">
        <f>IF('MLQ-DMT-TR1'!$E$11 &gt; 30, 'MLQ-DMT-TR1'!$E$11 - 30, 0)</f>
        <v>0</v>
      </c>
      <c r="W258" s="441">
        <f>W256 * Y258</f>
        <v>0</v>
      </c>
      <c r="X258" s="485"/>
      <c r="Y258" s="442">
        <f>IF('MLQ-DMT-TR3'!$E$11 &gt; 30, 'MLQ-DMT-TR3'!$E$11 - 30, 0)</f>
        <v>0</v>
      </c>
      <c r="Z258" s="441">
        <f>Z256 * AB258</f>
        <v>0</v>
      </c>
      <c r="AA258" s="485"/>
      <c r="AB258" s="442">
        <v>0</v>
      </c>
      <c r="AC258" s="672"/>
      <c r="AD258" s="441" t="s">
        <v>21</v>
      </c>
      <c r="AE258" s="674" t="s">
        <v>21</v>
      </c>
      <c r="AF258" s="674" t="s">
        <v>21</v>
      </c>
      <c r="AG258" s="674" t="s">
        <v>21</v>
      </c>
      <c r="AH258" s="442" t="s">
        <v>21</v>
      </c>
      <c r="AI258" s="442" t="str">
        <f t="shared" si="29"/>
        <v/>
      </c>
      <c r="AK258" s="3" t="e">
        <f>IF(F258="", " ", VLOOKUP(F258,#REF!, 1, FALSE))</f>
        <v>#REF!</v>
      </c>
    </row>
    <row r="259" spans="1:37" ht="48" x14ac:dyDescent="0.25">
      <c r="A259" s="587" t="s">
        <v>2716</v>
      </c>
      <c r="B259" s="369" t="s">
        <v>25</v>
      </c>
      <c r="C259" s="588"/>
      <c r="D259" s="589" t="s">
        <v>2907</v>
      </c>
      <c r="E259" s="44" t="s">
        <v>27</v>
      </c>
      <c r="F259" s="214">
        <v>100954</v>
      </c>
      <c r="G259" s="587" t="s">
        <v>794</v>
      </c>
      <c r="H259" s="590" t="s">
        <v>42</v>
      </c>
      <c r="I259" s="591">
        <v>1.38</v>
      </c>
      <c r="J259" s="592">
        <v>5.41</v>
      </c>
      <c r="K259" s="593">
        <v>0.2033513845915047</v>
      </c>
      <c r="L259" s="592">
        <v>6.5101309906400404</v>
      </c>
      <c r="M259" s="594">
        <v>8.9839807670832545</v>
      </c>
      <c r="N259" s="439"/>
      <c r="O259" s="673"/>
      <c r="P259" s="361"/>
      <c r="Q259" s="441">
        <v>0</v>
      </c>
      <c r="R259" s="485"/>
      <c r="S259" s="442">
        <v>0</v>
      </c>
      <c r="T259" s="441">
        <v>1.38</v>
      </c>
      <c r="U259" s="485"/>
      <c r="V259" s="442">
        <v>1</v>
      </c>
      <c r="W259" s="441">
        <v>0</v>
      </c>
      <c r="X259" s="485"/>
      <c r="Y259" s="442">
        <v>0.6</v>
      </c>
      <c r="Z259" s="441">
        <v>0</v>
      </c>
      <c r="AA259" s="485"/>
      <c r="AB259" s="442">
        <v>0</v>
      </c>
      <c r="AC259" s="672"/>
      <c r="AD259" s="441">
        <v>0.86352495358286374</v>
      </c>
      <c r="AE259" s="674">
        <v>5.9782496786505952</v>
      </c>
      <c r="AF259" s="674">
        <v>2.1422061348497965</v>
      </c>
      <c r="AG259" s="674">
        <v>0</v>
      </c>
      <c r="AH259" s="442">
        <v>0</v>
      </c>
      <c r="AI259" s="442">
        <v>-1.7763568394002505E-15</v>
      </c>
      <c r="AK259" s="3" t="e">
        <f>IF(F259="", " ", VLOOKUP(F259,#REF!, 1, FALSE))</f>
        <v>#REF!</v>
      </c>
    </row>
    <row r="260" spans="1:37" ht="60" x14ac:dyDescent="0.25">
      <c r="A260" s="587" t="s">
        <v>3002</v>
      </c>
      <c r="B260" s="369" t="s">
        <v>26</v>
      </c>
      <c r="C260" s="588"/>
      <c r="D260" s="589" t="s">
        <v>3007</v>
      </c>
      <c r="E260" s="44" t="s">
        <v>27</v>
      </c>
      <c r="F260" s="214">
        <v>92811</v>
      </c>
      <c r="G260" s="587" t="s">
        <v>522</v>
      </c>
      <c r="H260" s="590" t="s">
        <v>22</v>
      </c>
      <c r="I260" s="591">
        <v>3</v>
      </c>
      <c r="J260" s="592">
        <v>57.83</v>
      </c>
      <c r="K260" s="593">
        <v>0.2033513845915047</v>
      </c>
      <c r="L260" s="592">
        <v>69.589810570926716</v>
      </c>
      <c r="M260" s="594">
        <v>208.76943171278015</v>
      </c>
      <c r="N260" s="439"/>
      <c r="O260" s="673"/>
      <c r="P260" s="361"/>
      <c r="Q260" s="441"/>
      <c r="R260" s="485"/>
      <c r="S260" s="442"/>
      <c r="T260" s="441">
        <v>3</v>
      </c>
      <c r="U260" s="485"/>
      <c r="V260" s="442"/>
      <c r="W260" s="578">
        <v>0</v>
      </c>
      <c r="X260" s="485"/>
      <c r="Y260" s="442"/>
      <c r="Z260" s="441"/>
      <c r="AA260" s="485"/>
      <c r="AB260" s="442"/>
      <c r="AC260" s="672"/>
      <c r="AD260" s="441">
        <v>87.904818644409431</v>
      </c>
      <c r="AE260" s="674">
        <v>62.49003740183683</v>
      </c>
      <c r="AF260" s="674">
        <v>58.3745756665339</v>
      </c>
      <c r="AG260" s="674">
        <v>0</v>
      </c>
      <c r="AH260" s="442">
        <v>0</v>
      </c>
      <c r="AI260" s="442">
        <v>-2.8421709430404007E-14</v>
      </c>
      <c r="AK260" s="3" t="e">
        <f>IF(F260="", " ", VLOOKUP(F260,#REF!, 1, FALSE))</f>
        <v>#REF!</v>
      </c>
    </row>
    <row r="261" spans="1:37" ht="24" x14ac:dyDescent="0.25">
      <c r="A261" s="587" t="s">
        <v>2903</v>
      </c>
      <c r="B261" s="369"/>
      <c r="C261" s="588"/>
      <c r="D261" s="589" t="s">
        <v>2909</v>
      </c>
      <c r="E261" s="44"/>
      <c r="F261" s="214"/>
      <c r="G261" s="587" t="s">
        <v>2903</v>
      </c>
      <c r="H261" s="590" t="s">
        <v>21</v>
      </c>
      <c r="I261" s="591" t="s">
        <v>21</v>
      </c>
      <c r="J261" s="592" t="s">
        <v>21</v>
      </c>
      <c r="K261" s="593" t="s">
        <v>21</v>
      </c>
      <c r="L261" s="592" t="s">
        <v>21</v>
      </c>
      <c r="M261" s="594" t="s">
        <v>21</v>
      </c>
      <c r="N261" s="439"/>
      <c r="O261" s="673"/>
      <c r="P261" s="361"/>
      <c r="Q261" s="441"/>
      <c r="R261" s="485"/>
      <c r="S261" s="442"/>
      <c r="T261" s="441"/>
      <c r="U261" s="485"/>
      <c r="V261" s="442"/>
      <c r="W261" s="578"/>
      <c r="X261" s="485"/>
      <c r="Y261" s="442"/>
      <c r="Z261" s="441"/>
      <c r="AA261" s="485"/>
      <c r="AB261" s="442"/>
      <c r="AC261" s="672"/>
      <c r="AD261" s="441" t="s">
        <v>21</v>
      </c>
      <c r="AE261" s="674" t="s">
        <v>21</v>
      </c>
      <c r="AF261" s="674" t="s">
        <v>21</v>
      </c>
      <c r="AG261" s="674" t="s">
        <v>21</v>
      </c>
      <c r="AH261" s="442" t="s">
        <v>21</v>
      </c>
      <c r="AI261" s="442" t="s">
        <v>21</v>
      </c>
      <c r="AK261" s="3" t="str">
        <f>IF(F261="", " ", VLOOKUP(F261,#REF!, 1, FALSE))</f>
        <v xml:space="preserve"> </v>
      </c>
    </row>
    <row r="262" spans="1:37" x14ac:dyDescent="0.25">
      <c r="A262" s="587" t="s">
        <v>2731</v>
      </c>
      <c r="B262" s="369" t="s">
        <v>20</v>
      </c>
      <c r="C262" s="588"/>
      <c r="D262" s="589" t="s">
        <v>2910</v>
      </c>
      <c r="E262" s="44" t="s">
        <v>27</v>
      </c>
      <c r="F262" s="214" t="s">
        <v>568</v>
      </c>
      <c r="G262" s="587" t="s">
        <v>74</v>
      </c>
      <c r="H262" s="590" t="s">
        <v>51</v>
      </c>
      <c r="I262" s="591">
        <v>103.64</v>
      </c>
      <c r="J262" s="592">
        <v>6.44</v>
      </c>
      <c r="K262" s="593">
        <v>0.2033513845915047</v>
      </c>
      <c r="L262" s="592">
        <v>7.7495829167692909</v>
      </c>
      <c r="M262" s="594">
        <v>803.16677349396934</v>
      </c>
      <c r="N262" s="439"/>
      <c r="O262" s="673"/>
      <c r="P262" s="361"/>
      <c r="Q262" s="441"/>
      <c r="R262" s="485"/>
      <c r="S262" s="442"/>
      <c r="T262" s="441">
        <v>64.44</v>
      </c>
      <c r="U262" s="485"/>
      <c r="V262" s="442"/>
      <c r="W262" s="578">
        <v>39.200000000000003</v>
      </c>
      <c r="X262" s="485"/>
      <c r="Y262" s="442"/>
      <c r="Z262" s="441"/>
      <c r="AA262" s="485"/>
      <c r="AB262" s="442"/>
      <c r="AC262" s="672"/>
      <c r="AD262" s="441">
        <v>27.437374249793979</v>
      </c>
      <c r="AE262" s="674">
        <v>775.72939924417528</v>
      </c>
      <c r="AF262" s="674">
        <v>0</v>
      </c>
      <c r="AG262" s="674">
        <v>0</v>
      </c>
      <c r="AH262" s="442">
        <v>0</v>
      </c>
      <c r="AI262" s="442">
        <v>1.1368683772161603E-13</v>
      </c>
      <c r="AK262" s="3" t="e">
        <f>IF(F262="", " ", VLOOKUP(F262,#REF!, 1, FALSE))</f>
        <v>#REF!</v>
      </c>
    </row>
    <row r="263" spans="1:37" ht="36" x14ac:dyDescent="0.25">
      <c r="A263" s="587" t="s">
        <v>2911</v>
      </c>
      <c r="B263" s="369" t="s">
        <v>25</v>
      </c>
      <c r="C263" s="588"/>
      <c r="D263" s="589" t="s">
        <v>2914</v>
      </c>
      <c r="E263" s="44" t="s">
        <v>27</v>
      </c>
      <c r="F263" s="214">
        <v>95879</v>
      </c>
      <c r="G263" s="587" t="s">
        <v>789</v>
      </c>
      <c r="H263" s="590" t="s">
        <v>42</v>
      </c>
      <c r="I263" s="591">
        <v>2446.4483999999998</v>
      </c>
      <c r="J263" s="592">
        <v>1.04</v>
      </c>
      <c r="K263" s="593">
        <v>0.2033513845915047</v>
      </c>
      <c r="L263" s="592">
        <v>1.2514854399751649</v>
      </c>
      <c r="M263" s="594">
        <v>3061.694552250538</v>
      </c>
      <c r="N263" s="439"/>
      <c r="O263" s="673"/>
      <c r="P263" s="361"/>
      <c r="Q263" s="441">
        <v>0</v>
      </c>
      <c r="R263" s="485"/>
      <c r="S263" s="442">
        <v>0</v>
      </c>
      <c r="T263" s="441">
        <v>1482.9309000000001</v>
      </c>
      <c r="U263" s="485"/>
      <c r="V263" s="442">
        <v>30</v>
      </c>
      <c r="W263" s="578">
        <v>963.5174999999997</v>
      </c>
      <c r="X263" s="485"/>
      <c r="Y263" s="442">
        <v>30</v>
      </c>
      <c r="Z263" s="441">
        <v>0</v>
      </c>
      <c r="AA263" s="485"/>
      <c r="AB263" s="442">
        <v>0</v>
      </c>
      <c r="AC263" s="672"/>
      <c r="AD263" s="441">
        <v>206.07559486301699</v>
      </c>
      <c r="AE263" s="674">
        <v>1766.3622416830026</v>
      </c>
      <c r="AF263" s="674">
        <v>1089.2567157045182</v>
      </c>
      <c r="AG263" s="674">
        <v>0</v>
      </c>
      <c r="AH263" s="442">
        <v>0</v>
      </c>
      <c r="AI263" s="442">
        <v>4.5474735088646412E-13</v>
      </c>
      <c r="AK263" s="3" t="e">
        <f>IF(F263="", " ", VLOOKUP(F263,#REF!, 1, FALSE))</f>
        <v>#REF!</v>
      </c>
    </row>
    <row r="264" spans="1:37" ht="36" x14ac:dyDescent="0.25">
      <c r="A264" s="587" t="s">
        <v>2912</v>
      </c>
      <c r="B264" s="369" t="s">
        <v>25</v>
      </c>
      <c r="C264" s="588"/>
      <c r="D264" s="589" t="s">
        <v>2915</v>
      </c>
      <c r="E264" s="44" t="s">
        <v>27</v>
      </c>
      <c r="F264" s="214">
        <v>93599</v>
      </c>
      <c r="G264" s="587" t="s">
        <v>788</v>
      </c>
      <c r="H264" s="590" t="s">
        <v>42</v>
      </c>
      <c r="I264" s="591">
        <v>2201.8035599999998</v>
      </c>
      <c r="J264" s="592">
        <v>0.41</v>
      </c>
      <c r="K264" s="593">
        <v>0.2033513845915047</v>
      </c>
      <c r="L264" s="592">
        <v>0.4933740676825169</v>
      </c>
      <c r="M264" s="594">
        <v>1086.3127786350467</v>
      </c>
      <c r="N264" s="439"/>
      <c r="O264" s="673"/>
      <c r="P264" s="361"/>
      <c r="Q264" s="441">
        <v>0</v>
      </c>
      <c r="R264" s="485"/>
      <c r="S264" s="442">
        <v>0</v>
      </c>
      <c r="T264" s="441">
        <v>1334.6378099999999</v>
      </c>
      <c r="U264" s="485"/>
      <c r="V264" s="442">
        <v>27</v>
      </c>
      <c r="W264" s="578">
        <v>867.16574999999978</v>
      </c>
      <c r="X264" s="485"/>
      <c r="Y264" s="442">
        <v>27</v>
      </c>
      <c r="Z264" s="441">
        <v>0</v>
      </c>
      <c r="AA264" s="485"/>
      <c r="AB264" s="442">
        <v>0</v>
      </c>
      <c r="AC264" s="672"/>
      <c r="AD264" s="441">
        <v>52.990867250490076</v>
      </c>
      <c r="AE264" s="674">
        <v>662.38584063112603</v>
      </c>
      <c r="AF264" s="674">
        <v>370.93607075343056</v>
      </c>
      <c r="AG264" s="674">
        <v>0</v>
      </c>
      <c r="AH264" s="442">
        <v>0</v>
      </c>
      <c r="AI264" s="442">
        <v>0</v>
      </c>
      <c r="AK264" s="3" t="e">
        <f>IF(F264="", " ", VLOOKUP(F264,#REF!, 1, FALSE))</f>
        <v>#REF!</v>
      </c>
    </row>
    <row r="265" spans="1:37" ht="36" x14ac:dyDescent="0.25">
      <c r="A265" s="587" t="s">
        <v>2913</v>
      </c>
      <c r="B265" s="369" t="s">
        <v>25</v>
      </c>
      <c r="C265" s="588"/>
      <c r="D265" s="589" t="s">
        <v>2916</v>
      </c>
      <c r="E265" s="44" t="s">
        <v>27</v>
      </c>
      <c r="F265" s="214">
        <v>100943</v>
      </c>
      <c r="G265" s="587" t="s">
        <v>786</v>
      </c>
      <c r="H265" s="590" t="s">
        <v>42</v>
      </c>
      <c r="I265" s="591">
        <v>68.70138</v>
      </c>
      <c r="J265" s="592">
        <v>3.1</v>
      </c>
      <c r="K265" s="593">
        <v>0.2033513845915047</v>
      </c>
      <c r="L265" s="592">
        <v>3.7303892922336646</v>
      </c>
      <c r="M265" s="594">
        <v>256.28289231367603</v>
      </c>
      <c r="N265" s="439"/>
      <c r="O265" s="673"/>
      <c r="P265" s="361"/>
      <c r="Q265" s="441">
        <v>0</v>
      </c>
      <c r="R265" s="794"/>
      <c r="S265" s="442">
        <v>0</v>
      </c>
      <c r="T265" s="441">
        <v>49.43103</v>
      </c>
      <c r="U265" s="485"/>
      <c r="V265" s="442">
        <v>1</v>
      </c>
      <c r="W265" s="578">
        <v>19.270349999999993</v>
      </c>
      <c r="X265" s="485"/>
      <c r="Y265" s="442">
        <v>0.6</v>
      </c>
      <c r="Z265" s="441">
        <v>0</v>
      </c>
      <c r="AA265" s="485"/>
      <c r="AB265" s="442">
        <v>0</v>
      </c>
      <c r="AC265" s="672"/>
      <c r="AD265" s="441">
        <v>18.187818164196365</v>
      </c>
      <c r="AE265" s="674">
        <v>143.0223882911805</v>
      </c>
      <c r="AF265" s="674">
        <v>95.072685858299167</v>
      </c>
      <c r="AG265" s="674">
        <v>0</v>
      </c>
      <c r="AH265" s="442">
        <v>0</v>
      </c>
      <c r="AI265" s="442">
        <v>0</v>
      </c>
      <c r="AK265" s="3" t="e">
        <f>IF(F265="", " ", VLOOKUP(F265,#REF!, 1, FALSE))</f>
        <v>#REF!</v>
      </c>
    </row>
    <row r="266" spans="1:37" ht="60" x14ac:dyDescent="0.25">
      <c r="A266" s="587" t="s">
        <v>2717</v>
      </c>
      <c r="B266" s="369" t="s">
        <v>28</v>
      </c>
      <c r="C266" s="588"/>
      <c r="D266" s="589" t="s">
        <v>2917</v>
      </c>
      <c r="E266" s="44" t="s">
        <v>27</v>
      </c>
      <c r="F266" s="214">
        <v>92743</v>
      </c>
      <c r="G266" s="587" t="s">
        <v>609</v>
      </c>
      <c r="H266" s="590" t="s">
        <v>44</v>
      </c>
      <c r="I266" s="591">
        <v>48.769999999999996</v>
      </c>
      <c r="J266" s="592">
        <v>587.59</v>
      </c>
      <c r="K266" s="593">
        <v>0.2033513845915047</v>
      </c>
      <c r="L266" s="592">
        <v>707.07724007212232</v>
      </c>
      <c r="M266" s="594">
        <v>34484.156998317405</v>
      </c>
      <c r="N266" s="439"/>
      <c r="O266" s="673"/>
      <c r="P266" s="361"/>
      <c r="Q266" s="441"/>
      <c r="R266" s="485">
        <v>1.65</v>
      </c>
      <c r="S266" s="442"/>
      <c r="T266" s="441">
        <v>29.42</v>
      </c>
      <c r="U266" s="485">
        <v>1.65</v>
      </c>
      <c r="V266" s="442"/>
      <c r="W266" s="441">
        <v>19.349999999999998</v>
      </c>
      <c r="X266" s="485">
        <v>1.65</v>
      </c>
      <c r="Y266" s="442"/>
      <c r="Z266" s="441"/>
      <c r="AA266" s="485">
        <v>1.65</v>
      </c>
      <c r="AB266" s="442"/>
      <c r="AC266" s="672"/>
      <c r="AD266" s="441">
        <v>5366.9670305759564</v>
      </c>
      <c r="AE266" s="674">
        <v>26992.117510910874</v>
      </c>
      <c r="AF266" s="674">
        <v>2125.0724568305673</v>
      </c>
      <c r="AG266" s="674">
        <v>0</v>
      </c>
      <c r="AH266" s="442">
        <v>0</v>
      </c>
      <c r="AI266" s="442">
        <v>7.2759576141834259E-12</v>
      </c>
      <c r="AK266" s="3" t="e">
        <f>IF(F266="", " ", VLOOKUP(F266,#REF!, 1, FALSE))</f>
        <v>#REF!</v>
      </c>
    </row>
    <row r="267" spans="1:37" ht="48" x14ac:dyDescent="0.25">
      <c r="A267" s="587" t="s">
        <v>1394</v>
      </c>
      <c r="B267" s="369" t="s">
        <v>20</v>
      </c>
      <c r="C267" s="588"/>
      <c r="D267" s="589" t="s">
        <v>2918</v>
      </c>
      <c r="E267" s="44" t="s">
        <v>27</v>
      </c>
      <c r="F267" s="214">
        <v>92756</v>
      </c>
      <c r="G267" s="587" t="s">
        <v>629</v>
      </c>
      <c r="H267" s="590" t="s">
        <v>51</v>
      </c>
      <c r="I267" s="591">
        <v>2.84</v>
      </c>
      <c r="J267" s="592">
        <v>231.86</v>
      </c>
      <c r="K267" s="593">
        <v>0.2033513845915047</v>
      </c>
      <c r="L267" s="592">
        <v>279.00905203138632</v>
      </c>
      <c r="M267" s="594">
        <v>792.38570776913707</v>
      </c>
      <c r="N267" s="439"/>
      <c r="O267" s="673"/>
      <c r="P267" s="361"/>
      <c r="Q267" s="441"/>
      <c r="R267" s="794">
        <v>0.3795</v>
      </c>
      <c r="S267" s="442"/>
      <c r="T267" s="441">
        <v>2.34</v>
      </c>
      <c r="U267" s="794">
        <v>0.3795</v>
      </c>
      <c r="V267" s="442"/>
      <c r="W267" s="441">
        <v>0.5</v>
      </c>
      <c r="X267" s="794">
        <v>0.3795</v>
      </c>
      <c r="Y267" s="442"/>
      <c r="Z267" s="441"/>
      <c r="AA267" s="794">
        <v>0.3795</v>
      </c>
      <c r="AB267" s="442"/>
      <c r="AC267" s="672"/>
      <c r="AD267" s="441">
        <v>122.24461643622028</v>
      </c>
      <c r="AE267" s="674">
        <v>620.04027844628024</v>
      </c>
      <c r="AF267" s="674">
        <v>50.10081288663654</v>
      </c>
      <c r="AG267" s="674">
        <v>0</v>
      </c>
      <c r="AH267" s="442">
        <v>0</v>
      </c>
      <c r="AI267" s="442">
        <v>0</v>
      </c>
      <c r="AK267" s="3" t="e">
        <f>IF(F267="", " ", VLOOKUP(F267,#REF!, 1, FALSE))</f>
        <v>#REF!</v>
      </c>
    </row>
    <row r="268" spans="1:37" ht="24" x14ac:dyDescent="0.25">
      <c r="A268" s="1145" t="s">
        <v>2950</v>
      </c>
      <c r="B268" s="1146"/>
      <c r="C268" s="1147"/>
      <c r="D268" s="1148" t="s">
        <v>2949</v>
      </c>
      <c r="E268" s="1146"/>
      <c r="F268" s="1149"/>
      <c r="G268" s="1145" t="s">
        <v>2950</v>
      </c>
      <c r="H268" s="1150" t="s">
        <v>21</v>
      </c>
      <c r="I268" s="1151" t="s">
        <v>21</v>
      </c>
      <c r="J268" s="1152" t="s">
        <v>21</v>
      </c>
      <c r="K268" s="1153" t="s">
        <v>21</v>
      </c>
      <c r="L268" s="1152" t="s">
        <v>21</v>
      </c>
      <c r="M268" s="1154">
        <v>1269527.1782467517</v>
      </c>
      <c r="N268" s="1155"/>
      <c r="O268" s="1156"/>
      <c r="P268" s="1157"/>
      <c r="Q268" s="1158"/>
      <c r="R268" s="1159"/>
      <c r="S268" s="1160"/>
      <c r="T268" s="1158"/>
      <c r="U268" s="1159"/>
      <c r="V268" s="1160"/>
      <c r="W268" s="1161"/>
      <c r="X268" s="1159"/>
      <c r="Y268" s="1160"/>
      <c r="Z268" s="1158"/>
      <c r="AA268" s="1159"/>
      <c r="AB268" s="1160"/>
      <c r="AC268" s="1162"/>
      <c r="AD268" s="1158" t="s">
        <v>21</v>
      </c>
      <c r="AE268" s="1163" t="s">
        <v>21</v>
      </c>
      <c r="AF268" s="1163" t="s">
        <v>21</v>
      </c>
      <c r="AG268" s="1163" t="s">
        <v>21</v>
      </c>
      <c r="AH268" s="1160" t="s">
        <v>21</v>
      </c>
      <c r="AI268" s="1160" t="str">
        <f t="shared" si="29"/>
        <v/>
      </c>
      <c r="AK268" s="3" t="str">
        <f>IF(F268="", " ", VLOOKUP(F268,#REF!, 1, FALSE))</f>
        <v xml:space="preserve"> </v>
      </c>
    </row>
    <row r="269" spans="1:37" ht="36" x14ac:dyDescent="0.25">
      <c r="A269" s="587" t="s">
        <v>3019</v>
      </c>
      <c r="B269" s="369" t="s">
        <v>23</v>
      </c>
      <c r="C269" s="588"/>
      <c r="D269" s="589" t="s">
        <v>2951</v>
      </c>
      <c r="E269" s="44" t="s">
        <v>27</v>
      </c>
      <c r="F269" s="214">
        <v>101009</v>
      </c>
      <c r="G269" s="587" t="s">
        <v>771</v>
      </c>
      <c r="H269" s="590" t="s">
        <v>55</v>
      </c>
      <c r="I269" s="591">
        <v>22.391999999999999</v>
      </c>
      <c r="J269" s="592">
        <v>27.42</v>
      </c>
      <c r="K269" s="593">
        <v>0.2033513845915047</v>
      </c>
      <c r="L269" s="592">
        <v>32.995894965499062</v>
      </c>
      <c r="M269" s="594">
        <v>738.84408006745502</v>
      </c>
      <c r="N269" s="439"/>
      <c r="O269" s="673" t="s">
        <v>3031</v>
      </c>
      <c r="P269" s="361"/>
      <c r="Q269" s="441">
        <v>0</v>
      </c>
      <c r="R269" s="1178"/>
      <c r="S269" s="442"/>
      <c r="T269" s="441">
        <v>14.817</v>
      </c>
      <c r="U269" s="1178"/>
      <c r="V269" s="442"/>
      <c r="W269" s="578">
        <v>7.5750000000000002</v>
      </c>
      <c r="X269" s="1178"/>
      <c r="Y269" s="442"/>
      <c r="Z269" s="441">
        <v>0</v>
      </c>
      <c r="AA269" s="1178"/>
      <c r="AB269" s="442"/>
      <c r="AC269" s="672"/>
      <c r="AD269" s="441">
        <v>72.483244908149302</v>
      </c>
      <c r="AE269" s="674">
        <v>486.3652678781022</v>
      </c>
      <c r="AF269" s="674">
        <v>179.99556728120345</v>
      </c>
      <c r="AG269" s="674">
        <v>0</v>
      </c>
      <c r="AH269" s="442">
        <v>0</v>
      </c>
      <c r="AI269" s="442">
        <v>1.1368683772161603E-13</v>
      </c>
      <c r="AK269" s="3" t="e">
        <f>IF(F269="", " ", VLOOKUP(F269,#REF!, 1, FALSE))</f>
        <v>#REF!</v>
      </c>
    </row>
    <row r="270" spans="1:37" ht="48" x14ac:dyDescent="0.25">
      <c r="A270" s="587" t="s">
        <v>1851</v>
      </c>
      <c r="B270" s="369" t="s">
        <v>25</v>
      </c>
      <c r="C270" s="588"/>
      <c r="D270" s="589" t="s">
        <v>3010</v>
      </c>
      <c r="E270" s="44" t="s">
        <v>27</v>
      </c>
      <c r="F270" s="214">
        <v>100952</v>
      </c>
      <c r="G270" s="587" t="s">
        <v>797</v>
      </c>
      <c r="H270" s="590" t="s">
        <v>42</v>
      </c>
      <c r="I270" s="591">
        <v>141.261</v>
      </c>
      <c r="J270" s="592">
        <v>1.81</v>
      </c>
      <c r="K270" s="593">
        <v>0.2033513845915047</v>
      </c>
      <c r="L270" s="592">
        <v>2.1780660061106234</v>
      </c>
      <c r="M270" s="594">
        <v>307.67578208919275</v>
      </c>
      <c r="N270" s="439"/>
      <c r="O270" s="673"/>
      <c r="P270" s="361"/>
      <c r="Q270" s="441">
        <v>0</v>
      </c>
      <c r="R270" s="485"/>
      <c r="S270" s="442">
        <v>0</v>
      </c>
      <c r="T270" s="441">
        <v>118.536</v>
      </c>
      <c r="U270" s="485"/>
      <c r="V270" s="442">
        <v>8</v>
      </c>
      <c r="W270" s="578">
        <v>22.725000000000001</v>
      </c>
      <c r="X270" s="485"/>
      <c r="Y270" s="442">
        <v>3</v>
      </c>
      <c r="Z270" s="441">
        <v>0</v>
      </c>
      <c r="AA270" s="485"/>
      <c r="AB270" s="442">
        <v>0</v>
      </c>
      <c r="AC270" s="672"/>
      <c r="AD270" s="441">
        <v>28.897725389592694</v>
      </c>
      <c r="AE270" s="674">
        <v>210.78340872408785</v>
      </c>
      <c r="AF270" s="674">
        <v>67.994647975512223</v>
      </c>
      <c r="AG270" s="674">
        <v>0</v>
      </c>
      <c r="AH270" s="442">
        <v>0</v>
      </c>
      <c r="AI270" s="442">
        <v>0</v>
      </c>
      <c r="AK270" s="3" t="e">
        <f>IF(F270="", " ", VLOOKUP(F270,#REF!, 1, FALSE))</f>
        <v>#REF!</v>
      </c>
    </row>
    <row r="271" spans="1:37" ht="48" hidden="1" x14ac:dyDescent="0.25">
      <c r="A271" s="587" t="s">
        <v>1976</v>
      </c>
      <c r="B271" s="369" t="s">
        <v>25</v>
      </c>
      <c r="C271" s="588"/>
      <c r="D271" s="589" t="s">
        <v>3015</v>
      </c>
      <c r="E271" s="44" t="s">
        <v>27</v>
      </c>
      <c r="F271" s="214">
        <v>100953</v>
      </c>
      <c r="G271" s="587" t="s">
        <v>796</v>
      </c>
      <c r="H271" s="590" t="s">
        <v>42</v>
      </c>
      <c r="I271" s="591">
        <f>IF($F271="","",IF('TRECHO(S) A IMPRIMIR'!$B$1= 1, SUM(Q271, T271, W271, Z271), IF('TRECHO(S) A IMPRIMIR'!$B$1= 2, T271, IF('TRECHO(S) A IMPRIMIR'!$B$1= 3, W271, 0))))</f>
        <v>0</v>
      </c>
      <c r="J271" s="592">
        <v>0.71</v>
      </c>
      <c r="K271" s="593">
        <f t="shared" si="32"/>
        <v>0.2033513845915047</v>
      </c>
      <c r="L271" s="592">
        <f>IF(J271="","",
  IF(AND(J271&lt;&gt;"",K271=""),J271,J271 * (1 + K271)))</f>
        <v>0.85437948305996825</v>
      </c>
      <c r="M271" s="594">
        <f>IF(OR(I271="",L271=""),"",I271*L271)</f>
        <v>0</v>
      </c>
      <c r="N271" s="439"/>
      <c r="O271" s="673"/>
      <c r="P271" s="361"/>
      <c r="Q271" s="441">
        <f>Q269 * S271</f>
        <v>0</v>
      </c>
      <c r="R271" s="485"/>
      <c r="S271" s="442">
        <v>0</v>
      </c>
      <c r="T271" s="441">
        <f>T269 * V271</f>
        <v>0</v>
      </c>
      <c r="U271" s="485"/>
      <c r="V271" s="442">
        <f>IF('MLQ-DMT-TR1'!$E$11 &gt; 30, 'MLQ-DMT-TR1'!$E$11 - 30, 0)</f>
        <v>0</v>
      </c>
      <c r="W271" s="578">
        <f>W269 * Y271</f>
        <v>0</v>
      </c>
      <c r="X271" s="485"/>
      <c r="Y271" s="442">
        <f>IF('MLQ-DMT-TR3'!$E$11 &gt; 30, 'MLQ-DMT-TR3'!$E$11 - 30, 0)</f>
        <v>0</v>
      </c>
      <c r="Z271" s="441">
        <f>Z269 * AB271</f>
        <v>0</v>
      </c>
      <c r="AA271" s="485"/>
      <c r="AB271" s="442">
        <v>0</v>
      </c>
      <c r="AC271" s="672"/>
      <c r="AD271" s="441" t="s">
        <v>21</v>
      </c>
      <c r="AE271" s="674" t="s">
        <v>21</v>
      </c>
      <c r="AF271" s="674" t="s">
        <v>21</v>
      </c>
      <c r="AG271" s="674" t="s">
        <v>21</v>
      </c>
      <c r="AH271" s="442" t="s">
        <v>21</v>
      </c>
      <c r="AI271" s="442" t="str">
        <f>IF(SUM(AD271:AH271)=0,"",M271 - SUM(AD271:AH271))</f>
        <v/>
      </c>
      <c r="AK271" s="3" t="e">
        <f>IF(F271="", " ", VLOOKUP(F271,#REF!, 1, FALSE))</f>
        <v>#REF!</v>
      </c>
    </row>
    <row r="272" spans="1:37" ht="48" x14ac:dyDescent="0.25">
      <c r="A272" s="587" t="s">
        <v>1850</v>
      </c>
      <c r="B272" s="369" t="s">
        <v>25</v>
      </c>
      <c r="C272" s="588"/>
      <c r="D272" s="589" t="s">
        <v>3016</v>
      </c>
      <c r="E272" s="44" t="s">
        <v>27</v>
      </c>
      <c r="F272" s="214">
        <v>100954</v>
      </c>
      <c r="G272" s="587" t="s">
        <v>794</v>
      </c>
      <c r="H272" s="590" t="s">
        <v>42</v>
      </c>
      <c r="I272" s="591">
        <v>19.362000000000002</v>
      </c>
      <c r="J272" s="592">
        <v>5.41</v>
      </c>
      <c r="K272" s="593">
        <v>0.2033513845915047</v>
      </c>
      <c r="L272" s="592">
        <v>6.5101309906400404</v>
      </c>
      <c r="M272" s="594">
        <v>126.04915624077248</v>
      </c>
      <c r="N272" s="439"/>
      <c r="O272" s="673"/>
      <c r="P272" s="361"/>
      <c r="Q272" s="441">
        <v>0</v>
      </c>
      <c r="R272" s="485"/>
      <c r="S272" s="442">
        <v>0</v>
      </c>
      <c r="T272" s="441">
        <v>14.817</v>
      </c>
      <c r="U272" s="485"/>
      <c r="V272" s="442">
        <v>1</v>
      </c>
      <c r="W272" s="578">
        <v>4.5449999999999999</v>
      </c>
      <c r="X272" s="485"/>
      <c r="Y272" s="442">
        <v>0.6</v>
      </c>
      <c r="Z272" s="441">
        <v>0</v>
      </c>
      <c r="AA272" s="485"/>
      <c r="AB272" s="442">
        <v>0</v>
      </c>
      <c r="AC272" s="672"/>
      <c r="AD272" s="441">
        <v>12.115630544399572</v>
      </c>
      <c r="AE272" s="674">
        <v>83.877442230458584</v>
      </c>
      <c r="AF272" s="674">
        <v>30.056083465914327</v>
      </c>
      <c r="AG272" s="674">
        <v>0</v>
      </c>
      <c r="AH272" s="442">
        <v>0</v>
      </c>
      <c r="AI272" s="442">
        <v>0</v>
      </c>
      <c r="AK272" s="3" t="e">
        <f>IF(F272="", " ", VLOOKUP(F272,#REF!, 1, FALSE))</f>
        <v>#REF!</v>
      </c>
    </row>
    <row r="273" spans="1:37" ht="60" x14ac:dyDescent="0.25">
      <c r="A273" s="587" t="s">
        <v>3008</v>
      </c>
      <c r="B273" s="369" t="s">
        <v>26</v>
      </c>
      <c r="C273" s="588"/>
      <c r="D273" s="589" t="s">
        <v>3017</v>
      </c>
      <c r="E273" s="44" t="s">
        <v>138</v>
      </c>
      <c r="F273" s="214" t="s">
        <v>3023</v>
      </c>
      <c r="G273" s="587" t="s">
        <v>3024</v>
      </c>
      <c r="H273" s="590" t="s">
        <v>22</v>
      </c>
      <c r="I273" s="591">
        <v>848</v>
      </c>
      <c r="J273" s="592">
        <v>126.23343546441424</v>
      </c>
      <c r="K273" s="593">
        <v>0.2033513845915047</v>
      </c>
      <c r="L273" s="592">
        <v>151.90317934784522</v>
      </c>
      <c r="M273" s="594">
        <v>128813.89608697275</v>
      </c>
      <c r="N273" s="439"/>
      <c r="O273" s="673"/>
      <c r="P273" s="361"/>
      <c r="Q273" s="441"/>
      <c r="R273" s="1178">
        <v>2.5000000000000001E-2</v>
      </c>
      <c r="S273" s="442"/>
      <c r="T273" s="441">
        <v>545</v>
      </c>
      <c r="U273" s="1178">
        <v>2.5000000000000001E-2</v>
      </c>
      <c r="V273" s="442"/>
      <c r="W273" s="578">
        <v>303</v>
      </c>
      <c r="X273" s="1178">
        <v>2.5000000000000001E-2</v>
      </c>
      <c r="Y273" s="442"/>
      <c r="Z273" s="441"/>
      <c r="AA273" s="1178">
        <v>2.5000000000000001E-2</v>
      </c>
      <c r="AB273" s="442"/>
      <c r="AC273" s="672"/>
      <c r="AD273" s="441">
        <v>37410.697304426016</v>
      </c>
      <c r="AE273" s="674">
        <v>91292.072651563576</v>
      </c>
      <c r="AF273" s="674">
        <v>55.103866603214186</v>
      </c>
      <c r="AG273" s="674">
        <v>0</v>
      </c>
      <c r="AH273" s="442">
        <v>56.022264379937994</v>
      </c>
      <c r="AI273" s="442">
        <v>1.4551915228366852E-11</v>
      </c>
      <c r="AK273" s="3" t="e">
        <f>IF(F273="", " ", VLOOKUP(F273,#REF!, 1, FALSE))</f>
        <v>#REF!</v>
      </c>
    </row>
    <row r="274" spans="1:37" ht="48" x14ac:dyDescent="0.25">
      <c r="A274" s="587" t="s">
        <v>3009</v>
      </c>
      <c r="B274" s="369" t="s">
        <v>26</v>
      </c>
      <c r="C274" s="588"/>
      <c r="D274" s="589" t="s">
        <v>3018</v>
      </c>
      <c r="E274" s="44" t="s">
        <v>138</v>
      </c>
      <c r="F274" s="214" t="s">
        <v>3032</v>
      </c>
      <c r="G274" s="587" t="s">
        <v>3033</v>
      </c>
      <c r="H274" s="590" t="s">
        <v>22</v>
      </c>
      <c r="I274" s="591">
        <v>1490</v>
      </c>
      <c r="J274" s="592">
        <v>25.904809564414233</v>
      </c>
      <c r="K274" s="593">
        <v>0.2033513845915047</v>
      </c>
      <c r="L274" s="592">
        <v>31.172588456917122</v>
      </c>
      <c r="M274" s="594">
        <v>46447.156800806515</v>
      </c>
      <c r="N274" s="439"/>
      <c r="O274" s="673"/>
      <c r="P274" s="361"/>
      <c r="Q274" s="441"/>
      <c r="R274" s="1179">
        <v>8.0000000000000004E-4</v>
      </c>
      <c r="S274" s="442"/>
      <c r="T274" s="441">
        <v>1490</v>
      </c>
      <c r="U274" s="1179">
        <v>8.0000000000000004E-4</v>
      </c>
      <c r="V274" s="442"/>
      <c r="W274" s="578">
        <v>0</v>
      </c>
      <c r="X274" s="1179">
        <v>8.0000000000000004E-4</v>
      </c>
      <c r="Y274" s="442"/>
      <c r="Z274" s="441"/>
      <c r="AA274" s="1179">
        <v>8.0000000000000004E-4</v>
      </c>
      <c r="AB274" s="442"/>
      <c r="AC274" s="672"/>
      <c r="AD274" s="441">
        <v>6341.3958031937746</v>
      </c>
      <c r="AE274" s="674">
        <v>40105.760997612735</v>
      </c>
      <c r="AF274" s="674">
        <v>0</v>
      </c>
      <c r="AG274" s="674">
        <v>0</v>
      </c>
      <c r="AH274" s="442">
        <v>0</v>
      </c>
      <c r="AI274" s="442">
        <v>7.2759576141834259E-12</v>
      </c>
      <c r="AK274" s="3" t="e">
        <f>IF(F274="", " ", VLOOKUP(F274,#REF!, 1, FALSE))</f>
        <v>#REF!</v>
      </c>
    </row>
    <row r="275" spans="1:37" x14ac:dyDescent="0.25">
      <c r="A275" s="587" t="s">
        <v>3014</v>
      </c>
      <c r="B275" s="369" t="s">
        <v>39</v>
      </c>
      <c r="C275" s="588"/>
      <c r="D275" s="589" t="s">
        <v>3020</v>
      </c>
      <c r="E275" s="44" t="s">
        <v>27</v>
      </c>
      <c r="F275" s="214">
        <v>98509</v>
      </c>
      <c r="G275" s="587" t="s">
        <v>624</v>
      </c>
      <c r="H275" s="590" t="s">
        <v>41</v>
      </c>
      <c r="I275" s="591">
        <v>23380</v>
      </c>
      <c r="J275" s="592">
        <v>37.64</v>
      </c>
      <c r="K275" s="593">
        <v>0.2033513845915047</v>
      </c>
      <c r="L275" s="592">
        <v>45.294146116024237</v>
      </c>
      <c r="M275" s="594">
        <v>1058977.1361926466</v>
      </c>
      <c r="N275" s="439"/>
      <c r="O275" s="673"/>
      <c r="P275" s="361"/>
      <c r="Q275" s="441"/>
      <c r="R275" s="485"/>
      <c r="S275" s="442"/>
      <c r="T275" s="441">
        <v>20350</v>
      </c>
      <c r="U275" s="485"/>
      <c r="V275" s="442"/>
      <c r="W275" s="578">
        <v>3030</v>
      </c>
      <c r="X275" s="485"/>
      <c r="Y275" s="442"/>
      <c r="Z275" s="441"/>
      <c r="AA275" s="485"/>
      <c r="AB275" s="442"/>
      <c r="AC275" s="672"/>
      <c r="AD275" s="441">
        <v>45014.968594799007</v>
      </c>
      <c r="AE275" s="674">
        <v>1013962.1675978476</v>
      </c>
      <c r="AF275" s="674">
        <v>0</v>
      </c>
      <c r="AG275" s="674">
        <v>0</v>
      </c>
      <c r="AH275" s="442">
        <v>0</v>
      </c>
      <c r="AI275" s="442">
        <v>0</v>
      </c>
      <c r="AK275" s="3" t="e">
        <f>IF(F275="", " ", VLOOKUP(F275,#REF!, 1, FALSE))</f>
        <v>#REF!</v>
      </c>
    </row>
    <row r="276" spans="1:37" ht="36" x14ac:dyDescent="0.25">
      <c r="A276" s="587" t="s">
        <v>3036</v>
      </c>
      <c r="B276" s="369" t="s">
        <v>39</v>
      </c>
      <c r="C276" s="588"/>
      <c r="D276" s="589" t="s">
        <v>3021</v>
      </c>
      <c r="E276" s="44" t="s">
        <v>138</v>
      </c>
      <c r="F276" s="214" t="s">
        <v>445</v>
      </c>
      <c r="G276" s="587" t="s">
        <v>71</v>
      </c>
      <c r="H276" s="590" t="s">
        <v>51</v>
      </c>
      <c r="I276" s="591">
        <v>19.2</v>
      </c>
      <c r="J276" s="592">
        <v>1001.0947080000001</v>
      </c>
      <c r="K276" s="593">
        <v>0.2033513845915047</v>
      </c>
      <c r="L276" s="592">
        <v>1204.6687029790282</v>
      </c>
      <c r="M276" s="594">
        <v>23129.639097197341</v>
      </c>
      <c r="N276" s="439"/>
      <c r="O276" s="673"/>
      <c r="P276" s="361"/>
      <c r="Q276" s="441"/>
      <c r="R276" s="485"/>
      <c r="S276" s="442"/>
      <c r="T276" s="441">
        <v>19.2</v>
      </c>
      <c r="U276" s="485"/>
      <c r="V276" s="442"/>
      <c r="W276" s="578">
        <v>0</v>
      </c>
      <c r="X276" s="485"/>
      <c r="Y276" s="442"/>
      <c r="Z276" s="441"/>
      <c r="AA276" s="485"/>
      <c r="AB276" s="442"/>
      <c r="AC276" s="672"/>
      <c r="AD276" s="441">
        <v>7774.3815821029521</v>
      </c>
      <c r="AE276" s="674">
        <v>12632.21573155326</v>
      </c>
      <c r="AF276" s="674">
        <v>2460.0311437657197</v>
      </c>
      <c r="AG276" s="674">
        <v>0</v>
      </c>
      <c r="AH276" s="442">
        <v>263.01063977540838</v>
      </c>
      <c r="AI276" s="442">
        <v>0</v>
      </c>
      <c r="AK276" s="3" t="e">
        <f>IF(F276="", " ", VLOOKUP(F276,#REF!, 1, FALSE))</f>
        <v>#REF!</v>
      </c>
    </row>
    <row r="277" spans="1:37" ht="24" x14ac:dyDescent="0.25">
      <c r="A277" s="587" t="s">
        <v>3037</v>
      </c>
      <c r="B277" s="369" t="s">
        <v>39</v>
      </c>
      <c r="C277" s="588"/>
      <c r="D277" s="589" t="s">
        <v>3038</v>
      </c>
      <c r="E277" s="44" t="s">
        <v>138</v>
      </c>
      <c r="F277" s="214" t="s">
        <v>3039</v>
      </c>
      <c r="G277" s="587" t="s">
        <v>3040</v>
      </c>
      <c r="H277" s="590" t="s">
        <v>41</v>
      </c>
      <c r="I277" s="591">
        <v>60</v>
      </c>
      <c r="J277" s="592">
        <v>152.16919999999999</v>
      </c>
      <c r="K277" s="593">
        <v>0.2033513845915047</v>
      </c>
      <c r="L277" s="592">
        <v>183.11301751218159</v>
      </c>
      <c r="M277" s="594">
        <v>10986.781050730895</v>
      </c>
      <c r="N277" s="439"/>
      <c r="O277" s="673"/>
      <c r="P277" s="361"/>
      <c r="Q277" s="441"/>
      <c r="R277" s="485"/>
      <c r="S277" s="442"/>
      <c r="T277" s="441">
        <v>60</v>
      </c>
      <c r="U277" s="485"/>
      <c r="V277" s="442"/>
      <c r="W277" s="578">
        <v>0</v>
      </c>
      <c r="X277" s="485"/>
      <c r="Y277" s="442"/>
      <c r="Z277" s="441"/>
      <c r="AA277" s="485"/>
      <c r="AB277" s="442"/>
      <c r="AC277" s="672"/>
      <c r="AD277" s="441">
        <v>2950.1362544645326</v>
      </c>
      <c r="AE277" s="674">
        <v>8036.6447962663624</v>
      </c>
      <c r="AF277" s="674">
        <v>0</v>
      </c>
      <c r="AG277" s="674">
        <v>0</v>
      </c>
      <c r="AH277" s="442">
        <v>0</v>
      </c>
      <c r="AI277" s="442">
        <v>0</v>
      </c>
      <c r="AK277" s="3" t="e">
        <f>IF(F277="", " ", VLOOKUP(F277,#REF!, 1, FALSE))</f>
        <v>#REF!</v>
      </c>
    </row>
    <row r="278" spans="1:37" x14ac:dyDescent="0.25">
      <c r="A278" s="587"/>
      <c r="B278" s="369"/>
      <c r="C278" s="588"/>
      <c r="D278" s="589"/>
      <c r="E278" s="44"/>
      <c r="F278" s="214"/>
      <c r="G278" s="587" t="s">
        <v>21</v>
      </c>
      <c r="H278" s="590" t="s">
        <v>21</v>
      </c>
      <c r="I278" s="591" t="s">
        <v>21</v>
      </c>
      <c r="J278" s="592" t="s">
        <v>21</v>
      </c>
      <c r="K278" s="593" t="s">
        <v>21</v>
      </c>
      <c r="L278" s="592" t="s">
        <v>21</v>
      </c>
      <c r="M278" s="594" t="s">
        <v>21</v>
      </c>
      <c r="N278" s="439"/>
      <c r="O278" s="673"/>
      <c r="P278" s="361"/>
      <c r="Q278" s="441"/>
      <c r="R278" s="485"/>
      <c r="S278" s="442"/>
      <c r="T278" s="441"/>
      <c r="U278" s="485"/>
      <c r="V278" s="442"/>
      <c r="W278" s="578"/>
      <c r="X278" s="485"/>
      <c r="Y278" s="442"/>
      <c r="Z278" s="441"/>
      <c r="AA278" s="485"/>
      <c r="AB278" s="442"/>
      <c r="AC278" s="672"/>
      <c r="AD278" s="441" t="s">
        <v>21</v>
      </c>
      <c r="AE278" s="674" t="s">
        <v>21</v>
      </c>
      <c r="AF278" s="674" t="s">
        <v>21</v>
      </c>
      <c r="AG278" s="674" t="s">
        <v>21</v>
      </c>
      <c r="AH278" s="442" t="s">
        <v>21</v>
      </c>
      <c r="AI278" s="442" t="str">
        <f t="shared" ref="AI277:AI308" si="36">IF(SUM(AD278:AH278)=0,"",M278 - SUM(AD278:AH278))</f>
        <v/>
      </c>
      <c r="AK278" s="3" t="str">
        <f>IF(F278="", " ", VLOOKUP(F278,#REF!, 1, FALSE))</f>
        <v xml:space="preserve"> </v>
      </c>
    </row>
    <row r="279" spans="1:37" x14ac:dyDescent="0.25">
      <c r="A279" s="587" t="s">
        <v>3180</v>
      </c>
      <c r="B279" s="369"/>
      <c r="C279" s="588"/>
      <c r="D279" s="589" t="s">
        <v>3135</v>
      </c>
      <c r="E279" s="44"/>
      <c r="F279" s="214"/>
      <c r="G279" s="587" t="s">
        <v>3180</v>
      </c>
      <c r="H279" s="590" t="s">
        <v>21</v>
      </c>
      <c r="I279" s="591" t="s">
        <v>21</v>
      </c>
      <c r="J279" s="592" t="s">
        <v>21</v>
      </c>
      <c r="K279" s="593" t="s">
        <v>21</v>
      </c>
      <c r="L279" s="592" t="s">
        <v>21</v>
      </c>
      <c r="M279" s="594">
        <v>1960495.3023895915</v>
      </c>
      <c r="O279" s="673"/>
      <c r="P279" s="361"/>
      <c r="Q279" s="441"/>
      <c r="R279" s="485"/>
      <c r="S279" s="442"/>
      <c r="T279" s="441"/>
      <c r="U279" s="485"/>
      <c r="V279" s="442"/>
      <c r="W279" s="578"/>
      <c r="X279" s="485"/>
      <c r="Y279" s="442"/>
      <c r="Z279" s="441"/>
      <c r="AA279" s="485"/>
      <c r="AB279" s="442"/>
      <c r="AC279" s="672"/>
      <c r="AD279" s="441" t="s">
        <v>21</v>
      </c>
      <c r="AE279" s="674" t="s">
        <v>21</v>
      </c>
      <c r="AF279" s="674" t="s">
        <v>21</v>
      </c>
      <c r="AG279" s="674" t="s">
        <v>21</v>
      </c>
      <c r="AH279" s="442" t="s">
        <v>21</v>
      </c>
      <c r="AI279" s="442" t="str">
        <f t="shared" si="36"/>
        <v/>
      </c>
      <c r="AK279" s="3" t="str">
        <f>IF(F279="", " ", VLOOKUP(F279,#REF!, 1, FALSE))</f>
        <v xml:space="preserve"> </v>
      </c>
    </row>
    <row r="280" spans="1:37" x14ac:dyDescent="0.25">
      <c r="A280" s="587" t="s">
        <v>1857</v>
      </c>
      <c r="B280" s="369"/>
      <c r="C280" s="588"/>
      <c r="D280" s="589" t="s">
        <v>3136</v>
      </c>
      <c r="E280" s="44"/>
      <c r="F280" s="214"/>
      <c r="G280" s="587" t="s">
        <v>1857</v>
      </c>
      <c r="H280" s="590" t="s">
        <v>21</v>
      </c>
      <c r="I280" s="591" t="s">
        <v>21</v>
      </c>
      <c r="J280" s="592" t="s">
        <v>21</v>
      </c>
      <c r="K280" s="593" t="s">
        <v>21</v>
      </c>
      <c r="L280" s="592" t="s">
        <v>21</v>
      </c>
      <c r="M280" s="594">
        <v>247811.55999869257</v>
      </c>
      <c r="N280" s="439"/>
      <c r="O280" s="673"/>
      <c r="P280" s="361"/>
      <c r="Q280" s="441"/>
      <c r="R280" s="485"/>
      <c r="S280" s="442"/>
      <c r="T280" s="441">
        <v>2</v>
      </c>
      <c r="U280" s="485"/>
      <c r="V280" s="442"/>
      <c r="W280" s="578">
        <v>1</v>
      </c>
      <c r="X280" s="485"/>
      <c r="Y280" s="442"/>
      <c r="Z280" s="441"/>
      <c r="AA280" s="485"/>
      <c r="AB280" s="442"/>
      <c r="AC280" s="672"/>
      <c r="AD280" s="441" t="s">
        <v>21</v>
      </c>
      <c r="AE280" s="674" t="s">
        <v>21</v>
      </c>
      <c r="AF280" s="674" t="s">
        <v>21</v>
      </c>
      <c r="AG280" s="674" t="s">
        <v>21</v>
      </c>
      <c r="AH280" s="442" t="s">
        <v>21</v>
      </c>
      <c r="AI280" s="442" t="s">
        <v>21</v>
      </c>
      <c r="AK280" s="3" t="str">
        <f>IF(F280="", " ", VLOOKUP(F280,#REF!, 1, FALSE))</f>
        <v xml:space="preserve"> </v>
      </c>
    </row>
    <row r="281" spans="1:37" x14ac:dyDescent="0.25">
      <c r="A281" s="587" t="s">
        <v>1858</v>
      </c>
      <c r="B281" s="369"/>
      <c r="C281" s="588"/>
      <c r="D281" s="589" t="s">
        <v>3137</v>
      </c>
      <c r="E281" s="44"/>
      <c r="F281" s="214"/>
      <c r="G281" s="587" t="s">
        <v>1858</v>
      </c>
      <c r="H281" s="590" t="s">
        <v>21</v>
      </c>
      <c r="I281" s="591" t="s">
        <v>21</v>
      </c>
      <c r="J281" s="592" t="s">
        <v>21</v>
      </c>
      <c r="K281" s="593" t="s">
        <v>21</v>
      </c>
      <c r="L281" s="592" t="s">
        <v>21</v>
      </c>
      <c r="M281" s="594">
        <v>13609.452902960695</v>
      </c>
      <c r="N281" s="439"/>
      <c r="O281" s="673"/>
      <c r="P281" s="361"/>
      <c r="Q281" s="441"/>
      <c r="R281" s="485"/>
      <c r="S281" s="442"/>
      <c r="T281" s="441"/>
      <c r="U281" s="485"/>
      <c r="V281" s="442"/>
      <c r="W281" s="578"/>
      <c r="X281" s="485"/>
      <c r="Y281" s="442"/>
      <c r="Z281" s="441"/>
      <c r="AA281" s="485"/>
      <c r="AB281" s="442"/>
      <c r="AC281" s="672"/>
      <c r="AD281" s="441" t="s">
        <v>21</v>
      </c>
      <c r="AE281" s="674" t="s">
        <v>21</v>
      </c>
      <c r="AF281" s="674" t="s">
        <v>21</v>
      </c>
      <c r="AG281" s="674" t="s">
        <v>21</v>
      </c>
      <c r="AH281" s="442" t="s">
        <v>21</v>
      </c>
      <c r="AI281" s="442" t="s">
        <v>21</v>
      </c>
      <c r="AK281" s="3" t="str">
        <f>IF(F281="", " ", VLOOKUP(F281,#REF!, 1, FALSE))</f>
        <v xml:space="preserve"> </v>
      </c>
    </row>
    <row r="282" spans="1:37" ht="36" x14ac:dyDescent="0.25">
      <c r="A282" s="587" t="s">
        <v>1859</v>
      </c>
      <c r="B282" s="369" t="s">
        <v>26</v>
      </c>
      <c r="C282" s="588"/>
      <c r="D282" s="589" t="s">
        <v>3138</v>
      </c>
      <c r="E282" s="44" t="s">
        <v>27</v>
      </c>
      <c r="F282" s="214">
        <v>100933</v>
      </c>
      <c r="G282" s="587" t="s">
        <v>3657</v>
      </c>
      <c r="H282" s="590" t="s">
        <v>22</v>
      </c>
      <c r="I282" s="591">
        <v>37.5</v>
      </c>
      <c r="J282" s="592">
        <v>301.58999999999997</v>
      </c>
      <c r="K282" s="593">
        <v>0.2033513845915047</v>
      </c>
      <c r="L282" s="592">
        <v>362.91874407895187</v>
      </c>
      <c r="M282" s="594">
        <v>13609.452902960695</v>
      </c>
      <c r="N282" s="439"/>
      <c r="O282" s="673" t="s">
        <v>3471</v>
      </c>
      <c r="P282" s="361"/>
      <c r="Q282" s="441"/>
      <c r="R282" s="485"/>
      <c r="S282" s="442"/>
      <c r="T282" s="441">
        <v>25</v>
      </c>
      <c r="U282" s="485"/>
      <c r="V282" s="442"/>
      <c r="W282" s="441">
        <v>12.5</v>
      </c>
      <c r="X282" s="485"/>
      <c r="Y282" s="442"/>
      <c r="Z282" s="441"/>
      <c r="AA282" s="485"/>
      <c r="AB282" s="442"/>
      <c r="AC282" s="672"/>
      <c r="AD282" s="441">
        <v>2387.1483091833975</v>
      </c>
      <c r="AE282" s="674">
        <v>9179.9164562793667</v>
      </c>
      <c r="AF282" s="674">
        <v>1989.1398387297572</v>
      </c>
      <c r="AG282" s="674">
        <v>0</v>
      </c>
      <c r="AH282" s="442">
        <v>53.248298768174081</v>
      </c>
      <c r="AI282" s="442">
        <v>-1.8189894035458565E-12</v>
      </c>
      <c r="AK282" s="3" t="e">
        <f>IF(F282="", " ", VLOOKUP(F282,#REF!, 1, FALSE))</f>
        <v>#REF!</v>
      </c>
    </row>
    <row r="283" spans="1:37" x14ac:dyDescent="0.25">
      <c r="A283" s="587" t="s">
        <v>1860</v>
      </c>
      <c r="B283" s="369"/>
      <c r="C283" s="588"/>
      <c r="D283" s="589" t="s">
        <v>3139</v>
      </c>
      <c r="E283" s="44"/>
      <c r="F283" s="214"/>
      <c r="G283" s="587" t="s">
        <v>1860</v>
      </c>
      <c r="H283" s="590" t="s">
        <v>21</v>
      </c>
      <c r="I283" s="591" t="s">
        <v>21</v>
      </c>
      <c r="J283" s="592" t="s">
        <v>21</v>
      </c>
      <c r="K283" s="593" t="s">
        <v>21</v>
      </c>
      <c r="L283" s="592" t="s">
        <v>21</v>
      </c>
      <c r="M283" s="594">
        <v>0</v>
      </c>
      <c r="N283" s="439"/>
      <c r="O283" s="673"/>
      <c r="P283" s="361"/>
      <c r="Q283" s="441"/>
      <c r="R283" s="485"/>
      <c r="S283" s="442"/>
      <c r="T283" s="441"/>
      <c r="U283" s="485"/>
      <c r="V283" s="442"/>
      <c r="W283" s="441"/>
      <c r="X283" s="485"/>
      <c r="Y283" s="442"/>
      <c r="Z283" s="441"/>
      <c r="AA283" s="485"/>
      <c r="AB283" s="442"/>
      <c r="AC283" s="672"/>
      <c r="AD283" s="441" t="s">
        <v>21</v>
      </c>
      <c r="AE283" s="674" t="s">
        <v>21</v>
      </c>
      <c r="AF283" s="674" t="s">
        <v>21</v>
      </c>
      <c r="AG283" s="674" t="s">
        <v>21</v>
      </c>
      <c r="AH283" s="442" t="s">
        <v>21</v>
      </c>
      <c r="AI283" s="442" t="s">
        <v>21</v>
      </c>
      <c r="AK283" s="3" t="str">
        <f>IF(F283="", " ", VLOOKUP(F283,#REF!, 1, FALSE))</f>
        <v xml:space="preserve"> </v>
      </c>
    </row>
    <row r="284" spans="1:37" ht="24" hidden="1" x14ac:dyDescent="0.25">
      <c r="A284" s="587" t="s">
        <v>1861</v>
      </c>
      <c r="B284" s="369" t="s">
        <v>28</v>
      </c>
      <c r="C284" s="588"/>
      <c r="D284" s="589" t="s">
        <v>3140</v>
      </c>
      <c r="E284" s="44" t="s">
        <v>27</v>
      </c>
      <c r="F284" s="214">
        <v>93358</v>
      </c>
      <c r="G284" s="587" t="s">
        <v>1293</v>
      </c>
      <c r="H284" s="590" t="s">
        <v>44</v>
      </c>
      <c r="I284" s="591">
        <f>IF($F284="","",IF('TRECHO(S) A IMPRIMIR'!$B$1= 1, SUM(Q284, T284, W284, Z284), IF('TRECHO(S) A IMPRIMIR'!$B$1= 2, T284, IF('TRECHO(S) A IMPRIMIR'!$B$1= 3, W284, 0))))</f>
        <v>0</v>
      </c>
      <c r="J284" s="592">
        <v>69.66</v>
      </c>
      <c r="K284" s="593">
        <f t="shared" si="32"/>
        <v>0.2033513845915047</v>
      </c>
      <c r="L284" s="592">
        <f t="shared" ref="L280:L346" si="37">IF(J284="","",
  IF(AND(J284&lt;&gt;"",K284=""),J284,J284 * (1 + K284)))</f>
        <v>83.825457450644208</v>
      </c>
      <c r="M284" s="594">
        <f t="shared" ref="M282:M317" si="38">IF(OR(I284="",L284=""),"",I284*L284)</f>
        <v>0</v>
      </c>
      <c r="N284" s="439"/>
      <c r="O284" s="673"/>
      <c r="P284" s="361"/>
      <c r="Q284" s="441"/>
      <c r="R284" s="485"/>
      <c r="S284" s="442"/>
      <c r="T284" s="441">
        <f t="shared" ref="T284:T297" si="39">0 * T$280</f>
        <v>0</v>
      </c>
      <c r="U284" s="485"/>
      <c r="V284" s="442"/>
      <c r="W284" s="441">
        <f t="shared" ref="W284:W297" si="40">0 * W$280</f>
        <v>0</v>
      </c>
      <c r="X284" s="485"/>
      <c r="Y284" s="442"/>
      <c r="Z284" s="441"/>
      <c r="AA284" s="485"/>
      <c r="AB284" s="442"/>
      <c r="AC284" s="672"/>
      <c r="AD284" s="441" t="s">
        <v>21</v>
      </c>
      <c r="AE284" s="674" t="s">
        <v>21</v>
      </c>
      <c r="AF284" s="674" t="s">
        <v>21</v>
      </c>
      <c r="AG284" s="674" t="s">
        <v>21</v>
      </c>
      <c r="AH284" s="442" t="s">
        <v>21</v>
      </c>
      <c r="AI284" s="442" t="str">
        <f t="shared" si="36"/>
        <v/>
      </c>
      <c r="AK284" s="3" t="e">
        <f>IF(F284="", " ", VLOOKUP(F284,#REF!, 1, FALSE))</f>
        <v>#REF!</v>
      </c>
    </row>
    <row r="285" spans="1:37" ht="36" hidden="1" x14ac:dyDescent="0.25">
      <c r="A285" s="587" t="s">
        <v>1862</v>
      </c>
      <c r="B285" s="369" t="s">
        <v>20</v>
      </c>
      <c r="C285" s="588"/>
      <c r="D285" s="589" t="s">
        <v>3141</v>
      </c>
      <c r="E285" s="44" t="s">
        <v>27</v>
      </c>
      <c r="F285" s="214">
        <v>101617</v>
      </c>
      <c r="G285" s="587" t="s">
        <v>1166</v>
      </c>
      <c r="H285" s="590" t="s">
        <v>51</v>
      </c>
      <c r="I285" s="591">
        <f>IF($F285="","",IF('TRECHO(S) A IMPRIMIR'!$B$1= 1, SUM(Q285, T285, W285, Z285), IF('TRECHO(S) A IMPRIMIR'!$B$1= 2, T285, IF('TRECHO(S) A IMPRIMIR'!$B$1= 3, W285, 0))))</f>
        <v>0</v>
      </c>
      <c r="J285" s="592">
        <v>2.61</v>
      </c>
      <c r="K285" s="593">
        <f t="shared" ref="K285:K348" si="41">IF(AND(F285&lt;&gt;"", J285&lt;&gt;""),
  IF(OR(F285= "CP9001", F285= "CP9091", F285= "CP9092"), 0,
  IF(ISNA(VLOOKUP(F285, $M$626:$M$646, 1, FALSE)), $M$4, $M$5)), "")</f>
        <v>0.2033513845915047</v>
      </c>
      <c r="L285" s="592">
        <f t="shared" si="37"/>
        <v>3.140747113783827</v>
      </c>
      <c r="M285" s="594">
        <f t="shared" si="38"/>
        <v>0</v>
      </c>
      <c r="N285" s="439"/>
      <c r="O285" s="673"/>
      <c r="P285" s="361"/>
      <c r="Q285" s="441"/>
      <c r="R285" s="485"/>
      <c r="S285" s="442"/>
      <c r="T285" s="441">
        <f t="shared" si="39"/>
        <v>0</v>
      </c>
      <c r="U285" s="485"/>
      <c r="V285" s="442"/>
      <c r="W285" s="441">
        <f t="shared" si="40"/>
        <v>0</v>
      </c>
      <c r="X285" s="485"/>
      <c r="Y285" s="442"/>
      <c r="Z285" s="441"/>
      <c r="AA285" s="485"/>
      <c r="AB285" s="442"/>
      <c r="AC285" s="672"/>
      <c r="AD285" s="441" t="s">
        <v>21</v>
      </c>
      <c r="AE285" s="674" t="s">
        <v>21</v>
      </c>
      <c r="AF285" s="674" t="s">
        <v>21</v>
      </c>
      <c r="AG285" s="674" t="s">
        <v>21</v>
      </c>
      <c r="AH285" s="442" t="s">
        <v>21</v>
      </c>
      <c r="AI285" s="442" t="str">
        <f t="shared" si="36"/>
        <v/>
      </c>
      <c r="AK285" s="3" t="e">
        <f>IF(F285="", " ", VLOOKUP(F285,#REF!, 1, FALSE))</f>
        <v>#REF!</v>
      </c>
    </row>
    <row r="286" spans="1:37" ht="24" hidden="1" x14ac:dyDescent="0.25">
      <c r="A286" s="587" t="s">
        <v>1288</v>
      </c>
      <c r="B286" s="369" t="s">
        <v>28</v>
      </c>
      <c r="C286" s="588"/>
      <c r="D286" s="589" t="s">
        <v>3142</v>
      </c>
      <c r="E286" s="44" t="s">
        <v>27</v>
      </c>
      <c r="F286" s="214">
        <v>96616</v>
      </c>
      <c r="G286" s="587" t="s">
        <v>70</v>
      </c>
      <c r="H286" s="590" t="s">
        <v>44</v>
      </c>
      <c r="I286" s="591">
        <f>IF($F286="","",IF('TRECHO(S) A IMPRIMIR'!$B$1= 1, SUM(Q286, T286, W286, Z286), IF('TRECHO(S) A IMPRIMIR'!$B$1= 2, T286, IF('TRECHO(S) A IMPRIMIR'!$B$1= 3, W286, 0))))</f>
        <v>0</v>
      </c>
      <c r="J286" s="592">
        <v>547.38</v>
      </c>
      <c r="K286" s="593">
        <f t="shared" si="41"/>
        <v>0.2033513845915047</v>
      </c>
      <c r="L286" s="592">
        <f t="shared" si="37"/>
        <v>658.69048089769785</v>
      </c>
      <c r="M286" s="594">
        <f t="shared" si="38"/>
        <v>0</v>
      </c>
      <c r="N286" s="439"/>
      <c r="O286" s="673"/>
      <c r="P286" s="361"/>
      <c r="Q286" s="441"/>
      <c r="R286" s="485"/>
      <c r="S286" s="442"/>
      <c r="T286" s="441">
        <f t="shared" si="39"/>
        <v>0</v>
      </c>
      <c r="U286" s="485"/>
      <c r="V286" s="442"/>
      <c r="W286" s="441">
        <f t="shared" si="40"/>
        <v>0</v>
      </c>
      <c r="X286" s="485"/>
      <c r="Y286" s="442"/>
      <c r="Z286" s="441"/>
      <c r="AA286" s="485"/>
      <c r="AB286" s="442"/>
      <c r="AC286" s="672"/>
      <c r="AD286" s="441" t="s">
        <v>21</v>
      </c>
      <c r="AE286" s="674" t="s">
        <v>21</v>
      </c>
      <c r="AF286" s="674" t="s">
        <v>21</v>
      </c>
      <c r="AG286" s="674" t="s">
        <v>21</v>
      </c>
      <c r="AH286" s="442" t="s">
        <v>21</v>
      </c>
      <c r="AI286" s="442" t="str">
        <f t="shared" si="36"/>
        <v/>
      </c>
      <c r="AK286" s="3" t="e">
        <f>IF(F286="", " ", VLOOKUP(F286,#REF!, 1, FALSE))</f>
        <v>#REF!</v>
      </c>
    </row>
    <row r="287" spans="1:37" ht="36" hidden="1" x14ac:dyDescent="0.25">
      <c r="A287" s="587" t="s">
        <v>1863</v>
      </c>
      <c r="B287" s="369" t="s">
        <v>20</v>
      </c>
      <c r="C287" s="588"/>
      <c r="D287" s="589" t="s">
        <v>3143</v>
      </c>
      <c r="E287" s="44" t="s">
        <v>27</v>
      </c>
      <c r="F287" s="214">
        <v>96536</v>
      </c>
      <c r="G287" s="587" t="s">
        <v>67</v>
      </c>
      <c r="H287" s="590" t="s">
        <v>51</v>
      </c>
      <c r="I287" s="591">
        <f>IF($F287="","",IF('TRECHO(S) A IMPRIMIR'!$B$1= 1, SUM(Q287, T287, W287, Z287), IF('TRECHO(S) A IMPRIMIR'!$B$1= 2, T287, IF('TRECHO(S) A IMPRIMIR'!$B$1= 3, W287, 0))))</f>
        <v>0</v>
      </c>
      <c r="J287" s="592">
        <v>68.62</v>
      </c>
      <c r="K287" s="593">
        <f t="shared" si="41"/>
        <v>0.2033513845915047</v>
      </c>
      <c r="L287" s="592">
        <f t="shared" si="37"/>
        <v>82.573972010669053</v>
      </c>
      <c r="M287" s="594">
        <f t="shared" si="38"/>
        <v>0</v>
      </c>
      <c r="N287" s="439"/>
      <c r="O287" s="673"/>
      <c r="P287" s="361"/>
      <c r="Q287" s="441"/>
      <c r="R287" s="485"/>
      <c r="S287" s="442"/>
      <c r="T287" s="441">
        <f t="shared" si="39"/>
        <v>0</v>
      </c>
      <c r="U287" s="485"/>
      <c r="V287" s="442"/>
      <c r="W287" s="441">
        <f t="shared" si="40"/>
        <v>0</v>
      </c>
      <c r="X287" s="485"/>
      <c r="Y287" s="442"/>
      <c r="Z287" s="441"/>
      <c r="AA287" s="485"/>
      <c r="AB287" s="442"/>
      <c r="AC287" s="672"/>
      <c r="AD287" s="441" t="s">
        <v>21</v>
      </c>
      <c r="AE287" s="674" t="s">
        <v>21</v>
      </c>
      <c r="AF287" s="674" t="s">
        <v>21</v>
      </c>
      <c r="AG287" s="674" t="s">
        <v>21</v>
      </c>
      <c r="AH287" s="442" t="s">
        <v>21</v>
      </c>
      <c r="AI287" s="442" t="str">
        <f t="shared" si="36"/>
        <v/>
      </c>
      <c r="AK287" s="3" t="e">
        <f>IF(F287="", " ", VLOOKUP(F287,#REF!, 1, FALSE))</f>
        <v>#REF!</v>
      </c>
    </row>
    <row r="288" spans="1:37" ht="48" hidden="1" x14ac:dyDescent="0.25">
      <c r="A288" s="587" t="s">
        <v>1864</v>
      </c>
      <c r="B288" s="369" t="s">
        <v>28</v>
      </c>
      <c r="C288" s="588"/>
      <c r="D288" s="589" t="s">
        <v>3144</v>
      </c>
      <c r="E288" s="44" t="s">
        <v>27</v>
      </c>
      <c r="F288" s="214">
        <v>92916</v>
      </c>
      <c r="G288" s="587" t="s">
        <v>507</v>
      </c>
      <c r="H288" s="590" t="s">
        <v>54</v>
      </c>
      <c r="I288" s="591">
        <f>IF($F288="","",IF('TRECHO(S) A IMPRIMIR'!$B$1= 1, SUM(Q288, T288, W288, Z288), IF('TRECHO(S) A IMPRIMIR'!$B$1= 2, T288, IF('TRECHO(S) A IMPRIMIR'!$B$1= 3, W288, 0))))</f>
        <v>0</v>
      </c>
      <c r="J288" s="592">
        <v>16.38</v>
      </c>
      <c r="K288" s="593">
        <f t="shared" si="41"/>
        <v>0.2033513845915047</v>
      </c>
      <c r="L288" s="592">
        <f t="shared" si="37"/>
        <v>19.710895679608846</v>
      </c>
      <c r="M288" s="594">
        <f t="shared" si="38"/>
        <v>0</v>
      </c>
      <c r="N288" s="439"/>
      <c r="O288" s="673"/>
      <c r="P288" s="361"/>
      <c r="Q288" s="441"/>
      <c r="R288" s="485"/>
      <c r="S288" s="442"/>
      <c r="T288" s="441">
        <f t="shared" si="39"/>
        <v>0</v>
      </c>
      <c r="U288" s="485"/>
      <c r="V288" s="442"/>
      <c r="W288" s="441">
        <f t="shared" si="40"/>
        <v>0</v>
      </c>
      <c r="X288" s="485"/>
      <c r="Y288" s="442"/>
      <c r="Z288" s="441"/>
      <c r="AA288" s="485"/>
      <c r="AB288" s="442"/>
      <c r="AC288" s="672"/>
      <c r="AD288" s="441" t="s">
        <v>21</v>
      </c>
      <c r="AE288" s="674" t="s">
        <v>21</v>
      </c>
      <c r="AF288" s="674" t="s">
        <v>21</v>
      </c>
      <c r="AG288" s="674" t="s">
        <v>21</v>
      </c>
      <c r="AH288" s="442" t="s">
        <v>21</v>
      </c>
      <c r="AI288" s="442" t="str">
        <f t="shared" si="36"/>
        <v/>
      </c>
      <c r="AK288" s="3" t="e">
        <f>IF(F288="", " ", VLOOKUP(F288,#REF!, 1, FALSE))</f>
        <v>#REF!</v>
      </c>
    </row>
    <row r="289" spans="1:37" ht="48" hidden="1" x14ac:dyDescent="0.25">
      <c r="A289" s="587" t="s">
        <v>1864</v>
      </c>
      <c r="B289" s="369" t="s">
        <v>28</v>
      </c>
      <c r="C289" s="588"/>
      <c r="D289" s="589" t="s">
        <v>3144</v>
      </c>
      <c r="E289" s="44" t="s">
        <v>27</v>
      </c>
      <c r="F289" s="214">
        <v>92917</v>
      </c>
      <c r="G289" s="587" t="s">
        <v>508</v>
      </c>
      <c r="H289" s="590" t="s">
        <v>54</v>
      </c>
      <c r="I289" s="591">
        <f>IF($F289="","",IF('TRECHO(S) A IMPRIMIR'!$B$1= 1, SUM(Q289, T289, W289, Z289), IF('TRECHO(S) A IMPRIMIR'!$B$1= 2, T289, IF('TRECHO(S) A IMPRIMIR'!$B$1= 3, W289, 0))))</f>
        <v>0</v>
      </c>
      <c r="J289" s="592">
        <v>15.38</v>
      </c>
      <c r="K289" s="593">
        <f t="shared" si="41"/>
        <v>0.2033513845915047</v>
      </c>
      <c r="L289" s="592">
        <f t="shared" ref="L289:L294" si="42">IF(J289="","",
  IF(AND(J289&lt;&gt;"",K289=""),J289,J289 * (1 + K289)))</f>
        <v>18.507544295017343</v>
      </c>
      <c r="M289" s="594">
        <f t="shared" ref="M289:M294" si="43">IF(OR(I289="",L289=""),"",I289*L289)</f>
        <v>0</v>
      </c>
      <c r="N289" s="439"/>
      <c r="O289" s="673"/>
      <c r="P289" s="361"/>
      <c r="Q289" s="441"/>
      <c r="R289" s="485"/>
      <c r="S289" s="442"/>
      <c r="T289" s="441">
        <f t="shared" si="39"/>
        <v>0</v>
      </c>
      <c r="U289" s="485"/>
      <c r="V289" s="442"/>
      <c r="W289" s="441">
        <f t="shared" si="40"/>
        <v>0</v>
      </c>
      <c r="X289" s="485"/>
      <c r="Y289" s="442"/>
      <c r="Z289" s="441"/>
      <c r="AA289" s="485"/>
      <c r="AB289" s="442"/>
      <c r="AC289" s="672"/>
      <c r="AD289" s="441" t="s">
        <v>21</v>
      </c>
      <c r="AE289" s="674" t="s">
        <v>21</v>
      </c>
      <c r="AF289" s="674" t="s">
        <v>21</v>
      </c>
      <c r="AG289" s="674" t="s">
        <v>21</v>
      </c>
      <c r="AH289" s="442" t="s">
        <v>21</v>
      </c>
      <c r="AI289" s="442" t="str">
        <f t="shared" si="36"/>
        <v/>
      </c>
      <c r="AK289" s="3" t="e">
        <f>IF(F289="", " ", VLOOKUP(F289,#REF!, 1, FALSE))</f>
        <v>#REF!</v>
      </c>
    </row>
    <row r="290" spans="1:37" ht="48" hidden="1" x14ac:dyDescent="0.25">
      <c r="A290" s="587" t="s">
        <v>1864</v>
      </c>
      <c r="B290" s="369" t="s">
        <v>28</v>
      </c>
      <c r="C290" s="588"/>
      <c r="D290" s="589" t="s">
        <v>3144</v>
      </c>
      <c r="E290" s="44" t="s">
        <v>27</v>
      </c>
      <c r="F290" s="214">
        <v>92919</v>
      </c>
      <c r="G290" s="587" t="s">
        <v>502</v>
      </c>
      <c r="H290" s="590" t="s">
        <v>54</v>
      </c>
      <c r="I290" s="591">
        <f>IF($F290="","",IF('TRECHO(S) A IMPRIMIR'!$B$1= 1, SUM(Q290, T290, W290, Z290), IF('TRECHO(S) A IMPRIMIR'!$B$1= 2, T290, IF('TRECHO(S) A IMPRIMIR'!$B$1= 3, W290, 0))))</f>
        <v>0</v>
      </c>
      <c r="J290" s="592">
        <v>13.76</v>
      </c>
      <c r="K290" s="593">
        <f t="shared" si="41"/>
        <v>0.2033513845915047</v>
      </c>
      <c r="L290" s="592">
        <f t="shared" si="42"/>
        <v>16.558115051979104</v>
      </c>
      <c r="M290" s="594">
        <f t="shared" si="43"/>
        <v>0</v>
      </c>
      <c r="N290" s="439"/>
      <c r="O290" s="673"/>
      <c r="P290" s="361"/>
      <c r="Q290" s="441"/>
      <c r="R290" s="485"/>
      <c r="S290" s="442"/>
      <c r="T290" s="441">
        <f t="shared" si="39"/>
        <v>0</v>
      </c>
      <c r="U290" s="485"/>
      <c r="V290" s="442"/>
      <c r="W290" s="441">
        <f t="shared" si="40"/>
        <v>0</v>
      </c>
      <c r="X290" s="485"/>
      <c r="Y290" s="442"/>
      <c r="Z290" s="441"/>
      <c r="AA290" s="485"/>
      <c r="AB290" s="442"/>
      <c r="AC290" s="672"/>
      <c r="AD290" s="441" t="s">
        <v>21</v>
      </c>
      <c r="AE290" s="674" t="s">
        <v>21</v>
      </c>
      <c r="AF290" s="674" t="s">
        <v>21</v>
      </c>
      <c r="AG290" s="674" t="s">
        <v>21</v>
      </c>
      <c r="AH290" s="442" t="s">
        <v>21</v>
      </c>
      <c r="AI290" s="442" t="str">
        <f t="shared" si="36"/>
        <v/>
      </c>
      <c r="AK290" s="3" t="e">
        <f>IF(F290="", " ", VLOOKUP(F290,#REF!, 1, FALSE))</f>
        <v>#REF!</v>
      </c>
    </row>
    <row r="291" spans="1:37" ht="48" hidden="1" x14ac:dyDescent="0.25">
      <c r="A291" s="587" t="s">
        <v>1864</v>
      </c>
      <c r="B291" s="369" t="s">
        <v>28</v>
      </c>
      <c r="C291" s="588"/>
      <c r="D291" s="589" t="s">
        <v>3144</v>
      </c>
      <c r="E291" s="44" t="s">
        <v>27</v>
      </c>
      <c r="F291" s="214">
        <v>92921</v>
      </c>
      <c r="G291" s="587" t="s">
        <v>503</v>
      </c>
      <c r="H291" s="590" t="s">
        <v>54</v>
      </c>
      <c r="I291" s="591">
        <f>IF($F291="","",IF('TRECHO(S) A IMPRIMIR'!$B$1= 1, SUM(Q291, T291, W291, Z291), IF('TRECHO(S) A IMPRIMIR'!$B$1= 2, T291, IF('TRECHO(S) A IMPRIMIR'!$B$1= 3, W291, 0))))</f>
        <v>0</v>
      </c>
      <c r="J291" s="592">
        <v>11.58</v>
      </c>
      <c r="K291" s="593">
        <f t="shared" si="41"/>
        <v>0.2033513845915047</v>
      </c>
      <c r="L291" s="592">
        <f t="shared" si="42"/>
        <v>13.934809033569625</v>
      </c>
      <c r="M291" s="594">
        <f t="shared" si="43"/>
        <v>0</v>
      </c>
      <c r="N291" s="439"/>
      <c r="O291" s="673"/>
      <c r="P291" s="361"/>
      <c r="Q291" s="441"/>
      <c r="R291" s="485"/>
      <c r="S291" s="442"/>
      <c r="T291" s="441">
        <f t="shared" si="39"/>
        <v>0</v>
      </c>
      <c r="U291" s="485"/>
      <c r="V291" s="442"/>
      <c r="W291" s="441">
        <f t="shared" si="40"/>
        <v>0</v>
      </c>
      <c r="X291" s="485"/>
      <c r="Y291" s="442"/>
      <c r="Z291" s="441"/>
      <c r="AA291" s="485"/>
      <c r="AB291" s="442"/>
      <c r="AC291" s="672"/>
      <c r="AD291" s="441" t="s">
        <v>21</v>
      </c>
      <c r="AE291" s="674" t="s">
        <v>21</v>
      </c>
      <c r="AF291" s="674" t="s">
        <v>21</v>
      </c>
      <c r="AG291" s="674" t="s">
        <v>21</v>
      </c>
      <c r="AH291" s="442" t="s">
        <v>21</v>
      </c>
      <c r="AI291" s="442" t="str">
        <f t="shared" si="36"/>
        <v/>
      </c>
      <c r="AK291" s="3" t="e">
        <f>IF(F291="", " ", VLOOKUP(F291,#REF!, 1, FALSE))</f>
        <v>#REF!</v>
      </c>
    </row>
    <row r="292" spans="1:37" ht="48" hidden="1" x14ac:dyDescent="0.25">
      <c r="A292" s="587" t="s">
        <v>1864</v>
      </c>
      <c r="B292" s="369" t="s">
        <v>28</v>
      </c>
      <c r="C292" s="588"/>
      <c r="D292" s="589" t="s">
        <v>3144</v>
      </c>
      <c r="E292" s="44" t="s">
        <v>27</v>
      </c>
      <c r="F292" s="214">
        <v>92922</v>
      </c>
      <c r="G292" s="587" t="s">
        <v>504</v>
      </c>
      <c r="H292" s="590" t="s">
        <v>54</v>
      </c>
      <c r="I292" s="591">
        <f>IF($F292="","",IF('TRECHO(S) A IMPRIMIR'!$B$1= 1, SUM(Q292, T292, W292, Z292), IF('TRECHO(S) A IMPRIMIR'!$B$1= 2, T292, IF('TRECHO(S) A IMPRIMIR'!$B$1= 3, W292, 0))))</f>
        <v>0</v>
      </c>
      <c r="J292" s="592">
        <v>11</v>
      </c>
      <c r="K292" s="593">
        <f t="shared" si="41"/>
        <v>0.2033513845915047</v>
      </c>
      <c r="L292" s="592">
        <f t="shared" si="42"/>
        <v>13.236865230506552</v>
      </c>
      <c r="M292" s="594">
        <f t="shared" si="43"/>
        <v>0</v>
      </c>
      <c r="N292" s="439"/>
      <c r="O292" s="673"/>
      <c r="P292" s="361"/>
      <c r="Q292" s="441"/>
      <c r="R292" s="485"/>
      <c r="S292" s="442"/>
      <c r="T292" s="441">
        <f t="shared" si="39"/>
        <v>0</v>
      </c>
      <c r="U292" s="485"/>
      <c r="V292" s="442"/>
      <c r="W292" s="441">
        <f t="shared" si="40"/>
        <v>0</v>
      </c>
      <c r="X292" s="485"/>
      <c r="Y292" s="442"/>
      <c r="Z292" s="441"/>
      <c r="AA292" s="485"/>
      <c r="AB292" s="442"/>
      <c r="AC292" s="672"/>
      <c r="AD292" s="441" t="s">
        <v>21</v>
      </c>
      <c r="AE292" s="674" t="s">
        <v>21</v>
      </c>
      <c r="AF292" s="674" t="s">
        <v>21</v>
      </c>
      <c r="AG292" s="674" t="s">
        <v>21</v>
      </c>
      <c r="AH292" s="442" t="s">
        <v>21</v>
      </c>
      <c r="AI292" s="442" t="str">
        <f t="shared" si="36"/>
        <v/>
      </c>
      <c r="AK292" s="3" t="e">
        <f>IF(F292="", " ", VLOOKUP(F292,#REF!, 1, FALSE))</f>
        <v>#REF!</v>
      </c>
    </row>
    <row r="293" spans="1:37" ht="48" hidden="1" x14ac:dyDescent="0.25">
      <c r="A293" s="587" t="s">
        <v>1864</v>
      </c>
      <c r="B293" s="369" t="s">
        <v>28</v>
      </c>
      <c r="C293" s="588"/>
      <c r="D293" s="589" t="s">
        <v>3144</v>
      </c>
      <c r="E293" s="44" t="s">
        <v>27</v>
      </c>
      <c r="F293" s="214">
        <v>92923</v>
      </c>
      <c r="G293" s="587" t="s">
        <v>505</v>
      </c>
      <c r="H293" s="590" t="s">
        <v>54</v>
      </c>
      <c r="I293" s="591">
        <f>IF($F293="","",IF('TRECHO(S) A IMPRIMIR'!$B$1= 1, SUM(Q293, T293, W293, Z293), IF('TRECHO(S) A IMPRIMIR'!$B$1= 2, T293, IF('TRECHO(S) A IMPRIMIR'!$B$1= 3, W293, 0))))</f>
        <v>0</v>
      </c>
      <c r="J293" s="592">
        <v>12.32</v>
      </c>
      <c r="K293" s="593">
        <f t="shared" si="41"/>
        <v>0.2033513845915047</v>
      </c>
      <c r="L293" s="592">
        <f t="shared" si="42"/>
        <v>14.825289058167339</v>
      </c>
      <c r="M293" s="594">
        <f t="shared" si="43"/>
        <v>0</v>
      </c>
      <c r="N293" s="439"/>
      <c r="O293" s="673"/>
      <c r="P293" s="361"/>
      <c r="Q293" s="441"/>
      <c r="R293" s="485"/>
      <c r="S293" s="442"/>
      <c r="T293" s="441">
        <f t="shared" si="39"/>
        <v>0</v>
      </c>
      <c r="U293" s="485"/>
      <c r="V293" s="442"/>
      <c r="W293" s="441">
        <f t="shared" si="40"/>
        <v>0</v>
      </c>
      <c r="X293" s="485"/>
      <c r="Y293" s="442"/>
      <c r="Z293" s="441"/>
      <c r="AA293" s="485"/>
      <c r="AB293" s="442"/>
      <c r="AC293" s="672"/>
      <c r="AD293" s="441" t="s">
        <v>21</v>
      </c>
      <c r="AE293" s="674" t="s">
        <v>21</v>
      </c>
      <c r="AF293" s="674" t="s">
        <v>21</v>
      </c>
      <c r="AG293" s="674" t="s">
        <v>21</v>
      </c>
      <c r="AH293" s="442" t="s">
        <v>21</v>
      </c>
      <c r="AI293" s="442" t="str">
        <f t="shared" si="36"/>
        <v/>
      </c>
      <c r="AK293" s="3" t="e">
        <f>IF(F293="", " ", VLOOKUP(F293,#REF!, 1, FALSE))</f>
        <v>#REF!</v>
      </c>
    </row>
    <row r="294" spans="1:37" ht="48" hidden="1" x14ac:dyDescent="0.25">
      <c r="A294" s="587" t="s">
        <v>1864</v>
      </c>
      <c r="B294" s="369" t="s">
        <v>28</v>
      </c>
      <c r="C294" s="588"/>
      <c r="D294" s="589" t="s">
        <v>3144</v>
      </c>
      <c r="E294" s="44" t="s">
        <v>27</v>
      </c>
      <c r="F294" s="214">
        <v>92924</v>
      </c>
      <c r="G294" s="587" t="s">
        <v>506</v>
      </c>
      <c r="H294" s="590" t="s">
        <v>54</v>
      </c>
      <c r="I294" s="591">
        <f>IF($F294="","",IF('TRECHO(S) A IMPRIMIR'!$B$1= 1, SUM(Q294, T294, W294, Z294), IF('TRECHO(S) A IMPRIMIR'!$B$1= 2, T294, IF('TRECHO(S) A IMPRIMIR'!$B$1= 3, W294, 0))))</f>
        <v>0</v>
      </c>
      <c r="J294" s="592">
        <v>12.01</v>
      </c>
      <c r="K294" s="593">
        <f t="shared" si="41"/>
        <v>0.2033513845915047</v>
      </c>
      <c r="L294" s="592">
        <f t="shared" si="42"/>
        <v>14.452250128943971</v>
      </c>
      <c r="M294" s="594">
        <f t="shared" si="43"/>
        <v>0</v>
      </c>
      <c r="N294" s="439"/>
      <c r="O294" s="673"/>
      <c r="P294" s="361"/>
      <c r="Q294" s="441"/>
      <c r="R294" s="485"/>
      <c r="S294" s="442"/>
      <c r="T294" s="441">
        <f t="shared" si="39"/>
        <v>0</v>
      </c>
      <c r="U294" s="485"/>
      <c r="V294" s="442"/>
      <c r="W294" s="441">
        <f t="shared" si="40"/>
        <v>0</v>
      </c>
      <c r="X294" s="485"/>
      <c r="Y294" s="442"/>
      <c r="Z294" s="441"/>
      <c r="AA294" s="485"/>
      <c r="AB294" s="442"/>
      <c r="AC294" s="672"/>
      <c r="AD294" s="441" t="s">
        <v>21</v>
      </c>
      <c r="AE294" s="674" t="s">
        <v>21</v>
      </c>
      <c r="AF294" s="674" t="s">
        <v>21</v>
      </c>
      <c r="AG294" s="674" t="s">
        <v>21</v>
      </c>
      <c r="AH294" s="442" t="s">
        <v>21</v>
      </c>
      <c r="AI294" s="442" t="str">
        <f t="shared" si="36"/>
        <v/>
      </c>
      <c r="AK294" s="3" t="e">
        <f>IF(F294="", " ", VLOOKUP(F294,#REF!, 1, FALSE))</f>
        <v>#REF!</v>
      </c>
    </row>
    <row r="295" spans="1:37" ht="48" hidden="1" x14ac:dyDescent="0.25">
      <c r="A295" s="587" t="s">
        <v>1865</v>
      </c>
      <c r="B295" s="369" t="s">
        <v>28</v>
      </c>
      <c r="C295" s="588"/>
      <c r="D295" s="589" t="s">
        <v>3145</v>
      </c>
      <c r="E295" s="44" t="s">
        <v>27</v>
      </c>
      <c r="F295" s="214">
        <v>96555</v>
      </c>
      <c r="G295" s="587" t="s">
        <v>540</v>
      </c>
      <c r="H295" s="590" t="s">
        <v>44</v>
      </c>
      <c r="I295" s="591">
        <f>IF($F295="","",IF('TRECHO(S) A IMPRIMIR'!$B$1= 1, SUM(Q295, T295, W295, Z295), IF('TRECHO(S) A IMPRIMIR'!$B$1= 2, T295, IF('TRECHO(S) A IMPRIMIR'!$B$1= 3, W295, 0))))</f>
        <v>0</v>
      </c>
      <c r="J295" s="592">
        <v>571.41</v>
      </c>
      <c r="K295" s="593">
        <f t="shared" si="41"/>
        <v>0.2033513845915047</v>
      </c>
      <c r="L295" s="592">
        <f t="shared" si="37"/>
        <v>687.60701466943169</v>
      </c>
      <c r="M295" s="594">
        <f t="shared" si="38"/>
        <v>0</v>
      </c>
      <c r="N295" s="439"/>
      <c r="O295" s="673"/>
      <c r="P295" s="361"/>
      <c r="Q295" s="441"/>
      <c r="R295" s="485"/>
      <c r="S295" s="442"/>
      <c r="T295" s="441">
        <f t="shared" si="39"/>
        <v>0</v>
      </c>
      <c r="U295" s="485"/>
      <c r="V295" s="442"/>
      <c r="W295" s="441">
        <f t="shared" si="40"/>
        <v>0</v>
      </c>
      <c r="X295" s="485"/>
      <c r="Y295" s="442"/>
      <c r="Z295" s="441"/>
      <c r="AA295" s="485"/>
      <c r="AB295" s="442"/>
      <c r="AC295" s="672"/>
      <c r="AD295" s="441" t="s">
        <v>21</v>
      </c>
      <c r="AE295" s="674" t="s">
        <v>21</v>
      </c>
      <c r="AF295" s="674" t="s">
        <v>21</v>
      </c>
      <c r="AG295" s="674" t="s">
        <v>21</v>
      </c>
      <c r="AH295" s="442" t="s">
        <v>21</v>
      </c>
      <c r="AI295" s="442" t="str">
        <f t="shared" si="36"/>
        <v/>
      </c>
      <c r="AK295" s="3" t="e">
        <f>IF(F295="", " ", VLOOKUP(F295,#REF!, 1, FALSE))</f>
        <v>#REF!</v>
      </c>
    </row>
    <row r="296" spans="1:37" ht="24" hidden="1" x14ac:dyDescent="0.25">
      <c r="A296" s="587" t="s">
        <v>1866</v>
      </c>
      <c r="B296" s="369" t="s">
        <v>28</v>
      </c>
      <c r="C296" s="588"/>
      <c r="D296" s="589" t="s">
        <v>3146</v>
      </c>
      <c r="E296" s="44" t="s">
        <v>27</v>
      </c>
      <c r="F296" s="214">
        <v>93382</v>
      </c>
      <c r="G296" s="587" t="s">
        <v>40</v>
      </c>
      <c r="H296" s="590" t="s">
        <v>44</v>
      </c>
      <c r="I296" s="591">
        <f>IF($F296="","",IF('TRECHO(S) A IMPRIMIR'!$B$1= 1, SUM(Q296, T296, W296, Z296), IF('TRECHO(S) A IMPRIMIR'!$B$1= 2, T296, IF('TRECHO(S) A IMPRIMIR'!$B$1= 3, W296, 0))))</f>
        <v>0</v>
      </c>
      <c r="J296" s="592">
        <v>25.09</v>
      </c>
      <c r="K296" s="593">
        <f t="shared" si="41"/>
        <v>0.2033513845915047</v>
      </c>
      <c r="L296" s="592">
        <f t="shared" si="37"/>
        <v>30.192086239400854</v>
      </c>
      <c r="M296" s="594">
        <f t="shared" si="38"/>
        <v>0</v>
      </c>
      <c r="N296" s="439"/>
      <c r="O296" s="673"/>
      <c r="P296" s="361"/>
      <c r="Q296" s="441"/>
      <c r="R296" s="485"/>
      <c r="S296" s="442"/>
      <c r="T296" s="441">
        <f t="shared" si="39"/>
        <v>0</v>
      </c>
      <c r="U296" s="485"/>
      <c r="V296" s="442"/>
      <c r="W296" s="441">
        <f t="shared" si="40"/>
        <v>0</v>
      </c>
      <c r="X296" s="485"/>
      <c r="Y296" s="442"/>
      <c r="Z296" s="441"/>
      <c r="AA296" s="485"/>
      <c r="AB296" s="442"/>
      <c r="AC296" s="672"/>
      <c r="AD296" s="441" t="s">
        <v>21</v>
      </c>
      <c r="AE296" s="674" t="s">
        <v>21</v>
      </c>
      <c r="AF296" s="674" t="s">
        <v>21</v>
      </c>
      <c r="AG296" s="674" t="s">
        <v>21</v>
      </c>
      <c r="AH296" s="442" t="s">
        <v>21</v>
      </c>
      <c r="AI296" s="442" t="str">
        <f t="shared" si="36"/>
        <v/>
      </c>
      <c r="AK296" s="3" t="e">
        <f>IF(F296="", " ", VLOOKUP(F296,#REF!, 1, FALSE))</f>
        <v>#REF!</v>
      </c>
    </row>
    <row r="297" spans="1:37" ht="24" hidden="1" x14ac:dyDescent="0.25">
      <c r="A297" s="587" t="s">
        <v>1867</v>
      </c>
      <c r="B297" s="369" t="s">
        <v>28</v>
      </c>
      <c r="C297" s="588"/>
      <c r="D297" s="589" t="s">
        <v>3147</v>
      </c>
      <c r="E297" s="44" t="s">
        <v>27</v>
      </c>
      <c r="F297" s="214">
        <v>100574</v>
      </c>
      <c r="G297" s="587" t="s">
        <v>563</v>
      </c>
      <c r="H297" s="590" t="s">
        <v>44</v>
      </c>
      <c r="I297" s="591">
        <f>IF($F297="","",IF('TRECHO(S) A IMPRIMIR'!$B$1= 1, SUM(Q297, T297, W297, Z297), IF('TRECHO(S) A IMPRIMIR'!$B$1= 2, T297, IF('TRECHO(S) A IMPRIMIR'!$B$1= 3, W297, 0))))</f>
        <v>0</v>
      </c>
      <c r="J297" s="592">
        <v>1.04</v>
      </c>
      <c r="K297" s="593">
        <f t="shared" si="41"/>
        <v>0.2033513845915047</v>
      </c>
      <c r="L297" s="592">
        <f t="shared" si="37"/>
        <v>1.2514854399751649</v>
      </c>
      <c r="M297" s="594">
        <f t="shared" si="38"/>
        <v>0</v>
      </c>
      <c r="N297" s="439"/>
      <c r="O297" s="673"/>
      <c r="P297" s="361"/>
      <c r="Q297" s="441"/>
      <c r="R297" s="485"/>
      <c r="S297" s="442"/>
      <c r="T297" s="441">
        <f t="shared" si="39"/>
        <v>0</v>
      </c>
      <c r="U297" s="485"/>
      <c r="V297" s="442"/>
      <c r="W297" s="441">
        <f t="shared" si="40"/>
        <v>0</v>
      </c>
      <c r="X297" s="485"/>
      <c r="Y297" s="442"/>
      <c r="Z297" s="441"/>
      <c r="AA297" s="485"/>
      <c r="AB297" s="442"/>
      <c r="AC297" s="672"/>
      <c r="AD297" s="441" t="s">
        <v>21</v>
      </c>
      <c r="AE297" s="674" t="s">
        <v>21</v>
      </c>
      <c r="AF297" s="674" t="s">
        <v>21</v>
      </c>
      <c r="AG297" s="674" t="s">
        <v>21</v>
      </c>
      <c r="AH297" s="442" t="s">
        <v>21</v>
      </c>
      <c r="AI297" s="442" t="str">
        <f t="shared" si="36"/>
        <v/>
      </c>
      <c r="AK297" s="3" t="e">
        <f>IF(F297="", " ", VLOOKUP(F297,#REF!, 1, FALSE))</f>
        <v>#REF!</v>
      </c>
    </row>
    <row r="298" spans="1:37" x14ac:dyDescent="0.25">
      <c r="A298" s="587" t="s">
        <v>1868</v>
      </c>
      <c r="B298" s="369"/>
      <c r="C298" s="588"/>
      <c r="D298" s="589" t="s">
        <v>3148</v>
      </c>
      <c r="E298" s="44"/>
      <c r="F298" s="214"/>
      <c r="G298" s="587" t="s">
        <v>1868</v>
      </c>
      <c r="H298" s="590" t="s">
        <v>21</v>
      </c>
      <c r="I298" s="591" t="s">
        <v>21</v>
      </c>
      <c r="J298" s="592" t="s">
        <v>21</v>
      </c>
      <c r="K298" s="593" t="s">
        <v>21</v>
      </c>
      <c r="L298" s="592" t="s">
        <v>21</v>
      </c>
      <c r="M298" s="594">
        <v>165379.46353298743</v>
      </c>
      <c r="N298" s="439"/>
      <c r="O298" s="673"/>
      <c r="P298" s="361"/>
      <c r="Q298" s="441"/>
      <c r="R298" s="485"/>
      <c r="S298" s="442"/>
      <c r="T298" s="441"/>
      <c r="U298" s="485"/>
      <c r="V298" s="442"/>
      <c r="W298" s="441"/>
      <c r="X298" s="485"/>
      <c r="Y298" s="442"/>
      <c r="Z298" s="441"/>
      <c r="AA298" s="485"/>
      <c r="AB298" s="442"/>
      <c r="AC298" s="672"/>
      <c r="AD298" s="441" t="s">
        <v>21</v>
      </c>
      <c r="AE298" s="674" t="s">
        <v>21</v>
      </c>
      <c r="AF298" s="674" t="s">
        <v>21</v>
      </c>
      <c r="AG298" s="674" t="s">
        <v>21</v>
      </c>
      <c r="AH298" s="442" t="s">
        <v>21</v>
      </c>
      <c r="AI298" s="442" t="str">
        <f t="shared" si="36"/>
        <v/>
      </c>
      <c r="AK298" s="3" t="str">
        <f>IF(F298="", " ", VLOOKUP(F298,#REF!, 1, FALSE))</f>
        <v xml:space="preserve"> </v>
      </c>
    </row>
    <row r="299" spans="1:37" ht="36" x14ac:dyDescent="0.25">
      <c r="A299" s="587" t="s">
        <v>1869</v>
      </c>
      <c r="B299" s="369" t="s">
        <v>20</v>
      </c>
      <c r="C299" s="588"/>
      <c r="D299" s="589" t="s">
        <v>3149</v>
      </c>
      <c r="E299" s="44" t="s">
        <v>27</v>
      </c>
      <c r="F299" s="214">
        <v>101617</v>
      </c>
      <c r="G299" s="587" t="s">
        <v>1166</v>
      </c>
      <c r="H299" s="590" t="s">
        <v>51</v>
      </c>
      <c r="I299" s="591">
        <v>85.62</v>
      </c>
      <c r="J299" s="592">
        <v>2.61</v>
      </c>
      <c r="K299" s="593">
        <v>0.2033513845915047</v>
      </c>
      <c r="L299" s="592">
        <v>3.140747113783827</v>
      </c>
      <c r="M299" s="594">
        <v>268.91076788217129</v>
      </c>
      <c r="N299" s="439"/>
      <c r="O299" s="673"/>
      <c r="P299" s="361"/>
      <c r="Q299" s="441"/>
      <c r="R299" s="485"/>
      <c r="S299" s="442"/>
      <c r="T299" s="441">
        <v>57.08</v>
      </c>
      <c r="U299" s="485"/>
      <c r="V299" s="442"/>
      <c r="W299" s="441">
        <v>28.54</v>
      </c>
      <c r="X299" s="485"/>
      <c r="Y299" s="442"/>
      <c r="Z299" s="441"/>
      <c r="AA299" s="485"/>
      <c r="AB299" s="442"/>
      <c r="AC299" s="672"/>
      <c r="AD299" s="441">
        <v>193.69817763160231</v>
      </c>
      <c r="AE299" s="674">
        <v>75.212590250568979</v>
      </c>
      <c r="AF299" s="674">
        <v>0</v>
      </c>
      <c r="AG299" s="674">
        <v>0</v>
      </c>
      <c r="AH299" s="442">
        <v>0</v>
      </c>
      <c r="AI299" s="442">
        <v>0</v>
      </c>
      <c r="AK299" s="3" t="e">
        <f>IF(F299="", " ", VLOOKUP(F299,#REF!, 1, FALSE))</f>
        <v>#REF!</v>
      </c>
    </row>
    <row r="300" spans="1:37" ht="24" x14ac:dyDescent="0.25">
      <c r="A300" s="587" t="s">
        <v>1870</v>
      </c>
      <c r="B300" s="369" t="s">
        <v>28</v>
      </c>
      <c r="C300" s="588"/>
      <c r="D300" s="589" t="s">
        <v>3150</v>
      </c>
      <c r="E300" s="44" t="s">
        <v>27</v>
      </c>
      <c r="F300" s="214">
        <v>96620</v>
      </c>
      <c r="G300" s="587" t="s">
        <v>1308</v>
      </c>
      <c r="H300" s="590" t="s">
        <v>44</v>
      </c>
      <c r="I300" s="591">
        <v>8.5500000000000007</v>
      </c>
      <c r="J300" s="592">
        <v>525.14</v>
      </c>
      <c r="K300" s="593">
        <v>0.2033513845915047</v>
      </c>
      <c r="L300" s="592">
        <v>631.92794610438273</v>
      </c>
      <c r="M300" s="594">
        <v>5402.9839391924725</v>
      </c>
      <c r="N300" s="439"/>
      <c r="O300" s="673"/>
      <c r="P300" s="361"/>
      <c r="Q300" s="441"/>
      <c r="R300" s="485"/>
      <c r="S300" s="442"/>
      <c r="T300" s="441">
        <v>5.7</v>
      </c>
      <c r="U300" s="485"/>
      <c r="V300" s="442"/>
      <c r="W300" s="441">
        <v>2.85</v>
      </c>
      <c r="X300" s="485"/>
      <c r="Y300" s="442"/>
      <c r="Z300" s="441"/>
      <c r="AA300" s="485"/>
      <c r="AB300" s="442"/>
      <c r="AC300" s="672"/>
      <c r="AD300" s="441">
        <v>1650.8145885733943</v>
      </c>
      <c r="AE300" s="674">
        <v>3713.0724641337006</v>
      </c>
      <c r="AF300" s="674">
        <v>26.236068562556284</v>
      </c>
      <c r="AG300" s="674">
        <v>0</v>
      </c>
      <c r="AH300" s="442">
        <v>12.860817922821706</v>
      </c>
      <c r="AI300" s="442">
        <v>0</v>
      </c>
      <c r="AK300" s="3" t="e">
        <f>IF(F300="", " ", VLOOKUP(F300,#REF!, 1, FALSE))</f>
        <v>#REF!</v>
      </c>
    </row>
    <row r="301" spans="1:37" ht="48" x14ac:dyDescent="0.25">
      <c r="A301" s="587" t="s">
        <v>1871</v>
      </c>
      <c r="B301" s="369" t="s">
        <v>20</v>
      </c>
      <c r="C301" s="588"/>
      <c r="D301" s="589" t="s">
        <v>3151</v>
      </c>
      <c r="E301" s="44" t="s">
        <v>27</v>
      </c>
      <c r="F301" s="214">
        <v>100341</v>
      </c>
      <c r="G301" s="587" t="s">
        <v>582</v>
      </c>
      <c r="H301" s="590" t="s">
        <v>51</v>
      </c>
      <c r="I301" s="591">
        <v>364.38</v>
      </c>
      <c r="J301" s="592">
        <v>29.98</v>
      </c>
      <c r="K301" s="593">
        <v>0.2033513845915047</v>
      </c>
      <c r="L301" s="592">
        <v>36.076474510053309</v>
      </c>
      <c r="M301" s="594">
        <v>13145.545781973224</v>
      </c>
      <c r="N301" s="439"/>
      <c r="O301" s="673"/>
      <c r="P301" s="361"/>
      <c r="Q301" s="441"/>
      <c r="R301" s="485"/>
      <c r="S301" s="442"/>
      <c r="T301" s="441">
        <v>242.92</v>
      </c>
      <c r="U301" s="485"/>
      <c r="V301" s="442"/>
      <c r="W301" s="441">
        <v>121.46</v>
      </c>
      <c r="X301" s="485"/>
      <c r="Y301" s="442"/>
      <c r="Z301" s="441"/>
      <c r="AA301" s="485"/>
      <c r="AB301" s="442"/>
      <c r="AC301" s="672"/>
      <c r="AD301" s="441">
        <v>5288.034760860477</v>
      </c>
      <c r="AE301" s="674">
        <v>6195.6825183216042</v>
      </c>
      <c r="AF301" s="674">
        <v>1661.828502791145</v>
      </c>
      <c r="AG301" s="674">
        <v>0</v>
      </c>
      <c r="AH301" s="442">
        <v>0</v>
      </c>
      <c r="AI301" s="442">
        <v>-1.8189894035458565E-12</v>
      </c>
      <c r="AK301" s="3" t="e">
        <f>IF(F301="", " ", VLOOKUP(F301,#REF!, 1, FALSE))</f>
        <v>#REF!</v>
      </c>
    </row>
    <row r="302" spans="1:37" ht="48" x14ac:dyDescent="0.25">
      <c r="A302" s="587" t="s">
        <v>1864</v>
      </c>
      <c r="B302" s="369" t="s">
        <v>28</v>
      </c>
      <c r="C302" s="588"/>
      <c r="D302" s="589" t="s">
        <v>3152</v>
      </c>
      <c r="E302" s="44" t="s">
        <v>27</v>
      </c>
      <c r="F302" s="214">
        <v>92916</v>
      </c>
      <c r="G302" s="587" t="s">
        <v>507</v>
      </c>
      <c r="H302" s="590" t="s">
        <v>54</v>
      </c>
      <c r="I302" s="591">
        <v>1989</v>
      </c>
      <c r="J302" s="592">
        <v>16.38</v>
      </c>
      <c r="K302" s="593">
        <v>0.2033513845915047</v>
      </c>
      <c r="L302" s="592">
        <v>19.710895679608846</v>
      </c>
      <c r="M302" s="594">
        <v>39204.971506741997</v>
      </c>
      <c r="N302" s="439"/>
      <c r="O302" s="673" t="s">
        <v>3472</v>
      </c>
      <c r="P302" s="361"/>
      <c r="Q302" s="441"/>
      <c r="R302" s="485"/>
      <c r="S302" s="442"/>
      <c r="T302" s="441">
        <v>1326</v>
      </c>
      <c r="U302" s="485"/>
      <c r="V302" s="442"/>
      <c r="W302" s="441">
        <v>663</v>
      </c>
      <c r="X302" s="485"/>
      <c r="Y302" s="442"/>
      <c r="Z302" s="441"/>
      <c r="AA302" s="485"/>
      <c r="AB302" s="442"/>
      <c r="AC302" s="672"/>
      <c r="AD302" s="441">
        <v>8185.6533915175596</v>
      </c>
      <c r="AE302" s="674">
        <v>31019.31811522444</v>
      </c>
      <c r="AF302" s="674">
        <v>0</v>
      </c>
      <c r="AG302" s="674">
        <v>0</v>
      </c>
      <c r="AH302" s="442">
        <v>0</v>
      </c>
      <c r="AI302" s="442">
        <v>0</v>
      </c>
      <c r="AK302" s="3" t="e">
        <f>IF(F302="", " ", VLOOKUP(F302,#REF!, 1, FALSE))</f>
        <v>#REF!</v>
      </c>
    </row>
    <row r="303" spans="1:37" ht="48" x14ac:dyDescent="0.25">
      <c r="A303" s="587" t="s">
        <v>1864</v>
      </c>
      <c r="B303" s="369" t="s">
        <v>28</v>
      </c>
      <c r="C303" s="588"/>
      <c r="D303" s="589" t="s">
        <v>3152</v>
      </c>
      <c r="E303" s="44" t="s">
        <v>27</v>
      </c>
      <c r="F303" s="214">
        <v>92917</v>
      </c>
      <c r="G303" s="587" t="s">
        <v>508</v>
      </c>
      <c r="H303" s="590" t="s">
        <v>54</v>
      </c>
      <c r="I303" s="591">
        <v>4641</v>
      </c>
      <c r="J303" s="592">
        <v>15.38</v>
      </c>
      <c r="K303" s="593">
        <v>0.2033513845915047</v>
      </c>
      <c r="L303" s="592">
        <v>18.507544295017343</v>
      </c>
      <c r="M303" s="594">
        <v>85893.513073175491</v>
      </c>
      <c r="N303" s="439"/>
      <c r="O303" s="673" t="s">
        <v>3473</v>
      </c>
      <c r="P303" s="361"/>
      <c r="Q303" s="441"/>
      <c r="R303" s="485"/>
      <c r="S303" s="442"/>
      <c r="T303" s="441">
        <v>3094</v>
      </c>
      <c r="U303" s="485"/>
      <c r="V303" s="442"/>
      <c r="W303" s="441">
        <v>1547</v>
      </c>
      <c r="X303" s="485"/>
      <c r="Y303" s="442"/>
      <c r="Z303" s="441"/>
      <c r="AA303" s="485"/>
      <c r="AB303" s="442"/>
      <c r="AC303" s="672"/>
      <c r="AD303" s="441">
        <v>13180.01891109845</v>
      </c>
      <c r="AE303" s="674">
        <v>72713.494162077041</v>
      </c>
      <c r="AF303" s="674">
        <v>0</v>
      </c>
      <c r="AG303" s="674">
        <v>0</v>
      </c>
      <c r="AH303" s="442">
        <v>0</v>
      </c>
      <c r="AI303" s="442">
        <v>0</v>
      </c>
      <c r="AK303" s="3" t="e">
        <f>IF(F303="", " ", VLOOKUP(F303,#REF!, 1, FALSE))</f>
        <v>#REF!</v>
      </c>
    </row>
    <row r="304" spans="1:37" ht="48" hidden="1" x14ac:dyDescent="0.25">
      <c r="A304" s="587" t="s">
        <v>1864</v>
      </c>
      <c r="B304" s="369" t="s">
        <v>28</v>
      </c>
      <c r="C304" s="588"/>
      <c r="D304" s="589" t="s">
        <v>3152</v>
      </c>
      <c r="E304" s="44" t="s">
        <v>27</v>
      </c>
      <c r="F304" s="214">
        <v>92919</v>
      </c>
      <c r="G304" s="587" t="s">
        <v>502</v>
      </c>
      <c r="H304" s="590" t="s">
        <v>54</v>
      </c>
      <c r="I304" s="591">
        <f>IF($F304="","",IF('TRECHO(S) A IMPRIMIR'!$B$1= 1, SUM(Q304, T304, W304, Z304), IF('TRECHO(S) A IMPRIMIR'!$B$1= 2, T304, IF('TRECHO(S) A IMPRIMIR'!$B$1= 3, W304, 0))))</f>
        <v>0</v>
      </c>
      <c r="J304" s="592">
        <v>13.76</v>
      </c>
      <c r="K304" s="593">
        <f t="shared" si="41"/>
        <v>0.2033513845915047</v>
      </c>
      <c r="L304" s="592">
        <f t="shared" ref="L303:L308" si="44">IF(J304="","",
  IF(AND(J304&lt;&gt;"",K304=""),J304,J304 * (1 + K304)))</f>
        <v>16.558115051979104</v>
      </c>
      <c r="M304" s="594">
        <f t="shared" ref="M303:M308" si="45">IF(OR(I304="",L304=""),"",I304*L304)</f>
        <v>0</v>
      </c>
      <c r="N304" s="439"/>
      <c r="O304" s="673"/>
      <c r="P304" s="361"/>
      <c r="Q304" s="441"/>
      <c r="R304" s="485"/>
      <c r="S304" s="442"/>
      <c r="T304" s="441">
        <f>(T309 * 0) * T$280</f>
        <v>0</v>
      </c>
      <c r="U304" s="485"/>
      <c r="V304" s="442"/>
      <c r="W304" s="441">
        <f>(W309 * 0) * W$280</f>
        <v>0</v>
      </c>
      <c r="X304" s="485"/>
      <c r="Y304" s="442"/>
      <c r="Z304" s="441"/>
      <c r="AA304" s="485"/>
      <c r="AB304" s="442"/>
      <c r="AC304" s="672"/>
      <c r="AD304" s="441" t="s">
        <v>21</v>
      </c>
      <c r="AE304" s="674" t="s">
        <v>21</v>
      </c>
      <c r="AF304" s="674" t="s">
        <v>21</v>
      </c>
      <c r="AG304" s="674" t="s">
        <v>21</v>
      </c>
      <c r="AH304" s="442" t="s">
        <v>21</v>
      </c>
      <c r="AI304" s="442" t="str">
        <f t="shared" si="36"/>
        <v/>
      </c>
      <c r="AK304" s="3" t="e">
        <f>IF(F304="", " ", VLOOKUP(F304,#REF!, 1, FALSE))</f>
        <v>#REF!</v>
      </c>
    </row>
    <row r="305" spans="1:37" ht="48" hidden="1" x14ac:dyDescent="0.25">
      <c r="A305" s="587" t="s">
        <v>1864</v>
      </c>
      <c r="B305" s="369" t="s">
        <v>28</v>
      </c>
      <c r="C305" s="588"/>
      <c r="D305" s="589" t="s">
        <v>3152</v>
      </c>
      <c r="E305" s="44" t="s">
        <v>27</v>
      </c>
      <c r="F305" s="214">
        <v>92921</v>
      </c>
      <c r="G305" s="587" t="s">
        <v>503</v>
      </c>
      <c r="H305" s="590" t="s">
        <v>54</v>
      </c>
      <c r="I305" s="591">
        <f>IF($F305="","",IF('TRECHO(S) A IMPRIMIR'!$B$1= 1, SUM(Q305, T305, W305, Z305), IF('TRECHO(S) A IMPRIMIR'!$B$1= 2, T305, IF('TRECHO(S) A IMPRIMIR'!$B$1= 3, W305, 0))))</f>
        <v>0</v>
      </c>
      <c r="J305" s="592">
        <v>11.58</v>
      </c>
      <c r="K305" s="593">
        <f t="shared" si="41"/>
        <v>0.2033513845915047</v>
      </c>
      <c r="L305" s="592">
        <f t="shared" si="44"/>
        <v>13.934809033569625</v>
      </c>
      <c r="M305" s="594">
        <f t="shared" si="45"/>
        <v>0</v>
      </c>
      <c r="N305" s="439"/>
      <c r="O305" s="673"/>
      <c r="P305" s="361"/>
      <c r="Q305" s="441"/>
      <c r="R305" s="485"/>
      <c r="S305" s="442"/>
      <c r="T305" s="441">
        <f>(T309 * 0) * T$280</f>
        <v>0</v>
      </c>
      <c r="U305" s="485"/>
      <c r="V305" s="442"/>
      <c r="W305" s="441">
        <f>(W309 * 0) * W$280</f>
        <v>0</v>
      </c>
      <c r="X305" s="485"/>
      <c r="Y305" s="442"/>
      <c r="Z305" s="441"/>
      <c r="AA305" s="485"/>
      <c r="AB305" s="442"/>
      <c r="AC305" s="672"/>
      <c r="AD305" s="441" t="s">
        <v>21</v>
      </c>
      <c r="AE305" s="674" t="s">
        <v>21</v>
      </c>
      <c r="AF305" s="674" t="s">
        <v>21</v>
      </c>
      <c r="AG305" s="674" t="s">
        <v>21</v>
      </c>
      <c r="AH305" s="442" t="s">
        <v>21</v>
      </c>
      <c r="AI305" s="442" t="str">
        <f t="shared" si="36"/>
        <v/>
      </c>
      <c r="AK305" s="3" t="e">
        <f>IF(F305="", " ", VLOOKUP(F305,#REF!, 1, FALSE))</f>
        <v>#REF!</v>
      </c>
    </row>
    <row r="306" spans="1:37" ht="48" hidden="1" x14ac:dyDescent="0.25">
      <c r="A306" s="587" t="s">
        <v>1864</v>
      </c>
      <c r="B306" s="369" t="s">
        <v>28</v>
      </c>
      <c r="C306" s="588"/>
      <c r="D306" s="589" t="s">
        <v>3152</v>
      </c>
      <c r="E306" s="44" t="s">
        <v>27</v>
      </c>
      <c r="F306" s="214">
        <v>92922</v>
      </c>
      <c r="G306" s="587" t="s">
        <v>504</v>
      </c>
      <c r="H306" s="590" t="s">
        <v>54</v>
      </c>
      <c r="I306" s="591">
        <f>IF($F306="","",IF('TRECHO(S) A IMPRIMIR'!$B$1= 1, SUM(Q306, T306, W306, Z306), IF('TRECHO(S) A IMPRIMIR'!$B$1= 2, T306, IF('TRECHO(S) A IMPRIMIR'!$B$1= 3, W306, 0))))</f>
        <v>0</v>
      </c>
      <c r="J306" s="592">
        <v>11</v>
      </c>
      <c r="K306" s="593">
        <f t="shared" si="41"/>
        <v>0.2033513845915047</v>
      </c>
      <c r="L306" s="592">
        <f t="shared" si="44"/>
        <v>13.236865230506552</v>
      </c>
      <c r="M306" s="594">
        <f t="shared" si="45"/>
        <v>0</v>
      </c>
      <c r="N306" s="439"/>
      <c r="O306" s="673"/>
      <c r="P306" s="361"/>
      <c r="Q306" s="441"/>
      <c r="R306" s="485"/>
      <c r="S306" s="442"/>
      <c r="T306" s="441">
        <f>(T309 * 0) * T$280</f>
        <v>0</v>
      </c>
      <c r="U306" s="485"/>
      <c r="V306" s="442"/>
      <c r="W306" s="441">
        <f>(W309 * 0) * W$280</f>
        <v>0</v>
      </c>
      <c r="X306" s="485"/>
      <c r="Y306" s="442"/>
      <c r="Z306" s="441"/>
      <c r="AA306" s="485"/>
      <c r="AB306" s="442"/>
      <c r="AC306" s="672"/>
      <c r="AD306" s="441" t="s">
        <v>21</v>
      </c>
      <c r="AE306" s="674" t="s">
        <v>21</v>
      </c>
      <c r="AF306" s="674" t="s">
        <v>21</v>
      </c>
      <c r="AG306" s="674" t="s">
        <v>21</v>
      </c>
      <c r="AH306" s="442" t="s">
        <v>21</v>
      </c>
      <c r="AI306" s="442" t="str">
        <f t="shared" si="36"/>
        <v/>
      </c>
      <c r="AK306" s="3" t="e">
        <f>IF(F306="", " ", VLOOKUP(F306,#REF!, 1, FALSE))</f>
        <v>#REF!</v>
      </c>
    </row>
    <row r="307" spans="1:37" ht="48" hidden="1" x14ac:dyDescent="0.25">
      <c r="A307" s="587" t="s">
        <v>1864</v>
      </c>
      <c r="B307" s="369" t="s">
        <v>28</v>
      </c>
      <c r="C307" s="588"/>
      <c r="D307" s="589" t="s">
        <v>3152</v>
      </c>
      <c r="E307" s="44" t="s">
        <v>27</v>
      </c>
      <c r="F307" s="214">
        <v>92923</v>
      </c>
      <c r="G307" s="587" t="s">
        <v>505</v>
      </c>
      <c r="H307" s="590" t="s">
        <v>54</v>
      </c>
      <c r="I307" s="591">
        <f>IF($F307="","",IF('TRECHO(S) A IMPRIMIR'!$B$1= 1, SUM(Q307, T307, W307, Z307), IF('TRECHO(S) A IMPRIMIR'!$B$1= 2, T307, IF('TRECHO(S) A IMPRIMIR'!$B$1= 3, W307, 0))))</f>
        <v>0</v>
      </c>
      <c r="J307" s="592">
        <v>12.32</v>
      </c>
      <c r="K307" s="593">
        <f t="shared" si="41"/>
        <v>0.2033513845915047</v>
      </c>
      <c r="L307" s="592">
        <f t="shared" si="44"/>
        <v>14.825289058167339</v>
      </c>
      <c r="M307" s="594">
        <f t="shared" si="45"/>
        <v>0</v>
      </c>
      <c r="N307" s="439"/>
      <c r="O307" s="673"/>
      <c r="P307" s="361"/>
      <c r="Q307" s="441"/>
      <c r="R307" s="485"/>
      <c r="S307" s="442"/>
      <c r="T307" s="441">
        <f>(T309 * 0) * T$280</f>
        <v>0</v>
      </c>
      <c r="U307" s="485"/>
      <c r="V307" s="442"/>
      <c r="W307" s="441">
        <f>(W309 * 0) * W$280</f>
        <v>0</v>
      </c>
      <c r="X307" s="485"/>
      <c r="Y307" s="442"/>
      <c r="Z307" s="441"/>
      <c r="AA307" s="485"/>
      <c r="AB307" s="442"/>
      <c r="AC307" s="672"/>
      <c r="AD307" s="441" t="s">
        <v>21</v>
      </c>
      <c r="AE307" s="674" t="s">
        <v>21</v>
      </c>
      <c r="AF307" s="674" t="s">
        <v>21</v>
      </c>
      <c r="AG307" s="674" t="s">
        <v>21</v>
      </c>
      <c r="AH307" s="442" t="s">
        <v>21</v>
      </c>
      <c r="AI307" s="442" t="str">
        <f t="shared" si="36"/>
        <v/>
      </c>
      <c r="AK307" s="3" t="e">
        <f>IF(F307="", " ", VLOOKUP(F307,#REF!, 1, FALSE))</f>
        <v>#REF!</v>
      </c>
    </row>
    <row r="308" spans="1:37" ht="48" hidden="1" x14ac:dyDescent="0.25">
      <c r="A308" s="587" t="s">
        <v>1864</v>
      </c>
      <c r="B308" s="369" t="s">
        <v>28</v>
      </c>
      <c r="C308" s="588"/>
      <c r="D308" s="589" t="s">
        <v>3152</v>
      </c>
      <c r="E308" s="44" t="s">
        <v>27</v>
      </c>
      <c r="F308" s="214">
        <v>92924</v>
      </c>
      <c r="G308" s="587" t="s">
        <v>506</v>
      </c>
      <c r="H308" s="590" t="s">
        <v>54</v>
      </c>
      <c r="I308" s="591">
        <f>IF($F308="","",IF('TRECHO(S) A IMPRIMIR'!$B$1= 1, SUM(Q308, T308, W308, Z308), IF('TRECHO(S) A IMPRIMIR'!$B$1= 2, T308, IF('TRECHO(S) A IMPRIMIR'!$B$1= 3, W308, 0))))</f>
        <v>0</v>
      </c>
      <c r="J308" s="592">
        <v>12.01</v>
      </c>
      <c r="K308" s="593">
        <f t="shared" si="41"/>
        <v>0.2033513845915047</v>
      </c>
      <c r="L308" s="592">
        <f t="shared" si="44"/>
        <v>14.452250128943971</v>
      </c>
      <c r="M308" s="594">
        <f t="shared" si="45"/>
        <v>0</v>
      </c>
      <c r="N308" s="439"/>
      <c r="O308" s="673"/>
      <c r="P308" s="361"/>
      <c r="Q308" s="441"/>
      <c r="R308" s="485"/>
      <c r="S308" s="442"/>
      <c r="T308" s="441">
        <f>(T309 * 0) * T$280</f>
        <v>0</v>
      </c>
      <c r="U308" s="485"/>
      <c r="V308" s="442"/>
      <c r="W308" s="441">
        <f>(W309 * 0) * W$280</f>
        <v>0</v>
      </c>
      <c r="X308" s="485"/>
      <c r="Y308" s="442"/>
      <c r="Z308" s="441"/>
      <c r="AA308" s="485"/>
      <c r="AB308" s="442"/>
      <c r="AC308" s="672"/>
      <c r="AD308" s="441" t="s">
        <v>21</v>
      </c>
      <c r="AE308" s="674" t="s">
        <v>21</v>
      </c>
      <c r="AF308" s="674" t="s">
        <v>21</v>
      </c>
      <c r="AG308" s="674" t="s">
        <v>21</v>
      </c>
      <c r="AH308" s="442" t="s">
        <v>21</v>
      </c>
      <c r="AI308" s="442" t="str">
        <f t="shared" si="36"/>
        <v/>
      </c>
      <c r="AK308" s="3" t="e">
        <f>IF(F308="", " ", VLOOKUP(F308,#REF!, 1, FALSE))</f>
        <v>#REF!</v>
      </c>
    </row>
    <row r="309" spans="1:37" ht="36" x14ac:dyDescent="0.25">
      <c r="A309" s="587" t="s">
        <v>1865</v>
      </c>
      <c r="B309" s="369" t="s">
        <v>28</v>
      </c>
      <c r="C309" s="588"/>
      <c r="D309" s="589" t="s">
        <v>3153</v>
      </c>
      <c r="E309" s="44" t="s">
        <v>27</v>
      </c>
      <c r="F309" s="214">
        <v>100349</v>
      </c>
      <c r="G309" s="587" t="s">
        <v>542</v>
      </c>
      <c r="H309" s="590" t="s">
        <v>44</v>
      </c>
      <c r="I309" s="591">
        <v>44.2</v>
      </c>
      <c r="J309" s="592">
        <v>403.54</v>
      </c>
      <c r="K309" s="593">
        <v>0.2033513845915047</v>
      </c>
      <c r="L309" s="592">
        <v>485.60041773805585</v>
      </c>
      <c r="M309" s="594">
        <v>21463.538464022069</v>
      </c>
      <c r="N309" s="439"/>
      <c r="O309" s="673"/>
      <c r="P309" s="361"/>
      <c r="Q309" s="441"/>
      <c r="R309" s="485"/>
      <c r="S309" s="442"/>
      <c r="T309" s="441">
        <v>22.1</v>
      </c>
      <c r="U309" s="485"/>
      <c r="V309" s="442"/>
      <c r="W309" s="441">
        <v>22.1</v>
      </c>
      <c r="X309" s="485"/>
      <c r="Y309" s="442"/>
      <c r="Z309" s="441"/>
      <c r="AA309" s="485"/>
      <c r="AB309" s="442"/>
      <c r="AC309" s="672"/>
      <c r="AD309" s="441">
        <v>1024.9352882036608</v>
      </c>
      <c r="AE309" s="674">
        <v>20427.433668266629</v>
      </c>
      <c r="AF309" s="674">
        <v>6.3825757438733417</v>
      </c>
      <c r="AG309" s="674">
        <v>0</v>
      </c>
      <c r="AH309" s="442">
        <v>4.7869318079050061</v>
      </c>
      <c r="AI309" s="442">
        <v>0</v>
      </c>
      <c r="AK309" s="3" t="e">
        <f>IF(F309="", " ", VLOOKUP(F309,#REF!, 1, FALSE))</f>
        <v>#REF!</v>
      </c>
    </row>
    <row r="310" spans="1:37" x14ac:dyDescent="0.25">
      <c r="A310" s="587" t="s">
        <v>1872</v>
      </c>
      <c r="B310" s="369"/>
      <c r="C310" s="588"/>
      <c r="D310" s="589" t="s">
        <v>3154</v>
      </c>
      <c r="E310" s="44"/>
      <c r="F310" s="214"/>
      <c r="G310" s="587" t="s">
        <v>1872</v>
      </c>
      <c r="H310" s="590" t="s">
        <v>21</v>
      </c>
      <c r="I310" s="591" t="s">
        <v>21</v>
      </c>
      <c r="J310" s="592" t="s">
        <v>21</v>
      </c>
      <c r="K310" s="593" t="s">
        <v>21</v>
      </c>
      <c r="L310" s="592" t="s">
        <v>21</v>
      </c>
      <c r="M310" s="594">
        <v>68822.64356274443</v>
      </c>
      <c r="N310" s="439"/>
      <c r="O310" s="673"/>
      <c r="P310" s="361"/>
      <c r="Q310" s="441"/>
      <c r="R310" s="485"/>
      <c r="S310" s="442"/>
      <c r="T310" s="441"/>
      <c r="U310" s="485"/>
      <c r="V310" s="442"/>
      <c r="W310" s="441"/>
      <c r="X310" s="485"/>
      <c r="Y310" s="442"/>
      <c r="Z310" s="441"/>
      <c r="AA310" s="485"/>
      <c r="AB310" s="442"/>
      <c r="AC310" s="672"/>
      <c r="AD310" s="441" t="s">
        <v>21</v>
      </c>
      <c r="AE310" s="674" t="s">
        <v>21</v>
      </c>
      <c r="AF310" s="674" t="s">
        <v>21</v>
      </c>
      <c r="AG310" s="674" t="s">
        <v>21</v>
      </c>
      <c r="AH310" s="442" t="s">
        <v>21</v>
      </c>
      <c r="AI310" s="442" t="s">
        <v>21</v>
      </c>
      <c r="AK310" s="3" t="str">
        <f>IF(F310="", " ", VLOOKUP(F310,#REF!, 1, FALSE))</f>
        <v xml:space="preserve"> </v>
      </c>
    </row>
    <row r="311" spans="1:37" x14ac:dyDescent="0.25">
      <c r="A311" s="587" t="s">
        <v>1873</v>
      </c>
      <c r="B311" s="369" t="s">
        <v>20</v>
      </c>
      <c r="C311" s="588"/>
      <c r="D311" s="589" t="s">
        <v>3155</v>
      </c>
      <c r="E311" s="44" t="s">
        <v>27</v>
      </c>
      <c r="F311" s="214" t="s">
        <v>568</v>
      </c>
      <c r="G311" s="587" t="s">
        <v>74</v>
      </c>
      <c r="H311" s="590" t="s">
        <v>51</v>
      </c>
      <c r="I311" s="591">
        <v>153.90719999999999</v>
      </c>
      <c r="J311" s="592">
        <v>6.44</v>
      </c>
      <c r="K311" s="593">
        <v>0.2033513845915047</v>
      </c>
      <c r="L311" s="592">
        <v>7.7495829167692909</v>
      </c>
      <c r="M311" s="594">
        <v>1192.7166078877945</v>
      </c>
      <c r="N311" s="439"/>
      <c r="O311" s="673"/>
      <c r="P311" s="361"/>
      <c r="Q311" s="441"/>
      <c r="R311" s="485"/>
      <c r="S311" s="442"/>
      <c r="T311" s="441">
        <v>102.6048</v>
      </c>
      <c r="U311" s="485"/>
      <c r="V311" s="442"/>
      <c r="W311" s="441">
        <v>51.302399999999999</v>
      </c>
      <c r="X311" s="485"/>
      <c r="Y311" s="442"/>
      <c r="Z311" s="441"/>
      <c r="AA311" s="485"/>
      <c r="AB311" s="442"/>
      <c r="AC311" s="672"/>
      <c r="AD311" s="441">
        <v>40.744977288092358</v>
      </c>
      <c r="AE311" s="674">
        <v>1151.9716305997019</v>
      </c>
      <c r="AF311" s="674">
        <v>0</v>
      </c>
      <c r="AG311" s="674">
        <v>0</v>
      </c>
      <c r="AH311" s="442">
        <v>0</v>
      </c>
      <c r="AI311" s="442">
        <v>2.2737367544323206E-13</v>
      </c>
      <c r="AK311" s="3" t="e">
        <f>IF(F311="", " ", VLOOKUP(F311,#REF!, 1, FALSE))</f>
        <v>#REF!</v>
      </c>
    </row>
    <row r="312" spans="1:37" ht="48" x14ac:dyDescent="0.25">
      <c r="A312" s="587" t="s">
        <v>1874</v>
      </c>
      <c r="B312" s="369" t="s">
        <v>28</v>
      </c>
      <c r="C312" s="588"/>
      <c r="D312" s="589" t="s">
        <v>3156</v>
      </c>
      <c r="E312" s="44" t="s">
        <v>27</v>
      </c>
      <c r="F312" s="214">
        <v>92749</v>
      </c>
      <c r="G312" s="587" t="s">
        <v>608</v>
      </c>
      <c r="H312" s="590" t="s">
        <v>44</v>
      </c>
      <c r="I312" s="591">
        <v>40.83</v>
      </c>
      <c r="J312" s="592">
        <v>808.67</v>
      </c>
      <c r="K312" s="593">
        <v>0.2033513845915047</v>
      </c>
      <c r="L312" s="592">
        <v>973.11416417761211</v>
      </c>
      <c r="M312" s="594">
        <v>39732.2513233719</v>
      </c>
      <c r="N312" s="439"/>
      <c r="O312" s="673"/>
      <c r="P312" s="361"/>
      <c r="Q312" s="441"/>
      <c r="R312" s="485">
        <v>1.65</v>
      </c>
      <c r="S312" s="442"/>
      <c r="T312" s="441">
        <v>27.22</v>
      </c>
      <c r="U312" s="485">
        <v>1.65</v>
      </c>
      <c r="V312" s="442"/>
      <c r="W312" s="441">
        <v>13.61</v>
      </c>
      <c r="X312" s="485">
        <v>1.65</v>
      </c>
      <c r="Y312" s="442"/>
      <c r="Z312" s="441"/>
      <c r="AA312" s="485">
        <v>1.65</v>
      </c>
      <c r="AB312" s="442"/>
      <c r="AC312" s="672"/>
      <c r="AD312" s="441">
        <v>4442.5911245122079</v>
      </c>
      <c r="AE312" s="674">
        <v>33486.485079753322</v>
      </c>
      <c r="AF312" s="674">
        <v>1803.1751191063706</v>
      </c>
      <c r="AG312" s="674">
        <v>0</v>
      </c>
      <c r="AH312" s="442">
        <v>0</v>
      </c>
      <c r="AI312" s="442">
        <v>0</v>
      </c>
      <c r="AK312" s="3" t="e">
        <f>IF(F312="", " ", VLOOKUP(F312,#REF!, 1, FALSE))</f>
        <v>#REF!</v>
      </c>
    </row>
    <row r="313" spans="1:37" ht="48" x14ac:dyDescent="0.25">
      <c r="A313" s="587" t="s">
        <v>1394</v>
      </c>
      <c r="B313" s="369" t="s">
        <v>20</v>
      </c>
      <c r="C313" s="588"/>
      <c r="D313" s="589" t="s">
        <v>3157</v>
      </c>
      <c r="E313" s="44" t="s">
        <v>27</v>
      </c>
      <c r="F313" s="214">
        <v>92757</v>
      </c>
      <c r="G313" s="587" t="s">
        <v>73</v>
      </c>
      <c r="H313" s="590" t="s">
        <v>51</v>
      </c>
      <c r="I313" s="591">
        <v>70.739999999999995</v>
      </c>
      <c r="J313" s="592">
        <v>267.85000000000002</v>
      </c>
      <c r="K313" s="593">
        <v>0.2033513845915047</v>
      </c>
      <c r="L313" s="592">
        <v>322.31766836283458</v>
      </c>
      <c r="M313" s="594">
        <v>22800.751859986918</v>
      </c>
      <c r="N313" s="439"/>
      <c r="O313" s="673"/>
      <c r="P313" s="361"/>
      <c r="Q313" s="441"/>
      <c r="R313" s="794">
        <v>0.3795</v>
      </c>
      <c r="S313" s="442"/>
      <c r="T313" s="441">
        <v>47.16</v>
      </c>
      <c r="U313" s="794">
        <v>0.3795</v>
      </c>
      <c r="V313" s="442"/>
      <c r="W313" s="441">
        <v>23.58</v>
      </c>
      <c r="X313" s="794">
        <v>0.3795</v>
      </c>
      <c r="Y313" s="442"/>
      <c r="Z313" s="441"/>
      <c r="AA313" s="794">
        <v>0.3795</v>
      </c>
      <c r="AB313" s="442"/>
      <c r="AC313" s="672"/>
      <c r="AD313" s="441">
        <v>3605.047008663229</v>
      </c>
      <c r="AE313" s="674">
        <v>17684.734735532129</v>
      </c>
      <c r="AF313" s="674">
        <v>1510.970115791554</v>
      </c>
      <c r="AG313" s="674">
        <v>0</v>
      </c>
      <c r="AH313" s="442">
        <v>0</v>
      </c>
      <c r="AI313" s="442">
        <v>3.637978807091713E-12</v>
      </c>
      <c r="AK313" s="3" t="e">
        <f>IF(F313="", " ", VLOOKUP(F313,#REF!, 1, FALSE))</f>
        <v>#REF!</v>
      </c>
    </row>
    <row r="314" spans="1:37" ht="36" x14ac:dyDescent="0.25">
      <c r="A314" s="587" t="s">
        <v>2911</v>
      </c>
      <c r="B314" s="369" t="s">
        <v>25</v>
      </c>
      <c r="C314" s="588"/>
      <c r="D314" s="589" t="s">
        <v>3791</v>
      </c>
      <c r="E314" s="44" t="s">
        <v>27</v>
      </c>
      <c r="F314" s="214">
        <v>95879</v>
      </c>
      <c r="G314" s="587" t="s">
        <v>789</v>
      </c>
      <c r="H314" s="590" t="s">
        <v>42</v>
      </c>
      <c r="I314" s="591">
        <v>2826.4598999999998</v>
      </c>
      <c r="J314" s="592">
        <v>1.04</v>
      </c>
      <c r="K314" s="593">
        <v>0.2033513845915047</v>
      </c>
      <c r="L314" s="592">
        <v>1.2514854399751649</v>
      </c>
      <c r="M314" s="594">
        <v>3537.2734115236603</v>
      </c>
      <c r="N314" s="439"/>
      <c r="O314" s="673"/>
      <c r="P314" s="361"/>
      <c r="Q314" s="441">
        <v>0</v>
      </c>
      <c r="R314" s="485"/>
      <c r="S314" s="442">
        <v>0</v>
      </c>
      <c r="T314" s="441">
        <v>1884.3065999999999</v>
      </c>
      <c r="U314" s="485"/>
      <c r="V314" s="442">
        <v>30</v>
      </c>
      <c r="W314" s="578">
        <v>942.15329999999994</v>
      </c>
      <c r="X314" s="485"/>
      <c r="Y314" s="442">
        <v>30</v>
      </c>
      <c r="Z314" s="441">
        <v>0</v>
      </c>
      <c r="AA314" s="485"/>
      <c r="AB314" s="442">
        <v>0</v>
      </c>
      <c r="AC314" s="672"/>
      <c r="AD314" s="441">
        <v>238.08571039101562</v>
      </c>
      <c r="AE314" s="674">
        <v>2040.7346604944194</v>
      </c>
      <c r="AF314" s="674">
        <v>1258.4530406382253</v>
      </c>
      <c r="AG314" s="674">
        <v>0</v>
      </c>
      <c r="AH314" s="442">
        <v>0</v>
      </c>
      <c r="AI314" s="442">
        <v>4.5474735088646412E-13</v>
      </c>
      <c r="AK314" s="3" t="e">
        <f>IF(F314="", " ", VLOOKUP(F314,#REF!, 1, FALSE))</f>
        <v>#REF!</v>
      </c>
    </row>
    <row r="315" spans="1:37" ht="36" x14ac:dyDescent="0.25">
      <c r="A315" s="587" t="s">
        <v>2912</v>
      </c>
      <c r="B315" s="369" t="s">
        <v>25</v>
      </c>
      <c r="C315" s="588"/>
      <c r="D315" s="589" t="s">
        <v>3792</v>
      </c>
      <c r="E315" s="44" t="s">
        <v>27</v>
      </c>
      <c r="F315" s="214">
        <v>93599</v>
      </c>
      <c r="G315" s="587" t="s">
        <v>788</v>
      </c>
      <c r="H315" s="590" t="s">
        <v>42</v>
      </c>
      <c r="I315" s="591">
        <v>2543.8139099999999</v>
      </c>
      <c r="J315" s="592">
        <v>0.41</v>
      </c>
      <c r="K315" s="593">
        <v>0.2033513845915047</v>
      </c>
      <c r="L315" s="592">
        <v>0.4933740676825169</v>
      </c>
      <c r="M315" s="594">
        <v>1255.0518162040678</v>
      </c>
      <c r="N315" s="439"/>
      <c r="O315" s="673"/>
      <c r="P315" s="361"/>
      <c r="Q315" s="441">
        <v>0</v>
      </c>
      <c r="R315" s="485"/>
      <c r="S315" s="442">
        <v>0</v>
      </c>
      <c r="T315" s="441">
        <v>1695.8759399999999</v>
      </c>
      <c r="U315" s="485"/>
      <c r="V315" s="442">
        <v>27</v>
      </c>
      <c r="W315" s="578">
        <v>847.93796999999995</v>
      </c>
      <c r="X315" s="485"/>
      <c r="Y315" s="442">
        <v>27</v>
      </c>
      <c r="Z315" s="441">
        <v>0</v>
      </c>
      <c r="AA315" s="485"/>
      <c r="AB315" s="442">
        <v>0</v>
      </c>
      <c r="AC315" s="672"/>
      <c r="AD315" s="441">
        <v>61.222039814832591</v>
      </c>
      <c r="AE315" s="674">
        <v>765.27549768540723</v>
      </c>
      <c r="AF315" s="674">
        <v>428.55427870382812</v>
      </c>
      <c r="AG315" s="674">
        <v>0</v>
      </c>
      <c r="AH315" s="442">
        <v>0</v>
      </c>
      <c r="AI315" s="442">
        <v>-2.2737367544323206E-13</v>
      </c>
      <c r="AK315" s="3" t="e">
        <f>IF(F315="", " ", VLOOKUP(F315,#REF!, 1, FALSE))</f>
        <v>#REF!</v>
      </c>
    </row>
    <row r="316" spans="1:37" ht="36" x14ac:dyDescent="0.25">
      <c r="A316" s="587" t="s">
        <v>2913</v>
      </c>
      <c r="B316" s="369" t="s">
        <v>25</v>
      </c>
      <c r="C316" s="588"/>
      <c r="D316" s="589" t="s">
        <v>3793</v>
      </c>
      <c r="E316" s="44" t="s">
        <v>27</v>
      </c>
      <c r="F316" s="214">
        <v>100943</v>
      </c>
      <c r="G316" s="587" t="s">
        <v>786</v>
      </c>
      <c r="H316" s="590" t="s">
        <v>42</v>
      </c>
      <c r="I316" s="591">
        <v>81.653285999999994</v>
      </c>
      <c r="J316" s="592">
        <v>3.1</v>
      </c>
      <c r="K316" s="593">
        <v>0.2033513845915047</v>
      </c>
      <c r="L316" s="592">
        <v>3.7303892922336646</v>
      </c>
      <c r="M316" s="594">
        <v>304.59854377009299</v>
      </c>
      <c r="N316" s="439"/>
      <c r="O316" s="673"/>
      <c r="P316" s="361"/>
      <c r="Q316" s="441">
        <v>0</v>
      </c>
      <c r="R316" s="485"/>
      <c r="S316" s="442">
        <v>0</v>
      </c>
      <c r="T316" s="441">
        <v>62.810219999999994</v>
      </c>
      <c r="U316" s="485"/>
      <c r="V316" s="442">
        <v>1</v>
      </c>
      <c r="W316" s="578">
        <v>18.843065999999997</v>
      </c>
      <c r="X316" s="485"/>
      <c r="Y316" s="442">
        <v>0.6</v>
      </c>
      <c r="Z316" s="441">
        <v>0</v>
      </c>
      <c r="AA316" s="485"/>
      <c r="AB316" s="442">
        <v>0</v>
      </c>
      <c r="AC316" s="672"/>
      <c r="AD316" s="441">
        <v>21.616670848200148</v>
      </c>
      <c r="AE316" s="674">
        <v>169.98563894266476</v>
      </c>
      <c r="AF316" s="674">
        <v>112.99623397922802</v>
      </c>
      <c r="AG316" s="674">
        <v>0</v>
      </c>
      <c r="AH316" s="442">
        <v>0</v>
      </c>
      <c r="AI316" s="442">
        <v>5.6843418860808015E-14</v>
      </c>
      <c r="AK316" s="3" t="e">
        <f>IF(F316="", " ", VLOOKUP(F316,#REF!, 1, FALSE))</f>
        <v>#REF!</v>
      </c>
    </row>
    <row r="317" spans="1:37" x14ac:dyDescent="0.25">
      <c r="A317" s="587"/>
      <c r="B317" s="369"/>
      <c r="C317" s="588"/>
      <c r="D317" s="589"/>
      <c r="E317" s="44"/>
      <c r="F317" s="214"/>
      <c r="G317" s="587" t="s">
        <v>21</v>
      </c>
      <c r="H317" s="590" t="s">
        <v>21</v>
      </c>
      <c r="I317" s="591" t="str">
        <f>IF($F317="","",IF('TRECHO(S) A IMPRIMIR'!$B$1= 1, SUM(Q317, T317, W317, Z317), IF('TRECHO(S) A IMPRIMIR'!$B$1= 2, T317, IF('TRECHO(S) A IMPRIMIR'!$B$1= 3, W317, 0))))</f>
        <v/>
      </c>
      <c r="J317" s="592" t="s">
        <v>21</v>
      </c>
      <c r="K317" s="593" t="str">
        <f t="shared" si="41"/>
        <v/>
      </c>
      <c r="L317" s="592" t="str">
        <f t="shared" si="37"/>
        <v/>
      </c>
      <c r="M317" s="594" t="str">
        <f t="shared" si="38"/>
        <v/>
      </c>
      <c r="N317" s="439"/>
      <c r="O317" s="673"/>
      <c r="P317" s="361"/>
      <c r="Q317" s="441"/>
      <c r="R317" s="485"/>
      <c r="S317" s="442"/>
      <c r="T317" s="441"/>
      <c r="U317" s="485"/>
      <c r="V317" s="442"/>
      <c r="W317" s="578"/>
      <c r="X317" s="485"/>
      <c r="Y317" s="442"/>
      <c r="Z317" s="441"/>
      <c r="AA317" s="485"/>
      <c r="AB317" s="442"/>
      <c r="AC317" s="672"/>
      <c r="AD317" s="441" t="s">
        <v>21</v>
      </c>
      <c r="AE317" s="674" t="s">
        <v>21</v>
      </c>
      <c r="AF317" s="674" t="s">
        <v>21</v>
      </c>
      <c r="AG317" s="674" t="s">
        <v>21</v>
      </c>
      <c r="AH317" s="442" t="s">
        <v>21</v>
      </c>
      <c r="AI317" s="442" t="str">
        <f t="shared" ref="AI309:AI381" si="46">IF(SUM(AD317:AH317)=0,"",M317 - SUM(AD317:AH317))</f>
        <v/>
      </c>
      <c r="AK317" s="3" t="str">
        <f>IF(F317="", " ", VLOOKUP(F317,#REF!, 1, FALSE))</f>
        <v xml:space="preserve"> </v>
      </c>
    </row>
    <row r="318" spans="1:37" x14ac:dyDescent="0.25">
      <c r="A318" s="587" t="s">
        <v>3470</v>
      </c>
      <c r="B318" s="369"/>
      <c r="C318" s="588"/>
      <c r="D318" s="589" t="s">
        <v>3158</v>
      </c>
      <c r="E318" s="44"/>
      <c r="F318" s="214"/>
      <c r="G318" s="587" t="s">
        <v>3470</v>
      </c>
      <c r="H318" s="590" t="s">
        <v>21</v>
      </c>
      <c r="I318" s="591" t="s">
        <v>21</v>
      </c>
      <c r="J318" s="592" t="s">
        <v>21</v>
      </c>
      <c r="K318" s="593" t="s">
        <v>21</v>
      </c>
      <c r="L318" s="592" t="s">
        <v>21</v>
      </c>
      <c r="M318" s="594">
        <v>112736.9819837964</v>
      </c>
      <c r="O318" s="673"/>
      <c r="P318" s="361"/>
      <c r="Q318" s="441"/>
      <c r="R318" s="485"/>
      <c r="S318" s="442"/>
      <c r="T318" s="441">
        <v>0</v>
      </c>
      <c r="U318" s="485"/>
      <c r="V318" s="442"/>
      <c r="W318" s="578">
        <v>1</v>
      </c>
      <c r="X318" s="485"/>
      <c r="Y318" s="442"/>
      <c r="Z318" s="441"/>
      <c r="AA318" s="485"/>
      <c r="AB318" s="442"/>
      <c r="AC318" s="672"/>
      <c r="AD318" s="441" t="s">
        <v>21</v>
      </c>
      <c r="AE318" s="674" t="s">
        <v>21</v>
      </c>
      <c r="AF318" s="674" t="s">
        <v>21</v>
      </c>
      <c r="AG318" s="674" t="s">
        <v>21</v>
      </c>
      <c r="AH318" s="442" t="s">
        <v>21</v>
      </c>
      <c r="AI318" s="442" t="s">
        <v>21</v>
      </c>
      <c r="AK318" s="3" t="str">
        <f>IF(F318="", " ", VLOOKUP(F318,#REF!, 1, FALSE))</f>
        <v xml:space="preserve"> </v>
      </c>
    </row>
    <row r="319" spans="1:37" s="294" customFormat="1" x14ac:dyDescent="0.25">
      <c r="A319" s="595" t="s">
        <v>1875</v>
      </c>
      <c r="B319" s="586"/>
      <c r="C319" s="596"/>
      <c r="D319" s="589" t="s">
        <v>3159</v>
      </c>
      <c r="E319" s="292"/>
      <c r="F319" s="577"/>
      <c r="G319" s="595" t="s">
        <v>1875</v>
      </c>
      <c r="H319" s="597" t="s">
        <v>21</v>
      </c>
      <c r="I319" s="598" t="s">
        <v>21</v>
      </c>
      <c r="J319" s="599" t="s">
        <v>21</v>
      </c>
      <c r="K319" s="600" t="s">
        <v>21</v>
      </c>
      <c r="L319" s="599" t="s">
        <v>21</v>
      </c>
      <c r="M319" s="601">
        <v>5284.9688622028152</v>
      </c>
      <c r="N319" s="293"/>
      <c r="O319" s="680"/>
      <c r="P319" s="362"/>
      <c r="Q319" s="578"/>
      <c r="R319" s="579"/>
      <c r="S319" s="580"/>
      <c r="T319" s="578"/>
      <c r="U319" s="579"/>
      <c r="V319" s="580"/>
      <c r="W319" s="578"/>
      <c r="X319" s="579"/>
      <c r="Y319" s="580"/>
      <c r="Z319" s="578"/>
      <c r="AA319" s="579"/>
      <c r="AB319" s="580"/>
      <c r="AC319" s="681"/>
      <c r="AD319" s="578" t="s">
        <v>21</v>
      </c>
      <c r="AE319" s="682" t="s">
        <v>21</v>
      </c>
      <c r="AF319" s="682" t="s">
        <v>21</v>
      </c>
      <c r="AG319" s="682" t="s">
        <v>21</v>
      </c>
      <c r="AH319" s="580" t="s">
        <v>21</v>
      </c>
      <c r="AI319" s="580" t="s">
        <v>21</v>
      </c>
      <c r="AK319" s="294" t="str">
        <f>IF(F319="", " ", VLOOKUP(F319,#REF!, 1, FALSE))</f>
        <v xml:space="preserve"> </v>
      </c>
    </row>
    <row r="320" spans="1:37" ht="36" x14ac:dyDescent="0.25">
      <c r="A320" s="587" t="s">
        <v>1876</v>
      </c>
      <c r="B320" s="369" t="s">
        <v>26</v>
      </c>
      <c r="C320" s="588"/>
      <c r="D320" s="589" t="s">
        <v>3160</v>
      </c>
      <c r="E320" s="44" t="s">
        <v>27</v>
      </c>
      <c r="F320" s="214">
        <v>100930</v>
      </c>
      <c r="G320" s="587" t="s">
        <v>3656</v>
      </c>
      <c r="H320" s="590" t="s">
        <v>22</v>
      </c>
      <c r="I320" s="591">
        <v>12.5</v>
      </c>
      <c r="J320" s="592">
        <v>351.35</v>
      </c>
      <c r="K320" s="593">
        <v>0.2033513845915047</v>
      </c>
      <c r="L320" s="592">
        <v>422.79750897622523</v>
      </c>
      <c r="M320" s="594">
        <v>5284.9688622028152</v>
      </c>
      <c r="O320" s="673"/>
      <c r="P320" s="361"/>
      <c r="Q320" s="441"/>
      <c r="R320" s="485"/>
      <c r="S320" s="442"/>
      <c r="T320" s="441">
        <v>0</v>
      </c>
      <c r="U320" s="485"/>
      <c r="V320" s="442"/>
      <c r="W320" s="441">
        <v>12.5</v>
      </c>
      <c r="X320" s="485"/>
      <c r="Y320" s="442"/>
      <c r="Z320" s="441"/>
      <c r="AA320" s="485"/>
      <c r="AB320" s="442"/>
      <c r="AC320" s="672"/>
      <c r="AD320" s="441">
        <v>774.50703490770718</v>
      </c>
      <c r="AE320" s="674">
        <v>4058.9042202271448</v>
      </c>
      <c r="AF320" s="674">
        <v>438.01990399130773</v>
      </c>
      <c r="AG320" s="674">
        <v>0</v>
      </c>
      <c r="AH320" s="442">
        <v>13.537703076654427</v>
      </c>
      <c r="AI320" s="442">
        <v>1.8189894035458565E-12</v>
      </c>
      <c r="AK320" s="3" t="e">
        <f>IF(F320="", " ", VLOOKUP(F320,#REF!, 1, FALSE))</f>
        <v>#REF!</v>
      </c>
    </row>
    <row r="321" spans="1:37" x14ac:dyDescent="0.25">
      <c r="A321" s="587" t="s">
        <v>1877</v>
      </c>
      <c r="B321" s="369"/>
      <c r="C321" s="588"/>
      <c r="D321" s="589" t="s">
        <v>3161</v>
      </c>
      <c r="E321" s="44"/>
      <c r="F321" s="214"/>
      <c r="G321" s="587" t="s">
        <v>1877</v>
      </c>
      <c r="H321" s="590" t="s">
        <v>21</v>
      </c>
      <c r="I321" s="591" t="s">
        <v>21</v>
      </c>
      <c r="J321" s="592" t="s">
        <v>21</v>
      </c>
      <c r="K321" s="593" t="s">
        <v>21</v>
      </c>
      <c r="L321" s="592" t="s">
        <v>21</v>
      </c>
      <c r="M321" s="594">
        <v>0</v>
      </c>
      <c r="O321" s="673"/>
      <c r="P321" s="361"/>
      <c r="Q321" s="441"/>
      <c r="R321" s="485"/>
      <c r="S321" s="442"/>
      <c r="T321" s="441"/>
      <c r="U321" s="485"/>
      <c r="V321" s="442"/>
      <c r="W321" s="441"/>
      <c r="X321" s="485"/>
      <c r="Y321" s="442"/>
      <c r="Z321" s="441"/>
      <c r="AA321" s="485"/>
      <c r="AB321" s="442"/>
      <c r="AC321" s="672"/>
      <c r="AD321" s="441" t="s">
        <v>21</v>
      </c>
      <c r="AE321" s="674" t="s">
        <v>21</v>
      </c>
      <c r="AF321" s="674" t="s">
        <v>21</v>
      </c>
      <c r="AG321" s="674" t="s">
        <v>21</v>
      </c>
      <c r="AH321" s="442" t="s">
        <v>21</v>
      </c>
      <c r="AI321" s="442" t="s">
        <v>21</v>
      </c>
      <c r="AK321" s="3" t="str">
        <f>IF(F321="", " ", VLOOKUP(F321,#REF!, 1, FALSE))</f>
        <v xml:space="preserve"> </v>
      </c>
    </row>
    <row r="322" spans="1:37" ht="24" hidden="1" x14ac:dyDescent="0.25">
      <c r="A322" s="587" t="s">
        <v>1861</v>
      </c>
      <c r="B322" s="369" t="s">
        <v>28</v>
      </c>
      <c r="C322" s="588"/>
      <c r="D322" s="589" t="s">
        <v>3162</v>
      </c>
      <c r="E322" s="44" t="s">
        <v>27</v>
      </c>
      <c r="F322" s="214">
        <v>93358</v>
      </c>
      <c r="G322" s="587" t="s">
        <v>1293</v>
      </c>
      <c r="H322" s="590" t="s">
        <v>44</v>
      </c>
      <c r="I322" s="591">
        <f>IF($F322="","",IF('TRECHO(S) A IMPRIMIR'!$B$1= 1, SUM(Q322, T322, W322, Z322), IF('TRECHO(S) A IMPRIMIR'!$B$1= 2, T322, IF('TRECHO(S) A IMPRIMIR'!$B$1= 3, W322, 0))))</f>
        <v>0</v>
      </c>
      <c r="J322" s="592">
        <v>69.66</v>
      </c>
      <c r="K322" s="593">
        <f t="shared" si="41"/>
        <v>0.2033513845915047</v>
      </c>
      <c r="L322" s="592">
        <f t="shared" si="37"/>
        <v>83.825457450644208</v>
      </c>
      <c r="M322" s="594">
        <f>IF(OR(I322="",L322=""),"",I322*L322)</f>
        <v>0</v>
      </c>
      <c r="O322" s="673"/>
      <c r="P322" s="361"/>
      <c r="Q322" s="441"/>
      <c r="R322" s="485"/>
      <c r="S322" s="442"/>
      <c r="T322" s="441">
        <f t="shared" ref="T322:T335" si="47">0 * T$318</f>
        <v>0</v>
      </c>
      <c r="U322" s="485"/>
      <c r="V322" s="442"/>
      <c r="W322" s="441">
        <f t="shared" ref="W322:W335" si="48">0 * W$318</f>
        <v>0</v>
      </c>
      <c r="X322" s="485"/>
      <c r="Y322" s="442"/>
      <c r="Z322" s="441"/>
      <c r="AA322" s="485"/>
      <c r="AB322" s="442"/>
      <c r="AC322" s="672"/>
      <c r="AD322" s="441" t="s">
        <v>21</v>
      </c>
      <c r="AE322" s="674" t="s">
        <v>21</v>
      </c>
      <c r="AF322" s="674" t="s">
        <v>21</v>
      </c>
      <c r="AG322" s="674" t="s">
        <v>21</v>
      </c>
      <c r="AH322" s="442" t="s">
        <v>21</v>
      </c>
      <c r="AI322" s="442" t="str">
        <f t="shared" ref="AI318:AI355" si="49">IF(SUM(AD322:AH322)=0,"",M322 - SUM(AD322:AH322))</f>
        <v/>
      </c>
      <c r="AK322" s="3" t="e">
        <f>IF(F322="", " ", VLOOKUP(F322,#REF!, 1, FALSE))</f>
        <v>#REF!</v>
      </c>
    </row>
    <row r="323" spans="1:37" ht="36" hidden="1" x14ac:dyDescent="0.25">
      <c r="A323" s="587" t="s">
        <v>1878</v>
      </c>
      <c r="B323" s="369" t="s">
        <v>20</v>
      </c>
      <c r="C323" s="588"/>
      <c r="D323" s="589" t="s">
        <v>3163</v>
      </c>
      <c r="E323" s="44" t="s">
        <v>27</v>
      </c>
      <c r="F323" s="214">
        <v>101617</v>
      </c>
      <c r="G323" s="587" t="s">
        <v>1166</v>
      </c>
      <c r="H323" s="590" t="s">
        <v>51</v>
      </c>
      <c r="I323" s="591">
        <f>IF($F323="","",IF('TRECHO(S) A IMPRIMIR'!$B$1= 1, SUM(Q323, T323, W323, Z323), IF('TRECHO(S) A IMPRIMIR'!$B$1= 2, T323, IF('TRECHO(S) A IMPRIMIR'!$B$1= 3, W323, 0))))</f>
        <v>0</v>
      </c>
      <c r="J323" s="592">
        <v>2.61</v>
      </c>
      <c r="K323" s="593">
        <f t="shared" si="41"/>
        <v>0.2033513845915047</v>
      </c>
      <c r="L323" s="592">
        <f t="shared" si="37"/>
        <v>3.140747113783827</v>
      </c>
      <c r="M323" s="594">
        <f>IF(OR(I323="",L323=""),"",I323*L323)</f>
        <v>0</v>
      </c>
      <c r="O323" s="673"/>
      <c r="P323" s="361"/>
      <c r="Q323" s="441"/>
      <c r="R323" s="485"/>
      <c r="S323" s="442"/>
      <c r="T323" s="441">
        <f t="shared" si="47"/>
        <v>0</v>
      </c>
      <c r="U323" s="485"/>
      <c r="V323" s="442"/>
      <c r="W323" s="441">
        <f t="shared" si="48"/>
        <v>0</v>
      </c>
      <c r="X323" s="485"/>
      <c r="Y323" s="442"/>
      <c r="Z323" s="441"/>
      <c r="AA323" s="485"/>
      <c r="AB323" s="442"/>
      <c r="AC323" s="672"/>
      <c r="AD323" s="441" t="s">
        <v>21</v>
      </c>
      <c r="AE323" s="674" t="s">
        <v>21</v>
      </c>
      <c r="AF323" s="674" t="s">
        <v>21</v>
      </c>
      <c r="AG323" s="674" t="s">
        <v>21</v>
      </c>
      <c r="AH323" s="442" t="s">
        <v>21</v>
      </c>
      <c r="AI323" s="442" t="str">
        <f t="shared" si="49"/>
        <v/>
      </c>
      <c r="AK323" s="3" t="e">
        <f>IF(F323="", " ", VLOOKUP(F323,#REF!, 1, FALSE))</f>
        <v>#REF!</v>
      </c>
    </row>
    <row r="324" spans="1:37" ht="24" hidden="1" x14ac:dyDescent="0.25">
      <c r="A324" s="587" t="s">
        <v>1870</v>
      </c>
      <c r="B324" s="369" t="s">
        <v>28</v>
      </c>
      <c r="C324" s="588"/>
      <c r="D324" s="589" t="s">
        <v>3164</v>
      </c>
      <c r="E324" s="44" t="s">
        <v>27</v>
      </c>
      <c r="F324" s="214">
        <v>96616</v>
      </c>
      <c r="G324" s="587" t="s">
        <v>70</v>
      </c>
      <c r="H324" s="590" t="s">
        <v>44</v>
      </c>
      <c r="I324" s="591">
        <f>IF($F324="","",IF('TRECHO(S) A IMPRIMIR'!$B$1= 1, SUM(Q324, T324, W324, Z324), IF('TRECHO(S) A IMPRIMIR'!$B$1= 2, T324, IF('TRECHO(S) A IMPRIMIR'!$B$1= 3, W324, 0))))</f>
        <v>0</v>
      </c>
      <c r="J324" s="592">
        <v>547.38</v>
      </c>
      <c r="K324" s="593">
        <f t="shared" si="41"/>
        <v>0.2033513845915047</v>
      </c>
      <c r="L324" s="592">
        <f t="shared" si="37"/>
        <v>658.69048089769785</v>
      </c>
      <c r="M324" s="594">
        <f>IF(OR(I324="",L324=""),"",I324*L324)</f>
        <v>0</v>
      </c>
      <c r="O324" s="673"/>
      <c r="P324" s="361"/>
      <c r="Q324" s="441"/>
      <c r="R324" s="485"/>
      <c r="S324" s="442"/>
      <c r="T324" s="441">
        <f t="shared" si="47"/>
        <v>0</v>
      </c>
      <c r="U324" s="485"/>
      <c r="V324" s="442"/>
      <c r="W324" s="441">
        <f t="shared" si="48"/>
        <v>0</v>
      </c>
      <c r="X324" s="485"/>
      <c r="Y324" s="442"/>
      <c r="Z324" s="441"/>
      <c r="AA324" s="485"/>
      <c r="AB324" s="442"/>
      <c r="AC324" s="672"/>
      <c r="AD324" s="441" t="s">
        <v>21</v>
      </c>
      <c r="AE324" s="674" t="s">
        <v>21</v>
      </c>
      <c r="AF324" s="674" t="s">
        <v>21</v>
      </c>
      <c r="AG324" s="674" t="s">
        <v>21</v>
      </c>
      <c r="AH324" s="442" t="s">
        <v>21</v>
      </c>
      <c r="AI324" s="442" t="str">
        <f t="shared" si="49"/>
        <v/>
      </c>
      <c r="AK324" s="3" t="e">
        <f>IF(F324="", " ", VLOOKUP(F324,#REF!, 1, FALSE))</f>
        <v>#REF!</v>
      </c>
    </row>
    <row r="325" spans="1:37" ht="36" hidden="1" x14ac:dyDescent="0.25">
      <c r="A325" s="587" t="s">
        <v>1879</v>
      </c>
      <c r="B325" s="369" t="s">
        <v>20</v>
      </c>
      <c r="C325" s="588"/>
      <c r="D325" s="589" t="s">
        <v>3165</v>
      </c>
      <c r="E325" s="44" t="s">
        <v>27</v>
      </c>
      <c r="F325" s="214">
        <v>96536</v>
      </c>
      <c r="G325" s="587" t="s">
        <v>67</v>
      </c>
      <c r="H325" s="590" t="s">
        <v>51</v>
      </c>
      <c r="I325" s="591">
        <f>IF($F325="","",IF('TRECHO(S) A IMPRIMIR'!$B$1= 1, SUM(Q325, T325, W325, Z325), IF('TRECHO(S) A IMPRIMIR'!$B$1= 2, T325, IF('TRECHO(S) A IMPRIMIR'!$B$1= 3, W325, 0))))</f>
        <v>0</v>
      </c>
      <c r="J325" s="592">
        <v>68.62</v>
      </c>
      <c r="K325" s="593">
        <f t="shared" si="41"/>
        <v>0.2033513845915047</v>
      </c>
      <c r="L325" s="592">
        <f t="shared" si="37"/>
        <v>82.573972010669053</v>
      </c>
      <c r="M325" s="594">
        <f>IF(OR(I325="",L325=""),"",I325*L325)</f>
        <v>0</v>
      </c>
      <c r="O325" s="673"/>
      <c r="P325" s="361"/>
      <c r="Q325" s="441"/>
      <c r="R325" s="485"/>
      <c r="S325" s="442"/>
      <c r="T325" s="441">
        <f t="shared" si="47"/>
        <v>0</v>
      </c>
      <c r="U325" s="485"/>
      <c r="V325" s="442"/>
      <c r="W325" s="441">
        <f t="shared" si="48"/>
        <v>0</v>
      </c>
      <c r="X325" s="485"/>
      <c r="Y325" s="442"/>
      <c r="Z325" s="441"/>
      <c r="AA325" s="485"/>
      <c r="AB325" s="442"/>
      <c r="AC325" s="672"/>
      <c r="AD325" s="441" t="s">
        <v>21</v>
      </c>
      <c r="AE325" s="674" t="s">
        <v>21</v>
      </c>
      <c r="AF325" s="674" t="s">
        <v>21</v>
      </c>
      <c r="AG325" s="674" t="s">
        <v>21</v>
      </c>
      <c r="AH325" s="442" t="s">
        <v>21</v>
      </c>
      <c r="AI325" s="442" t="str">
        <f t="shared" si="49"/>
        <v/>
      </c>
      <c r="AK325" s="3" t="e">
        <f>IF(F325="", " ", VLOOKUP(F325,#REF!, 1, FALSE))</f>
        <v>#REF!</v>
      </c>
    </row>
    <row r="326" spans="1:37" ht="48" hidden="1" x14ac:dyDescent="0.25">
      <c r="A326" s="587" t="s">
        <v>1864</v>
      </c>
      <c r="B326" s="369" t="s">
        <v>1880</v>
      </c>
      <c r="C326" s="588"/>
      <c r="D326" s="589" t="s">
        <v>3166</v>
      </c>
      <c r="E326" s="44" t="s">
        <v>27</v>
      </c>
      <c r="F326" s="214">
        <v>92916</v>
      </c>
      <c r="G326" s="587" t="s">
        <v>507</v>
      </c>
      <c r="H326" s="590" t="s">
        <v>54</v>
      </c>
      <c r="I326" s="591">
        <f>IF($F326="","",IF('TRECHO(S) A IMPRIMIR'!$B$1= 1, SUM(Q326, T326, W326, Z326), IF('TRECHO(S) A IMPRIMIR'!$B$1= 2, T326, IF('TRECHO(S) A IMPRIMIR'!$B$1= 3, W326, 0))))</f>
        <v>0</v>
      </c>
      <c r="J326" s="592">
        <v>16.38</v>
      </c>
      <c r="K326" s="593">
        <f t="shared" si="41"/>
        <v>0.2033513845915047</v>
      </c>
      <c r="L326" s="592">
        <f t="shared" si="37"/>
        <v>19.710895679608846</v>
      </c>
      <c r="M326" s="594">
        <f>IF(OR(I326="",L326=""),"",I326*L326)</f>
        <v>0</v>
      </c>
      <c r="O326" s="673"/>
      <c r="P326" s="361"/>
      <c r="Q326" s="441"/>
      <c r="R326" s="485"/>
      <c r="S326" s="442"/>
      <c r="T326" s="441">
        <f t="shared" si="47"/>
        <v>0</v>
      </c>
      <c r="U326" s="485"/>
      <c r="V326" s="442"/>
      <c r="W326" s="441">
        <f t="shared" si="48"/>
        <v>0</v>
      </c>
      <c r="X326" s="485"/>
      <c r="Y326" s="442"/>
      <c r="Z326" s="441"/>
      <c r="AA326" s="485"/>
      <c r="AB326" s="442"/>
      <c r="AC326" s="672"/>
      <c r="AD326" s="441" t="s">
        <v>21</v>
      </c>
      <c r="AE326" s="674" t="s">
        <v>21</v>
      </c>
      <c r="AF326" s="674" t="s">
        <v>21</v>
      </c>
      <c r="AG326" s="674" t="s">
        <v>21</v>
      </c>
      <c r="AH326" s="442" t="s">
        <v>21</v>
      </c>
      <c r="AI326" s="442" t="str">
        <f t="shared" si="49"/>
        <v/>
      </c>
      <c r="AK326" s="3" t="e">
        <f>IF(F326="", " ", VLOOKUP(F326,#REF!, 1, FALSE))</f>
        <v>#REF!</v>
      </c>
    </row>
    <row r="327" spans="1:37" ht="48" hidden="1" x14ac:dyDescent="0.25">
      <c r="A327" s="587" t="s">
        <v>1864</v>
      </c>
      <c r="B327" s="369" t="s">
        <v>1880</v>
      </c>
      <c r="C327" s="588"/>
      <c r="D327" s="589" t="s">
        <v>3166</v>
      </c>
      <c r="E327" s="44" t="s">
        <v>27</v>
      </c>
      <c r="F327" s="214">
        <v>92917</v>
      </c>
      <c r="G327" s="587" t="s">
        <v>508</v>
      </c>
      <c r="H327" s="590" t="s">
        <v>54</v>
      </c>
      <c r="I327" s="591">
        <f>IF($F327="","",IF('TRECHO(S) A IMPRIMIR'!$B$1= 1, SUM(Q327, T327, W327, Z327), IF('TRECHO(S) A IMPRIMIR'!$B$1= 2, T327, IF('TRECHO(S) A IMPRIMIR'!$B$1= 3, W327, 0))))</f>
        <v>0</v>
      </c>
      <c r="J327" s="592">
        <v>15.38</v>
      </c>
      <c r="K327" s="593">
        <f t="shared" si="41"/>
        <v>0.2033513845915047</v>
      </c>
      <c r="L327" s="592">
        <f t="shared" si="37"/>
        <v>18.507544295017343</v>
      </c>
      <c r="M327" s="594">
        <f t="shared" ref="M327:M332" si="50">IF(OR(I327="",L327=""),"",I327*L327)</f>
        <v>0</v>
      </c>
      <c r="O327" s="673"/>
      <c r="P327" s="361"/>
      <c r="Q327" s="441"/>
      <c r="R327" s="485"/>
      <c r="S327" s="442"/>
      <c r="T327" s="441">
        <f t="shared" si="47"/>
        <v>0</v>
      </c>
      <c r="U327" s="485"/>
      <c r="V327" s="442"/>
      <c r="W327" s="441">
        <f t="shared" si="48"/>
        <v>0</v>
      </c>
      <c r="X327" s="485"/>
      <c r="Y327" s="442"/>
      <c r="Z327" s="441"/>
      <c r="AA327" s="485"/>
      <c r="AB327" s="442"/>
      <c r="AC327" s="672"/>
      <c r="AD327" s="441" t="s">
        <v>21</v>
      </c>
      <c r="AE327" s="674" t="s">
        <v>21</v>
      </c>
      <c r="AF327" s="674" t="s">
        <v>21</v>
      </c>
      <c r="AG327" s="674" t="s">
        <v>21</v>
      </c>
      <c r="AH327" s="442" t="s">
        <v>21</v>
      </c>
      <c r="AI327" s="442" t="str">
        <f t="shared" si="49"/>
        <v/>
      </c>
      <c r="AK327" s="3" t="e">
        <f>IF(F327="", " ", VLOOKUP(F327,#REF!, 1, FALSE))</f>
        <v>#REF!</v>
      </c>
    </row>
    <row r="328" spans="1:37" ht="48" hidden="1" x14ac:dyDescent="0.25">
      <c r="A328" s="587" t="s">
        <v>1864</v>
      </c>
      <c r="B328" s="369" t="s">
        <v>1880</v>
      </c>
      <c r="C328" s="588"/>
      <c r="D328" s="589" t="s">
        <v>3166</v>
      </c>
      <c r="E328" s="44" t="s">
        <v>27</v>
      </c>
      <c r="F328" s="214">
        <v>92919</v>
      </c>
      <c r="G328" s="587" t="s">
        <v>502</v>
      </c>
      <c r="H328" s="590" t="s">
        <v>54</v>
      </c>
      <c r="I328" s="591">
        <f>IF($F328="","",IF('TRECHO(S) A IMPRIMIR'!$B$1= 1, SUM(Q328, T328, W328, Z328), IF('TRECHO(S) A IMPRIMIR'!$B$1= 2, T328, IF('TRECHO(S) A IMPRIMIR'!$B$1= 3, W328, 0))))</f>
        <v>0</v>
      </c>
      <c r="J328" s="592">
        <v>13.76</v>
      </c>
      <c r="K328" s="593">
        <f t="shared" si="41"/>
        <v>0.2033513845915047</v>
      </c>
      <c r="L328" s="592">
        <f t="shared" si="37"/>
        <v>16.558115051979104</v>
      </c>
      <c r="M328" s="594">
        <f t="shared" si="50"/>
        <v>0</v>
      </c>
      <c r="O328" s="673"/>
      <c r="P328" s="361"/>
      <c r="Q328" s="441"/>
      <c r="R328" s="485"/>
      <c r="S328" s="442"/>
      <c r="T328" s="441">
        <f t="shared" si="47"/>
        <v>0</v>
      </c>
      <c r="U328" s="485"/>
      <c r="V328" s="442"/>
      <c r="W328" s="441">
        <f t="shared" si="48"/>
        <v>0</v>
      </c>
      <c r="X328" s="485"/>
      <c r="Y328" s="442"/>
      <c r="Z328" s="441"/>
      <c r="AA328" s="485"/>
      <c r="AB328" s="442"/>
      <c r="AC328" s="672"/>
      <c r="AD328" s="441" t="s">
        <v>21</v>
      </c>
      <c r="AE328" s="674" t="s">
        <v>21</v>
      </c>
      <c r="AF328" s="674" t="s">
        <v>21</v>
      </c>
      <c r="AG328" s="674" t="s">
        <v>21</v>
      </c>
      <c r="AH328" s="442" t="s">
        <v>21</v>
      </c>
      <c r="AI328" s="442" t="str">
        <f t="shared" si="49"/>
        <v/>
      </c>
      <c r="AK328" s="3" t="e">
        <f>IF(F328="", " ", VLOOKUP(F328,#REF!, 1, FALSE))</f>
        <v>#REF!</v>
      </c>
    </row>
    <row r="329" spans="1:37" ht="48" hidden="1" x14ac:dyDescent="0.25">
      <c r="A329" s="587" t="s">
        <v>1864</v>
      </c>
      <c r="B329" s="369" t="s">
        <v>1880</v>
      </c>
      <c r="C329" s="588"/>
      <c r="D329" s="589" t="s">
        <v>3166</v>
      </c>
      <c r="E329" s="44" t="s">
        <v>27</v>
      </c>
      <c r="F329" s="214">
        <v>92921</v>
      </c>
      <c r="G329" s="587" t="s">
        <v>503</v>
      </c>
      <c r="H329" s="590" t="s">
        <v>54</v>
      </c>
      <c r="I329" s="591">
        <f>IF($F329="","",IF('TRECHO(S) A IMPRIMIR'!$B$1= 1, SUM(Q329, T329, W329, Z329), IF('TRECHO(S) A IMPRIMIR'!$B$1= 2, T329, IF('TRECHO(S) A IMPRIMIR'!$B$1= 3, W329, 0))))</f>
        <v>0</v>
      </c>
      <c r="J329" s="592">
        <v>11.58</v>
      </c>
      <c r="K329" s="593">
        <f t="shared" si="41"/>
        <v>0.2033513845915047</v>
      </c>
      <c r="L329" s="592">
        <f t="shared" si="37"/>
        <v>13.934809033569625</v>
      </c>
      <c r="M329" s="594">
        <f t="shared" si="50"/>
        <v>0</v>
      </c>
      <c r="O329" s="673"/>
      <c r="P329" s="361"/>
      <c r="Q329" s="441"/>
      <c r="R329" s="485"/>
      <c r="S329" s="442"/>
      <c r="T329" s="441">
        <f t="shared" si="47"/>
        <v>0</v>
      </c>
      <c r="U329" s="485"/>
      <c r="V329" s="442"/>
      <c r="W329" s="441">
        <f t="shared" si="48"/>
        <v>0</v>
      </c>
      <c r="X329" s="485"/>
      <c r="Y329" s="442"/>
      <c r="Z329" s="441"/>
      <c r="AA329" s="485"/>
      <c r="AB329" s="442"/>
      <c r="AC329" s="672"/>
      <c r="AD329" s="441" t="s">
        <v>21</v>
      </c>
      <c r="AE329" s="674" t="s">
        <v>21</v>
      </c>
      <c r="AF329" s="674" t="s">
        <v>21</v>
      </c>
      <c r="AG329" s="674" t="s">
        <v>21</v>
      </c>
      <c r="AH329" s="442" t="s">
        <v>21</v>
      </c>
      <c r="AI329" s="442" t="str">
        <f t="shared" si="49"/>
        <v/>
      </c>
      <c r="AK329" s="3" t="e">
        <f>IF(F329="", " ", VLOOKUP(F329,#REF!, 1, FALSE))</f>
        <v>#REF!</v>
      </c>
    </row>
    <row r="330" spans="1:37" ht="48" hidden="1" x14ac:dyDescent="0.25">
      <c r="A330" s="587" t="s">
        <v>1864</v>
      </c>
      <c r="B330" s="369" t="s">
        <v>1880</v>
      </c>
      <c r="C330" s="588"/>
      <c r="D330" s="589" t="s">
        <v>3166</v>
      </c>
      <c r="E330" s="44" t="s">
        <v>27</v>
      </c>
      <c r="F330" s="214">
        <v>92922</v>
      </c>
      <c r="G330" s="587" t="s">
        <v>504</v>
      </c>
      <c r="H330" s="590" t="s">
        <v>54</v>
      </c>
      <c r="I330" s="591">
        <f>IF($F330="","",IF('TRECHO(S) A IMPRIMIR'!$B$1= 1, SUM(Q330, T330, W330, Z330), IF('TRECHO(S) A IMPRIMIR'!$B$1= 2, T330, IF('TRECHO(S) A IMPRIMIR'!$B$1= 3, W330, 0))))</f>
        <v>0</v>
      </c>
      <c r="J330" s="592">
        <v>11</v>
      </c>
      <c r="K330" s="593">
        <f t="shared" si="41"/>
        <v>0.2033513845915047</v>
      </c>
      <c r="L330" s="592">
        <f t="shared" si="37"/>
        <v>13.236865230506552</v>
      </c>
      <c r="M330" s="594">
        <f t="shared" si="50"/>
        <v>0</v>
      </c>
      <c r="O330" s="673"/>
      <c r="P330" s="361"/>
      <c r="Q330" s="441"/>
      <c r="R330" s="485"/>
      <c r="S330" s="442"/>
      <c r="T330" s="441">
        <f t="shared" si="47"/>
        <v>0</v>
      </c>
      <c r="U330" s="485"/>
      <c r="V330" s="442"/>
      <c r="W330" s="441">
        <f t="shared" si="48"/>
        <v>0</v>
      </c>
      <c r="X330" s="485"/>
      <c r="Y330" s="442"/>
      <c r="Z330" s="441"/>
      <c r="AA330" s="485"/>
      <c r="AB330" s="442"/>
      <c r="AC330" s="672"/>
      <c r="AD330" s="441" t="s">
        <v>21</v>
      </c>
      <c r="AE330" s="674" t="s">
        <v>21</v>
      </c>
      <c r="AF330" s="674" t="s">
        <v>21</v>
      </c>
      <c r="AG330" s="674" t="s">
        <v>21</v>
      </c>
      <c r="AH330" s="442" t="s">
        <v>21</v>
      </c>
      <c r="AI330" s="442" t="str">
        <f t="shared" si="49"/>
        <v/>
      </c>
      <c r="AK330" s="3" t="e">
        <f>IF(F330="", " ", VLOOKUP(F330,#REF!, 1, FALSE))</f>
        <v>#REF!</v>
      </c>
    </row>
    <row r="331" spans="1:37" ht="48" hidden="1" x14ac:dyDescent="0.25">
      <c r="A331" s="587" t="s">
        <v>1864</v>
      </c>
      <c r="B331" s="369" t="s">
        <v>1880</v>
      </c>
      <c r="C331" s="588"/>
      <c r="D331" s="589" t="s">
        <v>3166</v>
      </c>
      <c r="E331" s="44" t="s">
        <v>27</v>
      </c>
      <c r="F331" s="214">
        <v>92923</v>
      </c>
      <c r="G331" s="587" t="s">
        <v>505</v>
      </c>
      <c r="H331" s="590" t="s">
        <v>54</v>
      </c>
      <c r="I331" s="591">
        <f>IF($F331="","",IF('TRECHO(S) A IMPRIMIR'!$B$1= 1, SUM(Q331, T331, W331, Z331), IF('TRECHO(S) A IMPRIMIR'!$B$1= 2, T331, IF('TRECHO(S) A IMPRIMIR'!$B$1= 3, W331, 0))))</f>
        <v>0</v>
      </c>
      <c r="J331" s="592">
        <v>12.32</v>
      </c>
      <c r="K331" s="593">
        <f t="shared" si="41"/>
        <v>0.2033513845915047</v>
      </c>
      <c r="L331" s="592">
        <f t="shared" si="37"/>
        <v>14.825289058167339</v>
      </c>
      <c r="M331" s="594">
        <f t="shared" si="50"/>
        <v>0</v>
      </c>
      <c r="O331" s="673"/>
      <c r="P331" s="361"/>
      <c r="Q331" s="441"/>
      <c r="R331" s="485"/>
      <c r="S331" s="442"/>
      <c r="T331" s="441">
        <f t="shared" si="47"/>
        <v>0</v>
      </c>
      <c r="U331" s="485"/>
      <c r="V331" s="442"/>
      <c r="W331" s="441">
        <f t="shared" si="48"/>
        <v>0</v>
      </c>
      <c r="X331" s="485"/>
      <c r="Y331" s="442"/>
      <c r="Z331" s="441"/>
      <c r="AA331" s="485"/>
      <c r="AB331" s="442"/>
      <c r="AC331" s="672"/>
      <c r="AD331" s="441" t="s">
        <v>21</v>
      </c>
      <c r="AE331" s="674" t="s">
        <v>21</v>
      </c>
      <c r="AF331" s="674" t="s">
        <v>21</v>
      </c>
      <c r="AG331" s="674" t="s">
        <v>21</v>
      </c>
      <c r="AH331" s="442" t="s">
        <v>21</v>
      </c>
      <c r="AI331" s="442" t="str">
        <f t="shared" si="49"/>
        <v/>
      </c>
      <c r="AK331" s="3" t="e">
        <f>IF(F331="", " ", VLOOKUP(F331,#REF!, 1, FALSE))</f>
        <v>#REF!</v>
      </c>
    </row>
    <row r="332" spans="1:37" ht="48" hidden="1" x14ac:dyDescent="0.25">
      <c r="A332" s="587" t="s">
        <v>1864</v>
      </c>
      <c r="B332" s="369" t="s">
        <v>1880</v>
      </c>
      <c r="C332" s="588"/>
      <c r="D332" s="589" t="s">
        <v>3166</v>
      </c>
      <c r="E332" s="44" t="s">
        <v>27</v>
      </c>
      <c r="F332" s="214">
        <v>92924</v>
      </c>
      <c r="G332" s="587" t="s">
        <v>506</v>
      </c>
      <c r="H332" s="590" t="s">
        <v>54</v>
      </c>
      <c r="I332" s="591">
        <f>IF($F332="","",IF('TRECHO(S) A IMPRIMIR'!$B$1= 1, SUM(Q332, T332, W332, Z332), IF('TRECHO(S) A IMPRIMIR'!$B$1= 2, T332, IF('TRECHO(S) A IMPRIMIR'!$B$1= 3, W332, 0))))</f>
        <v>0</v>
      </c>
      <c r="J332" s="592">
        <v>12.01</v>
      </c>
      <c r="K332" s="593">
        <f t="shared" si="41"/>
        <v>0.2033513845915047</v>
      </c>
      <c r="L332" s="592">
        <f t="shared" si="37"/>
        <v>14.452250128943971</v>
      </c>
      <c r="M332" s="594">
        <f t="shared" si="50"/>
        <v>0</v>
      </c>
      <c r="O332" s="673"/>
      <c r="P332" s="361"/>
      <c r="Q332" s="441"/>
      <c r="R332" s="485"/>
      <c r="S332" s="442"/>
      <c r="T332" s="441">
        <f t="shared" si="47"/>
        <v>0</v>
      </c>
      <c r="U332" s="485"/>
      <c r="V332" s="442"/>
      <c r="W332" s="441">
        <f t="shared" si="48"/>
        <v>0</v>
      </c>
      <c r="X332" s="485"/>
      <c r="Y332" s="442"/>
      <c r="Z332" s="441"/>
      <c r="AA332" s="485"/>
      <c r="AB332" s="442"/>
      <c r="AC332" s="672"/>
      <c r="AD332" s="441" t="s">
        <v>21</v>
      </c>
      <c r="AE332" s="674" t="s">
        <v>21</v>
      </c>
      <c r="AF332" s="674" t="s">
        <v>21</v>
      </c>
      <c r="AG332" s="674" t="s">
        <v>21</v>
      </c>
      <c r="AH332" s="442" t="s">
        <v>21</v>
      </c>
      <c r="AI332" s="442" t="str">
        <f t="shared" si="49"/>
        <v/>
      </c>
      <c r="AK332" s="3" t="e">
        <f>IF(F332="", " ", VLOOKUP(F332,#REF!, 1, FALSE))</f>
        <v>#REF!</v>
      </c>
    </row>
    <row r="333" spans="1:37" ht="48" hidden="1" x14ac:dyDescent="0.25">
      <c r="A333" s="587" t="s">
        <v>1865</v>
      </c>
      <c r="B333" s="369" t="s">
        <v>28</v>
      </c>
      <c r="C333" s="588"/>
      <c r="D333" s="589" t="s">
        <v>3167</v>
      </c>
      <c r="E333" s="44" t="s">
        <v>27</v>
      </c>
      <c r="F333" s="214">
        <v>96557</v>
      </c>
      <c r="G333" s="587" t="s">
        <v>541</v>
      </c>
      <c r="H333" s="590" t="s">
        <v>44</v>
      </c>
      <c r="I333" s="591">
        <f>IF($F333="","",IF('TRECHO(S) A IMPRIMIR'!$B$1= 1, SUM(Q333, T333, W333, Z333), IF('TRECHO(S) A IMPRIMIR'!$B$1= 2, T333, IF('TRECHO(S) A IMPRIMIR'!$B$1= 3, W333, 0))))</f>
        <v>0</v>
      </c>
      <c r="J333" s="592">
        <v>411.87</v>
      </c>
      <c r="K333" s="593">
        <f t="shared" si="41"/>
        <v>0.2033513845915047</v>
      </c>
      <c r="L333" s="592">
        <f t="shared" si="37"/>
        <v>495.62433477170305</v>
      </c>
      <c r="M333" s="594">
        <f>IF(OR(I333="",L333=""),"",I333*L333)</f>
        <v>0</v>
      </c>
      <c r="N333" s="439"/>
      <c r="O333" s="673"/>
      <c r="P333" s="361"/>
      <c r="Q333" s="441"/>
      <c r="R333" s="485"/>
      <c r="S333" s="442"/>
      <c r="T333" s="441">
        <f t="shared" si="47"/>
        <v>0</v>
      </c>
      <c r="U333" s="485"/>
      <c r="V333" s="442"/>
      <c r="W333" s="441">
        <f t="shared" si="48"/>
        <v>0</v>
      </c>
      <c r="X333" s="485"/>
      <c r="Y333" s="442"/>
      <c r="Z333" s="441"/>
      <c r="AA333" s="485"/>
      <c r="AB333" s="442"/>
      <c r="AC333" s="672"/>
      <c r="AD333" s="441" t="s">
        <v>21</v>
      </c>
      <c r="AE333" s="674" t="s">
        <v>21</v>
      </c>
      <c r="AF333" s="674" t="s">
        <v>21</v>
      </c>
      <c r="AG333" s="674" t="s">
        <v>21</v>
      </c>
      <c r="AH333" s="442" t="s">
        <v>21</v>
      </c>
      <c r="AI333" s="442" t="str">
        <f t="shared" si="49"/>
        <v/>
      </c>
      <c r="AK333" s="3" t="e">
        <f>IF(F333="", " ", VLOOKUP(F333,#REF!, 1, FALSE))</f>
        <v>#REF!</v>
      </c>
    </row>
    <row r="334" spans="1:37" ht="24" hidden="1" x14ac:dyDescent="0.25">
      <c r="A334" s="587" t="s">
        <v>1881</v>
      </c>
      <c r="B334" s="369" t="s">
        <v>28</v>
      </c>
      <c r="C334" s="588"/>
      <c r="D334" s="589" t="s">
        <v>3168</v>
      </c>
      <c r="E334" s="44" t="s">
        <v>27</v>
      </c>
      <c r="F334" s="214">
        <v>93382</v>
      </c>
      <c r="G334" s="587" t="s">
        <v>40</v>
      </c>
      <c r="H334" s="590" t="s">
        <v>44</v>
      </c>
      <c r="I334" s="591">
        <f>IF($F334="","",IF('TRECHO(S) A IMPRIMIR'!$B$1= 1, SUM(Q334, T334, W334, Z334), IF('TRECHO(S) A IMPRIMIR'!$B$1= 2, T334, IF('TRECHO(S) A IMPRIMIR'!$B$1= 3, W334, 0))))</f>
        <v>0</v>
      </c>
      <c r="J334" s="592">
        <v>25.09</v>
      </c>
      <c r="K334" s="593">
        <f t="shared" si="41"/>
        <v>0.2033513845915047</v>
      </c>
      <c r="L334" s="592">
        <f t="shared" si="37"/>
        <v>30.192086239400854</v>
      </c>
      <c r="M334" s="594">
        <f>IF(OR(I334="",L334=""),"",I334*L334)</f>
        <v>0</v>
      </c>
      <c r="N334" s="439"/>
      <c r="O334" s="673"/>
      <c r="P334" s="361"/>
      <c r="Q334" s="441"/>
      <c r="R334" s="485"/>
      <c r="S334" s="442"/>
      <c r="T334" s="441">
        <f t="shared" si="47"/>
        <v>0</v>
      </c>
      <c r="U334" s="485"/>
      <c r="V334" s="442"/>
      <c r="W334" s="441">
        <f t="shared" si="48"/>
        <v>0</v>
      </c>
      <c r="X334" s="485"/>
      <c r="Y334" s="442"/>
      <c r="Z334" s="441"/>
      <c r="AA334" s="485"/>
      <c r="AB334" s="442"/>
      <c r="AC334" s="672"/>
      <c r="AD334" s="441" t="s">
        <v>21</v>
      </c>
      <c r="AE334" s="674" t="s">
        <v>21</v>
      </c>
      <c r="AF334" s="674" t="s">
        <v>21</v>
      </c>
      <c r="AG334" s="674" t="s">
        <v>21</v>
      </c>
      <c r="AH334" s="442" t="s">
        <v>21</v>
      </c>
      <c r="AI334" s="442" t="str">
        <f t="shared" si="49"/>
        <v/>
      </c>
      <c r="AK334" s="3" t="e">
        <f>IF(F334="", " ", VLOOKUP(F334,#REF!, 1, FALSE))</f>
        <v>#REF!</v>
      </c>
    </row>
    <row r="335" spans="1:37" ht="24" hidden="1" x14ac:dyDescent="0.25">
      <c r="A335" s="587" t="s">
        <v>1882</v>
      </c>
      <c r="B335" s="369" t="s">
        <v>28</v>
      </c>
      <c r="C335" s="588"/>
      <c r="D335" s="589" t="s">
        <v>3169</v>
      </c>
      <c r="E335" s="44" t="s">
        <v>27</v>
      </c>
      <c r="F335" s="214">
        <v>100574</v>
      </c>
      <c r="G335" s="587" t="s">
        <v>563</v>
      </c>
      <c r="H335" s="590" t="s">
        <v>44</v>
      </c>
      <c r="I335" s="591">
        <f>IF($F335="","",IF('TRECHO(S) A IMPRIMIR'!$B$1= 1, SUM(Q335, T335, W335, Z335), IF('TRECHO(S) A IMPRIMIR'!$B$1= 2, T335, IF('TRECHO(S) A IMPRIMIR'!$B$1= 3, W335, 0))))</f>
        <v>0</v>
      </c>
      <c r="J335" s="592">
        <v>1.04</v>
      </c>
      <c r="K335" s="593">
        <f t="shared" si="41"/>
        <v>0.2033513845915047</v>
      </c>
      <c r="L335" s="592">
        <f t="shared" si="37"/>
        <v>1.2514854399751649</v>
      </c>
      <c r="M335" s="594">
        <f>IF(OR(I335="",L335=""),"",I335*L335)</f>
        <v>0</v>
      </c>
      <c r="O335" s="673"/>
      <c r="P335" s="361"/>
      <c r="Q335" s="441"/>
      <c r="R335" s="485"/>
      <c r="S335" s="442"/>
      <c r="T335" s="441">
        <f t="shared" si="47"/>
        <v>0</v>
      </c>
      <c r="U335" s="485"/>
      <c r="V335" s="442"/>
      <c r="W335" s="441">
        <f t="shared" si="48"/>
        <v>0</v>
      </c>
      <c r="X335" s="485"/>
      <c r="Y335" s="442"/>
      <c r="Z335" s="441"/>
      <c r="AA335" s="485"/>
      <c r="AB335" s="442"/>
      <c r="AC335" s="672"/>
      <c r="AD335" s="441" t="s">
        <v>21</v>
      </c>
      <c r="AE335" s="674" t="s">
        <v>21</v>
      </c>
      <c r="AF335" s="674" t="s">
        <v>21</v>
      </c>
      <c r="AG335" s="674" t="s">
        <v>21</v>
      </c>
      <c r="AH335" s="442" t="s">
        <v>21</v>
      </c>
      <c r="AI335" s="442" t="str">
        <f t="shared" si="49"/>
        <v/>
      </c>
      <c r="AK335" s="3" t="e">
        <f>IF(F335="", " ", VLOOKUP(F335,#REF!, 1, FALSE))</f>
        <v>#REF!</v>
      </c>
    </row>
    <row r="336" spans="1:37" x14ac:dyDescent="0.25">
      <c r="A336" s="587" t="s">
        <v>1883</v>
      </c>
      <c r="B336" s="369"/>
      <c r="C336" s="588"/>
      <c r="D336" s="589" t="s">
        <v>3170</v>
      </c>
      <c r="E336" s="44"/>
      <c r="F336" s="214"/>
      <c r="G336" s="587" t="s">
        <v>1883</v>
      </c>
      <c r="H336" s="590" t="s">
        <v>21</v>
      </c>
      <c r="I336" s="591" t="s">
        <v>21</v>
      </c>
      <c r="J336" s="592" t="s">
        <v>21</v>
      </c>
      <c r="K336" s="593" t="s">
        <v>21</v>
      </c>
      <c r="L336" s="592" t="s">
        <v>21</v>
      </c>
      <c r="M336" s="594">
        <v>84542.372810296205</v>
      </c>
      <c r="O336" s="673"/>
      <c r="P336" s="361"/>
      <c r="Q336" s="441"/>
      <c r="R336" s="485"/>
      <c r="S336" s="442"/>
      <c r="T336" s="441"/>
      <c r="U336" s="485"/>
      <c r="V336" s="442"/>
      <c r="W336" s="441"/>
      <c r="X336" s="485"/>
      <c r="Y336" s="442"/>
      <c r="Z336" s="441"/>
      <c r="AA336" s="485"/>
      <c r="AB336" s="442"/>
      <c r="AC336" s="672"/>
      <c r="AD336" s="441" t="s">
        <v>21</v>
      </c>
      <c r="AE336" s="674" t="s">
        <v>21</v>
      </c>
      <c r="AF336" s="674" t="s">
        <v>21</v>
      </c>
      <c r="AG336" s="674" t="s">
        <v>21</v>
      </c>
      <c r="AH336" s="442" t="s">
        <v>21</v>
      </c>
      <c r="AI336" s="442" t="str">
        <f t="shared" si="49"/>
        <v/>
      </c>
      <c r="AK336" s="3" t="str">
        <f>IF(F336="", " ", VLOOKUP(F336,#REF!, 1, FALSE))</f>
        <v xml:space="preserve"> </v>
      </c>
    </row>
    <row r="337" spans="1:37" s="294" customFormat="1" ht="36" x14ac:dyDescent="0.25">
      <c r="A337" s="595" t="s">
        <v>1869</v>
      </c>
      <c r="B337" s="586" t="s">
        <v>20</v>
      </c>
      <c r="C337" s="596"/>
      <c r="D337" s="589" t="s">
        <v>3171</v>
      </c>
      <c r="E337" s="44" t="s">
        <v>27</v>
      </c>
      <c r="F337" s="577">
        <v>101617</v>
      </c>
      <c r="G337" s="595" t="s">
        <v>1166</v>
      </c>
      <c r="H337" s="597" t="s">
        <v>51</v>
      </c>
      <c r="I337" s="598">
        <v>28.54</v>
      </c>
      <c r="J337" s="599">
        <v>2.61</v>
      </c>
      <c r="K337" s="600">
        <v>0.2033513845915047</v>
      </c>
      <c r="L337" s="599">
        <v>3.140747113783827</v>
      </c>
      <c r="M337" s="601">
        <v>89.636922627390419</v>
      </c>
      <c r="N337" s="293"/>
      <c r="O337" s="680"/>
      <c r="P337" s="362"/>
      <c r="Q337" s="578"/>
      <c r="R337" s="579"/>
      <c r="S337" s="580"/>
      <c r="T337" s="441">
        <v>0</v>
      </c>
      <c r="U337" s="485"/>
      <c r="V337" s="442"/>
      <c r="W337" s="441">
        <v>28.54</v>
      </c>
      <c r="X337" s="579"/>
      <c r="Y337" s="580"/>
      <c r="Z337" s="578"/>
      <c r="AA337" s="579"/>
      <c r="AB337" s="580"/>
      <c r="AC337" s="681"/>
      <c r="AD337" s="578">
        <v>64.566059210534092</v>
      </c>
      <c r="AE337" s="682">
        <v>25.070863416856326</v>
      </c>
      <c r="AF337" s="682">
        <v>0</v>
      </c>
      <c r="AG337" s="682">
        <v>0</v>
      </c>
      <c r="AH337" s="580">
        <v>0</v>
      </c>
      <c r="AI337" s="580">
        <v>0</v>
      </c>
      <c r="AK337" s="294" t="e">
        <f>IF(F337="", " ", VLOOKUP(F337,#REF!, 1, FALSE))</f>
        <v>#REF!</v>
      </c>
    </row>
    <row r="338" spans="1:37" ht="24" x14ac:dyDescent="0.25">
      <c r="A338" s="587" t="s">
        <v>1870</v>
      </c>
      <c r="B338" s="369" t="s">
        <v>28</v>
      </c>
      <c r="C338" s="588"/>
      <c r="D338" s="589" t="s">
        <v>3172</v>
      </c>
      <c r="E338" s="44" t="s">
        <v>27</v>
      </c>
      <c r="F338" s="214">
        <v>96616</v>
      </c>
      <c r="G338" s="587" t="s">
        <v>70</v>
      </c>
      <c r="H338" s="590" t="s">
        <v>44</v>
      </c>
      <c r="I338" s="591">
        <v>2.85</v>
      </c>
      <c r="J338" s="592">
        <v>547.38</v>
      </c>
      <c r="K338" s="593">
        <v>0.2033513845915047</v>
      </c>
      <c r="L338" s="592">
        <v>658.69048089769785</v>
      </c>
      <c r="M338" s="594">
        <v>1877.267870558439</v>
      </c>
      <c r="O338" s="673"/>
      <c r="P338" s="361"/>
      <c r="Q338" s="441"/>
      <c r="R338" s="485"/>
      <c r="S338" s="442"/>
      <c r="T338" s="441">
        <v>0</v>
      </c>
      <c r="U338" s="485"/>
      <c r="V338" s="442"/>
      <c r="W338" s="441">
        <v>2.85</v>
      </c>
      <c r="X338" s="485"/>
      <c r="Y338" s="442"/>
      <c r="Z338" s="441"/>
      <c r="AA338" s="485"/>
      <c r="AB338" s="442"/>
      <c r="AC338" s="672"/>
      <c r="AD338" s="441">
        <v>605.89885397997625</v>
      </c>
      <c r="AE338" s="674">
        <v>1258.3367210833367</v>
      </c>
      <c r="AF338" s="674">
        <v>8.7453561875187606</v>
      </c>
      <c r="AG338" s="674">
        <v>0</v>
      </c>
      <c r="AH338" s="442">
        <v>4.2869393076072351</v>
      </c>
      <c r="AI338" s="442">
        <v>0</v>
      </c>
      <c r="AK338" s="3" t="e">
        <f>IF(F338="", " ", VLOOKUP(F338,#REF!, 1, FALSE))</f>
        <v>#REF!</v>
      </c>
    </row>
    <row r="339" spans="1:37" ht="36" x14ac:dyDescent="0.25">
      <c r="A339" s="587" t="s">
        <v>1871</v>
      </c>
      <c r="B339" s="369" t="s">
        <v>20</v>
      </c>
      <c r="C339" s="588"/>
      <c r="D339" s="589" t="s">
        <v>3173</v>
      </c>
      <c r="E339" s="44" t="s">
        <v>27</v>
      </c>
      <c r="F339" s="214">
        <v>92263</v>
      </c>
      <c r="G339" s="587" t="s">
        <v>1159</v>
      </c>
      <c r="H339" s="590" t="s">
        <v>51</v>
      </c>
      <c r="I339" s="591">
        <v>121.46</v>
      </c>
      <c r="J339" s="592">
        <v>136.62</v>
      </c>
      <c r="K339" s="593">
        <v>0.2033513845915047</v>
      </c>
      <c r="L339" s="592">
        <v>164.40186616289137</v>
      </c>
      <c r="M339" s="594">
        <v>19968.250664144784</v>
      </c>
      <c r="O339" s="673"/>
      <c r="P339" s="361"/>
      <c r="Q339" s="441"/>
      <c r="R339" s="485"/>
      <c r="S339" s="442"/>
      <c r="T339" s="441">
        <v>0</v>
      </c>
      <c r="U339" s="485"/>
      <c r="V339" s="442"/>
      <c r="W339" s="441">
        <v>121.46</v>
      </c>
      <c r="X339" s="485"/>
      <c r="Y339" s="442"/>
      <c r="Z339" s="441"/>
      <c r="AA339" s="485"/>
      <c r="AB339" s="442"/>
      <c r="AC339" s="672"/>
      <c r="AD339" s="441">
        <v>4216.6888571261679</v>
      </c>
      <c r="AE339" s="674">
        <v>15732.561129326194</v>
      </c>
      <c r="AF339" s="674">
        <v>1.4615905917248415</v>
      </c>
      <c r="AG339" s="674">
        <v>0</v>
      </c>
      <c r="AH339" s="442">
        <v>17.539087100698097</v>
      </c>
      <c r="AI339" s="442">
        <v>0</v>
      </c>
      <c r="AK339" s="3" t="e">
        <f>IF(F339="", " ", VLOOKUP(F339,#REF!, 1, FALSE))</f>
        <v>#REF!</v>
      </c>
    </row>
    <row r="340" spans="1:37" ht="48" x14ac:dyDescent="0.25">
      <c r="A340" s="587" t="s">
        <v>1864</v>
      </c>
      <c r="B340" s="369" t="s">
        <v>39</v>
      </c>
      <c r="C340" s="588"/>
      <c r="D340" s="589" t="s">
        <v>3174</v>
      </c>
      <c r="E340" s="44" t="s">
        <v>27</v>
      </c>
      <c r="F340" s="214">
        <v>92916</v>
      </c>
      <c r="G340" s="587" t="s">
        <v>507</v>
      </c>
      <c r="H340" s="590" t="s">
        <v>54</v>
      </c>
      <c r="I340" s="591">
        <v>663</v>
      </c>
      <c r="J340" s="592">
        <v>16.38</v>
      </c>
      <c r="K340" s="593">
        <v>0.2033513845915047</v>
      </c>
      <c r="L340" s="592">
        <v>19.710895679608846</v>
      </c>
      <c r="M340" s="594">
        <v>13068.323835580664</v>
      </c>
      <c r="O340" s="673"/>
      <c r="P340" s="361"/>
      <c r="Q340" s="441"/>
      <c r="R340" s="485"/>
      <c r="S340" s="442"/>
      <c r="T340" s="441">
        <v>0</v>
      </c>
      <c r="U340" s="485"/>
      <c r="V340" s="442"/>
      <c r="W340" s="441">
        <v>663</v>
      </c>
      <c r="X340" s="485"/>
      <c r="Y340" s="442"/>
      <c r="Z340" s="441"/>
      <c r="AA340" s="485"/>
      <c r="AB340" s="442"/>
      <c r="AC340" s="672"/>
      <c r="AD340" s="441">
        <v>2728.5511305058535</v>
      </c>
      <c r="AE340" s="674">
        <v>10339.772705074814</v>
      </c>
      <c r="AF340" s="674">
        <v>0</v>
      </c>
      <c r="AG340" s="674">
        <v>0</v>
      </c>
      <c r="AH340" s="442">
        <v>0</v>
      </c>
      <c r="AI340" s="442">
        <v>-3.637978807091713E-12</v>
      </c>
      <c r="AK340" s="3" t="e">
        <f>IF(F340="", " ", VLOOKUP(F340,#REF!, 1, FALSE))</f>
        <v>#REF!</v>
      </c>
    </row>
    <row r="341" spans="1:37" ht="48" x14ac:dyDescent="0.25">
      <c r="A341" s="587" t="s">
        <v>1864</v>
      </c>
      <c r="B341" s="369" t="s">
        <v>39</v>
      </c>
      <c r="C341" s="588"/>
      <c r="D341" s="589" t="s">
        <v>3174</v>
      </c>
      <c r="E341" s="44" t="s">
        <v>27</v>
      </c>
      <c r="F341" s="214">
        <v>92917</v>
      </c>
      <c r="G341" s="587" t="s">
        <v>508</v>
      </c>
      <c r="H341" s="590" t="s">
        <v>54</v>
      </c>
      <c r="I341" s="591">
        <v>1547</v>
      </c>
      <c r="J341" s="592">
        <v>15.38</v>
      </c>
      <c r="K341" s="593">
        <v>0.2033513845915047</v>
      </c>
      <c r="L341" s="592">
        <v>18.507544295017343</v>
      </c>
      <c r="M341" s="594">
        <v>28631.171024391831</v>
      </c>
      <c r="O341" s="673"/>
      <c r="P341" s="361"/>
      <c r="Q341" s="441"/>
      <c r="R341" s="485"/>
      <c r="S341" s="442"/>
      <c r="T341" s="441">
        <v>0</v>
      </c>
      <c r="U341" s="485"/>
      <c r="V341" s="442"/>
      <c r="W341" s="441">
        <v>1547</v>
      </c>
      <c r="X341" s="485"/>
      <c r="Y341" s="442"/>
      <c r="Z341" s="441"/>
      <c r="AA341" s="485"/>
      <c r="AB341" s="442"/>
      <c r="AC341" s="672"/>
      <c r="AD341" s="441">
        <v>4393.3396370328155</v>
      </c>
      <c r="AE341" s="674">
        <v>24237.831387359012</v>
      </c>
      <c r="AF341" s="674">
        <v>0</v>
      </c>
      <c r="AG341" s="674">
        <v>0</v>
      </c>
      <c r="AH341" s="442">
        <v>0</v>
      </c>
      <c r="AI341" s="442">
        <v>3.637978807091713E-12</v>
      </c>
      <c r="AK341" s="3" t="e">
        <f>IF(F341="", " ", VLOOKUP(F341,#REF!, 1, FALSE))</f>
        <v>#REF!</v>
      </c>
    </row>
    <row r="342" spans="1:37" ht="48" hidden="1" x14ac:dyDescent="0.25">
      <c r="A342" s="587" t="s">
        <v>1864</v>
      </c>
      <c r="B342" s="369" t="s">
        <v>39</v>
      </c>
      <c r="C342" s="588"/>
      <c r="D342" s="589" t="s">
        <v>3174</v>
      </c>
      <c r="E342" s="44" t="s">
        <v>27</v>
      </c>
      <c r="F342" s="214">
        <v>92919</v>
      </c>
      <c r="G342" s="587" t="s">
        <v>502</v>
      </c>
      <c r="H342" s="590" t="s">
        <v>54</v>
      </c>
      <c r="I342" s="591">
        <f>IF($F342="","",IF('TRECHO(S) A IMPRIMIR'!$B$1= 1, SUM(Q342, T342, W342, Z342), IF('TRECHO(S) A IMPRIMIR'!$B$1= 2, T342, IF('TRECHO(S) A IMPRIMIR'!$B$1= 3, W342, 0))))</f>
        <v>0</v>
      </c>
      <c r="J342" s="592">
        <v>13.76</v>
      </c>
      <c r="K342" s="593">
        <f t="shared" si="41"/>
        <v>0.2033513845915047</v>
      </c>
      <c r="L342" s="592">
        <f t="shared" si="37"/>
        <v>16.558115051979104</v>
      </c>
      <c r="M342" s="594">
        <f t="shared" ref="M341:M346" si="51">IF(OR(I342="",L342=""),"",I342*L342)</f>
        <v>0</v>
      </c>
      <c r="O342" s="673"/>
      <c r="P342" s="361"/>
      <c r="Q342" s="441"/>
      <c r="R342" s="485"/>
      <c r="S342" s="442"/>
      <c r="T342" s="441">
        <f>(T347 * 0) * T$318</f>
        <v>0</v>
      </c>
      <c r="U342" s="485"/>
      <c r="V342" s="442"/>
      <c r="W342" s="441">
        <f>(W347 * 0) * W$318</f>
        <v>0</v>
      </c>
      <c r="X342" s="485"/>
      <c r="Y342" s="442"/>
      <c r="Z342" s="441"/>
      <c r="AA342" s="485"/>
      <c r="AB342" s="442"/>
      <c r="AC342" s="672"/>
      <c r="AD342" s="441" t="s">
        <v>21</v>
      </c>
      <c r="AE342" s="674" t="s">
        <v>21</v>
      </c>
      <c r="AF342" s="674" t="s">
        <v>21</v>
      </c>
      <c r="AG342" s="674" t="s">
        <v>21</v>
      </c>
      <c r="AH342" s="442" t="s">
        <v>21</v>
      </c>
      <c r="AI342" s="442" t="str">
        <f t="shared" si="49"/>
        <v/>
      </c>
      <c r="AK342" s="3" t="e">
        <f>IF(F342="", " ", VLOOKUP(F342,#REF!, 1, FALSE))</f>
        <v>#REF!</v>
      </c>
    </row>
    <row r="343" spans="1:37" ht="48" hidden="1" x14ac:dyDescent="0.25">
      <c r="A343" s="587" t="s">
        <v>1864</v>
      </c>
      <c r="B343" s="369" t="s">
        <v>39</v>
      </c>
      <c r="C343" s="588"/>
      <c r="D343" s="589" t="s">
        <v>3174</v>
      </c>
      <c r="E343" s="44" t="s">
        <v>27</v>
      </c>
      <c r="F343" s="214">
        <v>92921</v>
      </c>
      <c r="G343" s="587" t="s">
        <v>503</v>
      </c>
      <c r="H343" s="590" t="s">
        <v>54</v>
      </c>
      <c r="I343" s="591">
        <f>IF($F343="","",IF('TRECHO(S) A IMPRIMIR'!$B$1= 1, SUM(Q343, T343, W343, Z343), IF('TRECHO(S) A IMPRIMIR'!$B$1= 2, T343, IF('TRECHO(S) A IMPRIMIR'!$B$1= 3, W343, 0))))</f>
        <v>0</v>
      </c>
      <c r="J343" s="592">
        <v>11.58</v>
      </c>
      <c r="K343" s="593">
        <f t="shared" si="41"/>
        <v>0.2033513845915047</v>
      </c>
      <c r="L343" s="592">
        <f t="shared" si="37"/>
        <v>13.934809033569625</v>
      </c>
      <c r="M343" s="594">
        <f t="shared" si="51"/>
        <v>0</v>
      </c>
      <c r="O343" s="673"/>
      <c r="P343" s="361"/>
      <c r="Q343" s="441"/>
      <c r="R343" s="485"/>
      <c r="S343" s="442"/>
      <c r="T343" s="441">
        <f>(T347 * 0) * T$318</f>
        <v>0</v>
      </c>
      <c r="U343" s="485"/>
      <c r="V343" s="442"/>
      <c r="W343" s="441">
        <f>(W347 * 0) * W$318</f>
        <v>0</v>
      </c>
      <c r="X343" s="485"/>
      <c r="Y343" s="442"/>
      <c r="Z343" s="441"/>
      <c r="AA343" s="485"/>
      <c r="AB343" s="442"/>
      <c r="AC343" s="672"/>
      <c r="AD343" s="441" t="s">
        <v>21</v>
      </c>
      <c r="AE343" s="674" t="s">
        <v>21</v>
      </c>
      <c r="AF343" s="674" t="s">
        <v>21</v>
      </c>
      <c r="AG343" s="674" t="s">
        <v>21</v>
      </c>
      <c r="AH343" s="442" t="s">
        <v>21</v>
      </c>
      <c r="AI343" s="442" t="str">
        <f t="shared" si="49"/>
        <v/>
      </c>
      <c r="AK343" s="3" t="e">
        <f>IF(F343="", " ", VLOOKUP(F343,#REF!, 1, FALSE))</f>
        <v>#REF!</v>
      </c>
    </row>
    <row r="344" spans="1:37" ht="48" hidden="1" x14ac:dyDescent="0.25">
      <c r="A344" s="587" t="s">
        <v>1864</v>
      </c>
      <c r="B344" s="369" t="s">
        <v>39</v>
      </c>
      <c r="C344" s="588"/>
      <c r="D344" s="589" t="s">
        <v>3174</v>
      </c>
      <c r="E344" s="44" t="s">
        <v>27</v>
      </c>
      <c r="F344" s="214">
        <v>92922</v>
      </c>
      <c r="G344" s="587" t="s">
        <v>504</v>
      </c>
      <c r="H344" s="590" t="s">
        <v>54</v>
      </c>
      <c r="I344" s="591">
        <f>IF($F344="","",IF('TRECHO(S) A IMPRIMIR'!$B$1= 1, SUM(Q344, T344, W344, Z344), IF('TRECHO(S) A IMPRIMIR'!$B$1= 2, T344, IF('TRECHO(S) A IMPRIMIR'!$B$1= 3, W344, 0))))</f>
        <v>0</v>
      </c>
      <c r="J344" s="592">
        <v>11</v>
      </c>
      <c r="K344" s="593">
        <f t="shared" si="41"/>
        <v>0.2033513845915047</v>
      </c>
      <c r="L344" s="592">
        <f t="shared" si="37"/>
        <v>13.236865230506552</v>
      </c>
      <c r="M344" s="594">
        <f t="shared" si="51"/>
        <v>0</v>
      </c>
      <c r="O344" s="673"/>
      <c r="P344" s="361"/>
      <c r="Q344" s="441"/>
      <c r="R344" s="485"/>
      <c r="S344" s="442"/>
      <c r="T344" s="441">
        <f>(T347 * 0) * T$318</f>
        <v>0</v>
      </c>
      <c r="U344" s="485"/>
      <c r="V344" s="442"/>
      <c r="W344" s="441">
        <f>(W347 * 0) * W$318</f>
        <v>0</v>
      </c>
      <c r="X344" s="485"/>
      <c r="Y344" s="442"/>
      <c r="Z344" s="441"/>
      <c r="AA344" s="485"/>
      <c r="AB344" s="442"/>
      <c r="AC344" s="672"/>
      <c r="AD344" s="441" t="s">
        <v>21</v>
      </c>
      <c r="AE344" s="674" t="s">
        <v>21</v>
      </c>
      <c r="AF344" s="674" t="s">
        <v>21</v>
      </c>
      <c r="AG344" s="674" t="s">
        <v>21</v>
      </c>
      <c r="AH344" s="442" t="s">
        <v>21</v>
      </c>
      <c r="AI344" s="442" t="str">
        <f t="shared" si="49"/>
        <v/>
      </c>
      <c r="AK344" s="3" t="e">
        <f>IF(F344="", " ", VLOOKUP(F344,#REF!, 1, FALSE))</f>
        <v>#REF!</v>
      </c>
    </row>
    <row r="345" spans="1:37" ht="48" hidden="1" x14ac:dyDescent="0.25">
      <c r="A345" s="587" t="s">
        <v>1864</v>
      </c>
      <c r="B345" s="369" t="s">
        <v>39</v>
      </c>
      <c r="C345" s="588"/>
      <c r="D345" s="589" t="s">
        <v>3174</v>
      </c>
      <c r="E345" s="44" t="s">
        <v>27</v>
      </c>
      <c r="F345" s="214">
        <v>92923</v>
      </c>
      <c r="G345" s="587" t="s">
        <v>505</v>
      </c>
      <c r="H345" s="590" t="s">
        <v>54</v>
      </c>
      <c r="I345" s="591">
        <f>IF($F345="","",IF('TRECHO(S) A IMPRIMIR'!$B$1= 1, SUM(Q345, T345, W345, Z345), IF('TRECHO(S) A IMPRIMIR'!$B$1= 2, T345, IF('TRECHO(S) A IMPRIMIR'!$B$1= 3, W345, 0))))</f>
        <v>0</v>
      </c>
      <c r="J345" s="592">
        <v>12.32</v>
      </c>
      <c r="K345" s="593">
        <f t="shared" si="41"/>
        <v>0.2033513845915047</v>
      </c>
      <c r="L345" s="592">
        <f t="shared" si="37"/>
        <v>14.825289058167339</v>
      </c>
      <c r="M345" s="594">
        <f t="shared" si="51"/>
        <v>0</v>
      </c>
      <c r="O345" s="673"/>
      <c r="P345" s="361"/>
      <c r="Q345" s="441"/>
      <c r="R345" s="485"/>
      <c r="S345" s="442"/>
      <c r="T345" s="441">
        <f>(T347 * 0) * T$318</f>
        <v>0</v>
      </c>
      <c r="U345" s="485"/>
      <c r="V345" s="442"/>
      <c r="W345" s="441">
        <f>(W347 * 0) * W$318</f>
        <v>0</v>
      </c>
      <c r="X345" s="485"/>
      <c r="Y345" s="442"/>
      <c r="Z345" s="441"/>
      <c r="AA345" s="485"/>
      <c r="AB345" s="442"/>
      <c r="AC345" s="672"/>
      <c r="AD345" s="441" t="s">
        <v>21</v>
      </c>
      <c r="AE345" s="674" t="s">
        <v>21</v>
      </c>
      <c r="AF345" s="674" t="s">
        <v>21</v>
      </c>
      <c r="AG345" s="674" t="s">
        <v>21</v>
      </c>
      <c r="AH345" s="442" t="s">
        <v>21</v>
      </c>
      <c r="AI345" s="442" t="str">
        <f t="shared" si="49"/>
        <v/>
      </c>
      <c r="AK345" s="3" t="e">
        <f>IF(F345="", " ", VLOOKUP(F345,#REF!, 1, FALSE))</f>
        <v>#REF!</v>
      </c>
    </row>
    <row r="346" spans="1:37" ht="48" hidden="1" x14ac:dyDescent="0.25">
      <c r="A346" s="587" t="s">
        <v>1864</v>
      </c>
      <c r="B346" s="369" t="s">
        <v>39</v>
      </c>
      <c r="C346" s="588"/>
      <c r="D346" s="589" t="s">
        <v>3174</v>
      </c>
      <c r="E346" s="44" t="s">
        <v>27</v>
      </c>
      <c r="F346" s="214">
        <v>92924</v>
      </c>
      <c r="G346" s="587" t="s">
        <v>506</v>
      </c>
      <c r="H346" s="590" t="s">
        <v>54</v>
      </c>
      <c r="I346" s="591">
        <f>IF($F346="","",IF('TRECHO(S) A IMPRIMIR'!$B$1= 1, SUM(Q346, T346, W346, Z346), IF('TRECHO(S) A IMPRIMIR'!$B$1= 2, T346, IF('TRECHO(S) A IMPRIMIR'!$B$1= 3, W346, 0))))</f>
        <v>0</v>
      </c>
      <c r="J346" s="592">
        <v>12.01</v>
      </c>
      <c r="K346" s="593">
        <f t="shared" si="41"/>
        <v>0.2033513845915047</v>
      </c>
      <c r="L346" s="592">
        <f t="shared" si="37"/>
        <v>14.452250128943971</v>
      </c>
      <c r="M346" s="594">
        <f t="shared" si="51"/>
        <v>0</v>
      </c>
      <c r="O346" s="673"/>
      <c r="P346" s="361"/>
      <c r="Q346" s="441"/>
      <c r="R346" s="485"/>
      <c r="S346" s="442"/>
      <c r="T346" s="441">
        <f>(T347 * 0) * T$318</f>
        <v>0</v>
      </c>
      <c r="U346" s="485"/>
      <c r="V346" s="442"/>
      <c r="W346" s="441">
        <f>(W347 * 0) * W$318</f>
        <v>0</v>
      </c>
      <c r="X346" s="485"/>
      <c r="Y346" s="442"/>
      <c r="Z346" s="441"/>
      <c r="AA346" s="485"/>
      <c r="AB346" s="442"/>
      <c r="AC346" s="672"/>
      <c r="AD346" s="441" t="s">
        <v>21</v>
      </c>
      <c r="AE346" s="674" t="s">
        <v>21</v>
      </c>
      <c r="AF346" s="674" t="s">
        <v>21</v>
      </c>
      <c r="AG346" s="674" t="s">
        <v>21</v>
      </c>
      <c r="AH346" s="442" t="s">
        <v>21</v>
      </c>
      <c r="AI346" s="442" t="str">
        <f t="shared" si="49"/>
        <v/>
      </c>
      <c r="AK346" s="3" t="e">
        <f>IF(F346="", " ", VLOOKUP(F346,#REF!, 1, FALSE))</f>
        <v>#REF!</v>
      </c>
    </row>
    <row r="347" spans="1:37" ht="36" x14ac:dyDescent="0.25">
      <c r="A347" s="587" t="s">
        <v>1865</v>
      </c>
      <c r="B347" s="369" t="s">
        <v>28</v>
      </c>
      <c r="C347" s="588"/>
      <c r="D347" s="589" t="s">
        <v>3175</v>
      </c>
      <c r="E347" s="44" t="s">
        <v>27</v>
      </c>
      <c r="F347" s="214">
        <v>97095</v>
      </c>
      <c r="G347" s="587" t="s">
        <v>68</v>
      </c>
      <c r="H347" s="590" t="s">
        <v>44</v>
      </c>
      <c r="I347" s="591">
        <v>44.2</v>
      </c>
      <c r="J347" s="592">
        <v>393.09</v>
      </c>
      <c r="K347" s="593">
        <v>0.2033513845915047</v>
      </c>
      <c r="L347" s="592">
        <v>473.02539576907458</v>
      </c>
      <c r="M347" s="594">
        <v>20907.722492993096</v>
      </c>
      <c r="O347" s="673"/>
      <c r="P347" s="361"/>
      <c r="Q347" s="441"/>
      <c r="R347" s="485"/>
      <c r="S347" s="442"/>
      <c r="T347" s="441">
        <v>22.1</v>
      </c>
      <c r="U347" s="485"/>
      <c r="V347" s="442"/>
      <c r="W347" s="441">
        <v>22.1</v>
      </c>
      <c r="X347" s="485"/>
      <c r="Y347" s="442"/>
      <c r="Z347" s="441"/>
      <c r="AA347" s="485"/>
      <c r="AB347" s="442"/>
      <c r="AC347" s="672"/>
      <c r="AD347" s="441">
        <v>689.85006165031041</v>
      </c>
      <c r="AE347" s="674">
        <v>20213.085499534882</v>
      </c>
      <c r="AF347" s="674">
        <v>2.6594065599472261</v>
      </c>
      <c r="AG347" s="674">
        <v>0</v>
      </c>
      <c r="AH347" s="442">
        <v>2.1275252479577804</v>
      </c>
      <c r="AI347" s="442">
        <v>0</v>
      </c>
      <c r="AK347" s="3" t="e">
        <f>IF(F347="", " ", VLOOKUP(F347,#REF!, 1, FALSE))</f>
        <v>#REF!</v>
      </c>
    </row>
    <row r="348" spans="1:37" ht="24" x14ac:dyDescent="0.25">
      <c r="A348" s="587" t="s">
        <v>1884</v>
      </c>
      <c r="B348" s="369"/>
      <c r="C348" s="588"/>
      <c r="D348" s="589" t="s">
        <v>3176</v>
      </c>
      <c r="E348" s="44"/>
      <c r="F348" s="214"/>
      <c r="G348" s="587" t="s">
        <v>1884</v>
      </c>
      <c r="H348" s="590" t="s">
        <v>21</v>
      </c>
      <c r="I348" s="591" t="s">
        <v>21</v>
      </c>
      <c r="J348" s="592" t="s">
        <v>21</v>
      </c>
      <c r="K348" s="593" t="s">
        <v>21</v>
      </c>
      <c r="L348" s="592" t="s">
        <v>21</v>
      </c>
      <c r="M348" s="594">
        <v>22909.640311297368</v>
      </c>
      <c r="O348" s="673"/>
      <c r="P348" s="361"/>
      <c r="Q348" s="441"/>
      <c r="R348" s="485"/>
      <c r="S348" s="442"/>
      <c r="T348" s="441"/>
      <c r="U348" s="485"/>
      <c r="V348" s="442"/>
      <c r="W348" s="441"/>
      <c r="X348" s="485"/>
      <c r="Y348" s="442"/>
      <c r="Z348" s="441"/>
      <c r="AA348" s="485"/>
      <c r="AB348" s="442"/>
      <c r="AC348" s="672"/>
      <c r="AD348" s="441" t="s">
        <v>21</v>
      </c>
      <c r="AE348" s="674" t="s">
        <v>21</v>
      </c>
      <c r="AF348" s="674" t="s">
        <v>21</v>
      </c>
      <c r="AG348" s="674" t="s">
        <v>21</v>
      </c>
      <c r="AH348" s="442" t="s">
        <v>21</v>
      </c>
      <c r="AI348" s="442" t="s">
        <v>21</v>
      </c>
      <c r="AK348" s="3" t="str">
        <f>IF(F348="", " ", VLOOKUP(F348,#REF!, 1, FALSE))</f>
        <v xml:space="preserve"> </v>
      </c>
    </row>
    <row r="349" spans="1:37" x14ac:dyDescent="0.25">
      <c r="A349" s="587" t="s">
        <v>1873</v>
      </c>
      <c r="B349" s="369" t="s">
        <v>20</v>
      </c>
      <c r="C349" s="588"/>
      <c r="D349" s="589" t="s">
        <v>3177</v>
      </c>
      <c r="E349" s="44" t="s">
        <v>27</v>
      </c>
      <c r="F349" s="214" t="s">
        <v>568</v>
      </c>
      <c r="G349" s="587" t="s">
        <v>74</v>
      </c>
      <c r="H349" s="590" t="s">
        <v>51</v>
      </c>
      <c r="I349" s="591">
        <v>51.302399999999999</v>
      </c>
      <c r="J349" s="592">
        <v>6.44</v>
      </c>
      <c r="K349" s="593">
        <v>0.2033513845915047</v>
      </c>
      <c r="L349" s="592">
        <v>7.7495829167692909</v>
      </c>
      <c r="M349" s="594">
        <v>397.57220262926484</v>
      </c>
      <c r="O349" s="673"/>
      <c r="P349" s="361"/>
      <c r="Q349" s="441"/>
      <c r="R349" s="485"/>
      <c r="S349" s="442"/>
      <c r="T349" s="441">
        <v>0</v>
      </c>
      <c r="U349" s="485"/>
      <c r="V349" s="442"/>
      <c r="W349" s="441">
        <v>51.302399999999999</v>
      </c>
      <c r="X349" s="485"/>
      <c r="Y349" s="442"/>
      <c r="Z349" s="441"/>
      <c r="AA349" s="485"/>
      <c r="AB349" s="442"/>
      <c r="AC349" s="672"/>
      <c r="AD349" s="441">
        <v>13.581659096030787</v>
      </c>
      <c r="AE349" s="674">
        <v>383.99054353323402</v>
      </c>
      <c r="AF349" s="674">
        <v>0</v>
      </c>
      <c r="AG349" s="674">
        <v>0</v>
      </c>
      <c r="AH349" s="442">
        <v>0</v>
      </c>
      <c r="AI349" s="442">
        <v>5.6843418860808015E-14</v>
      </c>
      <c r="AK349" s="3" t="e">
        <f>IF(F349="", " ", VLOOKUP(F349,#REF!, 1, FALSE))</f>
        <v>#REF!</v>
      </c>
    </row>
    <row r="350" spans="1:37" ht="48" x14ac:dyDescent="0.25">
      <c r="A350" s="587" t="s">
        <v>1874</v>
      </c>
      <c r="B350" s="369" t="s">
        <v>28</v>
      </c>
      <c r="C350" s="588"/>
      <c r="D350" s="589" t="s">
        <v>3178</v>
      </c>
      <c r="E350" s="44" t="s">
        <v>27</v>
      </c>
      <c r="F350" s="214">
        <v>92749</v>
      </c>
      <c r="G350" s="587" t="s">
        <v>608</v>
      </c>
      <c r="H350" s="590" t="s">
        <v>44</v>
      </c>
      <c r="I350" s="591">
        <v>13.61</v>
      </c>
      <c r="J350" s="592">
        <v>808.67</v>
      </c>
      <c r="K350" s="593">
        <v>0.2033513845915047</v>
      </c>
      <c r="L350" s="592">
        <v>973.11416417761211</v>
      </c>
      <c r="M350" s="594">
        <v>13244.0837744573</v>
      </c>
      <c r="O350" s="673"/>
      <c r="P350" s="361"/>
      <c r="Q350" s="441"/>
      <c r="R350" s="485">
        <v>1.65</v>
      </c>
      <c r="S350" s="442"/>
      <c r="T350" s="441">
        <v>0</v>
      </c>
      <c r="U350" s="485">
        <v>1.65</v>
      </c>
      <c r="V350" s="442"/>
      <c r="W350" s="441">
        <v>13.61</v>
      </c>
      <c r="X350" s="485">
        <v>1.65</v>
      </c>
      <c r="Y350" s="442"/>
      <c r="Z350" s="441"/>
      <c r="AA350" s="485">
        <v>1.65</v>
      </c>
      <c r="AB350" s="442"/>
      <c r="AC350" s="672"/>
      <c r="AD350" s="441">
        <v>1480.8637081707359</v>
      </c>
      <c r="AE350" s="674">
        <v>11162.161693251106</v>
      </c>
      <c r="AF350" s="674">
        <v>601.05837303545695</v>
      </c>
      <c r="AG350" s="674">
        <v>0</v>
      </c>
      <c r="AH350" s="442">
        <v>0</v>
      </c>
      <c r="AI350" s="442">
        <v>0</v>
      </c>
      <c r="AK350" s="3" t="e">
        <f>IF(F350="", " ", VLOOKUP(F350,#REF!, 1, FALSE))</f>
        <v>#REF!</v>
      </c>
    </row>
    <row r="351" spans="1:37" ht="48" x14ac:dyDescent="0.25">
      <c r="A351" s="587" t="s">
        <v>1394</v>
      </c>
      <c r="B351" s="369" t="s">
        <v>20</v>
      </c>
      <c r="C351" s="588"/>
      <c r="D351" s="589" t="s">
        <v>3179</v>
      </c>
      <c r="E351" s="44" t="s">
        <v>27</v>
      </c>
      <c r="F351" s="214">
        <v>92757</v>
      </c>
      <c r="G351" s="587" t="s">
        <v>73</v>
      </c>
      <c r="H351" s="590" t="s">
        <v>51</v>
      </c>
      <c r="I351" s="591">
        <v>23.58</v>
      </c>
      <c r="J351" s="592">
        <v>267.85000000000002</v>
      </c>
      <c r="K351" s="593">
        <v>0.2033513845915047</v>
      </c>
      <c r="L351" s="592">
        <v>322.31766836283458</v>
      </c>
      <c r="M351" s="594">
        <v>7600.2506199956388</v>
      </c>
      <c r="N351" s="439"/>
      <c r="O351" s="673"/>
      <c r="P351" s="361"/>
      <c r="Q351" s="441"/>
      <c r="R351" s="794">
        <v>0.3795</v>
      </c>
      <c r="S351" s="442"/>
      <c r="T351" s="441">
        <v>0</v>
      </c>
      <c r="U351" s="794">
        <v>0.3795</v>
      </c>
      <c r="V351" s="442"/>
      <c r="W351" s="441">
        <v>23.58</v>
      </c>
      <c r="X351" s="794">
        <v>0.3795</v>
      </c>
      <c r="Y351" s="442"/>
      <c r="Z351" s="441"/>
      <c r="AA351" s="794">
        <v>0.3795</v>
      </c>
      <c r="AB351" s="442"/>
      <c r="AC351" s="672"/>
      <c r="AD351" s="441">
        <v>1201.6823362210762</v>
      </c>
      <c r="AE351" s="674">
        <v>5894.9115785107106</v>
      </c>
      <c r="AF351" s="674">
        <v>503.65670526385128</v>
      </c>
      <c r="AG351" s="674">
        <v>0</v>
      </c>
      <c r="AH351" s="442">
        <v>0</v>
      </c>
      <c r="AI351" s="442">
        <v>9.0949470177292824E-13</v>
      </c>
      <c r="AK351" s="3" t="e">
        <f>IF(F351="", " ", VLOOKUP(F351,#REF!, 1, FALSE))</f>
        <v>#REF!</v>
      </c>
    </row>
    <row r="352" spans="1:37" ht="36" x14ac:dyDescent="0.25">
      <c r="A352" s="587" t="s">
        <v>2911</v>
      </c>
      <c r="B352" s="369" t="s">
        <v>25</v>
      </c>
      <c r="C352" s="588"/>
      <c r="D352" s="589" t="s">
        <v>3791</v>
      </c>
      <c r="E352" s="44" t="s">
        <v>27</v>
      </c>
      <c r="F352" s="214">
        <v>95879</v>
      </c>
      <c r="G352" s="587" t="s">
        <v>789</v>
      </c>
      <c r="H352" s="590" t="s">
        <v>42</v>
      </c>
      <c r="I352" s="591">
        <v>942.15329999999994</v>
      </c>
      <c r="J352" s="592">
        <v>1.04</v>
      </c>
      <c r="K352" s="593">
        <v>0.2033513845915047</v>
      </c>
      <c r="L352" s="592">
        <v>1.2514854399751649</v>
      </c>
      <c r="M352" s="594">
        <v>1179.0911371745535</v>
      </c>
      <c r="N352" s="439"/>
      <c r="O352" s="673"/>
      <c r="P352" s="361"/>
      <c r="Q352" s="441">
        <v>0</v>
      </c>
      <c r="R352" s="485"/>
      <c r="S352" s="442">
        <v>0</v>
      </c>
      <c r="T352" s="441">
        <v>0</v>
      </c>
      <c r="U352" s="485"/>
      <c r="V352" s="442">
        <v>30</v>
      </c>
      <c r="W352" s="578">
        <v>942.15329999999994</v>
      </c>
      <c r="X352" s="485"/>
      <c r="Y352" s="442">
        <v>30</v>
      </c>
      <c r="Z352" s="441">
        <v>0</v>
      </c>
      <c r="AA352" s="485"/>
      <c r="AB352" s="442">
        <v>0</v>
      </c>
      <c r="AC352" s="672"/>
      <c r="AD352" s="441">
        <v>79.361903463671879</v>
      </c>
      <c r="AE352" s="674">
        <v>680.2448868314732</v>
      </c>
      <c r="AF352" s="674">
        <v>419.48434687940846</v>
      </c>
      <c r="AG352" s="674">
        <v>0</v>
      </c>
      <c r="AH352" s="442">
        <v>0</v>
      </c>
      <c r="AI352" s="442">
        <v>0</v>
      </c>
      <c r="AK352" s="3" t="e">
        <f>IF(F352="", " ", VLOOKUP(F352,#REF!, 1, FALSE))</f>
        <v>#REF!</v>
      </c>
    </row>
    <row r="353" spans="1:37" ht="36" x14ac:dyDescent="0.25">
      <c r="A353" s="587" t="s">
        <v>2912</v>
      </c>
      <c r="B353" s="369" t="s">
        <v>25</v>
      </c>
      <c r="C353" s="588"/>
      <c r="D353" s="589" t="s">
        <v>3792</v>
      </c>
      <c r="E353" s="44" t="s">
        <v>27</v>
      </c>
      <c r="F353" s="214">
        <v>93599</v>
      </c>
      <c r="G353" s="587" t="s">
        <v>788</v>
      </c>
      <c r="H353" s="590" t="s">
        <v>42</v>
      </c>
      <c r="I353" s="591">
        <v>847.93796999999995</v>
      </c>
      <c r="J353" s="592">
        <v>0.41</v>
      </c>
      <c r="K353" s="593">
        <v>0.2033513845915047</v>
      </c>
      <c r="L353" s="592">
        <v>0.4933740676825169</v>
      </c>
      <c r="M353" s="594">
        <v>418.35060540135595</v>
      </c>
      <c r="N353" s="439"/>
      <c r="O353" s="673"/>
      <c r="P353" s="361"/>
      <c r="Q353" s="441">
        <v>0</v>
      </c>
      <c r="R353" s="485"/>
      <c r="S353" s="442">
        <v>0</v>
      </c>
      <c r="T353" s="441">
        <v>0</v>
      </c>
      <c r="U353" s="485"/>
      <c r="V353" s="442">
        <v>27</v>
      </c>
      <c r="W353" s="578">
        <v>847.93796999999995</v>
      </c>
      <c r="X353" s="485"/>
      <c r="Y353" s="442">
        <v>27</v>
      </c>
      <c r="Z353" s="441">
        <v>0</v>
      </c>
      <c r="AA353" s="485"/>
      <c r="AB353" s="442">
        <v>0</v>
      </c>
      <c r="AC353" s="672"/>
      <c r="AD353" s="441">
        <v>20.407346604944195</v>
      </c>
      <c r="AE353" s="674">
        <v>255.09183256180242</v>
      </c>
      <c r="AF353" s="674">
        <v>142.85142623460939</v>
      </c>
      <c r="AG353" s="674">
        <v>0</v>
      </c>
      <c r="AH353" s="442">
        <v>0</v>
      </c>
      <c r="AI353" s="442">
        <v>-5.6843418860808015E-14</v>
      </c>
      <c r="AK353" s="3" t="e">
        <f>IF(F353="", " ", VLOOKUP(F353,#REF!, 1, FALSE))</f>
        <v>#REF!</v>
      </c>
    </row>
    <row r="354" spans="1:37" ht="36" x14ac:dyDescent="0.25">
      <c r="A354" s="587" t="s">
        <v>2913</v>
      </c>
      <c r="B354" s="369" t="s">
        <v>25</v>
      </c>
      <c r="C354" s="588"/>
      <c r="D354" s="589" t="s">
        <v>3793</v>
      </c>
      <c r="E354" s="44" t="s">
        <v>27</v>
      </c>
      <c r="F354" s="214">
        <v>100943</v>
      </c>
      <c r="G354" s="587" t="s">
        <v>786</v>
      </c>
      <c r="H354" s="590" t="s">
        <v>42</v>
      </c>
      <c r="I354" s="591">
        <v>18.843065999999997</v>
      </c>
      <c r="J354" s="592">
        <v>3.1</v>
      </c>
      <c r="K354" s="593">
        <v>0.2033513845915047</v>
      </c>
      <c r="L354" s="592">
        <v>3.7303892922336646</v>
      </c>
      <c r="M354" s="594">
        <v>70.29197163925221</v>
      </c>
      <c r="N354" s="439"/>
      <c r="O354" s="673"/>
      <c r="P354" s="361"/>
      <c r="Q354" s="441">
        <v>0</v>
      </c>
      <c r="R354" s="485"/>
      <c r="S354" s="442">
        <v>0</v>
      </c>
      <c r="T354" s="441">
        <v>0</v>
      </c>
      <c r="U354" s="485"/>
      <c r="V354" s="442">
        <v>1</v>
      </c>
      <c r="W354" s="578">
        <v>18.843065999999997</v>
      </c>
      <c r="X354" s="485"/>
      <c r="Y354" s="442">
        <v>0.6</v>
      </c>
      <c r="Z354" s="441">
        <v>0</v>
      </c>
      <c r="AA354" s="485"/>
      <c r="AB354" s="442">
        <v>0</v>
      </c>
      <c r="AC354" s="672"/>
      <c r="AD354" s="441">
        <v>4.988462503430803</v>
      </c>
      <c r="AE354" s="674">
        <v>39.227455140614943</v>
      </c>
      <c r="AF354" s="674">
        <v>26.076053995206465</v>
      </c>
      <c r="AG354" s="674">
        <v>0</v>
      </c>
      <c r="AH354" s="442">
        <v>0</v>
      </c>
      <c r="AI354" s="442">
        <v>0</v>
      </c>
      <c r="AK354" s="3" t="e">
        <f>IF(F354="", " ", VLOOKUP(F354,#REF!, 1, FALSE))</f>
        <v>#REF!</v>
      </c>
    </row>
    <row r="355" spans="1:37" x14ac:dyDescent="0.25">
      <c r="A355" s="587"/>
      <c r="B355" s="369"/>
      <c r="C355" s="588"/>
      <c r="D355" s="589"/>
      <c r="E355" s="44"/>
      <c r="F355" s="214"/>
      <c r="G355" s="587" t="s">
        <v>21</v>
      </c>
      <c r="H355" s="590" t="s">
        <v>21</v>
      </c>
      <c r="I355" s="591" t="s">
        <v>21</v>
      </c>
      <c r="J355" s="592" t="s">
        <v>21</v>
      </c>
      <c r="K355" s="593" t="s">
        <v>21</v>
      </c>
      <c r="L355" s="592" t="s">
        <v>21</v>
      </c>
      <c r="M355" s="594" t="s">
        <v>21</v>
      </c>
      <c r="N355" s="439"/>
      <c r="O355" s="673"/>
      <c r="P355" s="361"/>
      <c r="Q355" s="441"/>
      <c r="R355" s="485"/>
      <c r="S355" s="442"/>
      <c r="T355" s="441"/>
      <c r="U355" s="485"/>
      <c r="V355" s="442"/>
      <c r="W355" s="578"/>
      <c r="X355" s="485"/>
      <c r="Y355" s="442"/>
      <c r="Z355" s="441"/>
      <c r="AA355" s="485"/>
      <c r="AB355" s="442"/>
      <c r="AC355" s="672"/>
      <c r="AD355" s="441" t="s">
        <v>21</v>
      </c>
      <c r="AE355" s="674" t="s">
        <v>21</v>
      </c>
      <c r="AF355" s="674" t="s">
        <v>21</v>
      </c>
      <c r="AG355" s="674" t="s">
        <v>21</v>
      </c>
      <c r="AH355" s="442" t="s">
        <v>21</v>
      </c>
      <c r="AI355" s="442" t="s">
        <v>21</v>
      </c>
      <c r="AK355" s="3" t="str">
        <f>IF(F355="", " ", VLOOKUP(F355,#REF!, 1, FALSE))</f>
        <v xml:space="preserve"> </v>
      </c>
    </row>
    <row r="356" spans="1:37" x14ac:dyDescent="0.25">
      <c r="A356" s="587" t="s">
        <v>3474</v>
      </c>
      <c r="B356" s="369"/>
      <c r="C356" s="588"/>
      <c r="D356" s="589" t="s">
        <v>3765</v>
      </c>
      <c r="E356" s="44"/>
      <c r="F356" s="214"/>
      <c r="G356" s="587" t="s">
        <v>3474</v>
      </c>
      <c r="H356" s="590" t="s">
        <v>21</v>
      </c>
      <c r="I356" s="591" t="s">
        <v>21</v>
      </c>
      <c r="J356" s="592" t="s">
        <v>21</v>
      </c>
      <c r="K356" s="593" t="s">
        <v>21</v>
      </c>
      <c r="L356" s="592" t="s">
        <v>21</v>
      </c>
      <c r="M356" s="594">
        <v>1217128.4360226674</v>
      </c>
      <c r="O356" s="673"/>
      <c r="P356" s="361"/>
      <c r="Q356" s="441"/>
      <c r="R356" s="485"/>
      <c r="S356" s="442"/>
      <c r="T356" s="441">
        <v>11</v>
      </c>
      <c r="U356" s="485"/>
      <c r="V356" s="442"/>
      <c r="W356" s="578">
        <v>2</v>
      </c>
      <c r="X356" s="485"/>
      <c r="Y356" s="442"/>
      <c r="Z356" s="441"/>
      <c r="AA356" s="485"/>
      <c r="AB356" s="442"/>
      <c r="AC356" s="672"/>
      <c r="AD356" s="441" t="s">
        <v>21</v>
      </c>
      <c r="AE356" s="674" t="s">
        <v>21</v>
      </c>
      <c r="AF356" s="674" t="s">
        <v>21</v>
      </c>
      <c r="AG356" s="674" t="s">
        <v>21</v>
      </c>
      <c r="AH356" s="442" t="s">
        <v>21</v>
      </c>
      <c r="AI356" s="442" t="s">
        <v>21</v>
      </c>
      <c r="AK356" s="3" t="str">
        <f>IF(F356="", " ", VLOOKUP(F356,#REF!, 1, FALSE))</f>
        <v xml:space="preserve"> </v>
      </c>
    </row>
    <row r="357" spans="1:37" s="294" customFormat="1" x14ac:dyDescent="0.25">
      <c r="A357" s="595" t="s">
        <v>1875</v>
      </c>
      <c r="B357" s="586"/>
      <c r="C357" s="596"/>
      <c r="D357" s="589" t="s">
        <v>3766</v>
      </c>
      <c r="E357" s="292"/>
      <c r="F357" s="577"/>
      <c r="G357" s="595" t="s">
        <v>1875</v>
      </c>
      <c r="H357" s="597" t="s">
        <v>21</v>
      </c>
      <c r="I357" s="598" t="s">
        <v>21</v>
      </c>
      <c r="J357" s="599" t="s">
        <v>21</v>
      </c>
      <c r="K357" s="600" t="s">
        <v>21</v>
      </c>
      <c r="L357" s="599" t="s">
        <v>21</v>
      </c>
      <c r="M357" s="601">
        <v>68704.595208636601</v>
      </c>
      <c r="N357" s="293"/>
      <c r="O357" s="680"/>
      <c r="P357" s="362"/>
      <c r="Q357" s="578"/>
      <c r="R357" s="579"/>
      <c r="S357" s="580"/>
      <c r="T357" s="578"/>
      <c r="U357" s="579"/>
      <c r="V357" s="580"/>
      <c r="W357" s="578"/>
      <c r="X357" s="579"/>
      <c r="Y357" s="580"/>
      <c r="Z357" s="578"/>
      <c r="AA357" s="579"/>
      <c r="AB357" s="580"/>
      <c r="AC357" s="681"/>
      <c r="AD357" s="578" t="s">
        <v>21</v>
      </c>
      <c r="AE357" s="682" t="s">
        <v>21</v>
      </c>
      <c r="AF357" s="682" t="s">
        <v>21</v>
      </c>
      <c r="AG357" s="682" t="s">
        <v>21</v>
      </c>
      <c r="AH357" s="580" t="s">
        <v>21</v>
      </c>
      <c r="AI357" s="580" t="str">
        <f t="shared" si="46"/>
        <v/>
      </c>
      <c r="AK357" s="294" t="str">
        <f>IF(F357="", " ", VLOOKUP(F357,#REF!, 1, FALSE))</f>
        <v xml:space="preserve"> </v>
      </c>
    </row>
    <row r="358" spans="1:37" ht="36" x14ac:dyDescent="0.25">
      <c r="A358" s="587" t="s">
        <v>1876</v>
      </c>
      <c r="B358" s="369" t="s">
        <v>26</v>
      </c>
      <c r="C358" s="588"/>
      <c r="D358" s="589" t="s">
        <v>3767</v>
      </c>
      <c r="E358" s="44" t="s">
        <v>27</v>
      </c>
      <c r="F358" s="214">
        <v>100930</v>
      </c>
      <c r="G358" s="587" t="s">
        <v>3656</v>
      </c>
      <c r="H358" s="590" t="s">
        <v>22</v>
      </c>
      <c r="I358" s="591">
        <v>162.5</v>
      </c>
      <c r="J358" s="592">
        <v>351.35</v>
      </c>
      <c r="K358" s="593">
        <v>0.2033513845915047</v>
      </c>
      <c r="L358" s="592">
        <v>422.79750897622523</v>
      </c>
      <c r="M358" s="594">
        <v>68704.595208636601</v>
      </c>
      <c r="O358" s="673"/>
      <c r="P358" s="361"/>
      <c r="Q358" s="441"/>
      <c r="R358" s="485"/>
      <c r="S358" s="442"/>
      <c r="T358" s="441">
        <v>137.5</v>
      </c>
      <c r="U358" s="485"/>
      <c r="V358" s="442"/>
      <c r="W358" s="441">
        <v>25</v>
      </c>
      <c r="X358" s="485"/>
      <c r="Y358" s="442"/>
      <c r="Z358" s="441"/>
      <c r="AA358" s="485"/>
      <c r="AB358" s="442"/>
      <c r="AC358" s="672"/>
      <c r="AD358" s="441">
        <v>10068.591453800194</v>
      </c>
      <c r="AE358" s="674">
        <v>52765.754862952883</v>
      </c>
      <c r="AF358" s="674">
        <v>5694.2587518870005</v>
      </c>
      <c r="AG358" s="674">
        <v>0</v>
      </c>
      <c r="AH358" s="442">
        <v>175.99013999650757</v>
      </c>
      <c r="AI358" s="442">
        <v>1.4551915228366852E-11</v>
      </c>
      <c r="AK358" s="3" t="e">
        <f>IF(F358="", " ", VLOOKUP(F358,#REF!, 1, FALSE))</f>
        <v>#REF!</v>
      </c>
    </row>
    <row r="359" spans="1:37" x14ac:dyDescent="0.25">
      <c r="A359" s="587" t="s">
        <v>1877</v>
      </c>
      <c r="B359" s="369"/>
      <c r="C359" s="588"/>
      <c r="D359" s="589" t="s">
        <v>3768</v>
      </c>
      <c r="E359" s="44"/>
      <c r="F359" s="214"/>
      <c r="G359" s="587" t="s">
        <v>1877</v>
      </c>
      <c r="H359" s="590" t="s">
        <v>21</v>
      </c>
      <c r="I359" s="591" t="s">
        <v>21</v>
      </c>
      <c r="J359" s="592" t="s">
        <v>21</v>
      </c>
      <c r="K359" s="593" t="s">
        <v>21</v>
      </c>
      <c r="L359" s="592" t="s">
        <v>21</v>
      </c>
      <c r="M359" s="594">
        <v>0</v>
      </c>
      <c r="O359" s="673"/>
      <c r="P359" s="361"/>
      <c r="Q359" s="441"/>
      <c r="R359" s="485"/>
      <c r="S359" s="442"/>
      <c r="T359" s="441"/>
      <c r="U359" s="485"/>
      <c r="V359" s="442"/>
      <c r="W359" s="441"/>
      <c r="X359" s="485"/>
      <c r="Y359" s="442"/>
      <c r="Z359" s="441"/>
      <c r="AA359" s="485"/>
      <c r="AB359" s="442"/>
      <c r="AC359" s="672"/>
      <c r="AD359" s="441" t="s">
        <v>21</v>
      </c>
      <c r="AE359" s="674" t="s">
        <v>21</v>
      </c>
      <c r="AF359" s="674" t="s">
        <v>21</v>
      </c>
      <c r="AG359" s="674" t="s">
        <v>21</v>
      </c>
      <c r="AH359" s="442" t="s">
        <v>21</v>
      </c>
      <c r="AI359" s="442" t="s">
        <v>21</v>
      </c>
      <c r="AK359" s="3" t="str">
        <f>IF(F359="", " ", VLOOKUP(F359,#REF!, 1, FALSE))</f>
        <v xml:space="preserve"> </v>
      </c>
    </row>
    <row r="360" spans="1:37" ht="24" hidden="1" x14ac:dyDescent="0.25">
      <c r="A360" s="587" t="s">
        <v>1861</v>
      </c>
      <c r="B360" s="369" t="s">
        <v>28</v>
      </c>
      <c r="C360" s="588"/>
      <c r="D360" s="589" t="s">
        <v>3769</v>
      </c>
      <c r="E360" s="44" t="s">
        <v>27</v>
      </c>
      <c r="F360" s="214">
        <v>93358</v>
      </c>
      <c r="G360" s="587" t="s">
        <v>1293</v>
      </c>
      <c r="H360" s="590" t="s">
        <v>44</v>
      </c>
      <c r="I360" s="591">
        <f>IF($F360="","",IF('TRECHO(S) A IMPRIMIR'!$B$1= 1, SUM(Q360, T360, W360, Z360), IF('TRECHO(S) A IMPRIMIR'!$B$1= 2, T360, IF('TRECHO(S) A IMPRIMIR'!$B$1= 3, W360, 0))))</f>
        <v>0</v>
      </c>
      <c r="J360" s="592">
        <v>69.66</v>
      </c>
      <c r="K360" s="593">
        <f t="shared" ref="K349:K412" si="52">IF(AND(F360&lt;&gt;"", J360&lt;&gt;""),
  IF(OR(F360= "CP9001", F360= "CP9091", F360= "CP9092"), 0,
  IF(ISNA(VLOOKUP(F360, $M$626:$M$646, 1, FALSE)), $M$4, $M$5)), "")</f>
        <v>0.2033513845915047</v>
      </c>
      <c r="L360" s="592">
        <f t="shared" ref="L356:L364" si="53">IF(J360="","",
  IF(AND(J360&lt;&gt;"",K360=""),J360,J360 * (1 + K360)))</f>
        <v>83.825457450644208</v>
      </c>
      <c r="M360" s="594">
        <f>IF(OR(I360="",L360=""),"",I360*L360)</f>
        <v>0</v>
      </c>
      <c r="O360" s="673"/>
      <c r="P360" s="361"/>
      <c r="Q360" s="441"/>
      <c r="R360" s="485"/>
      <c r="S360" s="442"/>
      <c r="T360" s="441">
        <f t="shared" ref="T360:T373" si="54">0 * T$356</f>
        <v>0</v>
      </c>
      <c r="U360" s="485"/>
      <c r="V360" s="442"/>
      <c r="W360" s="441">
        <f t="shared" ref="W360:W373" si="55">0 * W$356</f>
        <v>0</v>
      </c>
      <c r="X360" s="485"/>
      <c r="Y360" s="442"/>
      <c r="Z360" s="441"/>
      <c r="AA360" s="485"/>
      <c r="AB360" s="442"/>
      <c r="AC360" s="672"/>
      <c r="AD360" s="441" t="s">
        <v>21</v>
      </c>
      <c r="AE360" s="674" t="s">
        <v>21</v>
      </c>
      <c r="AF360" s="674" t="s">
        <v>21</v>
      </c>
      <c r="AG360" s="674" t="s">
        <v>21</v>
      </c>
      <c r="AH360" s="442" t="s">
        <v>21</v>
      </c>
      <c r="AI360" s="442" t="str">
        <f t="shared" si="46"/>
        <v/>
      </c>
      <c r="AK360" s="3" t="e">
        <f>IF(F360="", " ", VLOOKUP(F360,#REF!, 1, FALSE))</f>
        <v>#REF!</v>
      </c>
    </row>
    <row r="361" spans="1:37" ht="36" hidden="1" x14ac:dyDescent="0.25">
      <c r="A361" s="587" t="s">
        <v>1878</v>
      </c>
      <c r="B361" s="369" t="s">
        <v>20</v>
      </c>
      <c r="C361" s="588"/>
      <c r="D361" s="589" t="s">
        <v>3770</v>
      </c>
      <c r="E361" s="44" t="s">
        <v>27</v>
      </c>
      <c r="F361" s="214">
        <v>101617</v>
      </c>
      <c r="G361" s="587" t="s">
        <v>1166</v>
      </c>
      <c r="H361" s="590" t="s">
        <v>51</v>
      </c>
      <c r="I361" s="591">
        <f>IF($F361="","",IF('TRECHO(S) A IMPRIMIR'!$B$1= 1, SUM(Q361, T361, W361, Z361), IF('TRECHO(S) A IMPRIMIR'!$B$1= 2, T361, IF('TRECHO(S) A IMPRIMIR'!$B$1= 3, W361, 0))))</f>
        <v>0</v>
      </c>
      <c r="J361" s="592">
        <v>2.61</v>
      </c>
      <c r="K361" s="593">
        <f t="shared" si="52"/>
        <v>0.2033513845915047</v>
      </c>
      <c r="L361" s="592">
        <f t="shared" si="53"/>
        <v>3.140747113783827</v>
      </c>
      <c r="M361" s="594">
        <f>IF(OR(I361="",L361=""),"",I361*L361)</f>
        <v>0</v>
      </c>
      <c r="O361" s="673"/>
      <c r="P361" s="361"/>
      <c r="Q361" s="441"/>
      <c r="R361" s="485"/>
      <c r="S361" s="442"/>
      <c r="T361" s="441">
        <f t="shared" si="54"/>
        <v>0</v>
      </c>
      <c r="U361" s="485"/>
      <c r="V361" s="442"/>
      <c r="W361" s="441">
        <f t="shared" si="55"/>
        <v>0</v>
      </c>
      <c r="X361" s="485"/>
      <c r="Y361" s="442"/>
      <c r="Z361" s="441"/>
      <c r="AA361" s="485"/>
      <c r="AB361" s="442"/>
      <c r="AC361" s="672"/>
      <c r="AD361" s="441" t="s">
        <v>21</v>
      </c>
      <c r="AE361" s="674" t="s">
        <v>21</v>
      </c>
      <c r="AF361" s="674" t="s">
        <v>21</v>
      </c>
      <c r="AG361" s="674" t="s">
        <v>21</v>
      </c>
      <c r="AH361" s="442" t="s">
        <v>21</v>
      </c>
      <c r="AI361" s="442" t="str">
        <f t="shared" si="46"/>
        <v/>
      </c>
      <c r="AK361" s="3" t="e">
        <f>IF(F361="", " ", VLOOKUP(F361,#REF!, 1, FALSE))</f>
        <v>#REF!</v>
      </c>
    </row>
    <row r="362" spans="1:37" ht="24" hidden="1" x14ac:dyDescent="0.25">
      <c r="A362" s="587" t="s">
        <v>1870</v>
      </c>
      <c r="B362" s="369" t="s">
        <v>28</v>
      </c>
      <c r="C362" s="588"/>
      <c r="D362" s="589" t="s">
        <v>3771</v>
      </c>
      <c r="E362" s="44" t="s">
        <v>27</v>
      </c>
      <c r="F362" s="214">
        <v>96616</v>
      </c>
      <c r="G362" s="587" t="s">
        <v>70</v>
      </c>
      <c r="H362" s="590" t="s">
        <v>44</v>
      </c>
      <c r="I362" s="591">
        <f>IF($F362="","",IF('TRECHO(S) A IMPRIMIR'!$B$1= 1, SUM(Q362, T362, W362, Z362), IF('TRECHO(S) A IMPRIMIR'!$B$1= 2, T362, IF('TRECHO(S) A IMPRIMIR'!$B$1= 3, W362, 0))))</f>
        <v>0</v>
      </c>
      <c r="J362" s="592">
        <v>547.38</v>
      </c>
      <c r="K362" s="593">
        <f t="shared" si="52"/>
        <v>0.2033513845915047</v>
      </c>
      <c r="L362" s="592">
        <f t="shared" si="53"/>
        <v>658.69048089769785</v>
      </c>
      <c r="M362" s="594">
        <f>IF(OR(I362="",L362=""),"",I362*L362)</f>
        <v>0</v>
      </c>
      <c r="O362" s="673"/>
      <c r="P362" s="361"/>
      <c r="Q362" s="441"/>
      <c r="R362" s="485"/>
      <c r="S362" s="442"/>
      <c r="T362" s="441">
        <f t="shared" si="54"/>
        <v>0</v>
      </c>
      <c r="U362" s="485"/>
      <c r="V362" s="442"/>
      <c r="W362" s="441">
        <f t="shared" si="55"/>
        <v>0</v>
      </c>
      <c r="X362" s="485"/>
      <c r="Y362" s="442"/>
      <c r="Z362" s="441"/>
      <c r="AA362" s="485"/>
      <c r="AB362" s="442"/>
      <c r="AC362" s="672"/>
      <c r="AD362" s="441" t="s">
        <v>21</v>
      </c>
      <c r="AE362" s="674" t="s">
        <v>21</v>
      </c>
      <c r="AF362" s="674" t="s">
        <v>21</v>
      </c>
      <c r="AG362" s="674" t="s">
        <v>21</v>
      </c>
      <c r="AH362" s="442" t="s">
        <v>21</v>
      </c>
      <c r="AI362" s="442" t="str">
        <f t="shared" si="46"/>
        <v/>
      </c>
      <c r="AK362" s="3" t="e">
        <f>IF(F362="", " ", VLOOKUP(F362,#REF!, 1, FALSE))</f>
        <v>#REF!</v>
      </c>
    </row>
    <row r="363" spans="1:37" ht="36" hidden="1" x14ac:dyDescent="0.25">
      <c r="A363" s="587" t="s">
        <v>1879</v>
      </c>
      <c r="B363" s="369" t="s">
        <v>20</v>
      </c>
      <c r="C363" s="588"/>
      <c r="D363" s="589" t="s">
        <v>3772</v>
      </c>
      <c r="E363" s="44" t="s">
        <v>27</v>
      </c>
      <c r="F363" s="214">
        <v>96536</v>
      </c>
      <c r="G363" s="587" t="s">
        <v>67</v>
      </c>
      <c r="H363" s="590" t="s">
        <v>51</v>
      </c>
      <c r="I363" s="591">
        <f>IF($F363="","",IF('TRECHO(S) A IMPRIMIR'!$B$1= 1, SUM(Q363, T363, W363, Z363), IF('TRECHO(S) A IMPRIMIR'!$B$1= 2, T363, IF('TRECHO(S) A IMPRIMIR'!$B$1= 3, W363, 0))))</f>
        <v>0</v>
      </c>
      <c r="J363" s="592">
        <v>68.62</v>
      </c>
      <c r="K363" s="593">
        <f t="shared" si="52"/>
        <v>0.2033513845915047</v>
      </c>
      <c r="L363" s="592">
        <f t="shared" si="53"/>
        <v>82.573972010669053</v>
      </c>
      <c r="M363" s="594">
        <f>IF(OR(I363="",L363=""),"",I363*L363)</f>
        <v>0</v>
      </c>
      <c r="O363" s="673"/>
      <c r="P363" s="361"/>
      <c r="Q363" s="441"/>
      <c r="R363" s="485"/>
      <c r="S363" s="442"/>
      <c r="T363" s="441">
        <f t="shared" si="54"/>
        <v>0</v>
      </c>
      <c r="U363" s="485"/>
      <c r="V363" s="442"/>
      <c r="W363" s="441">
        <f t="shared" si="55"/>
        <v>0</v>
      </c>
      <c r="X363" s="485"/>
      <c r="Y363" s="442"/>
      <c r="Z363" s="441"/>
      <c r="AA363" s="485"/>
      <c r="AB363" s="442"/>
      <c r="AC363" s="672"/>
      <c r="AD363" s="441" t="s">
        <v>21</v>
      </c>
      <c r="AE363" s="674" t="s">
        <v>21</v>
      </c>
      <c r="AF363" s="674" t="s">
        <v>21</v>
      </c>
      <c r="AG363" s="674" t="s">
        <v>21</v>
      </c>
      <c r="AH363" s="442" t="s">
        <v>21</v>
      </c>
      <c r="AI363" s="442" t="str">
        <f t="shared" si="46"/>
        <v/>
      </c>
      <c r="AK363" s="3" t="e">
        <f>IF(F363="", " ", VLOOKUP(F363,#REF!, 1, FALSE))</f>
        <v>#REF!</v>
      </c>
    </row>
    <row r="364" spans="1:37" ht="48" hidden="1" x14ac:dyDescent="0.25">
      <c r="A364" s="587" t="s">
        <v>1864</v>
      </c>
      <c r="B364" s="369" t="s">
        <v>1880</v>
      </c>
      <c r="C364" s="588"/>
      <c r="D364" s="589" t="s">
        <v>3773</v>
      </c>
      <c r="E364" s="44" t="s">
        <v>27</v>
      </c>
      <c r="F364" s="214">
        <v>92916</v>
      </c>
      <c r="G364" s="587" t="s">
        <v>507</v>
      </c>
      <c r="H364" s="590" t="s">
        <v>54</v>
      </c>
      <c r="I364" s="591">
        <f>IF($F364="","",IF('TRECHO(S) A IMPRIMIR'!$B$1= 1, SUM(Q364, T364, W364, Z364), IF('TRECHO(S) A IMPRIMIR'!$B$1= 2, T364, IF('TRECHO(S) A IMPRIMIR'!$B$1= 3, W364, 0))))</f>
        <v>0</v>
      </c>
      <c r="J364" s="592">
        <v>16.38</v>
      </c>
      <c r="K364" s="593">
        <f t="shared" si="52"/>
        <v>0.2033513845915047</v>
      </c>
      <c r="L364" s="592">
        <f t="shared" si="53"/>
        <v>19.710895679608846</v>
      </c>
      <c r="M364" s="594">
        <f>IF(OR(I364="",L364=""),"",I364*L364)</f>
        <v>0</v>
      </c>
      <c r="O364" s="673"/>
      <c r="P364" s="361"/>
      <c r="Q364" s="441"/>
      <c r="R364" s="485"/>
      <c r="S364" s="442"/>
      <c r="T364" s="441">
        <f t="shared" si="54"/>
        <v>0</v>
      </c>
      <c r="U364" s="485"/>
      <c r="V364" s="442"/>
      <c r="W364" s="441">
        <f t="shared" si="55"/>
        <v>0</v>
      </c>
      <c r="X364" s="485"/>
      <c r="Y364" s="442"/>
      <c r="Z364" s="441"/>
      <c r="AA364" s="485"/>
      <c r="AB364" s="442"/>
      <c r="AC364" s="672"/>
      <c r="AD364" s="441" t="s">
        <v>21</v>
      </c>
      <c r="AE364" s="674" t="s">
        <v>21</v>
      </c>
      <c r="AF364" s="674" t="s">
        <v>21</v>
      </c>
      <c r="AG364" s="674" t="s">
        <v>21</v>
      </c>
      <c r="AH364" s="442" t="s">
        <v>21</v>
      </c>
      <c r="AI364" s="442" t="str">
        <f t="shared" si="46"/>
        <v/>
      </c>
      <c r="AK364" s="3" t="e">
        <f>IF(F364="", " ", VLOOKUP(F364,#REF!, 1, FALSE))</f>
        <v>#REF!</v>
      </c>
    </row>
    <row r="365" spans="1:37" ht="48" hidden="1" x14ac:dyDescent="0.25">
      <c r="A365" s="587" t="s">
        <v>1864</v>
      </c>
      <c r="B365" s="369" t="s">
        <v>1880</v>
      </c>
      <c r="C365" s="588"/>
      <c r="D365" s="589" t="s">
        <v>3773</v>
      </c>
      <c r="E365" s="44" t="s">
        <v>27</v>
      </c>
      <c r="F365" s="214">
        <v>92917</v>
      </c>
      <c r="G365" s="587" t="s">
        <v>508</v>
      </c>
      <c r="H365" s="590" t="s">
        <v>54</v>
      </c>
      <c r="I365" s="591">
        <f>IF($F365="","",IF('TRECHO(S) A IMPRIMIR'!$B$1= 1, SUM(Q365, T365, W365, Z365), IF('TRECHO(S) A IMPRIMIR'!$B$1= 2, T365, IF('TRECHO(S) A IMPRIMIR'!$B$1= 3, W365, 0))))</f>
        <v>0</v>
      </c>
      <c r="J365" s="592">
        <v>15.38</v>
      </c>
      <c r="K365" s="593">
        <f t="shared" si="52"/>
        <v>0.2033513845915047</v>
      </c>
      <c r="L365" s="592">
        <f t="shared" ref="L365:L370" si="56">IF(J365="","",
  IF(AND(J365&lt;&gt;"",K365=""),J365,J365 * (1 + K365)))</f>
        <v>18.507544295017343</v>
      </c>
      <c r="M365" s="594">
        <f t="shared" ref="M365:M370" si="57">IF(OR(I365="",L365=""),"",I365*L365)</f>
        <v>0</v>
      </c>
      <c r="O365" s="673"/>
      <c r="P365" s="361"/>
      <c r="Q365" s="441"/>
      <c r="R365" s="485"/>
      <c r="S365" s="442"/>
      <c r="T365" s="441">
        <f t="shared" si="54"/>
        <v>0</v>
      </c>
      <c r="U365" s="485"/>
      <c r="V365" s="442"/>
      <c r="W365" s="441">
        <f t="shared" si="55"/>
        <v>0</v>
      </c>
      <c r="X365" s="485"/>
      <c r="Y365" s="442"/>
      <c r="Z365" s="441"/>
      <c r="AA365" s="485"/>
      <c r="AB365" s="442"/>
      <c r="AC365" s="672"/>
      <c r="AD365" s="441" t="s">
        <v>21</v>
      </c>
      <c r="AE365" s="674" t="s">
        <v>21</v>
      </c>
      <c r="AF365" s="674" t="s">
        <v>21</v>
      </c>
      <c r="AG365" s="674" t="s">
        <v>21</v>
      </c>
      <c r="AH365" s="442" t="s">
        <v>21</v>
      </c>
      <c r="AI365" s="442" t="str">
        <f t="shared" si="46"/>
        <v/>
      </c>
      <c r="AK365" s="3" t="e">
        <f>IF(F365="", " ", VLOOKUP(F365,#REF!, 1, FALSE))</f>
        <v>#REF!</v>
      </c>
    </row>
    <row r="366" spans="1:37" ht="48" hidden="1" x14ac:dyDescent="0.25">
      <c r="A366" s="587" t="s">
        <v>1864</v>
      </c>
      <c r="B366" s="369" t="s">
        <v>1880</v>
      </c>
      <c r="C366" s="588"/>
      <c r="D366" s="589" t="s">
        <v>3773</v>
      </c>
      <c r="E366" s="44" t="s">
        <v>27</v>
      </c>
      <c r="F366" s="214">
        <v>92919</v>
      </c>
      <c r="G366" s="587" t="s">
        <v>502</v>
      </c>
      <c r="H366" s="590" t="s">
        <v>54</v>
      </c>
      <c r="I366" s="591">
        <f>IF($F366="","",IF('TRECHO(S) A IMPRIMIR'!$B$1= 1, SUM(Q366, T366, W366, Z366), IF('TRECHO(S) A IMPRIMIR'!$B$1= 2, T366, IF('TRECHO(S) A IMPRIMIR'!$B$1= 3, W366, 0))))</f>
        <v>0</v>
      </c>
      <c r="J366" s="592">
        <v>13.76</v>
      </c>
      <c r="K366" s="593">
        <f t="shared" si="52"/>
        <v>0.2033513845915047</v>
      </c>
      <c r="L366" s="592">
        <f t="shared" si="56"/>
        <v>16.558115051979104</v>
      </c>
      <c r="M366" s="594">
        <f t="shared" si="57"/>
        <v>0</v>
      </c>
      <c r="O366" s="673"/>
      <c r="P366" s="361"/>
      <c r="Q366" s="441"/>
      <c r="R366" s="485"/>
      <c r="S366" s="442"/>
      <c r="T366" s="441">
        <f t="shared" si="54"/>
        <v>0</v>
      </c>
      <c r="U366" s="485"/>
      <c r="V366" s="442"/>
      <c r="W366" s="441">
        <f t="shared" si="55"/>
        <v>0</v>
      </c>
      <c r="X366" s="485"/>
      <c r="Y366" s="442"/>
      <c r="Z366" s="441"/>
      <c r="AA366" s="485"/>
      <c r="AB366" s="442"/>
      <c r="AC366" s="672"/>
      <c r="AD366" s="441" t="s">
        <v>21</v>
      </c>
      <c r="AE366" s="674" t="s">
        <v>21</v>
      </c>
      <c r="AF366" s="674" t="s">
        <v>21</v>
      </c>
      <c r="AG366" s="674" t="s">
        <v>21</v>
      </c>
      <c r="AH366" s="442" t="s">
        <v>21</v>
      </c>
      <c r="AI366" s="442" t="str">
        <f t="shared" si="46"/>
        <v/>
      </c>
      <c r="AK366" s="3" t="e">
        <f>IF(F366="", " ", VLOOKUP(F366,#REF!, 1, FALSE))</f>
        <v>#REF!</v>
      </c>
    </row>
    <row r="367" spans="1:37" ht="48" hidden="1" x14ac:dyDescent="0.25">
      <c r="A367" s="587" t="s">
        <v>1864</v>
      </c>
      <c r="B367" s="369" t="s">
        <v>1880</v>
      </c>
      <c r="C367" s="588"/>
      <c r="D367" s="589" t="s">
        <v>3773</v>
      </c>
      <c r="E367" s="44" t="s">
        <v>27</v>
      </c>
      <c r="F367" s="214">
        <v>92921</v>
      </c>
      <c r="G367" s="587" t="s">
        <v>503</v>
      </c>
      <c r="H367" s="590" t="s">
        <v>54</v>
      </c>
      <c r="I367" s="591">
        <f>IF($F367="","",IF('TRECHO(S) A IMPRIMIR'!$B$1= 1, SUM(Q367, T367, W367, Z367), IF('TRECHO(S) A IMPRIMIR'!$B$1= 2, T367, IF('TRECHO(S) A IMPRIMIR'!$B$1= 3, W367, 0))))</f>
        <v>0</v>
      </c>
      <c r="J367" s="592">
        <v>11.58</v>
      </c>
      <c r="K367" s="593">
        <f t="shared" si="52"/>
        <v>0.2033513845915047</v>
      </c>
      <c r="L367" s="592">
        <f t="shared" si="56"/>
        <v>13.934809033569625</v>
      </c>
      <c r="M367" s="594">
        <f t="shared" si="57"/>
        <v>0</v>
      </c>
      <c r="O367" s="673"/>
      <c r="P367" s="361"/>
      <c r="Q367" s="441"/>
      <c r="R367" s="485"/>
      <c r="S367" s="442"/>
      <c r="T367" s="441">
        <f t="shared" si="54"/>
        <v>0</v>
      </c>
      <c r="U367" s="485"/>
      <c r="V367" s="442"/>
      <c r="W367" s="441">
        <f t="shared" si="55"/>
        <v>0</v>
      </c>
      <c r="X367" s="485"/>
      <c r="Y367" s="442"/>
      <c r="Z367" s="441"/>
      <c r="AA367" s="485"/>
      <c r="AB367" s="442"/>
      <c r="AC367" s="672"/>
      <c r="AD367" s="441" t="s">
        <v>21</v>
      </c>
      <c r="AE367" s="674" t="s">
        <v>21</v>
      </c>
      <c r="AF367" s="674" t="s">
        <v>21</v>
      </c>
      <c r="AG367" s="674" t="s">
        <v>21</v>
      </c>
      <c r="AH367" s="442" t="s">
        <v>21</v>
      </c>
      <c r="AI367" s="442" t="str">
        <f t="shared" si="46"/>
        <v/>
      </c>
      <c r="AK367" s="3" t="e">
        <f>IF(F367="", " ", VLOOKUP(F367,#REF!, 1, FALSE))</f>
        <v>#REF!</v>
      </c>
    </row>
    <row r="368" spans="1:37" ht="48" hidden="1" x14ac:dyDescent="0.25">
      <c r="A368" s="587" t="s">
        <v>1864</v>
      </c>
      <c r="B368" s="369" t="s">
        <v>1880</v>
      </c>
      <c r="C368" s="588"/>
      <c r="D368" s="589" t="s">
        <v>3773</v>
      </c>
      <c r="E368" s="44" t="s">
        <v>27</v>
      </c>
      <c r="F368" s="214">
        <v>92922</v>
      </c>
      <c r="G368" s="587" t="s">
        <v>504</v>
      </c>
      <c r="H368" s="590" t="s">
        <v>54</v>
      </c>
      <c r="I368" s="591">
        <f>IF($F368="","",IF('TRECHO(S) A IMPRIMIR'!$B$1= 1, SUM(Q368, T368, W368, Z368), IF('TRECHO(S) A IMPRIMIR'!$B$1= 2, T368, IF('TRECHO(S) A IMPRIMIR'!$B$1= 3, W368, 0))))</f>
        <v>0</v>
      </c>
      <c r="J368" s="592">
        <v>11</v>
      </c>
      <c r="K368" s="593">
        <f t="shared" si="52"/>
        <v>0.2033513845915047</v>
      </c>
      <c r="L368" s="592">
        <f t="shared" si="56"/>
        <v>13.236865230506552</v>
      </c>
      <c r="M368" s="594">
        <f t="shared" si="57"/>
        <v>0</v>
      </c>
      <c r="O368" s="673"/>
      <c r="P368" s="361"/>
      <c r="Q368" s="441"/>
      <c r="R368" s="485"/>
      <c r="S368" s="442"/>
      <c r="T368" s="441">
        <f t="shared" si="54"/>
        <v>0</v>
      </c>
      <c r="U368" s="485"/>
      <c r="V368" s="442"/>
      <c r="W368" s="441">
        <f t="shared" si="55"/>
        <v>0</v>
      </c>
      <c r="X368" s="485"/>
      <c r="Y368" s="442"/>
      <c r="Z368" s="441"/>
      <c r="AA368" s="485"/>
      <c r="AB368" s="442"/>
      <c r="AC368" s="672"/>
      <c r="AD368" s="441" t="s">
        <v>21</v>
      </c>
      <c r="AE368" s="674" t="s">
        <v>21</v>
      </c>
      <c r="AF368" s="674" t="s">
        <v>21</v>
      </c>
      <c r="AG368" s="674" t="s">
        <v>21</v>
      </c>
      <c r="AH368" s="442" t="s">
        <v>21</v>
      </c>
      <c r="AI368" s="442" t="str">
        <f t="shared" si="46"/>
        <v/>
      </c>
      <c r="AK368" s="3" t="e">
        <f>IF(F368="", " ", VLOOKUP(F368,#REF!, 1, FALSE))</f>
        <v>#REF!</v>
      </c>
    </row>
    <row r="369" spans="1:37" ht="48" hidden="1" x14ac:dyDescent="0.25">
      <c r="A369" s="587" t="s">
        <v>1864</v>
      </c>
      <c r="B369" s="369" t="s">
        <v>1880</v>
      </c>
      <c r="C369" s="588"/>
      <c r="D369" s="589" t="s">
        <v>3773</v>
      </c>
      <c r="E369" s="44" t="s">
        <v>27</v>
      </c>
      <c r="F369" s="214">
        <v>92923</v>
      </c>
      <c r="G369" s="587" t="s">
        <v>505</v>
      </c>
      <c r="H369" s="590" t="s">
        <v>54</v>
      </c>
      <c r="I369" s="591">
        <f>IF($F369="","",IF('TRECHO(S) A IMPRIMIR'!$B$1= 1, SUM(Q369, T369, W369, Z369), IF('TRECHO(S) A IMPRIMIR'!$B$1= 2, T369, IF('TRECHO(S) A IMPRIMIR'!$B$1= 3, W369, 0))))</f>
        <v>0</v>
      </c>
      <c r="J369" s="592">
        <v>12.32</v>
      </c>
      <c r="K369" s="593">
        <f t="shared" si="52"/>
        <v>0.2033513845915047</v>
      </c>
      <c r="L369" s="592">
        <f t="shared" si="56"/>
        <v>14.825289058167339</v>
      </c>
      <c r="M369" s="594">
        <f t="shared" si="57"/>
        <v>0</v>
      </c>
      <c r="O369" s="673"/>
      <c r="P369" s="361"/>
      <c r="Q369" s="441"/>
      <c r="R369" s="485"/>
      <c r="S369" s="442"/>
      <c r="T369" s="441">
        <f t="shared" si="54"/>
        <v>0</v>
      </c>
      <c r="U369" s="485"/>
      <c r="V369" s="442"/>
      <c r="W369" s="441">
        <f t="shared" si="55"/>
        <v>0</v>
      </c>
      <c r="X369" s="485"/>
      <c r="Y369" s="442"/>
      <c r="Z369" s="441"/>
      <c r="AA369" s="485"/>
      <c r="AB369" s="442"/>
      <c r="AC369" s="672"/>
      <c r="AD369" s="441" t="s">
        <v>21</v>
      </c>
      <c r="AE369" s="674" t="s">
        <v>21</v>
      </c>
      <c r="AF369" s="674" t="s">
        <v>21</v>
      </c>
      <c r="AG369" s="674" t="s">
        <v>21</v>
      </c>
      <c r="AH369" s="442" t="s">
        <v>21</v>
      </c>
      <c r="AI369" s="442" t="str">
        <f t="shared" si="46"/>
        <v/>
      </c>
      <c r="AK369" s="3" t="e">
        <f>IF(F369="", " ", VLOOKUP(F369,#REF!, 1, FALSE))</f>
        <v>#REF!</v>
      </c>
    </row>
    <row r="370" spans="1:37" ht="48" hidden="1" x14ac:dyDescent="0.25">
      <c r="A370" s="587" t="s">
        <v>1864</v>
      </c>
      <c r="B370" s="369" t="s">
        <v>1880</v>
      </c>
      <c r="C370" s="588"/>
      <c r="D370" s="589" t="s">
        <v>3773</v>
      </c>
      <c r="E370" s="44" t="s">
        <v>27</v>
      </c>
      <c r="F370" s="214">
        <v>92924</v>
      </c>
      <c r="G370" s="587" t="s">
        <v>506</v>
      </c>
      <c r="H370" s="590" t="s">
        <v>54</v>
      </c>
      <c r="I370" s="591">
        <f>IF($F370="","",IF('TRECHO(S) A IMPRIMIR'!$B$1= 1, SUM(Q370, T370, W370, Z370), IF('TRECHO(S) A IMPRIMIR'!$B$1= 2, T370, IF('TRECHO(S) A IMPRIMIR'!$B$1= 3, W370, 0))))</f>
        <v>0</v>
      </c>
      <c r="J370" s="592">
        <v>12.01</v>
      </c>
      <c r="K370" s="593">
        <f t="shared" si="52"/>
        <v>0.2033513845915047</v>
      </c>
      <c r="L370" s="592">
        <f t="shared" si="56"/>
        <v>14.452250128943971</v>
      </c>
      <c r="M370" s="594">
        <f t="shared" si="57"/>
        <v>0</v>
      </c>
      <c r="O370" s="673"/>
      <c r="P370" s="361"/>
      <c r="Q370" s="441"/>
      <c r="R370" s="485"/>
      <c r="S370" s="442"/>
      <c r="T370" s="441">
        <f t="shared" si="54"/>
        <v>0</v>
      </c>
      <c r="U370" s="485"/>
      <c r="V370" s="442"/>
      <c r="W370" s="441">
        <f t="shared" si="55"/>
        <v>0</v>
      </c>
      <c r="X370" s="485"/>
      <c r="Y370" s="442"/>
      <c r="Z370" s="441"/>
      <c r="AA370" s="485"/>
      <c r="AB370" s="442"/>
      <c r="AC370" s="672"/>
      <c r="AD370" s="441" t="s">
        <v>21</v>
      </c>
      <c r="AE370" s="674" t="s">
        <v>21</v>
      </c>
      <c r="AF370" s="674" t="s">
        <v>21</v>
      </c>
      <c r="AG370" s="674" t="s">
        <v>21</v>
      </c>
      <c r="AH370" s="442" t="s">
        <v>21</v>
      </c>
      <c r="AI370" s="442" t="str">
        <f t="shared" si="46"/>
        <v/>
      </c>
      <c r="AK370" s="3" t="e">
        <f>IF(F370="", " ", VLOOKUP(F370,#REF!, 1, FALSE))</f>
        <v>#REF!</v>
      </c>
    </row>
    <row r="371" spans="1:37" ht="48" hidden="1" x14ac:dyDescent="0.25">
      <c r="A371" s="587" t="s">
        <v>1865</v>
      </c>
      <c r="B371" s="369" t="s">
        <v>28</v>
      </c>
      <c r="C371" s="588"/>
      <c r="D371" s="589" t="s">
        <v>3774</v>
      </c>
      <c r="E371" s="44" t="s">
        <v>27</v>
      </c>
      <c r="F371" s="214">
        <v>96557</v>
      </c>
      <c r="G371" s="587" t="s">
        <v>541</v>
      </c>
      <c r="H371" s="590" t="s">
        <v>44</v>
      </c>
      <c r="I371" s="591">
        <f>IF($F371="","",IF('TRECHO(S) A IMPRIMIR'!$B$1= 1, SUM(Q371, T371, W371, Z371), IF('TRECHO(S) A IMPRIMIR'!$B$1= 2, T371, IF('TRECHO(S) A IMPRIMIR'!$B$1= 3, W371, 0))))</f>
        <v>0</v>
      </c>
      <c r="J371" s="592">
        <v>411.87</v>
      </c>
      <c r="K371" s="593">
        <f t="shared" si="52"/>
        <v>0.2033513845915047</v>
      </c>
      <c r="L371" s="592">
        <f t="shared" ref="L371:L378" si="58">IF(J371="","",
  IF(AND(J371&lt;&gt;"",K371=""),J371,J371 * (1 + K371)))</f>
        <v>495.62433477170305</v>
      </c>
      <c r="M371" s="594">
        <f>IF(OR(I371="",L371=""),"",I371*L371)</f>
        <v>0</v>
      </c>
      <c r="N371" s="439"/>
      <c r="O371" s="673"/>
      <c r="P371" s="361"/>
      <c r="Q371" s="441"/>
      <c r="R371" s="485"/>
      <c r="S371" s="442"/>
      <c r="T371" s="441">
        <f t="shared" si="54"/>
        <v>0</v>
      </c>
      <c r="U371" s="485"/>
      <c r="V371" s="442"/>
      <c r="W371" s="441">
        <f t="shared" si="55"/>
        <v>0</v>
      </c>
      <c r="X371" s="485"/>
      <c r="Y371" s="442"/>
      <c r="Z371" s="441"/>
      <c r="AA371" s="485"/>
      <c r="AB371" s="442"/>
      <c r="AC371" s="672"/>
      <c r="AD371" s="441" t="s">
        <v>21</v>
      </c>
      <c r="AE371" s="674" t="s">
        <v>21</v>
      </c>
      <c r="AF371" s="674" t="s">
        <v>21</v>
      </c>
      <c r="AG371" s="674" t="s">
        <v>21</v>
      </c>
      <c r="AH371" s="442" t="s">
        <v>21</v>
      </c>
      <c r="AI371" s="442" t="str">
        <f t="shared" si="46"/>
        <v/>
      </c>
      <c r="AK371" s="3" t="e">
        <f>IF(F371="", " ", VLOOKUP(F371,#REF!, 1, FALSE))</f>
        <v>#REF!</v>
      </c>
    </row>
    <row r="372" spans="1:37" ht="24" hidden="1" x14ac:dyDescent="0.25">
      <c r="A372" s="587" t="s">
        <v>1881</v>
      </c>
      <c r="B372" s="369" t="s">
        <v>28</v>
      </c>
      <c r="C372" s="588"/>
      <c r="D372" s="589" t="s">
        <v>3775</v>
      </c>
      <c r="E372" s="44" t="s">
        <v>27</v>
      </c>
      <c r="F372" s="214">
        <v>93382</v>
      </c>
      <c r="G372" s="587" t="s">
        <v>40</v>
      </c>
      <c r="H372" s="590" t="s">
        <v>44</v>
      </c>
      <c r="I372" s="591">
        <f>IF($F372="","",IF('TRECHO(S) A IMPRIMIR'!$B$1= 1, SUM(Q372, T372, W372, Z372), IF('TRECHO(S) A IMPRIMIR'!$B$1= 2, T372, IF('TRECHO(S) A IMPRIMIR'!$B$1= 3, W372, 0))))</f>
        <v>0</v>
      </c>
      <c r="J372" s="592">
        <v>25.09</v>
      </c>
      <c r="K372" s="593">
        <f t="shared" si="52"/>
        <v>0.2033513845915047</v>
      </c>
      <c r="L372" s="592">
        <f t="shared" si="58"/>
        <v>30.192086239400854</v>
      </c>
      <c r="M372" s="594">
        <f>IF(OR(I372="",L372=""),"",I372*L372)</f>
        <v>0</v>
      </c>
      <c r="N372" s="439"/>
      <c r="O372" s="673"/>
      <c r="P372" s="361"/>
      <c r="Q372" s="441"/>
      <c r="R372" s="485"/>
      <c r="S372" s="442"/>
      <c r="T372" s="441">
        <f t="shared" si="54"/>
        <v>0</v>
      </c>
      <c r="U372" s="485"/>
      <c r="V372" s="442"/>
      <c r="W372" s="441">
        <f t="shared" si="55"/>
        <v>0</v>
      </c>
      <c r="X372" s="485"/>
      <c r="Y372" s="442"/>
      <c r="Z372" s="441"/>
      <c r="AA372" s="485"/>
      <c r="AB372" s="442"/>
      <c r="AC372" s="672"/>
      <c r="AD372" s="441" t="s">
        <v>21</v>
      </c>
      <c r="AE372" s="674" t="s">
        <v>21</v>
      </c>
      <c r="AF372" s="674" t="s">
        <v>21</v>
      </c>
      <c r="AG372" s="674" t="s">
        <v>21</v>
      </c>
      <c r="AH372" s="442" t="s">
        <v>21</v>
      </c>
      <c r="AI372" s="442" t="str">
        <f t="shared" si="46"/>
        <v/>
      </c>
      <c r="AK372" s="3" t="e">
        <f>IF(F372="", " ", VLOOKUP(F372,#REF!, 1, FALSE))</f>
        <v>#REF!</v>
      </c>
    </row>
    <row r="373" spans="1:37" ht="24" hidden="1" x14ac:dyDescent="0.25">
      <c r="A373" s="587" t="s">
        <v>1882</v>
      </c>
      <c r="B373" s="369" t="s">
        <v>28</v>
      </c>
      <c r="C373" s="588"/>
      <c r="D373" s="589" t="s">
        <v>3776</v>
      </c>
      <c r="E373" s="44" t="s">
        <v>27</v>
      </c>
      <c r="F373" s="214">
        <v>100574</v>
      </c>
      <c r="G373" s="587" t="s">
        <v>563</v>
      </c>
      <c r="H373" s="590" t="s">
        <v>44</v>
      </c>
      <c r="I373" s="591">
        <f>IF($F373="","",IF('TRECHO(S) A IMPRIMIR'!$B$1= 1, SUM(Q373, T373, W373, Z373), IF('TRECHO(S) A IMPRIMIR'!$B$1= 2, T373, IF('TRECHO(S) A IMPRIMIR'!$B$1= 3, W373, 0))))</f>
        <v>0</v>
      </c>
      <c r="J373" s="592">
        <v>1.04</v>
      </c>
      <c r="K373" s="593">
        <f t="shared" si="52"/>
        <v>0.2033513845915047</v>
      </c>
      <c r="L373" s="592">
        <f t="shared" si="58"/>
        <v>1.2514854399751649</v>
      </c>
      <c r="M373" s="594">
        <f>IF(OR(I373="",L373=""),"",I373*L373)</f>
        <v>0</v>
      </c>
      <c r="O373" s="673"/>
      <c r="P373" s="361"/>
      <c r="Q373" s="441"/>
      <c r="R373" s="485"/>
      <c r="S373" s="442"/>
      <c r="T373" s="441">
        <f t="shared" si="54"/>
        <v>0</v>
      </c>
      <c r="U373" s="485"/>
      <c r="V373" s="442"/>
      <c r="W373" s="441">
        <f t="shared" si="55"/>
        <v>0</v>
      </c>
      <c r="X373" s="485"/>
      <c r="Y373" s="442"/>
      <c r="Z373" s="441"/>
      <c r="AA373" s="485"/>
      <c r="AB373" s="442"/>
      <c r="AC373" s="672"/>
      <c r="AD373" s="441" t="s">
        <v>21</v>
      </c>
      <c r="AE373" s="674" t="s">
        <v>21</v>
      </c>
      <c r="AF373" s="674" t="s">
        <v>21</v>
      </c>
      <c r="AG373" s="674" t="s">
        <v>21</v>
      </c>
      <c r="AH373" s="442" t="s">
        <v>21</v>
      </c>
      <c r="AI373" s="442" t="str">
        <f t="shared" si="46"/>
        <v/>
      </c>
      <c r="AK373" s="3" t="e">
        <f>IF(F373="", " ", VLOOKUP(F373,#REF!, 1, FALSE))</f>
        <v>#REF!</v>
      </c>
    </row>
    <row r="374" spans="1:37" x14ac:dyDescent="0.25">
      <c r="A374" s="587" t="s">
        <v>1883</v>
      </c>
      <c r="B374" s="369"/>
      <c r="C374" s="588"/>
      <c r="D374" s="589" t="s">
        <v>3777</v>
      </c>
      <c r="E374" s="44"/>
      <c r="F374" s="214"/>
      <c r="G374" s="587" t="s">
        <v>1883</v>
      </c>
      <c r="H374" s="590" t="s">
        <v>21</v>
      </c>
      <c r="I374" s="591" t="s">
        <v>21</v>
      </c>
      <c r="J374" s="592" t="s">
        <v>21</v>
      </c>
      <c r="K374" s="593" t="s">
        <v>21</v>
      </c>
      <c r="L374" s="592" t="s">
        <v>21</v>
      </c>
      <c r="M374" s="594">
        <v>848158.17661793355</v>
      </c>
      <c r="O374" s="673"/>
      <c r="P374" s="361"/>
      <c r="Q374" s="441"/>
      <c r="R374" s="485"/>
      <c r="S374" s="442"/>
      <c r="T374" s="441"/>
      <c r="U374" s="485"/>
      <c r="V374" s="442"/>
      <c r="W374" s="441"/>
      <c r="X374" s="485"/>
      <c r="Y374" s="442"/>
      <c r="Z374" s="441"/>
      <c r="AA374" s="485"/>
      <c r="AB374" s="442"/>
      <c r="AC374" s="672"/>
      <c r="AD374" s="441" t="s">
        <v>21</v>
      </c>
      <c r="AE374" s="674" t="s">
        <v>21</v>
      </c>
      <c r="AF374" s="674" t="s">
        <v>21</v>
      </c>
      <c r="AG374" s="674" t="s">
        <v>21</v>
      </c>
      <c r="AH374" s="442" t="s">
        <v>21</v>
      </c>
      <c r="AI374" s="442" t="s">
        <v>21</v>
      </c>
      <c r="AK374" s="3" t="str">
        <f>IF(F374="", " ", VLOOKUP(F374,#REF!, 1, FALSE))</f>
        <v xml:space="preserve"> </v>
      </c>
    </row>
    <row r="375" spans="1:37" s="294" customFormat="1" ht="36" x14ac:dyDescent="0.25">
      <c r="A375" s="595" t="s">
        <v>1869</v>
      </c>
      <c r="B375" s="586" t="s">
        <v>20</v>
      </c>
      <c r="C375" s="596"/>
      <c r="D375" s="589" t="s">
        <v>3778</v>
      </c>
      <c r="E375" s="44" t="s">
        <v>27</v>
      </c>
      <c r="F375" s="577">
        <v>101617</v>
      </c>
      <c r="G375" s="595" t="s">
        <v>1166</v>
      </c>
      <c r="H375" s="597" t="s">
        <v>51</v>
      </c>
      <c r="I375" s="598">
        <v>371.02</v>
      </c>
      <c r="J375" s="599">
        <v>2.61</v>
      </c>
      <c r="K375" s="600">
        <v>0.2033513845915047</v>
      </c>
      <c r="L375" s="599">
        <v>3.140747113783827</v>
      </c>
      <c r="M375" s="601">
        <v>1165.2799941560754</v>
      </c>
      <c r="N375" s="293"/>
      <c r="O375" s="680"/>
      <c r="P375" s="362"/>
      <c r="Q375" s="578"/>
      <c r="R375" s="579"/>
      <c r="S375" s="580"/>
      <c r="T375" s="441">
        <v>313.94</v>
      </c>
      <c r="U375" s="485"/>
      <c r="V375" s="442"/>
      <c r="W375" s="441">
        <v>57.08</v>
      </c>
      <c r="X375" s="579"/>
      <c r="Y375" s="580"/>
      <c r="Z375" s="578"/>
      <c r="AA375" s="579"/>
      <c r="AB375" s="580"/>
      <c r="AC375" s="681"/>
      <c r="AD375" s="578">
        <v>839.35876973694326</v>
      </c>
      <c r="AE375" s="682">
        <v>325.92122441913222</v>
      </c>
      <c r="AF375" s="682">
        <v>0</v>
      </c>
      <c r="AG375" s="682">
        <v>0</v>
      </c>
      <c r="AH375" s="580">
        <v>0</v>
      </c>
      <c r="AI375" s="580">
        <v>0</v>
      </c>
      <c r="AK375" s="294" t="e">
        <f>IF(F375="", " ", VLOOKUP(F375,#REF!, 1, FALSE))</f>
        <v>#REF!</v>
      </c>
    </row>
    <row r="376" spans="1:37" ht="24" x14ac:dyDescent="0.25">
      <c r="A376" s="587" t="s">
        <v>1870</v>
      </c>
      <c r="B376" s="369" t="s">
        <v>28</v>
      </c>
      <c r="C376" s="588"/>
      <c r="D376" s="589" t="s">
        <v>3779</v>
      </c>
      <c r="E376" s="44" t="s">
        <v>27</v>
      </c>
      <c r="F376" s="214">
        <v>96616</v>
      </c>
      <c r="G376" s="587" t="s">
        <v>70</v>
      </c>
      <c r="H376" s="590" t="s">
        <v>44</v>
      </c>
      <c r="I376" s="591">
        <v>37.050000000000004</v>
      </c>
      <c r="J376" s="592">
        <v>547.38</v>
      </c>
      <c r="K376" s="593">
        <v>0.2033513845915047</v>
      </c>
      <c r="L376" s="592">
        <v>658.69048089769785</v>
      </c>
      <c r="M376" s="594">
        <v>24404.48231725971</v>
      </c>
      <c r="O376" s="673"/>
      <c r="P376" s="361"/>
      <c r="Q376" s="441"/>
      <c r="R376" s="485"/>
      <c r="S376" s="442"/>
      <c r="T376" s="441">
        <v>31.35</v>
      </c>
      <c r="U376" s="485"/>
      <c r="V376" s="442"/>
      <c r="W376" s="441">
        <v>5.7</v>
      </c>
      <c r="X376" s="485"/>
      <c r="Y376" s="442"/>
      <c r="Z376" s="441"/>
      <c r="AA376" s="485"/>
      <c r="AB376" s="442"/>
      <c r="AC376" s="672"/>
      <c r="AD376" s="441">
        <v>7876.6851017396921</v>
      </c>
      <c r="AE376" s="674">
        <v>16358.37737408338</v>
      </c>
      <c r="AF376" s="674">
        <v>113.68963043774389</v>
      </c>
      <c r="AG376" s="674">
        <v>0</v>
      </c>
      <c r="AH376" s="442">
        <v>55.730210998894073</v>
      </c>
      <c r="AI376" s="442">
        <v>0</v>
      </c>
      <c r="AK376" s="3" t="e">
        <f>IF(F376="", " ", VLOOKUP(F376,#REF!, 1, FALSE))</f>
        <v>#REF!</v>
      </c>
    </row>
    <row r="377" spans="1:37" ht="36" x14ac:dyDescent="0.25">
      <c r="A377" s="587" t="s">
        <v>1871</v>
      </c>
      <c r="B377" s="369" t="s">
        <v>20</v>
      </c>
      <c r="C377" s="588"/>
      <c r="D377" s="589" t="s">
        <v>3780</v>
      </c>
      <c r="E377" s="44" t="s">
        <v>27</v>
      </c>
      <c r="F377" s="214">
        <v>92263</v>
      </c>
      <c r="G377" s="587" t="s">
        <v>1159</v>
      </c>
      <c r="H377" s="590" t="s">
        <v>51</v>
      </c>
      <c r="I377" s="591">
        <v>1578.98</v>
      </c>
      <c r="J377" s="592">
        <v>136.62</v>
      </c>
      <c r="K377" s="593">
        <v>0.2033513845915047</v>
      </c>
      <c r="L377" s="592">
        <v>164.40186616289137</v>
      </c>
      <c r="M377" s="594">
        <v>259587.25863388221</v>
      </c>
      <c r="O377" s="673"/>
      <c r="P377" s="361"/>
      <c r="Q377" s="441"/>
      <c r="R377" s="485"/>
      <c r="S377" s="442"/>
      <c r="T377" s="441">
        <v>1336.06</v>
      </c>
      <c r="U377" s="485"/>
      <c r="V377" s="442"/>
      <c r="W377" s="441">
        <v>242.92</v>
      </c>
      <c r="X377" s="485"/>
      <c r="Y377" s="442"/>
      <c r="Z377" s="441"/>
      <c r="AA377" s="485"/>
      <c r="AB377" s="442"/>
      <c r="AC377" s="672"/>
      <c r="AD377" s="441">
        <v>54816.955142640189</v>
      </c>
      <c r="AE377" s="674">
        <v>204523.29468124054</v>
      </c>
      <c r="AF377" s="674">
        <v>19.000677692422943</v>
      </c>
      <c r="AG377" s="674">
        <v>0</v>
      </c>
      <c r="AH377" s="442">
        <v>228.00813230907528</v>
      </c>
      <c r="AI377" s="442">
        <v>0</v>
      </c>
      <c r="AK377" s="3" t="e">
        <f>IF(F377="", " ", VLOOKUP(F377,#REF!, 1, FALSE))</f>
        <v>#REF!</v>
      </c>
    </row>
    <row r="378" spans="1:37" ht="48" x14ac:dyDescent="0.25">
      <c r="A378" s="587" t="s">
        <v>1864</v>
      </c>
      <c r="B378" s="369" t="s">
        <v>39</v>
      </c>
      <c r="C378" s="588"/>
      <c r="D378" s="589" t="s">
        <v>3781</v>
      </c>
      <c r="E378" s="44" t="s">
        <v>27</v>
      </c>
      <c r="F378" s="214">
        <v>92916</v>
      </c>
      <c r="G378" s="587" t="s">
        <v>507</v>
      </c>
      <c r="H378" s="590" t="s">
        <v>54</v>
      </c>
      <c r="I378" s="591">
        <v>8619</v>
      </c>
      <c r="J378" s="592">
        <v>16.38</v>
      </c>
      <c r="K378" s="593">
        <v>0.2033513845915047</v>
      </c>
      <c r="L378" s="592">
        <v>19.710895679608846</v>
      </c>
      <c r="M378" s="594">
        <v>169888.20986254865</v>
      </c>
      <c r="O378" s="673"/>
      <c r="P378" s="361"/>
      <c r="Q378" s="441"/>
      <c r="R378" s="485"/>
      <c r="S378" s="442"/>
      <c r="T378" s="441">
        <v>7293</v>
      </c>
      <c r="U378" s="485"/>
      <c r="V378" s="442"/>
      <c r="W378" s="441">
        <v>1326</v>
      </c>
      <c r="X378" s="485"/>
      <c r="Y378" s="442"/>
      <c r="Z378" s="441"/>
      <c r="AA378" s="485"/>
      <c r="AB378" s="442"/>
      <c r="AC378" s="672"/>
      <c r="AD378" s="441">
        <v>35471.164696576088</v>
      </c>
      <c r="AE378" s="674">
        <v>134417.04516597258</v>
      </c>
      <c r="AF378" s="674">
        <v>0</v>
      </c>
      <c r="AG378" s="674">
        <v>0</v>
      </c>
      <c r="AH378" s="442">
        <v>0</v>
      </c>
      <c r="AI378" s="442">
        <v>-2.9103830456733704E-11</v>
      </c>
      <c r="AK378" s="3" t="e">
        <f>IF(F378="", " ", VLOOKUP(F378,#REF!, 1, FALSE))</f>
        <v>#REF!</v>
      </c>
    </row>
    <row r="379" spans="1:37" ht="48" x14ac:dyDescent="0.25">
      <c r="A379" s="587" t="s">
        <v>1864</v>
      </c>
      <c r="B379" s="369" t="s">
        <v>39</v>
      </c>
      <c r="C379" s="588"/>
      <c r="D379" s="589" t="s">
        <v>3781</v>
      </c>
      <c r="E379" s="44" t="s">
        <v>27</v>
      </c>
      <c r="F379" s="214">
        <v>92917</v>
      </c>
      <c r="G379" s="587" t="s">
        <v>508</v>
      </c>
      <c r="H379" s="590" t="s">
        <v>54</v>
      </c>
      <c r="I379" s="591">
        <v>20111</v>
      </c>
      <c r="J379" s="592">
        <v>15.38</v>
      </c>
      <c r="K379" s="593">
        <v>0.2033513845915047</v>
      </c>
      <c r="L379" s="592">
        <v>18.507544295017343</v>
      </c>
      <c r="M379" s="594">
        <v>372205.2233170938</v>
      </c>
      <c r="O379" s="673"/>
      <c r="P379" s="361"/>
      <c r="Q379" s="441"/>
      <c r="R379" s="485"/>
      <c r="S379" s="442"/>
      <c r="T379" s="441">
        <v>17017</v>
      </c>
      <c r="U379" s="485"/>
      <c r="V379" s="442"/>
      <c r="W379" s="441">
        <v>3094</v>
      </c>
      <c r="X379" s="485"/>
      <c r="Y379" s="442"/>
      <c r="Z379" s="441"/>
      <c r="AA379" s="485"/>
      <c r="AB379" s="442"/>
      <c r="AC379" s="672"/>
      <c r="AD379" s="441">
        <v>57113.415281426613</v>
      </c>
      <c r="AE379" s="674">
        <v>315091.80803566717</v>
      </c>
      <c r="AF379" s="674">
        <v>0</v>
      </c>
      <c r="AG379" s="674">
        <v>0</v>
      </c>
      <c r="AH379" s="442">
        <v>0</v>
      </c>
      <c r="AI379" s="442">
        <v>0</v>
      </c>
      <c r="AK379" s="3" t="e">
        <f>IF(F379="", " ", VLOOKUP(F379,#REF!, 1, FALSE))</f>
        <v>#REF!</v>
      </c>
    </row>
    <row r="380" spans="1:37" ht="48" hidden="1" x14ac:dyDescent="0.25">
      <c r="A380" s="587" t="s">
        <v>1864</v>
      </c>
      <c r="B380" s="369" t="s">
        <v>39</v>
      </c>
      <c r="C380" s="588"/>
      <c r="D380" s="589" t="s">
        <v>3781</v>
      </c>
      <c r="E380" s="44" t="s">
        <v>27</v>
      </c>
      <c r="F380" s="214">
        <v>92919</v>
      </c>
      <c r="G380" s="587" t="s">
        <v>502</v>
      </c>
      <c r="H380" s="590" t="s">
        <v>54</v>
      </c>
      <c r="I380" s="591">
        <f>IF($F380="","",IF('TRECHO(S) A IMPRIMIR'!$B$1= 1, SUM(Q380, T380, W380, Z380), IF('TRECHO(S) A IMPRIMIR'!$B$1= 2, T380, IF('TRECHO(S) A IMPRIMIR'!$B$1= 3, W380, 0))))</f>
        <v>0</v>
      </c>
      <c r="J380" s="592">
        <v>13.76</v>
      </c>
      <c r="K380" s="593">
        <f t="shared" si="52"/>
        <v>0.2033513845915047</v>
      </c>
      <c r="L380" s="592">
        <f t="shared" ref="L379:L384" si="59">IF(J380="","",
  IF(AND(J380&lt;&gt;"",K380=""),J380,J380 * (1 + K380)))</f>
        <v>16.558115051979104</v>
      </c>
      <c r="M380" s="594">
        <f t="shared" ref="M379:M384" si="60">IF(OR(I380="",L380=""),"",I380*L380)</f>
        <v>0</v>
      </c>
      <c r="O380" s="673"/>
      <c r="P380" s="361"/>
      <c r="Q380" s="441"/>
      <c r="R380" s="485"/>
      <c r="S380" s="442"/>
      <c r="T380" s="441">
        <f>(T385 * 0) * T$356</f>
        <v>0</v>
      </c>
      <c r="U380" s="485"/>
      <c r="V380" s="442"/>
      <c r="W380" s="441">
        <f>(W385 * 0) * W$356</f>
        <v>0</v>
      </c>
      <c r="X380" s="485"/>
      <c r="Y380" s="442"/>
      <c r="Z380" s="441"/>
      <c r="AA380" s="485"/>
      <c r="AB380" s="442"/>
      <c r="AC380" s="672"/>
      <c r="AD380" s="441" t="s">
        <v>21</v>
      </c>
      <c r="AE380" s="674" t="s">
        <v>21</v>
      </c>
      <c r="AF380" s="674" t="s">
        <v>21</v>
      </c>
      <c r="AG380" s="674" t="s">
        <v>21</v>
      </c>
      <c r="AH380" s="442" t="s">
        <v>21</v>
      </c>
      <c r="AI380" s="442" t="str">
        <f t="shared" si="46"/>
        <v/>
      </c>
      <c r="AK380" s="3" t="e">
        <f>IF(F380="", " ", VLOOKUP(F380,#REF!, 1, FALSE))</f>
        <v>#REF!</v>
      </c>
    </row>
    <row r="381" spans="1:37" ht="48" hidden="1" x14ac:dyDescent="0.25">
      <c r="A381" s="587" t="s">
        <v>1864</v>
      </c>
      <c r="B381" s="369" t="s">
        <v>39</v>
      </c>
      <c r="C381" s="588"/>
      <c r="D381" s="589" t="s">
        <v>3781</v>
      </c>
      <c r="E381" s="44" t="s">
        <v>27</v>
      </c>
      <c r="F381" s="214">
        <v>92921</v>
      </c>
      <c r="G381" s="587" t="s">
        <v>503</v>
      </c>
      <c r="H381" s="590" t="s">
        <v>54</v>
      </c>
      <c r="I381" s="591">
        <f>IF($F381="","",IF('TRECHO(S) A IMPRIMIR'!$B$1= 1, SUM(Q381, T381, W381, Z381), IF('TRECHO(S) A IMPRIMIR'!$B$1= 2, T381, IF('TRECHO(S) A IMPRIMIR'!$B$1= 3, W381, 0))))</f>
        <v>0</v>
      </c>
      <c r="J381" s="592">
        <v>11.58</v>
      </c>
      <c r="K381" s="593">
        <f t="shared" si="52"/>
        <v>0.2033513845915047</v>
      </c>
      <c r="L381" s="592">
        <f t="shared" si="59"/>
        <v>13.934809033569625</v>
      </c>
      <c r="M381" s="594">
        <f t="shared" si="60"/>
        <v>0</v>
      </c>
      <c r="O381" s="673"/>
      <c r="P381" s="361"/>
      <c r="Q381" s="441"/>
      <c r="R381" s="485"/>
      <c r="S381" s="442"/>
      <c r="T381" s="441">
        <f>(T385 * 0) * T$356</f>
        <v>0</v>
      </c>
      <c r="U381" s="485"/>
      <c r="V381" s="442"/>
      <c r="W381" s="441">
        <f>(W385 * 0) * W$356</f>
        <v>0</v>
      </c>
      <c r="X381" s="485"/>
      <c r="Y381" s="442"/>
      <c r="Z381" s="441"/>
      <c r="AA381" s="485"/>
      <c r="AB381" s="442"/>
      <c r="AC381" s="672"/>
      <c r="AD381" s="441" t="s">
        <v>21</v>
      </c>
      <c r="AE381" s="674" t="s">
        <v>21</v>
      </c>
      <c r="AF381" s="674" t="s">
        <v>21</v>
      </c>
      <c r="AG381" s="674" t="s">
        <v>21</v>
      </c>
      <c r="AH381" s="442" t="s">
        <v>21</v>
      </c>
      <c r="AI381" s="442" t="str">
        <f t="shared" si="46"/>
        <v/>
      </c>
      <c r="AK381" s="3" t="e">
        <f>IF(F381="", " ", VLOOKUP(F381,#REF!, 1, FALSE))</f>
        <v>#REF!</v>
      </c>
    </row>
    <row r="382" spans="1:37" ht="48" hidden="1" x14ac:dyDescent="0.25">
      <c r="A382" s="587" t="s">
        <v>1864</v>
      </c>
      <c r="B382" s="369" t="s">
        <v>39</v>
      </c>
      <c r="C382" s="588"/>
      <c r="D382" s="589" t="s">
        <v>3781</v>
      </c>
      <c r="E382" s="44" t="s">
        <v>27</v>
      </c>
      <c r="F382" s="214">
        <v>92922</v>
      </c>
      <c r="G382" s="587" t="s">
        <v>504</v>
      </c>
      <c r="H382" s="590" t="s">
        <v>54</v>
      </c>
      <c r="I382" s="591">
        <f>IF($F382="","",IF('TRECHO(S) A IMPRIMIR'!$B$1= 1, SUM(Q382, T382, W382, Z382), IF('TRECHO(S) A IMPRIMIR'!$B$1= 2, T382, IF('TRECHO(S) A IMPRIMIR'!$B$1= 3, W382, 0))))</f>
        <v>0</v>
      </c>
      <c r="J382" s="592">
        <v>11</v>
      </c>
      <c r="K382" s="593">
        <f t="shared" si="52"/>
        <v>0.2033513845915047</v>
      </c>
      <c r="L382" s="592">
        <f t="shared" si="59"/>
        <v>13.236865230506552</v>
      </c>
      <c r="M382" s="594">
        <f t="shared" si="60"/>
        <v>0</v>
      </c>
      <c r="O382" s="673"/>
      <c r="P382" s="361"/>
      <c r="Q382" s="441"/>
      <c r="R382" s="485"/>
      <c r="S382" s="442"/>
      <c r="T382" s="441">
        <f>(T385 * 0) * T$356</f>
        <v>0</v>
      </c>
      <c r="U382" s="485"/>
      <c r="V382" s="442"/>
      <c r="W382" s="441">
        <f>(W385 * 0) * W$356</f>
        <v>0</v>
      </c>
      <c r="X382" s="485"/>
      <c r="Y382" s="442"/>
      <c r="Z382" s="441"/>
      <c r="AA382" s="485"/>
      <c r="AB382" s="442"/>
      <c r="AC382" s="672"/>
      <c r="AD382" s="441" t="s">
        <v>21</v>
      </c>
      <c r="AE382" s="674" t="s">
        <v>21</v>
      </c>
      <c r="AF382" s="674" t="s">
        <v>21</v>
      </c>
      <c r="AG382" s="674" t="s">
        <v>21</v>
      </c>
      <c r="AH382" s="442" t="s">
        <v>21</v>
      </c>
      <c r="AI382" s="442" t="str">
        <f t="shared" ref="AI382:AI404" si="61">IF(SUM(AD382:AH382)=0,"",M382 - SUM(AD382:AH382))</f>
        <v/>
      </c>
      <c r="AK382" s="3" t="e">
        <f>IF(F382="", " ", VLOOKUP(F382,#REF!, 1, FALSE))</f>
        <v>#REF!</v>
      </c>
    </row>
    <row r="383" spans="1:37" ht="48" hidden="1" x14ac:dyDescent="0.25">
      <c r="A383" s="587" t="s">
        <v>1864</v>
      </c>
      <c r="B383" s="369" t="s">
        <v>39</v>
      </c>
      <c r="C383" s="588"/>
      <c r="D383" s="589" t="s">
        <v>3781</v>
      </c>
      <c r="E383" s="44" t="s">
        <v>27</v>
      </c>
      <c r="F383" s="214">
        <v>92923</v>
      </c>
      <c r="G383" s="587" t="s">
        <v>505</v>
      </c>
      <c r="H383" s="590" t="s">
        <v>54</v>
      </c>
      <c r="I383" s="591">
        <f>IF($F383="","",IF('TRECHO(S) A IMPRIMIR'!$B$1= 1, SUM(Q383, T383, W383, Z383), IF('TRECHO(S) A IMPRIMIR'!$B$1= 2, T383, IF('TRECHO(S) A IMPRIMIR'!$B$1= 3, W383, 0))))</f>
        <v>0</v>
      </c>
      <c r="J383" s="592">
        <v>12.32</v>
      </c>
      <c r="K383" s="593">
        <f t="shared" si="52"/>
        <v>0.2033513845915047</v>
      </c>
      <c r="L383" s="592">
        <f t="shared" si="59"/>
        <v>14.825289058167339</v>
      </c>
      <c r="M383" s="594">
        <f t="shared" si="60"/>
        <v>0</v>
      </c>
      <c r="O383" s="673"/>
      <c r="P383" s="361"/>
      <c r="Q383" s="441"/>
      <c r="R383" s="485"/>
      <c r="S383" s="442"/>
      <c r="T383" s="441">
        <f>(T385 * 0) * T$356</f>
        <v>0</v>
      </c>
      <c r="U383" s="485"/>
      <c r="V383" s="442"/>
      <c r="W383" s="441">
        <f>(W385 * 0) * W$356</f>
        <v>0</v>
      </c>
      <c r="X383" s="485"/>
      <c r="Y383" s="442"/>
      <c r="Z383" s="441"/>
      <c r="AA383" s="485"/>
      <c r="AB383" s="442"/>
      <c r="AC383" s="672"/>
      <c r="AD383" s="441" t="s">
        <v>21</v>
      </c>
      <c r="AE383" s="674" t="s">
        <v>21</v>
      </c>
      <c r="AF383" s="674" t="s">
        <v>21</v>
      </c>
      <c r="AG383" s="674" t="s">
        <v>21</v>
      </c>
      <c r="AH383" s="442" t="s">
        <v>21</v>
      </c>
      <c r="AI383" s="442" t="str">
        <f t="shared" si="61"/>
        <v/>
      </c>
      <c r="AK383" s="3" t="e">
        <f>IF(F383="", " ", VLOOKUP(F383,#REF!, 1, FALSE))</f>
        <v>#REF!</v>
      </c>
    </row>
    <row r="384" spans="1:37" ht="48" hidden="1" x14ac:dyDescent="0.25">
      <c r="A384" s="587" t="s">
        <v>1864</v>
      </c>
      <c r="B384" s="369" t="s">
        <v>39</v>
      </c>
      <c r="C384" s="588"/>
      <c r="D384" s="589" t="s">
        <v>3781</v>
      </c>
      <c r="E384" s="44" t="s">
        <v>27</v>
      </c>
      <c r="F384" s="214">
        <v>92924</v>
      </c>
      <c r="G384" s="587" t="s">
        <v>506</v>
      </c>
      <c r="H384" s="590" t="s">
        <v>54</v>
      </c>
      <c r="I384" s="591">
        <f>IF($F384="","",IF('TRECHO(S) A IMPRIMIR'!$B$1= 1, SUM(Q384, T384, W384, Z384), IF('TRECHO(S) A IMPRIMIR'!$B$1= 2, T384, IF('TRECHO(S) A IMPRIMIR'!$B$1= 3, W384, 0))))</f>
        <v>0</v>
      </c>
      <c r="J384" s="592">
        <v>12.01</v>
      </c>
      <c r="K384" s="593">
        <f t="shared" si="52"/>
        <v>0.2033513845915047</v>
      </c>
      <c r="L384" s="592">
        <f t="shared" si="59"/>
        <v>14.452250128943971</v>
      </c>
      <c r="M384" s="594">
        <f t="shared" si="60"/>
        <v>0</v>
      </c>
      <c r="O384" s="673"/>
      <c r="P384" s="361"/>
      <c r="Q384" s="441"/>
      <c r="R384" s="485"/>
      <c r="S384" s="442"/>
      <c r="T384" s="441">
        <f>(T385 * 0) * T$356</f>
        <v>0</v>
      </c>
      <c r="U384" s="485"/>
      <c r="V384" s="442"/>
      <c r="W384" s="441">
        <f>(W385 * 0) * W$356</f>
        <v>0</v>
      </c>
      <c r="X384" s="485"/>
      <c r="Y384" s="442"/>
      <c r="Z384" s="441"/>
      <c r="AA384" s="485"/>
      <c r="AB384" s="442"/>
      <c r="AC384" s="672"/>
      <c r="AD384" s="441" t="s">
        <v>21</v>
      </c>
      <c r="AE384" s="674" t="s">
        <v>21</v>
      </c>
      <c r="AF384" s="674" t="s">
        <v>21</v>
      </c>
      <c r="AG384" s="674" t="s">
        <v>21</v>
      </c>
      <c r="AH384" s="442" t="s">
        <v>21</v>
      </c>
      <c r="AI384" s="442" t="str">
        <f t="shared" si="61"/>
        <v/>
      </c>
      <c r="AK384" s="3" t="e">
        <f>IF(F384="", " ", VLOOKUP(F384,#REF!, 1, FALSE))</f>
        <v>#REF!</v>
      </c>
    </row>
    <row r="385" spans="1:37" ht="36" x14ac:dyDescent="0.25">
      <c r="A385" s="587" t="s">
        <v>1865</v>
      </c>
      <c r="B385" s="369" t="s">
        <v>28</v>
      </c>
      <c r="C385" s="588"/>
      <c r="D385" s="589" t="s">
        <v>3782</v>
      </c>
      <c r="E385" s="44" t="s">
        <v>27</v>
      </c>
      <c r="F385" s="214">
        <v>97095</v>
      </c>
      <c r="G385" s="587" t="s">
        <v>68</v>
      </c>
      <c r="H385" s="590" t="s">
        <v>44</v>
      </c>
      <c r="I385" s="591">
        <v>44.2</v>
      </c>
      <c r="J385" s="592">
        <v>393.09</v>
      </c>
      <c r="K385" s="593">
        <v>0.2033513845915047</v>
      </c>
      <c r="L385" s="592">
        <v>473.02539576907458</v>
      </c>
      <c r="M385" s="594">
        <v>20907.722492993096</v>
      </c>
      <c r="O385" s="673"/>
      <c r="P385" s="361"/>
      <c r="Q385" s="441"/>
      <c r="R385" s="485"/>
      <c r="S385" s="442"/>
      <c r="T385" s="441">
        <v>22.1</v>
      </c>
      <c r="U385" s="485"/>
      <c r="V385" s="442"/>
      <c r="W385" s="441">
        <v>22.1</v>
      </c>
      <c r="X385" s="485"/>
      <c r="Y385" s="442"/>
      <c r="Z385" s="441"/>
      <c r="AA385" s="485"/>
      <c r="AB385" s="442"/>
      <c r="AC385" s="672"/>
      <c r="AD385" s="441">
        <v>689.85006165031041</v>
      </c>
      <c r="AE385" s="674">
        <v>20213.085499534882</v>
      </c>
      <c r="AF385" s="674">
        <v>2.6594065599472261</v>
      </c>
      <c r="AG385" s="674">
        <v>0</v>
      </c>
      <c r="AH385" s="442">
        <v>2.1275252479577804</v>
      </c>
      <c r="AI385" s="442">
        <v>0</v>
      </c>
      <c r="AK385" s="3" t="e">
        <f>IF(F385="", " ", VLOOKUP(F385,#REF!, 1, FALSE))</f>
        <v>#REF!</v>
      </c>
    </row>
    <row r="386" spans="1:37" ht="24" x14ac:dyDescent="0.25">
      <c r="A386" s="587" t="s">
        <v>1884</v>
      </c>
      <c r="B386" s="369"/>
      <c r="C386" s="588"/>
      <c r="D386" s="589" t="s">
        <v>3783</v>
      </c>
      <c r="E386" s="44"/>
      <c r="F386" s="214"/>
      <c r="G386" s="587" t="s">
        <v>1884</v>
      </c>
      <c r="H386" s="590" t="s">
        <v>21</v>
      </c>
      <c r="I386" s="591" t="s">
        <v>21</v>
      </c>
      <c r="J386" s="592" t="s">
        <v>21</v>
      </c>
      <c r="K386" s="593" t="s">
        <v>21</v>
      </c>
      <c r="L386" s="592" t="s">
        <v>21</v>
      </c>
      <c r="M386" s="594">
        <v>300265.66419609729</v>
      </c>
      <c r="O386" s="673"/>
      <c r="P386" s="361"/>
      <c r="Q386" s="441"/>
      <c r="R386" s="485"/>
      <c r="S386" s="442"/>
      <c r="T386" s="441"/>
      <c r="U386" s="485"/>
      <c r="V386" s="442"/>
      <c r="W386" s="441"/>
      <c r="X386" s="485"/>
      <c r="Y386" s="442"/>
      <c r="Z386" s="441"/>
      <c r="AA386" s="485"/>
      <c r="AB386" s="442"/>
      <c r="AC386" s="672"/>
      <c r="AD386" s="441" t="s">
        <v>21</v>
      </c>
      <c r="AE386" s="674" t="s">
        <v>21</v>
      </c>
      <c r="AF386" s="674" t="s">
        <v>21</v>
      </c>
      <c r="AG386" s="674" t="s">
        <v>21</v>
      </c>
      <c r="AH386" s="442" t="s">
        <v>21</v>
      </c>
      <c r="AI386" s="442" t="s">
        <v>21</v>
      </c>
      <c r="AK386" s="3" t="str">
        <f>IF(F386="", " ", VLOOKUP(F386,#REF!, 1, FALSE))</f>
        <v xml:space="preserve"> </v>
      </c>
    </row>
    <row r="387" spans="1:37" x14ac:dyDescent="0.25">
      <c r="A387" s="587" t="s">
        <v>1873</v>
      </c>
      <c r="B387" s="369" t="s">
        <v>20</v>
      </c>
      <c r="C387" s="588"/>
      <c r="D387" s="589" t="s">
        <v>3784</v>
      </c>
      <c r="E387" s="44" t="s">
        <v>27</v>
      </c>
      <c r="F387" s="214" t="s">
        <v>568</v>
      </c>
      <c r="G387" s="587" t="s">
        <v>74</v>
      </c>
      <c r="H387" s="590" t="s">
        <v>51</v>
      </c>
      <c r="I387" s="591">
        <v>666.93119999999999</v>
      </c>
      <c r="J387" s="592">
        <v>6.44</v>
      </c>
      <c r="K387" s="593">
        <v>0.2033513845915047</v>
      </c>
      <c r="L387" s="592">
        <v>7.7495829167692909</v>
      </c>
      <c r="M387" s="594">
        <v>5168.4386341804429</v>
      </c>
      <c r="O387" s="673"/>
      <c r="P387" s="361"/>
      <c r="Q387" s="441"/>
      <c r="R387" s="485"/>
      <c r="S387" s="442"/>
      <c r="T387" s="441">
        <v>564.32640000000004</v>
      </c>
      <c r="U387" s="485"/>
      <c r="V387" s="442"/>
      <c r="W387" s="441">
        <v>102.6048</v>
      </c>
      <c r="X387" s="485"/>
      <c r="Y387" s="442"/>
      <c r="Z387" s="441"/>
      <c r="AA387" s="485"/>
      <c r="AB387" s="442"/>
      <c r="AC387" s="672"/>
      <c r="AD387" s="441">
        <v>176.56156824840022</v>
      </c>
      <c r="AE387" s="674">
        <v>4991.8770659320426</v>
      </c>
      <c r="AF387" s="674">
        <v>0</v>
      </c>
      <c r="AG387" s="674">
        <v>0</v>
      </c>
      <c r="AH387" s="442">
        <v>0</v>
      </c>
      <c r="AI387" s="442">
        <v>0</v>
      </c>
      <c r="AK387" s="3" t="e">
        <f>IF(F387="", " ", VLOOKUP(F387,#REF!, 1, FALSE))</f>
        <v>#REF!</v>
      </c>
    </row>
    <row r="388" spans="1:37" ht="48" x14ac:dyDescent="0.25">
      <c r="A388" s="587" t="s">
        <v>1874</v>
      </c>
      <c r="B388" s="369" t="s">
        <v>28</v>
      </c>
      <c r="C388" s="588"/>
      <c r="D388" s="589" t="s">
        <v>3785</v>
      </c>
      <c r="E388" s="44" t="s">
        <v>27</v>
      </c>
      <c r="F388" s="214">
        <v>92749</v>
      </c>
      <c r="G388" s="587" t="s">
        <v>608</v>
      </c>
      <c r="H388" s="590" t="s">
        <v>44</v>
      </c>
      <c r="I388" s="591">
        <v>176.92999999999998</v>
      </c>
      <c r="J388" s="592">
        <v>808.67</v>
      </c>
      <c r="K388" s="593">
        <v>0.2033513845915047</v>
      </c>
      <c r="L388" s="592">
        <v>973.11416417761211</v>
      </c>
      <c r="M388" s="594">
        <v>172173.08906794488</v>
      </c>
      <c r="O388" s="673"/>
      <c r="P388" s="361"/>
      <c r="Q388" s="441"/>
      <c r="R388" s="485">
        <v>1.65</v>
      </c>
      <c r="S388" s="442"/>
      <c r="T388" s="441">
        <v>149.70999999999998</v>
      </c>
      <c r="U388" s="485">
        <v>1.65</v>
      </c>
      <c r="V388" s="442"/>
      <c r="W388" s="441">
        <v>27.22</v>
      </c>
      <c r="X388" s="485">
        <v>1.65</v>
      </c>
      <c r="Y388" s="442"/>
      <c r="Z388" s="441"/>
      <c r="AA388" s="485">
        <v>1.65</v>
      </c>
      <c r="AB388" s="442"/>
      <c r="AC388" s="672"/>
      <c r="AD388" s="441">
        <v>19251.228206219566</v>
      </c>
      <c r="AE388" s="674">
        <v>145108.10201226437</v>
      </c>
      <c r="AF388" s="674">
        <v>7813.7588494609399</v>
      </c>
      <c r="AG388" s="674">
        <v>0</v>
      </c>
      <c r="AH388" s="442">
        <v>0</v>
      </c>
      <c r="AI388" s="442">
        <v>0</v>
      </c>
      <c r="AK388" s="3" t="e">
        <f>IF(F388="", " ", VLOOKUP(F388,#REF!, 1, FALSE))</f>
        <v>#REF!</v>
      </c>
    </row>
    <row r="389" spans="1:37" ht="48" x14ac:dyDescent="0.25">
      <c r="A389" s="587" t="s">
        <v>1394</v>
      </c>
      <c r="B389" s="369" t="s">
        <v>20</v>
      </c>
      <c r="C389" s="588"/>
      <c r="D389" s="589" t="s">
        <v>3786</v>
      </c>
      <c r="E389" s="44" t="s">
        <v>27</v>
      </c>
      <c r="F389" s="214">
        <v>92757</v>
      </c>
      <c r="G389" s="587" t="s">
        <v>73</v>
      </c>
      <c r="H389" s="590" t="s">
        <v>51</v>
      </c>
      <c r="I389" s="591">
        <v>306.53999999999996</v>
      </c>
      <c r="J389" s="592">
        <v>267.85000000000002</v>
      </c>
      <c r="K389" s="593">
        <v>0.2033513845915047</v>
      </c>
      <c r="L389" s="592">
        <v>322.31766836283458</v>
      </c>
      <c r="M389" s="594">
        <v>98803.258059943299</v>
      </c>
      <c r="N389" s="439"/>
      <c r="O389" s="673"/>
      <c r="P389" s="361"/>
      <c r="Q389" s="441"/>
      <c r="R389" s="794">
        <v>0.49499999999999994</v>
      </c>
      <c r="S389" s="442"/>
      <c r="T389" s="441">
        <v>259.38</v>
      </c>
      <c r="U389" s="794">
        <v>0.49499999999999994</v>
      </c>
      <c r="V389" s="442"/>
      <c r="W389" s="441">
        <v>47.16</v>
      </c>
      <c r="X389" s="794">
        <v>0.49499999999999994</v>
      </c>
      <c r="Y389" s="442"/>
      <c r="Z389" s="441"/>
      <c r="AA389" s="794">
        <v>0.49499999999999994</v>
      </c>
      <c r="AB389" s="442"/>
      <c r="AC389" s="672"/>
      <c r="AD389" s="441">
        <v>15621.87037087399</v>
      </c>
      <c r="AE389" s="674">
        <v>76633.850520639229</v>
      </c>
      <c r="AF389" s="674">
        <v>6547.5371684300662</v>
      </c>
      <c r="AG389" s="674">
        <v>0</v>
      </c>
      <c r="AH389" s="442">
        <v>0</v>
      </c>
      <c r="AI389" s="442">
        <v>1.4551915228366852E-11</v>
      </c>
      <c r="AK389" s="3" t="e">
        <f>IF(F389="", " ", VLOOKUP(F389,#REF!, 1, FALSE))</f>
        <v>#REF!</v>
      </c>
    </row>
    <row r="390" spans="1:37" ht="36" x14ac:dyDescent="0.25">
      <c r="A390" s="587" t="s">
        <v>2911</v>
      </c>
      <c r="B390" s="369" t="s">
        <v>25</v>
      </c>
      <c r="C390" s="588"/>
      <c r="D390" s="589" t="s">
        <v>3791</v>
      </c>
      <c r="E390" s="44" t="s">
        <v>27</v>
      </c>
      <c r="F390" s="214">
        <v>95879</v>
      </c>
      <c r="G390" s="587" t="s">
        <v>789</v>
      </c>
      <c r="H390" s="590" t="s">
        <v>42</v>
      </c>
      <c r="I390" s="591">
        <v>13310.153999999999</v>
      </c>
      <c r="J390" s="592">
        <v>1.04</v>
      </c>
      <c r="K390" s="593">
        <v>0.2033513845915047</v>
      </c>
      <c r="L390" s="592">
        <v>1.2514854399751649</v>
      </c>
      <c r="M390" s="594">
        <v>16657.463934827199</v>
      </c>
      <c r="N390" s="439"/>
      <c r="O390" s="673"/>
      <c r="P390" s="361"/>
      <c r="Q390" s="441">
        <v>0</v>
      </c>
      <c r="R390" s="485"/>
      <c r="S390" s="442">
        <v>0</v>
      </c>
      <c r="T390" s="441">
        <v>11262.437999999998</v>
      </c>
      <c r="U390" s="485"/>
      <c r="V390" s="442">
        <v>30</v>
      </c>
      <c r="W390" s="578">
        <v>2047.7159999999999</v>
      </c>
      <c r="X390" s="485"/>
      <c r="Y390" s="442">
        <v>30</v>
      </c>
      <c r="Z390" s="441">
        <v>0</v>
      </c>
      <c r="AA390" s="485"/>
      <c r="AB390" s="442">
        <v>0</v>
      </c>
      <c r="AC390" s="672"/>
      <c r="AD390" s="441">
        <v>1121.1754571518309</v>
      </c>
      <c r="AE390" s="674">
        <v>9610.0753470156906</v>
      </c>
      <c r="AF390" s="674">
        <v>5926.2131306596766</v>
      </c>
      <c r="AG390" s="674">
        <v>0</v>
      </c>
      <c r="AH390" s="442">
        <v>0</v>
      </c>
      <c r="AI390" s="442">
        <v>3.637978807091713E-12</v>
      </c>
      <c r="AK390" s="3" t="e">
        <f>IF(F390="", " ", VLOOKUP(F390,#REF!, 1, FALSE))</f>
        <v>#REF!</v>
      </c>
    </row>
    <row r="391" spans="1:37" ht="36" x14ac:dyDescent="0.25">
      <c r="A391" s="587" t="s">
        <v>2912</v>
      </c>
      <c r="B391" s="369" t="s">
        <v>25</v>
      </c>
      <c r="C391" s="588"/>
      <c r="D391" s="589" t="s">
        <v>3792</v>
      </c>
      <c r="E391" s="44" t="s">
        <v>27</v>
      </c>
      <c r="F391" s="214">
        <v>93599</v>
      </c>
      <c r="G391" s="587" t="s">
        <v>788</v>
      </c>
      <c r="H391" s="590" t="s">
        <v>42</v>
      </c>
      <c r="I391" s="591">
        <v>11979.138599999998</v>
      </c>
      <c r="J391" s="592">
        <v>0.41</v>
      </c>
      <c r="K391" s="593">
        <v>0.2033513845915047</v>
      </c>
      <c r="L391" s="592">
        <v>0.4933740676825169</v>
      </c>
      <c r="M391" s="594">
        <v>5910.1963384146502</v>
      </c>
      <c r="N391" s="439"/>
      <c r="O391" s="673"/>
      <c r="P391" s="361"/>
      <c r="Q391" s="441">
        <v>0</v>
      </c>
      <c r="R391" s="485"/>
      <c r="S391" s="442">
        <v>0</v>
      </c>
      <c r="T391" s="441">
        <v>10136.194199999998</v>
      </c>
      <c r="U391" s="485"/>
      <c r="V391" s="442">
        <v>27</v>
      </c>
      <c r="W391" s="578">
        <v>1842.9443999999999</v>
      </c>
      <c r="X391" s="485"/>
      <c r="Y391" s="442">
        <v>27</v>
      </c>
      <c r="Z391" s="441">
        <v>0</v>
      </c>
      <c r="AA391" s="485"/>
      <c r="AB391" s="442">
        <v>0</v>
      </c>
      <c r="AC391" s="672"/>
      <c r="AD391" s="441">
        <v>288.30226041047075</v>
      </c>
      <c r="AE391" s="674">
        <v>3603.7782551308842</v>
      </c>
      <c r="AF391" s="674">
        <v>2018.1158228732952</v>
      </c>
      <c r="AG391" s="674">
        <v>0</v>
      </c>
      <c r="AH391" s="442">
        <v>0</v>
      </c>
      <c r="AI391" s="442">
        <v>0</v>
      </c>
      <c r="AK391" s="3" t="e">
        <f>IF(F391="", " ", VLOOKUP(F391,#REF!, 1, FALSE))</f>
        <v>#REF!</v>
      </c>
    </row>
    <row r="392" spans="1:37" ht="36" x14ac:dyDescent="0.25">
      <c r="A392" s="587" t="s">
        <v>2913</v>
      </c>
      <c r="B392" s="369" t="s">
        <v>25</v>
      </c>
      <c r="C392" s="588"/>
      <c r="D392" s="589" t="s">
        <v>3793</v>
      </c>
      <c r="E392" s="44" t="s">
        <v>27</v>
      </c>
      <c r="F392" s="214">
        <v>100943</v>
      </c>
      <c r="G392" s="587" t="s">
        <v>786</v>
      </c>
      <c r="H392" s="590" t="s">
        <v>42</v>
      </c>
      <c r="I392" s="591">
        <v>416.36891999999995</v>
      </c>
      <c r="J392" s="592">
        <v>3.1</v>
      </c>
      <c r="K392" s="593">
        <v>0.2033513845915047</v>
      </c>
      <c r="L392" s="592">
        <v>3.7303892922336646</v>
      </c>
      <c r="M392" s="594">
        <v>1553.2181607868952</v>
      </c>
      <c r="N392" s="439"/>
      <c r="O392" s="673"/>
      <c r="P392" s="361"/>
      <c r="Q392" s="441">
        <v>0</v>
      </c>
      <c r="R392" s="485"/>
      <c r="S392" s="442">
        <v>0</v>
      </c>
      <c r="T392" s="441">
        <v>375.41459999999995</v>
      </c>
      <c r="U392" s="485"/>
      <c r="V392" s="442">
        <v>1</v>
      </c>
      <c r="W392" s="578">
        <v>40.954319999999996</v>
      </c>
      <c r="X392" s="485"/>
      <c r="Y392" s="442">
        <v>0.6</v>
      </c>
      <c r="Z392" s="441">
        <v>0</v>
      </c>
      <c r="AA392" s="485"/>
      <c r="AB392" s="442">
        <v>0</v>
      </c>
      <c r="AC392" s="672"/>
      <c r="AD392" s="441">
        <v>110.22838560423128</v>
      </c>
      <c r="AE392" s="674">
        <v>866.79594134236402</v>
      </c>
      <c r="AF392" s="674">
        <v>576.1938338402997</v>
      </c>
      <c r="AG392" s="674">
        <v>0</v>
      </c>
      <c r="AH392" s="442">
        <v>0</v>
      </c>
      <c r="AI392" s="442">
        <v>2.2737367544323206E-13</v>
      </c>
      <c r="AK392" s="3" t="e">
        <f>IF(F392="", " ", VLOOKUP(F392,#REF!, 1, FALSE))</f>
        <v>#REF!</v>
      </c>
    </row>
    <row r="393" spans="1:37" x14ac:dyDescent="0.25">
      <c r="A393" s="587"/>
      <c r="B393" s="369"/>
      <c r="C393" s="588"/>
      <c r="D393" s="589"/>
      <c r="E393" s="44"/>
      <c r="F393" s="214"/>
      <c r="G393" s="587" t="s">
        <v>21</v>
      </c>
      <c r="H393" s="590" t="s">
        <v>21</v>
      </c>
      <c r="I393" s="591" t="s">
        <v>21</v>
      </c>
      <c r="J393" s="592" t="s">
        <v>21</v>
      </c>
      <c r="K393" s="593" t="s">
        <v>21</v>
      </c>
      <c r="L393" s="592" t="s">
        <v>21</v>
      </c>
      <c r="M393" s="594" t="s">
        <v>21</v>
      </c>
      <c r="N393" s="439"/>
      <c r="O393" s="673"/>
      <c r="P393" s="361"/>
      <c r="Q393" s="441"/>
      <c r="R393" s="485"/>
      <c r="S393" s="442"/>
      <c r="T393" s="441"/>
      <c r="U393" s="485"/>
      <c r="V393" s="442"/>
      <c r="W393" s="578"/>
      <c r="X393" s="485"/>
      <c r="Y393" s="442"/>
      <c r="Z393" s="441"/>
      <c r="AA393" s="485"/>
      <c r="AB393" s="442"/>
      <c r="AC393" s="672"/>
      <c r="AD393" s="441" t="s">
        <v>21</v>
      </c>
      <c r="AE393" s="674" t="s">
        <v>21</v>
      </c>
      <c r="AF393" s="674" t="s">
        <v>21</v>
      </c>
      <c r="AG393" s="674" t="s">
        <v>21</v>
      </c>
      <c r="AH393" s="442" t="s">
        <v>21</v>
      </c>
      <c r="AI393" s="442" t="str">
        <f t="shared" si="61"/>
        <v/>
      </c>
      <c r="AK393" s="3" t="str">
        <f>IF(F393="", " ", VLOOKUP(F393,#REF!, 1, FALSE))</f>
        <v xml:space="preserve"> </v>
      </c>
    </row>
    <row r="394" spans="1:37" ht="33.75" x14ac:dyDescent="0.25">
      <c r="A394" s="1708" t="s">
        <v>3802</v>
      </c>
      <c r="B394" s="369"/>
      <c r="C394" s="588"/>
      <c r="D394" s="589" t="s">
        <v>3787</v>
      </c>
      <c r="E394" s="44"/>
      <c r="F394" s="214"/>
      <c r="G394" s="587" t="s">
        <v>3802</v>
      </c>
      <c r="H394" s="590" t="s">
        <v>21</v>
      </c>
      <c r="I394" s="591" t="s">
        <v>21</v>
      </c>
      <c r="J394" s="592" t="s">
        <v>21</v>
      </c>
      <c r="K394" s="593" t="s">
        <v>21</v>
      </c>
      <c r="L394" s="592" t="s">
        <v>21</v>
      </c>
      <c r="M394" s="594">
        <v>382818.32438443525</v>
      </c>
      <c r="N394" s="439"/>
      <c r="O394" s="673" t="s">
        <v>3790</v>
      </c>
      <c r="P394" s="361"/>
      <c r="Q394" s="441"/>
      <c r="R394" s="485"/>
      <c r="S394" s="442"/>
      <c r="T394" s="441">
        <v>16</v>
      </c>
      <c r="U394" s="485"/>
      <c r="V394" s="442"/>
      <c r="W394" s="578"/>
      <c r="X394" s="485"/>
      <c r="Y394" s="442"/>
      <c r="Z394" s="441"/>
      <c r="AA394" s="485"/>
      <c r="AB394" s="442"/>
      <c r="AC394" s="672"/>
      <c r="AD394" s="441" t="s">
        <v>21</v>
      </c>
      <c r="AE394" s="674" t="s">
        <v>21</v>
      </c>
      <c r="AF394" s="674" t="s">
        <v>21</v>
      </c>
      <c r="AG394" s="674" t="s">
        <v>21</v>
      </c>
      <c r="AH394" s="442" t="s">
        <v>21</v>
      </c>
      <c r="AI394" s="442" t="s">
        <v>21</v>
      </c>
      <c r="AK394" s="3" t="str">
        <f>IF(F394="", " ", VLOOKUP(F394,#REF!, 1, FALSE))</f>
        <v xml:space="preserve"> </v>
      </c>
    </row>
    <row r="395" spans="1:37" ht="72" x14ac:dyDescent="0.25">
      <c r="A395" s="587" t="s">
        <v>1111</v>
      </c>
      <c r="B395" s="369" t="s">
        <v>28</v>
      </c>
      <c r="C395" s="588"/>
      <c r="D395" s="589" t="s">
        <v>3788</v>
      </c>
      <c r="E395" s="44" t="s">
        <v>27</v>
      </c>
      <c r="F395" s="214">
        <v>90091</v>
      </c>
      <c r="G395" s="587" t="s">
        <v>1298</v>
      </c>
      <c r="H395" s="590" t="s">
        <v>44</v>
      </c>
      <c r="I395" s="591">
        <v>1440</v>
      </c>
      <c r="J395" s="592">
        <v>4.34</v>
      </c>
      <c r="K395" s="593">
        <v>0.2033513845915047</v>
      </c>
      <c r="L395" s="592">
        <v>5.2225450091271304</v>
      </c>
      <c r="M395" s="594">
        <v>7520.4648131430677</v>
      </c>
      <c r="N395" s="439"/>
      <c r="O395" s="673"/>
      <c r="P395" s="361"/>
      <c r="Q395" s="441"/>
      <c r="R395" s="485"/>
      <c r="S395" s="442"/>
      <c r="T395" s="441">
        <v>1440</v>
      </c>
      <c r="U395" s="485">
        <v>1.0923072445820432</v>
      </c>
      <c r="V395" s="442"/>
      <c r="W395" s="578"/>
      <c r="X395" s="485"/>
      <c r="Y395" s="442"/>
      <c r="Z395" s="441"/>
      <c r="AA395" s="485"/>
      <c r="AB395" s="442"/>
      <c r="AC395" s="672"/>
      <c r="AD395" s="441">
        <v>1836.795553440473</v>
      </c>
      <c r="AE395" s="674">
        <v>2114.0477124503554</v>
      </c>
      <c r="AF395" s="674">
        <v>3569.6215472522395</v>
      </c>
      <c r="AG395" s="674">
        <v>0</v>
      </c>
      <c r="AH395" s="442">
        <v>0</v>
      </c>
      <c r="AI395" s="442">
        <v>0</v>
      </c>
      <c r="AK395" s="3" t="e">
        <f>IF(F395="", " ", VLOOKUP(F395,#REF!, 1, FALSE))</f>
        <v>#REF!</v>
      </c>
    </row>
    <row r="396" spans="1:37" ht="48" x14ac:dyDescent="0.25">
      <c r="A396" s="587" t="s">
        <v>3798</v>
      </c>
      <c r="B396" s="369" t="s">
        <v>23</v>
      </c>
      <c r="C396" s="588"/>
      <c r="D396" s="589" t="s">
        <v>3803</v>
      </c>
      <c r="E396" s="44" t="s">
        <v>27</v>
      </c>
      <c r="F396" s="214">
        <v>100995</v>
      </c>
      <c r="G396" s="587" t="s">
        <v>773</v>
      </c>
      <c r="H396" s="590" t="s">
        <v>55</v>
      </c>
      <c r="I396" s="591">
        <v>1572.9224321981421</v>
      </c>
      <c r="J396" s="592">
        <v>3.11</v>
      </c>
      <c r="K396" s="593">
        <v>0.2033513845915047</v>
      </c>
      <c r="L396" s="592">
        <v>3.7424228060795794</v>
      </c>
      <c r="M396" s="594">
        <v>5886.5407824524882</v>
      </c>
      <c r="N396" s="439"/>
      <c r="O396" s="673"/>
      <c r="P396" s="361"/>
      <c r="Q396" s="441"/>
      <c r="R396" s="485"/>
      <c r="S396" s="442"/>
      <c r="T396" s="441">
        <v>1572.9224321981421</v>
      </c>
      <c r="U396" s="485"/>
      <c r="V396" s="442"/>
      <c r="W396" s="578"/>
      <c r="X396" s="485"/>
      <c r="Y396" s="442"/>
      <c r="Z396" s="441"/>
      <c r="AA396" s="485"/>
      <c r="AB396" s="442"/>
      <c r="AC396" s="672"/>
      <c r="AD396" s="441">
        <v>586.76129985860814</v>
      </c>
      <c r="AE396" s="674">
        <v>2763.4564444953799</v>
      </c>
      <c r="AF396" s="674">
        <v>2536.3230380984996</v>
      </c>
      <c r="AG396" s="674">
        <v>0</v>
      </c>
      <c r="AH396" s="442">
        <v>0</v>
      </c>
      <c r="AI396" s="442">
        <v>0</v>
      </c>
      <c r="AK396" s="3" t="e">
        <f>IF(F396="", " ", VLOOKUP(F396,#REF!, 1, FALSE))</f>
        <v>#REF!</v>
      </c>
    </row>
    <row r="397" spans="1:37" ht="36" x14ac:dyDescent="0.25">
      <c r="A397" s="587" t="s">
        <v>1851</v>
      </c>
      <c r="B397" s="369" t="s">
        <v>25</v>
      </c>
      <c r="C397" s="588"/>
      <c r="D397" s="589" t="s">
        <v>3804</v>
      </c>
      <c r="E397" s="44" t="s">
        <v>27</v>
      </c>
      <c r="F397" s="214">
        <v>95879</v>
      </c>
      <c r="G397" s="587" t="s">
        <v>789</v>
      </c>
      <c r="H397" s="590" t="s">
        <v>42</v>
      </c>
      <c r="I397" s="591">
        <v>26949.404338328168</v>
      </c>
      <c r="J397" s="592">
        <v>1.04</v>
      </c>
      <c r="K397" s="593">
        <v>0.2033513845915047</v>
      </c>
      <c r="L397" s="592">
        <v>1.2514854399751649</v>
      </c>
      <c r="M397" s="594">
        <v>33726.787145421244</v>
      </c>
      <c r="N397" s="439"/>
      <c r="O397" s="673"/>
      <c r="P397" s="361"/>
      <c r="Q397" s="441"/>
      <c r="R397" s="485"/>
      <c r="S397" s="442"/>
      <c r="T397" s="441">
        <v>26949.404338328168</v>
      </c>
      <c r="U397" s="485"/>
      <c r="V397" s="442">
        <v>17.133333333333333</v>
      </c>
      <c r="W397" s="578"/>
      <c r="X397" s="485"/>
      <c r="Y397" s="442"/>
      <c r="Z397" s="441"/>
      <c r="AA397" s="485"/>
      <c r="AB397" s="442"/>
      <c r="AC397" s="672"/>
      <c r="AD397" s="441">
        <v>2270.0722117110454</v>
      </c>
      <c r="AE397" s="674">
        <v>19457.761814666104</v>
      </c>
      <c r="AF397" s="674">
        <v>11998.953119044096</v>
      </c>
      <c r="AG397" s="674">
        <v>0</v>
      </c>
      <c r="AH397" s="442">
        <v>0</v>
      </c>
      <c r="AI397" s="442">
        <v>0</v>
      </c>
      <c r="AK397" s="3" t="e">
        <f>IF(F397="", " ", VLOOKUP(F397,#REF!, 1, FALSE))</f>
        <v>#REF!</v>
      </c>
    </row>
    <row r="398" spans="1:37" ht="36" hidden="1" x14ac:dyDescent="0.25">
      <c r="A398" s="587" t="s">
        <v>1976</v>
      </c>
      <c r="B398" s="369" t="s">
        <v>25</v>
      </c>
      <c r="C398" s="588"/>
      <c r="D398" s="589" t="s">
        <v>3805</v>
      </c>
      <c r="E398" s="44" t="s">
        <v>27</v>
      </c>
      <c r="F398" s="214">
        <v>93599</v>
      </c>
      <c r="G398" s="587" t="s">
        <v>788</v>
      </c>
      <c r="H398" s="590" t="s">
        <v>42</v>
      </c>
      <c r="I398" s="591">
        <f>IF($F398="","",IF('TRECHO(S) A IMPRIMIR'!$B$1= 1, SUM(Q398, T398, W398, Z398), IF('TRECHO(S) A IMPRIMIR'!$B$1= 2, T398, IF('TRECHO(S) A IMPRIMIR'!$B$1= 3, W398, 0))))</f>
        <v>0</v>
      </c>
      <c r="J398" s="592">
        <v>0.41</v>
      </c>
      <c r="K398" s="593">
        <f t="shared" si="52"/>
        <v>0.2033513845915047</v>
      </c>
      <c r="L398" s="592">
        <f t="shared" ref="L394:L402" si="62">IF(J398="","",
  IF(AND(J398&lt;&gt;"",K398=""),J398,J398 * (1 + K398)))</f>
        <v>0.4933740676825169</v>
      </c>
      <c r="M398" s="594">
        <f t="shared" ref="M395:M402" si="63">IF(OR(I398="",L398=""),"",I398*L398)</f>
        <v>0</v>
      </c>
      <c r="N398" s="439"/>
      <c r="O398" s="673"/>
      <c r="P398" s="361"/>
      <c r="Q398" s="441"/>
      <c r="R398" s="485"/>
      <c r="S398" s="442"/>
      <c r="T398" s="441">
        <f>T396 * V398</f>
        <v>0</v>
      </c>
      <c r="U398" s="485"/>
      <c r="V398" s="442">
        <f>IF('MLQ-DMT-TR1'!$E$15 &gt; 30, 'MLQ-DMT-TR1'!$E$15 - 30, 0)</f>
        <v>0</v>
      </c>
      <c r="W398" s="578"/>
      <c r="X398" s="485"/>
      <c r="Y398" s="442"/>
      <c r="Z398" s="441"/>
      <c r="AA398" s="485"/>
      <c r="AB398" s="442"/>
      <c r="AC398" s="672"/>
      <c r="AD398" s="441" t="s">
        <v>21</v>
      </c>
      <c r="AE398" s="674" t="s">
        <v>21</v>
      </c>
      <c r="AF398" s="674" t="s">
        <v>21</v>
      </c>
      <c r="AG398" s="674" t="s">
        <v>21</v>
      </c>
      <c r="AH398" s="442" t="s">
        <v>21</v>
      </c>
      <c r="AI398" s="442" t="str">
        <f t="shared" ref="AI394:AI402" si="64">IF(SUM(AD398:AH398)=0,"",M398 - SUM(AD398:AH398))</f>
        <v/>
      </c>
      <c r="AK398" s="3" t="e">
        <f>IF(F398="", " ", VLOOKUP(F398,#REF!, 1, FALSE))</f>
        <v>#REF!</v>
      </c>
    </row>
    <row r="399" spans="1:37" ht="36" x14ac:dyDescent="0.25">
      <c r="A399" s="587" t="s">
        <v>3799</v>
      </c>
      <c r="B399" s="369" t="s">
        <v>20</v>
      </c>
      <c r="C399" s="588"/>
      <c r="D399" s="589" t="s">
        <v>3806</v>
      </c>
      <c r="E399" s="44" t="s">
        <v>27</v>
      </c>
      <c r="F399" s="214">
        <v>101617</v>
      </c>
      <c r="G399" s="587" t="s">
        <v>1166</v>
      </c>
      <c r="H399" s="590" t="s">
        <v>51</v>
      </c>
      <c r="I399" s="591">
        <v>960</v>
      </c>
      <c r="J399" s="592">
        <v>2.61</v>
      </c>
      <c r="K399" s="593">
        <v>0.2033513845915047</v>
      </c>
      <c r="L399" s="592">
        <v>3.140747113783827</v>
      </c>
      <c r="M399" s="594">
        <v>3015.1172292324741</v>
      </c>
      <c r="N399" s="439"/>
      <c r="O399" s="673"/>
      <c r="P399" s="361"/>
      <c r="Q399" s="441"/>
      <c r="R399" s="485"/>
      <c r="S399" s="442"/>
      <c r="T399" s="441">
        <v>960</v>
      </c>
      <c r="U399" s="485"/>
      <c r="V399" s="442"/>
      <c r="W399" s="578"/>
      <c r="X399" s="485"/>
      <c r="Y399" s="442"/>
      <c r="Z399" s="441"/>
      <c r="AA399" s="485"/>
      <c r="AB399" s="442"/>
      <c r="AC399" s="672"/>
      <c r="AD399" s="441">
        <v>2171.8085789107477</v>
      </c>
      <c r="AE399" s="674">
        <v>843.30865032172642</v>
      </c>
      <c r="AF399" s="674">
        <v>0</v>
      </c>
      <c r="AG399" s="674">
        <v>0</v>
      </c>
      <c r="AH399" s="442">
        <v>0</v>
      </c>
      <c r="AI399" s="442">
        <v>0</v>
      </c>
      <c r="AK399" s="3" t="e">
        <f>IF(F399="", " ", VLOOKUP(F399,#REF!, 1, FALSE))</f>
        <v>#REF!</v>
      </c>
    </row>
    <row r="400" spans="1:37" x14ac:dyDescent="0.25">
      <c r="A400" s="587" t="s">
        <v>2731</v>
      </c>
      <c r="B400" s="369" t="s">
        <v>20</v>
      </c>
      <c r="C400" s="588"/>
      <c r="D400" s="589" t="s">
        <v>3807</v>
      </c>
      <c r="E400" s="44" t="s">
        <v>27</v>
      </c>
      <c r="F400" s="214" t="s">
        <v>568</v>
      </c>
      <c r="G400" s="587" t="s">
        <v>74</v>
      </c>
      <c r="H400" s="590" t="s">
        <v>51</v>
      </c>
      <c r="I400" s="591">
        <v>2496</v>
      </c>
      <c r="J400" s="592">
        <v>6.44</v>
      </c>
      <c r="K400" s="593">
        <v>0.2033513845915047</v>
      </c>
      <c r="L400" s="592">
        <v>7.7495829167692909</v>
      </c>
      <c r="M400" s="594">
        <v>19342.95896025615</v>
      </c>
      <c r="N400" s="439"/>
      <c r="O400" s="673" t="s">
        <v>3801</v>
      </c>
      <c r="P400" s="361"/>
      <c r="Q400" s="441"/>
      <c r="R400" s="485"/>
      <c r="S400" s="442"/>
      <c r="T400" s="441">
        <v>2496</v>
      </c>
      <c r="U400" s="485"/>
      <c r="V400" s="442"/>
      <c r="W400" s="578"/>
      <c r="X400" s="485"/>
      <c r="Y400" s="442"/>
      <c r="Z400" s="441"/>
      <c r="AA400" s="485"/>
      <c r="AB400" s="442"/>
      <c r="AC400" s="672"/>
      <c r="AD400" s="441">
        <v>660.78431230688705</v>
      </c>
      <c r="AE400" s="674">
        <v>18682.174647949261</v>
      </c>
      <c r="AF400" s="674">
        <v>0</v>
      </c>
      <c r="AG400" s="674">
        <v>0</v>
      </c>
      <c r="AH400" s="442">
        <v>0</v>
      </c>
      <c r="AI400" s="442">
        <v>0</v>
      </c>
      <c r="AK400" s="3" t="e">
        <f>IF(F400="", " ", VLOOKUP(F400,#REF!, 1, FALSE))</f>
        <v>#REF!</v>
      </c>
    </row>
    <row r="401" spans="1:37" ht="24" x14ac:dyDescent="0.25">
      <c r="A401" s="587" t="s">
        <v>3800</v>
      </c>
      <c r="B401" s="369" t="s">
        <v>28</v>
      </c>
      <c r="C401" s="588"/>
      <c r="D401" s="589" t="s">
        <v>3808</v>
      </c>
      <c r="E401" s="44" t="s">
        <v>138</v>
      </c>
      <c r="F401" s="214" t="s">
        <v>3794</v>
      </c>
      <c r="G401" s="587" t="s">
        <v>3796</v>
      </c>
      <c r="H401" s="590" t="s">
        <v>44</v>
      </c>
      <c r="I401" s="591">
        <v>1440</v>
      </c>
      <c r="J401" s="592">
        <v>180.81818749999999</v>
      </c>
      <c r="K401" s="593">
        <v>0.2033513845915047</v>
      </c>
      <c r="L401" s="592">
        <v>217.58781628745129</v>
      </c>
      <c r="M401" s="594">
        <v>313326.45545392984</v>
      </c>
      <c r="N401" s="439"/>
      <c r="O401" s="673"/>
      <c r="P401" s="361"/>
      <c r="Q401" s="441"/>
      <c r="R401" s="485">
        <v>1.65</v>
      </c>
      <c r="S401" s="442"/>
      <c r="T401" s="441">
        <v>1440</v>
      </c>
      <c r="U401" s="485">
        <v>1.65</v>
      </c>
      <c r="V401" s="442"/>
      <c r="W401" s="578"/>
      <c r="X401" s="485">
        <v>1.65</v>
      </c>
      <c r="Y401" s="442"/>
      <c r="Z401" s="441"/>
      <c r="AA401" s="485">
        <v>1.65</v>
      </c>
      <c r="AB401" s="442"/>
      <c r="AC401" s="672"/>
      <c r="AD401" s="441">
        <v>32018.562621511956</v>
      </c>
      <c r="AE401" s="674">
        <v>262102.27881564869</v>
      </c>
      <c r="AF401" s="674">
        <v>19205.614016769297</v>
      </c>
      <c r="AG401" s="674">
        <v>0</v>
      </c>
      <c r="AH401" s="442">
        <v>-1.5390586527990339E-12</v>
      </c>
      <c r="AI401" s="442">
        <v>-5.8207660913467407E-11</v>
      </c>
      <c r="AK401" s="3" t="e">
        <f>IF(F401="", " ", VLOOKUP(F401,#REF!, 1, FALSE))</f>
        <v>#REF!</v>
      </c>
    </row>
    <row r="402" spans="1:37" x14ac:dyDescent="0.25">
      <c r="A402" s="587"/>
      <c r="B402" s="369"/>
      <c r="C402" s="588"/>
      <c r="D402" s="589"/>
      <c r="E402" s="44"/>
      <c r="F402" s="214"/>
      <c r="G402" s="587" t="s">
        <v>21</v>
      </c>
      <c r="H402" s="590" t="s">
        <v>21</v>
      </c>
      <c r="I402" s="591" t="s">
        <v>21</v>
      </c>
      <c r="J402" s="592" t="s">
        <v>21</v>
      </c>
      <c r="K402" s="593" t="s">
        <v>21</v>
      </c>
      <c r="L402" s="592" t="s">
        <v>21</v>
      </c>
      <c r="M402" s="594" t="s">
        <v>21</v>
      </c>
      <c r="N402" s="439"/>
      <c r="O402" s="673"/>
      <c r="P402" s="361"/>
      <c r="Q402" s="441"/>
      <c r="R402" s="485"/>
      <c r="S402" s="442"/>
      <c r="T402" s="441"/>
      <c r="U402" s="485"/>
      <c r="V402" s="442"/>
      <c r="W402" s="578"/>
      <c r="X402" s="485"/>
      <c r="Y402" s="442"/>
      <c r="Z402" s="441"/>
      <c r="AA402" s="485"/>
      <c r="AB402" s="442"/>
      <c r="AC402" s="672"/>
      <c r="AD402" s="441" t="s">
        <v>21</v>
      </c>
      <c r="AE402" s="674" t="s">
        <v>21</v>
      </c>
      <c r="AF402" s="674" t="s">
        <v>21</v>
      </c>
      <c r="AG402" s="674" t="s">
        <v>21</v>
      </c>
      <c r="AH402" s="442" t="s">
        <v>21</v>
      </c>
      <c r="AI402" s="442" t="str">
        <f t="shared" si="64"/>
        <v/>
      </c>
      <c r="AK402" s="3" t="str">
        <f>IF(F402="", " ", VLOOKUP(F402,#REF!, 1, FALSE))</f>
        <v xml:space="preserve"> </v>
      </c>
    </row>
    <row r="403" spans="1:37" x14ac:dyDescent="0.25">
      <c r="A403" s="587" t="s">
        <v>1937</v>
      </c>
      <c r="B403" s="369"/>
      <c r="C403" s="588"/>
      <c r="D403" s="589" t="s">
        <v>180</v>
      </c>
      <c r="E403" s="44"/>
      <c r="F403" s="214"/>
      <c r="G403" s="587" t="s">
        <v>1937</v>
      </c>
      <c r="H403" s="590" t="s">
        <v>21</v>
      </c>
      <c r="I403" s="591" t="s">
        <v>21</v>
      </c>
      <c r="J403" s="592" t="s">
        <v>21</v>
      </c>
      <c r="K403" s="593" t="s">
        <v>21</v>
      </c>
      <c r="L403" s="592" t="s">
        <v>21</v>
      </c>
      <c r="M403" s="594">
        <v>2546005.5673437431</v>
      </c>
      <c r="N403" s="439"/>
      <c r="O403" s="673"/>
      <c r="P403" s="361"/>
      <c r="Q403" s="441"/>
      <c r="R403" s="485"/>
      <c r="S403" s="442"/>
      <c r="T403" s="441"/>
      <c r="U403" s="485"/>
      <c r="V403" s="442"/>
      <c r="W403" s="578"/>
      <c r="X403" s="485"/>
      <c r="Y403" s="442"/>
      <c r="Z403" s="441"/>
      <c r="AA403" s="485"/>
      <c r="AB403" s="442"/>
      <c r="AC403" s="672"/>
      <c r="AD403" s="441" t="s">
        <v>21</v>
      </c>
      <c r="AE403" s="674" t="s">
        <v>21</v>
      </c>
      <c r="AF403" s="674" t="s">
        <v>21</v>
      </c>
      <c r="AG403" s="674" t="s">
        <v>21</v>
      </c>
      <c r="AH403" s="442" t="s">
        <v>21</v>
      </c>
      <c r="AI403" s="442" t="str">
        <f t="shared" si="61"/>
        <v/>
      </c>
      <c r="AK403" s="3" t="str">
        <f>IF(F403="", " ", VLOOKUP(F403,#REF!, 1, FALSE))</f>
        <v xml:space="preserve"> </v>
      </c>
    </row>
    <row r="404" spans="1:37" x14ac:dyDescent="0.25">
      <c r="A404" s="587" t="s">
        <v>2563</v>
      </c>
      <c r="B404" s="369"/>
      <c r="C404" s="588"/>
      <c r="D404" s="589" t="s">
        <v>1515</v>
      </c>
      <c r="E404" s="44"/>
      <c r="F404" s="214"/>
      <c r="G404" s="587" t="s">
        <v>2563</v>
      </c>
      <c r="H404" s="590" t="s">
        <v>21</v>
      </c>
      <c r="I404" s="591" t="s">
        <v>21</v>
      </c>
      <c r="J404" s="592" t="s">
        <v>21</v>
      </c>
      <c r="K404" s="593" t="s">
        <v>21</v>
      </c>
      <c r="L404" s="592" t="s">
        <v>21</v>
      </c>
      <c r="M404" s="594">
        <v>404665.94269362686</v>
      </c>
      <c r="N404" s="439"/>
      <c r="O404" s="673"/>
      <c r="P404" s="361"/>
      <c r="Q404" s="441"/>
      <c r="R404" s="485"/>
      <c r="S404" s="442"/>
      <c r="T404" s="441"/>
      <c r="U404" s="485"/>
      <c r="V404" s="442"/>
      <c r="W404" s="578"/>
      <c r="X404" s="485"/>
      <c r="Y404" s="442"/>
      <c r="Z404" s="441"/>
      <c r="AA404" s="485"/>
      <c r="AB404" s="442"/>
      <c r="AC404" s="672"/>
      <c r="AD404" s="441" t="s">
        <v>21</v>
      </c>
      <c r="AE404" s="674" t="s">
        <v>21</v>
      </c>
      <c r="AF404" s="674" t="s">
        <v>21</v>
      </c>
      <c r="AG404" s="674" t="s">
        <v>21</v>
      </c>
      <c r="AH404" s="442" t="s">
        <v>21</v>
      </c>
      <c r="AI404" s="442" t="str">
        <f t="shared" si="61"/>
        <v/>
      </c>
      <c r="AK404" s="3" t="str">
        <f>IF(F404="", " ", VLOOKUP(F404,#REF!, 1, FALSE))</f>
        <v xml:space="preserve"> </v>
      </c>
    </row>
    <row r="405" spans="1:37" ht="36" x14ac:dyDescent="0.25">
      <c r="A405" s="587" t="s">
        <v>2564</v>
      </c>
      <c r="B405" s="369"/>
      <c r="C405" s="588"/>
      <c r="D405" s="589" t="s">
        <v>1516</v>
      </c>
      <c r="E405" s="44"/>
      <c r="F405" s="214"/>
      <c r="G405" s="587" t="s">
        <v>2564</v>
      </c>
      <c r="H405" s="590" t="s">
        <v>21</v>
      </c>
      <c r="I405" s="591" t="str">
        <f>IF($F405="","",IF('TRECHO(S) A IMPRIMIR'!$B$1= 1, SUM(Q405, T405, W405, Z405), IF('TRECHO(S) A IMPRIMIR'!$B$1= 2, T405, IF('TRECHO(S) A IMPRIMIR'!$B$1= 3, W405, 0))))</f>
        <v/>
      </c>
      <c r="J405" s="592" t="s">
        <v>21</v>
      </c>
      <c r="K405" s="593" t="str">
        <f t="shared" si="52"/>
        <v/>
      </c>
      <c r="L405" s="592" t="str">
        <f t="shared" ref="L405:L456" si="65">IF(J405="","",
  IF(AND(J405&lt;&gt;"",K405=""),J405,J405 * (1 + K405)))</f>
        <v/>
      </c>
      <c r="M405" s="594" t="str">
        <f t="shared" ref="M405:M423" si="66">IF(OR(I405="",L405=""),"",I405*L405)</f>
        <v/>
      </c>
      <c r="N405" s="439"/>
      <c r="O405" s="673"/>
      <c r="P405" s="361"/>
      <c r="Q405" s="441"/>
      <c r="R405" s="485"/>
      <c r="S405" s="442"/>
      <c r="T405" s="441"/>
      <c r="U405" s="485"/>
      <c r="V405" s="442"/>
      <c r="W405" s="578"/>
      <c r="X405" s="485"/>
      <c r="Y405" s="442"/>
      <c r="Z405" s="441"/>
      <c r="AA405" s="485"/>
      <c r="AB405" s="442"/>
      <c r="AC405" s="672"/>
      <c r="AD405" s="441" t="s">
        <v>21</v>
      </c>
      <c r="AE405" s="674" t="s">
        <v>21</v>
      </c>
      <c r="AF405" s="674" t="s">
        <v>21</v>
      </c>
      <c r="AG405" s="674" t="s">
        <v>21</v>
      </c>
      <c r="AH405" s="442" t="s">
        <v>21</v>
      </c>
      <c r="AI405" s="442" t="str">
        <f t="shared" ref="AI405:AI456" si="67">IF(SUM(AD405:AH405)=0,"",M405 - SUM(AD405:AH405))</f>
        <v/>
      </c>
      <c r="AK405" s="3" t="str">
        <f>IF(F405="", " ", VLOOKUP(F405,#REF!, 1, FALSE))</f>
        <v xml:space="preserve"> </v>
      </c>
    </row>
    <row r="406" spans="1:37" ht="60" x14ac:dyDescent="0.25">
      <c r="A406" s="587" t="s">
        <v>2565</v>
      </c>
      <c r="B406" s="369" t="s">
        <v>725</v>
      </c>
      <c r="C406" s="588"/>
      <c r="D406" s="589" t="s">
        <v>1885</v>
      </c>
      <c r="E406" s="44" t="s">
        <v>27</v>
      </c>
      <c r="F406" s="214">
        <v>90100</v>
      </c>
      <c r="G406" s="587" t="s">
        <v>1297</v>
      </c>
      <c r="H406" s="590" t="s">
        <v>44</v>
      </c>
      <c r="I406" s="591">
        <v>732.05</v>
      </c>
      <c r="J406" s="592">
        <v>9.73</v>
      </c>
      <c r="K406" s="593">
        <v>0.2033513845915047</v>
      </c>
      <c r="L406" s="592">
        <v>11.708608972075341</v>
      </c>
      <c r="M406" s="594">
        <v>8571.2871980077525</v>
      </c>
      <c r="N406" s="439"/>
      <c r="O406" s="673"/>
      <c r="P406" s="361"/>
      <c r="Q406" s="441"/>
      <c r="R406" s="485"/>
      <c r="S406" s="442"/>
      <c r="T406" s="441">
        <v>405.34999999999997</v>
      </c>
      <c r="U406" s="485">
        <v>1.0923072445820432</v>
      </c>
      <c r="V406" s="442"/>
      <c r="W406" s="578">
        <v>326.7</v>
      </c>
      <c r="X406" s="485">
        <v>1.0923072445820432</v>
      </c>
      <c r="Y406" s="442"/>
      <c r="Z406" s="441"/>
      <c r="AA406" s="485"/>
      <c r="AB406" s="442"/>
      <c r="AC406" s="672"/>
      <c r="AD406" s="441">
        <v>2845.3502209213816</v>
      </c>
      <c r="AE406" s="674">
        <v>2845.3502209213816</v>
      </c>
      <c r="AF406" s="674">
        <v>2880.5867561649902</v>
      </c>
      <c r="AG406" s="674">
        <v>0</v>
      </c>
      <c r="AH406" s="442">
        <v>0</v>
      </c>
      <c r="AI406" s="442">
        <v>-1.8189894035458565E-12</v>
      </c>
      <c r="AK406" s="3" t="e">
        <f>IF(F406="", " ", VLOOKUP(F406,#REF!, 1, FALSE))</f>
        <v>#REF!</v>
      </c>
    </row>
    <row r="407" spans="1:37" ht="36" x14ac:dyDescent="0.25">
      <c r="A407" s="587" t="s">
        <v>2566</v>
      </c>
      <c r="B407" s="369" t="s">
        <v>725</v>
      </c>
      <c r="C407" s="588"/>
      <c r="D407" s="589" t="s">
        <v>3123</v>
      </c>
      <c r="E407" s="44" t="s">
        <v>27</v>
      </c>
      <c r="F407" s="214">
        <v>101619</v>
      </c>
      <c r="G407" s="587" t="s">
        <v>1170</v>
      </c>
      <c r="H407" s="590" t="s">
        <v>44</v>
      </c>
      <c r="I407" s="591">
        <v>430.76</v>
      </c>
      <c r="J407" s="592">
        <v>290.8</v>
      </c>
      <c r="K407" s="593">
        <v>0.2033513845915047</v>
      </c>
      <c r="L407" s="592">
        <v>349.93458263920957</v>
      </c>
      <c r="M407" s="594">
        <v>150737.8208176659</v>
      </c>
      <c r="N407" s="439"/>
      <c r="O407" s="673"/>
      <c r="P407" s="361"/>
      <c r="Q407" s="441"/>
      <c r="R407" s="485"/>
      <c r="S407" s="442"/>
      <c r="T407" s="441">
        <v>238.52</v>
      </c>
      <c r="U407" s="485"/>
      <c r="V407" s="442"/>
      <c r="W407" s="578">
        <v>192.24</v>
      </c>
      <c r="X407" s="485"/>
      <c r="Y407" s="442"/>
      <c r="Z407" s="441"/>
      <c r="AA407" s="485"/>
      <c r="AB407" s="442"/>
      <c r="AC407" s="672"/>
      <c r="AD407" s="441">
        <v>46439.48200500237</v>
      </c>
      <c r="AE407" s="674">
        <v>104225.76902272381</v>
      </c>
      <c r="AF407" s="674">
        <v>72.56978993972912</v>
      </c>
      <c r="AG407" s="674">
        <v>0</v>
      </c>
      <c r="AH407" s="442">
        <v>0</v>
      </c>
      <c r="AI407" s="442">
        <v>0</v>
      </c>
      <c r="AK407" s="3" t="e">
        <f>IF(F407="", " ", VLOOKUP(F407,#REF!, 1, FALSE))</f>
        <v>#REF!</v>
      </c>
    </row>
    <row r="408" spans="1:37" ht="36" x14ac:dyDescent="0.25">
      <c r="A408" s="587" t="s">
        <v>2567</v>
      </c>
      <c r="B408" s="369" t="s">
        <v>25</v>
      </c>
      <c r="C408" s="588"/>
      <c r="D408" s="589" t="s">
        <v>3124</v>
      </c>
      <c r="E408" s="44" t="s">
        <v>27</v>
      </c>
      <c r="F408" s="214">
        <v>100943</v>
      </c>
      <c r="G408" s="587" t="s">
        <v>786</v>
      </c>
      <c r="H408" s="590" t="s">
        <v>42</v>
      </c>
      <c r="I408" s="591">
        <v>799.62351839628468</v>
      </c>
      <c r="J408" s="592">
        <v>3.1</v>
      </c>
      <c r="K408" s="593">
        <v>0.2033513845915047</v>
      </c>
      <c r="L408" s="592">
        <v>3.7303892922336646</v>
      </c>
      <c r="M408" s="594">
        <v>2982.907010843709</v>
      </c>
      <c r="N408" s="439"/>
      <c r="O408" s="673"/>
      <c r="P408" s="361"/>
      <c r="Q408" s="441"/>
      <c r="R408" s="485"/>
      <c r="S408" s="442"/>
      <c r="T408" s="441">
        <v>442.7667415913312</v>
      </c>
      <c r="U408" s="485"/>
      <c r="V408" s="442">
        <v>1</v>
      </c>
      <c r="W408" s="578">
        <v>356.85677680495348</v>
      </c>
      <c r="X408" s="485"/>
      <c r="Y408" s="442">
        <v>1</v>
      </c>
      <c r="Z408" s="441"/>
      <c r="AA408" s="485"/>
      <c r="AB408" s="442"/>
      <c r="AC408" s="672"/>
      <c r="AD408" s="441">
        <v>211.69017496310195</v>
      </c>
      <c r="AE408" s="674">
        <v>1664.6545576643925</v>
      </c>
      <c r="AF408" s="674">
        <v>1106.5622782162145</v>
      </c>
      <c r="AG408" s="674">
        <v>0</v>
      </c>
      <c r="AH408" s="442">
        <v>0</v>
      </c>
      <c r="AI408" s="442">
        <v>0</v>
      </c>
      <c r="AK408" s="3" t="e">
        <f>IF(F408="", " ", VLOOKUP(F408,#REF!, 1, FALSE))</f>
        <v>#REF!</v>
      </c>
    </row>
    <row r="409" spans="1:37" x14ac:dyDescent="0.25">
      <c r="A409" s="587" t="s">
        <v>2568</v>
      </c>
      <c r="B409" s="369"/>
      <c r="C409" s="588"/>
      <c r="D409" s="589" t="s">
        <v>1517</v>
      </c>
      <c r="E409" s="44"/>
      <c r="F409" s="214"/>
      <c r="G409" s="587" t="s">
        <v>2568</v>
      </c>
      <c r="H409" s="590" t="s">
        <v>21</v>
      </c>
      <c r="I409" s="591" t="s">
        <v>21</v>
      </c>
      <c r="J409" s="592" t="s">
        <v>21</v>
      </c>
      <c r="K409" s="593" t="s">
        <v>21</v>
      </c>
      <c r="L409" s="592" t="s">
        <v>21</v>
      </c>
      <c r="M409" s="594" t="s">
        <v>21</v>
      </c>
      <c r="N409" s="439"/>
      <c r="O409" s="673"/>
      <c r="P409" s="361"/>
      <c r="Q409" s="441"/>
      <c r="R409" s="485"/>
      <c r="S409" s="442"/>
      <c r="T409" s="441"/>
      <c r="U409" s="485"/>
      <c r="V409" s="442"/>
      <c r="W409" s="578"/>
      <c r="X409" s="485"/>
      <c r="Y409" s="442"/>
      <c r="Z409" s="441"/>
      <c r="AA409" s="485"/>
      <c r="AB409" s="442"/>
      <c r="AC409" s="672"/>
      <c r="AD409" s="441" t="s">
        <v>21</v>
      </c>
      <c r="AE409" s="674" t="s">
        <v>21</v>
      </c>
      <c r="AF409" s="674" t="s">
        <v>21</v>
      </c>
      <c r="AG409" s="674" t="s">
        <v>21</v>
      </c>
      <c r="AH409" s="442" t="s">
        <v>21</v>
      </c>
      <c r="AI409" s="442" t="s">
        <v>21</v>
      </c>
      <c r="AK409" s="3" t="str">
        <f>IF(F409="", " ", VLOOKUP(F409,#REF!, 1, FALSE))</f>
        <v xml:space="preserve"> </v>
      </c>
    </row>
    <row r="410" spans="1:37" ht="60" x14ac:dyDescent="0.25">
      <c r="A410" s="587" t="s">
        <v>4030</v>
      </c>
      <c r="B410" s="369" t="s">
        <v>39</v>
      </c>
      <c r="C410" s="588"/>
      <c r="D410" s="589" t="s">
        <v>1886</v>
      </c>
      <c r="E410" s="44" t="s">
        <v>138</v>
      </c>
      <c r="F410" s="214" t="s">
        <v>2572</v>
      </c>
      <c r="G410" s="587" t="s">
        <v>4130</v>
      </c>
      <c r="H410" s="590" t="s">
        <v>41</v>
      </c>
      <c r="I410" s="591">
        <v>121</v>
      </c>
      <c r="J410" s="592">
        <v>851.32982881433134</v>
      </c>
      <c r="K410" s="593">
        <v>0.2033513845915047</v>
      </c>
      <c r="L410" s="592">
        <v>1024.4489282477743</v>
      </c>
      <c r="M410" s="594">
        <v>123958.3203179807</v>
      </c>
      <c r="N410" s="439"/>
      <c r="O410" s="673"/>
      <c r="P410" s="361"/>
      <c r="Q410" s="441"/>
      <c r="R410" s="485"/>
      <c r="S410" s="442"/>
      <c r="T410" s="441">
        <v>67</v>
      </c>
      <c r="U410" s="485"/>
      <c r="V410" s="442"/>
      <c r="W410" s="578">
        <v>54</v>
      </c>
      <c r="X410" s="485"/>
      <c r="Y410" s="442"/>
      <c r="Z410" s="441"/>
      <c r="AA410" s="485"/>
      <c r="AB410" s="442"/>
      <c r="AC410" s="672"/>
      <c r="AD410" s="441">
        <v>31774.322592201581</v>
      </c>
      <c r="AE410" s="674">
        <v>91498.175610030172</v>
      </c>
      <c r="AF410" s="674">
        <v>594.05654879049746</v>
      </c>
      <c r="AG410" s="674">
        <v>0</v>
      </c>
      <c r="AH410" s="442">
        <v>91.765566958437645</v>
      </c>
      <c r="AI410" s="442">
        <v>1.4551915228366852E-11</v>
      </c>
      <c r="AK410" s="3" t="e">
        <f>IF(F410="", " ", VLOOKUP(F410,#REF!, 1, FALSE))</f>
        <v>#REF!</v>
      </c>
    </row>
    <row r="411" spans="1:37" ht="24" x14ac:dyDescent="0.25">
      <c r="A411" s="587" t="s">
        <v>2570</v>
      </c>
      <c r="B411" s="369" t="s">
        <v>725</v>
      </c>
      <c r="C411" s="588"/>
      <c r="D411" s="589" t="s">
        <v>1887</v>
      </c>
      <c r="E411" s="44" t="s">
        <v>27</v>
      </c>
      <c r="F411" s="214">
        <v>93382</v>
      </c>
      <c r="G411" s="587" t="s">
        <v>40</v>
      </c>
      <c r="H411" s="590" t="s">
        <v>44</v>
      </c>
      <c r="I411" s="591">
        <v>378.72999999999996</v>
      </c>
      <c r="J411" s="592">
        <v>25.09</v>
      </c>
      <c r="K411" s="593">
        <v>0.2033513845915047</v>
      </c>
      <c r="L411" s="592">
        <v>30.192086239400854</v>
      </c>
      <c r="M411" s="594">
        <v>11434.648821448285</v>
      </c>
      <c r="N411" s="439"/>
      <c r="O411" s="673"/>
      <c r="P411" s="361"/>
      <c r="Q411" s="441"/>
      <c r="R411" s="485"/>
      <c r="S411" s="442"/>
      <c r="T411" s="441">
        <v>209.70999999999998</v>
      </c>
      <c r="U411" s="485"/>
      <c r="V411" s="442"/>
      <c r="W411" s="578">
        <v>169.01999999999998</v>
      </c>
      <c r="X411" s="485"/>
      <c r="Y411" s="442"/>
      <c r="Z411" s="441"/>
      <c r="AA411" s="485"/>
      <c r="AB411" s="442"/>
      <c r="AC411" s="672"/>
      <c r="AD411" s="441">
        <v>6817.9492374996553</v>
      </c>
      <c r="AE411" s="674">
        <v>4188.299030255469</v>
      </c>
      <c r="AF411" s="674">
        <v>428.40055369316002</v>
      </c>
      <c r="AG411" s="674">
        <v>0</v>
      </c>
      <c r="AH411" s="442">
        <v>0</v>
      </c>
      <c r="AI411" s="442">
        <v>1.8189894035458565E-12</v>
      </c>
      <c r="AK411" s="3" t="e">
        <f>IF(F411="", " ", VLOOKUP(F411,#REF!, 1, FALSE))</f>
        <v>#REF!</v>
      </c>
    </row>
    <row r="412" spans="1:37" x14ac:dyDescent="0.25">
      <c r="A412" s="587" t="s">
        <v>2576</v>
      </c>
      <c r="B412" s="369"/>
      <c r="C412" s="588"/>
      <c r="D412" s="589" t="s">
        <v>1518</v>
      </c>
      <c r="E412" s="44"/>
      <c r="F412" s="214"/>
      <c r="G412" s="587" t="s">
        <v>2576</v>
      </c>
      <c r="H412" s="590" t="s">
        <v>21</v>
      </c>
      <c r="I412" s="591" t="s">
        <v>21</v>
      </c>
      <c r="J412" s="592" t="s">
        <v>21</v>
      </c>
      <c r="K412" s="593" t="s">
        <v>21</v>
      </c>
      <c r="L412" s="592" t="s">
        <v>21</v>
      </c>
      <c r="M412" s="594" t="s">
        <v>21</v>
      </c>
      <c r="N412" s="439"/>
      <c r="O412" s="673"/>
      <c r="P412" s="361"/>
      <c r="Q412" s="441"/>
      <c r="R412" s="485"/>
      <c r="S412" s="442"/>
      <c r="T412" s="441"/>
      <c r="U412" s="485"/>
      <c r="V412" s="442"/>
      <c r="W412" s="578"/>
      <c r="X412" s="485"/>
      <c r="Y412" s="442"/>
      <c r="Z412" s="441"/>
      <c r="AA412" s="485"/>
      <c r="AB412" s="442"/>
      <c r="AC412" s="672"/>
      <c r="AD412" s="441" t="s">
        <v>21</v>
      </c>
      <c r="AE412" s="674" t="s">
        <v>21</v>
      </c>
      <c r="AF412" s="674" t="s">
        <v>21</v>
      </c>
      <c r="AG412" s="674" t="s">
        <v>21</v>
      </c>
      <c r="AH412" s="442" t="s">
        <v>21</v>
      </c>
      <c r="AI412" s="442" t="s">
        <v>21</v>
      </c>
      <c r="AK412" s="3" t="str">
        <f>IF(F412="", " ", VLOOKUP(F412,#REF!, 1, FALSE))</f>
        <v xml:space="preserve"> </v>
      </c>
    </row>
    <row r="413" spans="1:37" x14ac:dyDescent="0.25">
      <c r="A413" s="587" t="s">
        <v>2577</v>
      </c>
      <c r="B413" s="369" t="s">
        <v>26</v>
      </c>
      <c r="C413" s="588"/>
      <c r="D413" s="589" t="s">
        <v>1888</v>
      </c>
      <c r="E413" s="44" t="s">
        <v>138</v>
      </c>
      <c r="F413" s="214" t="s">
        <v>2333</v>
      </c>
      <c r="G413" s="587" t="s">
        <v>2351</v>
      </c>
      <c r="H413" s="590" t="s">
        <v>22</v>
      </c>
      <c r="I413" s="591">
        <v>726</v>
      </c>
      <c r="J413" s="592">
        <v>48.144249999999992</v>
      </c>
      <c r="K413" s="593">
        <v>0.11096635744680849</v>
      </c>
      <c r="L413" s="592">
        <v>53.486642054508501</v>
      </c>
      <c r="M413" s="594">
        <v>38831.302131573175</v>
      </c>
      <c r="N413" s="439"/>
      <c r="O413" s="673"/>
      <c r="P413" s="361"/>
      <c r="Q413" s="441"/>
      <c r="R413" s="485"/>
      <c r="S413" s="442"/>
      <c r="T413" s="441">
        <v>402</v>
      </c>
      <c r="U413" s="485"/>
      <c r="V413" s="442"/>
      <c r="W413" s="578">
        <v>324</v>
      </c>
      <c r="X413" s="485"/>
      <c r="Y413" s="442"/>
      <c r="Z413" s="441"/>
      <c r="AA413" s="485"/>
      <c r="AB413" s="442"/>
      <c r="AC413" s="672"/>
      <c r="AD413" s="441">
        <v>0</v>
      </c>
      <c r="AE413" s="674">
        <v>38831.302131573168</v>
      </c>
      <c r="AF413" s="674">
        <v>0</v>
      </c>
      <c r="AG413" s="674">
        <v>0</v>
      </c>
      <c r="AH413" s="442">
        <v>0</v>
      </c>
      <c r="AI413" s="442">
        <v>7.2759576141834259E-12</v>
      </c>
      <c r="AK413" s="3" t="e">
        <f>IF(F413="", " ", VLOOKUP(F413,#REF!, 1, FALSE))</f>
        <v>#REF!</v>
      </c>
    </row>
    <row r="414" spans="1:37" ht="60" x14ac:dyDescent="0.25">
      <c r="A414" s="587" t="s">
        <v>1111</v>
      </c>
      <c r="B414" s="369" t="s">
        <v>725</v>
      </c>
      <c r="C414" s="588"/>
      <c r="D414" s="589" t="s">
        <v>1889</v>
      </c>
      <c r="E414" s="44" t="s">
        <v>27</v>
      </c>
      <c r="F414" s="214">
        <v>90100</v>
      </c>
      <c r="G414" s="587" t="s">
        <v>1297</v>
      </c>
      <c r="H414" s="590" t="s">
        <v>44</v>
      </c>
      <c r="I414" s="591">
        <v>617.09999999999991</v>
      </c>
      <c r="J414" s="592">
        <v>9.73</v>
      </c>
      <c r="K414" s="593">
        <v>0.2033513845915047</v>
      </c>
      <c r="L414" s="592">
        <v>11.708608972075341</v>
      </c>
      <c r="M414" s="594">
        <v>7225.3825966676923</v>
      </c>
      <c r="N414" s="439"/>
      <c r="O414" s="673"/>
      <c r="P414" s="361"/>
      <c r="Q414" s="441"/>
      <c r="R414" s="485"/>
      <c r="S414" s="442"/>
      <c r="T414" s="441">
        <v>341.7</v>
      </c>
      <c r="U414" s="485">
        <v>1.0923072445820432</v>
      </c>
      <c r="V414" s="442"/>
      <c r="W414" s="578">
        <v>275.39999999999998</v>
      </c>
      <c r="X414" s="485">
        <v>1.0923072445820432</v>
      </c>
      <c r="Y414" s="442"/>
      <c r="Z414" s="441"/>
      <c r="AA414" s="485"/>
      <c r="AB414" s="442"/>
      <c r="AC414" s="672"/>
      <c r="AD414" s="441">
        <v>2398.5596903634782</v>
      </c>
      <c r="AE414" s="674">
        <v>2398.5596903634782</v>
      </c>
      <c r="AF414" s="674">
        <v>2428.2632159407349</v>
      </c>
      <c r="AG414" s="674">
        <v>0</v>
      </c>
      <c r="AH414" s="442">
        <v>0</v>
      </c>
      <c r="AI414" s="442">
        <v>9.0949470177292824E-13</v>
      </c>
      <c r="AK414" s="3" t="e">
        <f>IF(F414="", " ", VLOOKUP(F414,#REF!, 1, FALSE))</f>
        <v>#REF!</v>
      </c>
    </row>
    <row r="415" spans="1:37" ht="24" x14ac:dyDescent="0.25">
      <c r="A415" s="587" t="s">
        <v>2571</v>
      </c>
      <c r="B415" s="369" t="s">
        <v>243</v>
      </c>
      <c r="C415" s="588"/>
      <c r="D415" s="589" t="s">
        <v>1890</v>
      </c>
      <c r="E415" s="44" t="s">
        <v>27</v>
      </c>
      <c r="F415" s="214">
        <v>101616</v>
      </c>
      <c r="G415" s="587" t="s">
        <v>1169</v>
      </c>
      <c r="H415" s="590" t="s">
        <v>51</v>
      </c>
      <c r="I415" s="591">
        <v>430.76</v>
      </c>
      <c r="J415" s="592">
        <v>5.27</v>
      </c>
      <c r="K415" s="593">
        <v>0.2033513845915047</v>
      </c>
      <c r="L415" s="592">
        <v>6.3416617967972293</v>
      </c>
      <c r="M415" s="594">
        <v>2731.7342355883743</v>
      </c>
      <c r="N415" s="439"/>
      <c r="O415" s="673"/>
      <c r="P415" s="361"/>
      <c r="Q415" s="441"/>
      <c r="R415" s="485"/>
      <c r="S415" s="442"/>
      <c r="T415" s="441">
        <v>238.52</v>
      </c>
      <c r="U415" s="485"/>
      <c r="V415" s="442"/>
      <c r="W415" s="578">
        <v>192.24</v>
      </c>
      <c r="X415" s="485"/>
      <c r="Y415" s="442"/>
      <c r="Z415" s="441"/>
      <c r="AA415" s="485"/>
      <c r="AB415" s="442"/>
      <c r="AC415" s="672"/>
      <c r="AD415" s="441">
        <v>1938.6501026756207</v>
      </c>
      <c r="AE415" s="674">
        <v>793.08413291275394</v>
      </c>
      <c r="AF415" s="674">
        <v>0</v>
      </c>
      <c r="AG415" s="674">
        <v>0</v>
      </c>
      <c r="AH415" s="442">
        <v>0</v>
      </c>
      <c r="AI415" s="442">
        <v>-4.5474735088646412E-13</v>
      </c>
      <c r="AK415" s="3" t="e">
        <f>IF(F415="", " ", VLOOKUP(F415,#REF!, 1, FALSE))</f>
        <v>#REF!</v>
      </c>
    </row>
    <row r="416" spans="1:37" ht="60" x14ac:dyDescent="0.25">
      <c r="A416" s="587" t="s">
        <v>2581</v>
      </c>
      <c r="B416" s="369" t="s">
        <v>26</v>
      </c>
      <c r="C416" s="588"/>
      <c r="D416" s="589" t="s">
        <v>1891</v>
      </c>
      <c r="E416" s="44" t="s">
        <v>27</v>
      </c>
      <c r="F416" s="214">
        <v>92809</v>
      </c>
      <c r="G416" s="587" t="s">
        <v>520</v>
      </c>
      <c r="H416" s="590" t="s">
        <v>22</v>
      </c>
      <c r="I416" s="591">
        <v>726</v>
      </c>
      <c r="J416" s="592">
        <v>39.86</v>
      </c>
      <c r="K416" s="593">
        <v>0.2033513845915047</v>
      </c>
      <c r="L416" s="592">
        <v>47.96558618981738</v>
      </c>
      <c r="M416" s="594">
        <v>34823.015573807417</v>
      </c>
      <c r="N416" s="439"/>
      <c r="O416" s="673"/>
      <c r="P416" s="361"/>
      <c r="Q416" s="441"/>
      <c r="R416" s="485"/>
      <c r="S416" s="442"/>
      <c r="T416" s="441">
        <v>402</v>
      </c>
      <c r="U416" s="485"/>
      <c r="V416" s="442"/>
      <c r="W416" s="578">
        <v>324</v>
      </c>
      <c r="X416" s="485"/>
      <c r="Y416" s="442"/>
      <c r="Z416" s="441"/>
      <c r="AA416" s="485"/>
      <c r="AB416" s="442"/>
      <c r="AC416" s="672"/>
      <c r="AD416" s="441">
        <v>14808.081133367677</v>
      </c>
      <c r="AE416" s="674">
        <v>10072.989703110874</v>
      </c>
      <c r="AF416" s="674">
        <v>9941.9447373288622</v>
      </c>
      <c r="AG416" s="674">
        <v>0</v>
      </c>
      <c r="AH416" s="442">
        <v>0</v>
      </c>
      <c r="AI416" s="442">
        <v>0</v>
      </c>
      <c r="AK416" s="3" t="e">
        <f>IF(F416="", " ", VLOOKUP(F416,#REF!, 1, FALSE))</f>
        <v>#REF!</v>
      </c>
    </row>
    <row r="417" spans="1:37" ht="24" x14ac:dyDescent="0.25">
      <c r="A417" s="587" t="s">
        <v>2579</v>
      </c>
      <c r="B417" s="369" t="s">
        <v>28</v>
      </c>
      <c r="C417" s="588"/>
      <c r="D417" s="589" t="s">
        <v>1892</v>
      </c>
      <c r="E417" s="44" t="s">
        <v>27</v>
      </c>
      <c r="F417" s="214">
        <v>93382</v>
      </c>
      <c r="G417" s="587" t="s">
        <v>40</v>
      </c>
      <c r="H417" s="590" t="s">
        <v>44</v>
      </c>
      <c r="I417" s="591">
        <v>211.75</v>
      </c>
      <c r="J417" s="592">
        <v>25.09</v>
      </c>
      <c r="K417" s="593">
        <v>0.2033513845915047</v>
      </c>
      <c r="L417" s="592">
        <v>30.192086239400854</v>
      </c>
      <c r="M417" s="594">
        <v>6393.1742611931313</v>
      </c>
      <c r="N417" s="439"/>
      <c r="O417" s="673"/>
      <c r="P417" s="361"/>
      <c r="Q417" s="441"/>
      <c r="R417" s="485"/>
      <c r="S417" s="442"/>
      <c r="T417" s="441">
        <v>117.25</v>
      </c>
      <c r="U417" s="485"/>
      <c r="V417" s="442"/>
      <c r="W417" s="578">
        <v>94.5</v>
      </c>
      <c r="X417" s="485"/>
      <c r="Y417" s="442"/>
      <c r="Z417" s="441"/>
      <c r="AA417" s="485"/>
      <c r="AB417" s="442"/>
      <c r="AC417" s="672"/>
      <c r="AD417" s="441">
        <v>3811.9524490812769</v>
      </c>
      <c r="AE417" s="674">
        <v>2341.7007357658376</v>
      </c>
      <c r="AF417" s="674">
        <v>239.52107634601603</v>
      </c>
      <c r="AG417" s="674">
        <v>0</v>
      </c>
      <c r="AH417" s="442">
        <v>0</v>
      </c>
      <c r="AI417" s="442">
        <v>0</v>
      </c>
      <c r="AK417" s="3" t="e">
        <f>IF(F417="", " ", VLOOKUP(F417,#REF!, 1, FALSE))</f>
        <v>#REF!</v>
      </c>
    </row>
    <row r="418" spans="1:37" ht="72" x14ac:dyDescent="0.25">
      <c r="A418" s="587" t="s">
        <v>2580</v>
      </c>
      <c r="B418" s="369" t="s">
        <v>28</v>
      </c>
      <c r="C418" s="588"/>
      <c r="D418" s="589" t="s">
        <v>3125</v>
      </c>
      <c r="E418" s="44" t="s">
        <v>27</v>
      </c>
      <c r="F418" s="214">
        <v>93371</v>
      </c>
      <c r="G418" s="587" t="s">
        <v>632</v>
      </c>
      <c r="H418" s="590" t="s">
        <v>44</v>
      </c>
      <c r="I418" s="591">
        <v>225.06</v>
      </c>
      <c r="J418" s="592">
        <v>7.32</v>
      </c>
      <c r="K418" s="593">
        <v>0.2033513845915047</v>
      </c>
      <c r="L418" s="592">
        <v>8.8085321352098145</v>
      </c>
      <c r="M418" s="594">
        <v>1982.4482423503209</v>
      </c>
      <c r="N418" s="439"/>
      <c r="O418" s="673"/>
      <c r="P418" s="361"/>
      <c r="Q418" s="441"/>
      <c r="R418" s="485"/>
      <c r="S418" s="442"/>
      <c r="T418" s="441">
        <v>124.62</v>
      </c>
      <c r="U418" s="485"/>
      <c r="V418" s="442"/>
      <c r="W418" s="578">
        <v>100.44000000000001</v>
      </c>
      <c r="X418" s="485"/>
      <c r="Y418" s="442"/>
      <c r="Z418" s="441"/>
      <c r="AA418" s="485"/>
      <c r="AB418" s="442"/>
      <c r="AC418" s="672"/>
      <c r="AD418" s="441">
        <v>438.73854543818584</v>
      </c>
      <c r="AE418" s="674">
        <v>677.06565654041015</v>
      </c>
      <c r="AF418" s="674">
        <v>866.64404037172494</v>
      </c>
      <c r="AG418" s="674">
        <v>0</v>
      </c>
      <c r="AH418" s="442">
        <v>0</v>
      </c>
      <c r="AI418" s="442">
        <v>0</v>
      </c>
      <c r="AK418" s="3" t="e">
        <f>IF(F418="", " ", VLOOKUP(F418,#REF!, 1, FALSE))</f>
        <v>#REF!</v>
      </c>
    </row>
    <row r="419" spans="1:37" ht="24" x14ac:dyDescent="0.25">
      <c r="A419" s="1708" t="s">
        <v>3763</v>
      </c>
      <c r="B419" s="369"/>
      <c r="C419" s="588"/>
      <c r="D419" s="589" t="s">
        <v>1519</v>
      </c>
      <c r="E419" s="44"/>
      <c r="F419" s="214"/>
      <c r="G419" s="587" t="s">
        <v>3763</v>
      </c>
      <c r="H419" s="590" t="s">
        <v>21</v>
      </c>
      <c r="I419" s="591" t="str">
        <f>IF($F419="","",IF('TRECHO(S) A IMPRIMIR'!$B$1= 1, SUM(Q419, T419, W419, Z419), IF('TRECHO(S) A IMPRIMIR'!$B$1= 2, T419, IF('TRECHO(S) A IMPRIMIR'!$B$1= 3, W419, 0))))</f>
        <v/>
      </c>
      <c r="J419" s="592" t="s">
        <v>21</v>
      </c>
      <c r="K419" s="593" t="str">
        <f t="shared" ref="K413:K476" si="68">IF(AND(F419&lt;&gt;"", J419&lt;&gt;""),
  IF(OR(F419= "CP9001", F419= "CP9091", F419= "CP9092"), 0,
  IF(ISNA(VLOOKUP(F419, $M$626:$M$646, 1, FALSE)), $M$4, $M$5)), "")</f>
        <v/>
      </c>
      <c r="L419" s="592" t="str">
        <f t="shared" si="65"/>
        <v/>
      </c>
      <c r="M419" s="594" t="str">
        <f t="shared" si="66"/>
        <v/>
      </c>
      <c r="N419" s="439"/>
      <c r="O419" s="673"/>
      <c r="P419" s="361"/>
      <c r="Q419" s="441"/>
      <c r="R419" s="485"/>
      <c r="S419" s="442"/>
      <c r="T419" s="441"/>
      <c r="U419" s="485"/>
      <c r="V419" s="442"/>
      <c r="W419" s="578"/>
      <c r="X419" s="485"/>
      <c r="Y419" s="442"/>
      <c r="Z419" s="441"/>
      <c r="AA419" s="485"/>
      <c r="AB419" s="442"/>
      <c r="AC419" s="672"/>
      <c r="AD419" s="441" t="s">
        <v>21</v>
      </c>
      <c r="AE419" s="674" t="s">
        <v>21</v>
      </c>
      <c r="AF419" s="674" t="s">
        <v>21</v>
      </c>
      <c r="AG419" s="674" t="s">
        <v>21</v>
      </c>
      <c r="AH419" s="442" t="s">
        <v>21</v>
      </c>
      <c r="AI419" s="442" t="s">
        <v>21</v>
      </c>
      <c r="AK419" s="3" t="str">
        <f>IF(F419="", " ", VLOOKUP(F419,#REF!, 1, FALSE))</f>
        <v xml:space="preserve"> </v>
      </c>
    </row>
    <row r="420" spans="1:37" ht="48" x14ac:dyDescent="0.25">
      <c r="A420" s="587" t="s">
        <v>2578</v>
      </c>
      <c r="B420" s="369" t="s">
        <v>23</v>
      </c>
      <c r="C420" s="588"/>
      <c r="D420" s="589" t="s">
        <v>1893</v>
      </c>
      <c r="E420" s="44" t="s">
        <v>27</v>
      </c>
      <c r="F420" s="214">
        <v>100995</v>
      </c>
      <c r="G420" s="587" t="s">
        <v>773</v>
      </c>
      <c r="H420" s="590" t="s">
        <v>55</v>
      </c>
      <c r="I420" s="591">
        <v>582.86606878142402</v>
      </c>
      <c r="J420" s="592">
        <v>3.11</v>
      </c>
      <c r="K420" s="593">
        <v>0.2033513845915047</v>
      </c>
      <c r="L420" s="592">
        <v>3.7424228060795794</v>
      </c>
      <c r="M420" s="594">
        <v>2181.3312686975501</v>
      </c>
      <c r="N420" s="439"/>
      <c r="O420" s="673"/>
      <c r="P420" s="361"/>
      <c r="Q420" s="441"/>
      <c r="R420" s="485"/>
      <c r="S420" s="442"/>
      <c r="T420" s="441">
        <v>322.74402155665626</v>
      </c>
      <c r="U420" s="485"/>
      <c r="V420" s="442"/>
      <c r="W420" s="578">
        <v>260.1220472247677</v>
      </c>
      <c r="X420" s="485"/>
      <c r="Y420" s="442"/>
      <c r="Z420" s="441"/>
      <c r="AA420" s="485"/>
      <c r="AB420" s="442"/>
      <c r="AC420" s="672"/>
      <c r="AD420" s="441">
        <v>217.43173417885546</v>
      </c>
      <c r="AE420" s="674">
        <v>1024.0333287133194</v>
      </c>
      <c r="AF420" s="674">
        <v>939.86620580537544</v>
      </c>
      <c r="AG420" s="674">
        <v>0</v>
      </c>
      <c r="AH420" s="442">
        <v>0</v>
      </c>
      <c r="AI420" s="442">
        <v>-4.5474735088646412E-13</v>
      </c>
      <c r="AK420" s="3" t="e">
        <f>IF(F420="", " ", VLOOKUP(F420,#REF!, 1, FALSE))</f>
        <v>#REF!</v>
      </c>
    </row>
    <row r="421" spans="1:37" ht="36" x14ac:dyDescent="0.25">
      <c r="A421" s="587" t="s">
        <v>1851</v>
      </c>
      <c r="B421" s="369" t="s">
        <v>25</v>
      </c>
      <c r="C421" s="588"/>
      <c r="D421" s="589" t="s">
        <v>1894</v>
      </c>
      <c r="E421" s="44" t="s">
        <v>27</v>
      </c>
      <c r="F421" s="214">
        <v>95879</v>
      </c>
      <c r="G421" s="587" t="s">
        <v>789</v>
      </c>
      <c r="H421" s="590" t="s">
        <v>42</v>
      </c>
      <c r="I421" s="591">
        <v>10237.889957439005</v>
      </c>
      <c r="J421" s="592">
        <v>1.04</v>
      </c>
      <c r="K421" s="593">
        <v>0.2033513845915047</v>
      </c>
      <c r="L421" s="592">
        <v>1.2514854399751649</v>
      </c>
      <c r="M421" s="594">
        <v>12812.570217802877</v>
      </c>
      <c r="N421" s="439"/>
      <c r="O421" s="673"/>
      <c r="P421" s="361"/>
      <c r="Q421" s="441"/>
      <c r="R421" s="485"/>
      <c r="S421" s="442"/>
      <c r="T421" s="441">
        <v>5529.6809026707106</v>
      </c>
      <c r="U421" s="485"/>
      <c r="V421" s="442">
        <v>17.133333333333333</v>
      </c>
      <c r="W421" s="578">
        <v>4708.2090547682956</v>
      </c>
      <c r="X421" s="485"/>
      <c r="Y421" s="442">
        <v>18.100000000000001</v>
      </c>
      <c r="Z421" s="441"/>
      <c r="AA421" s="485"/>
      <c r="AB421" s="442"/>
      <c r="AC421" s="672"/>
      <c r="AD421" s="441">
        <v>862.38453389057827</v>
      </c>
      <c r="AE421" s="674">
        <v>7391.867433347812</v>
      </c>
      <c r="AF421" s="674">
        <v>4558.3182505644845</v>
      </c>
      <c r="AG421" s="674">
        <v>0</v>
      </c>
      <c r="AH421" s="442">
        <v>0</v>
      </c>
      <c r="AI421" s="442">
        <v>3.637978807091713E-12</v>
      </c>
      <c r="AK421" s="3" t="e">
        <f>IF(F421="", " ", VLOOKUP(F421,#REF!, 1, FALSE))</f>
        <v>#REF!</v>
      </c>
    </row>
    <row r="422" spans="1:37" ht="36" hidden="1" x14ac:dyDescent="0.25">
      <c r="A422" s="587" t="s">
        <v>1976</v>
      </c>
      <c r="B422" s="369" t="s">
        <v>25</v>
      </c>
      <c r="C422" s="588"/>
      <c r="D422" s="589" t="s">
        <v>1895</v>
      </c>
      <c r="E422" s="44" t="s">
        <v>27</v>
      </c>
      <c r="F422" s="214">
        <v>93599</v>
      </c>
      <c r="G422" s="587" t="s">
        <v>788</v>
      </c>
      <c r="H422" s="590" t="s">
        <v>42</v>
      </c>
      <c r="I422" s="591">
        <f>IF($F422="","",IF('TRECHO(S) A IMPRIMIR'!$B$1= 1, SUM(Q422, T422, W422, Z422), IF('TRECHO(S) A IMPRIMIR'!$B$1= 2, T422, IF('TRECHO(S) A IMPRIMIR'!$B$1= 3, W422, 0))))</f>
        <v>0</v>
      </c>
      <c r="J422" s="592">
        <v>0.41</v>
      </c>
      <c r="K422" s="593">
        <f t="shared" si="68"/>
        <v>0.2033513845915047</v>
      </c>
      <c r="L422" s="592">
        <f t="shared" si="65"/>
        <v>0.4933740676825169</v>
      </c>
      <c r="M422" s="594">
        <f t="shared" si="66"/>
        <v>0</v>
      </c>
      <c r="N422" s="439"/>
      <c r="O422" s="673"/>
      <c r="P422" s="361"/>
      <c r="Q422" s="441"/>
      <c r="R422" s="485"/>
      <c r="S422" s="442"/>
      <c r="T422" s="441">
        <f>T420 * V422</f>
        <v>0</v>
      </c>
      <c r="U422" s="485"/>
      <c r="V422" s="442">
        <f>IF('MLQ-DMT-TR1'!$E$15 &gt; 30, 'MLQ-DMT-TR1'!$E$15 - 30, 0)</f>
        <v>0</v>
      </c>
      <c r="W422" s="578">
        <f>W420 * Y422</f>
        <v>0</v>
      </c>
      <c r="X422" s="485"/>
      <c r="Y422" s="442">
        <f>IF('MLQ-DMT-TR3'!$E$15 &gt; 30, 'MLQ-DMT-TR3'!$E$15 - 30, 0)</f>
        <v>0</v>
      </c>
      <c r="Z422" s="441"/>
      <c r="AA422" s="485"/>
      <c r="AB422" s="442"/>
      <c r="AC422" s="672"/>
      <c r="AD422" s="441" t="s">
        <v>21</v>
      </c>
      <c r="AE422" s="674" t="s">
        <v>21</v>
      </c>
      <c r="AF422" s="674" t="s">
        <v>21</v>
      </c>
      <c r="AG422" s="674" t="s">
        <v>21</v>
      </c>
      <c r="AH422" s="442" t="s">
        <v>21</v>
      </c>
      <c r="AI422" s="442" t="str">
        <f t="shared" si="67"/>
        <v/>
      </c>
      <c r="AK422" s="3" t="e">
        <f>IF(F422="", " ", VLOOKUP(F422,#REF!, 1, FALSE))</f>
        <v>#REF!</v>
      </c>
    </row>
    <row r="423" spans="1:37" x14ac:dyDescent="0.25">
      <c r="A423" s="587"/>
      <c r="B423" s="369"/>
      <c r="C423" s="588"/>
      <c r="D423" s="589"/>
      <c r="E423" s="44"/>
      <c r="F423" s="214"/>
      <c r="G423" s="587" t="s">
        <v>21</v>
      </c>
      <c r="H423" s="590" t="s">
        <v>21</v>
      </c>
      <c r="I423" s="591" t="str">
        <f>IF($F423="","",IF('TRECHO(S) A IMPRIMIR'!$B$1= 1, SUM(Q423, T423, W423, Z423), IF('TRECHO(S) A IMPRIMIR'!$B$1= 2, T423, IF('TRECHO(S) A IMPRIMIR'!$B$1= 3, W423, 0))))</f>
        <v/>
      </c>
      <c r="J423" s="592" t="s">
        <v>21</v>
      </c>
      <c r="K423" s="593" t="str">
        <f t="shared" si="68"/>
        <v/>
      </c>
      <c r="L423" s="592" t="str">
        <f t="shared" si="65"/>
        <v/>
      </c>
      <c r="M423" s="594" t="str">
        <f t="shared" si="66"/>
        <v/>
      </c>
      <c r="N423" s="439"/>
      <c r="O423" s="673"/>
      <c r="P423" s="361"/>
      <c r="Q423" s="441"/>
      <c r="R423" s="485"/>
      <c r="S423" s="442"/>
      <c r="T423" s="441"/>
      <c r="U423" s="485"/>
      <c r="V423" s="442"/>
      <c r="W423" s="578"/>
      <c r="X423" s="485"/>
      <c r="Y423" s="442"/>
      <c r="Z423" s="441"/>
      <c r="AA423" s="485"/>
      <c r="AB423" s="442"/>
      <c r="AC423" s="672"/>
      <c r="AD423" s="441" t="s">
        <v>21</v>
      </c>
      <c r="AE423" s="674" t="s">
        <v>21</v>
      </c>
      <c r="AF423" s="674" t="s">
        <v>21</v>
      </c>
      <c r="AG423" s="674" t="s">
        <v>21</v>
      </c>
      <c r="AH423" s="442" t="s">
        <v>21</v>
      </c>
      <c r="AI423" s="442" t="str">
        <f t="shared" si="67"/>
        <v/>
      </c>
      <c r="AK423" s="3" t="str">
        <f>IF(F423="", " ", VLOOKUP(F423,#REF!, 1, FALSE))</f>
        <v xml:space="preserve"> </v>
      </c>
    </row>
    <row r="424" spans="1:37" x14ac:dyDescent="0.25">
      <c r="A424" s="587" t="s">
        <v>2583</v>
      </c>
      <c r="B424" s="369"/>
      <c r="C424" s="588"/>
      <c r="D424" s="589" t="s">
        <v>1901</v>
      </c>
      <c r="E424" s="44"/>
      <c r="F424" s="214"/>
      <c r="G424" s="587" t="s">
        <v>2583</v>
      </c>
      <c r="H424" s="590" t="s">
        <v>21</v>
      </c>
      <c r="I424" s="591" t="s">
        <v>21</v>
      </c>
      <c r="J424" s="592" t="s">
        <v>21</v>
      </c>
      <c r="K424" s="593" t="s">
        <v>21</v>
      </c>
      <c r="L424" s="592" t="s">
        <v>21</v>
      </c>
      <c r="M424" s="594">
        <v>278427.14415845496</v>
      </c>
      <c r="N424" s="439"/>
      <c r="O424" s="673" t="s">
        <v>3857</v>
      </c>
      <c r="P424" s="361"/>
      <c r="Q424" s="441"/>
      <c r="R424" s="485"/>
      <c r="S424" s="442"/>
      <c r="T424" s="441"/>
      <c r="U424" s="485"/>
      <c r="V424" s="442"/>
      <c r="W424" s="578"/>
      <c r="X424" s="485"/>
      <c r="Y424" s="442"/>
      <c r="Z424" s="441"/>
      <c r="AA424" s="485"/>
      <c r="AB424" s="442"/>
      <c r="AC424" s="672"/>
      <c r="AD424" s="441" t="s">
        <v>21</v>
      </c>
      <c r="AE424" s="674" t="s">
        <v>21</v>
      </c>
      <c r="AF424" s="674" t="s">
        <v>21</v>
      </c>
      <c r="AG424" s="674" t="s">
        <v>21</v>
      </c>
      <c r="AH424" s="442" t="s">
        <v>21</v>
      </c>
      <c r="AI424" s="442" t="str">
        <f t="shared" si="67"/>
        <v/>
      </c>
      <c r="AK424" s="3" t="str">
        <f>IF(F424="", " ", VLOOKUP(F424,#REF!, 1, FALSE))</f>
        <v xml:space="preserve"> </v>
      </c>
    </row>
    <row r="425" spans="1:37" ht="36" x14ac:dyDescent="0.25">
      <c r="A425" s="587" t="s">
        <v>2564</v>
      </c>
      <c r="B425" s="369"/>
      <c r="C425" s="588"/>
      <c r="D425" s="589" t="s">
        <v>1902</v>
      </c>
      <c r="E425" s="44"/>
      <c r="F425" s="214"/>
      <c r="G425" s="587" t="s">
        <v>2564</v>
      </c>
      <c r="H425" s="590" t="s">
        <v>21</v>
      </c>
      <c r="I425" s="591" t="str">
        <f>IF($F425="","",IF('TRECHO(S) A IMPRIMIR'!$B$1= 1, SUM(Q425, T425, W425, Z425), IF('TRECHO(S) A IMPRIMIR'!$B$1= 2, T425, IF('TRECHO(S) A IMPRIMIR'!$B$1= 3, W425, 0))))</f>
        <v/>
      </c>
      <c r="J425" s="592" t="s">
        <v>21</v>
      </c>
      <c r="K425" s="593" t="str">
        <f t="shared" si="68"/>
        <v/>
      </c>
      <c r="L425" s="592" t="str">
        <f t="shared" si="65"/>
        <v/>
      </c>
      <c r="M425" s="594" t="str">
        <f t="shared" ref="M425:M456" si="69">IF(OR(I425="",L425=""),"",I425*L425)</f>
        <v/>
      </c>
      <c r="N425" s="439"/>
      <c r="O425" s="673"/>
      <c r="P425" s="361"/>
      <c r="Q425" s="441"/>
      <c r="R425" s="485"/>
      <c r="S425" s="442"/>
      <c r="T425" s="441"/>
      <c r="U425" s="485"/>
      <c r="V425" s="442"/>
      <c r="W425" s="578"/>
      <c r="X425" s="485"/>
      <c r="Y425" s="442"/>
      <c r="Z425" s="441"/>
      <c r="AA425" s="485"/>
      <c r="AB425" s="442"/>
      <c r="AC425" s="672"/>
      <c r="AD425" s="441" t="s">
        <v>21</v>
      </c>
      <c r="AE425" s="674" t="s">
        <v>21</v>
      </c>
      <c r="AF425" s="674" t="s">
        <v>21</v>
      </c>
      <c r="AG425" s="674" t="s">
        <v>21</v>
      </c>
      <c r="AH425" s="442" t="s">
        <v>21</v>
      </c>
      <c r="AI425" s="442" t="str">
        <f t="shared" si="67"/>
        <v/>
      </c>
      <c r="AK425" s="3" t="str">
        <f>IF(F425="", " ", VLOOKUP(F425,#REF!, 1, FALSE))</f>
        <v xml:space="preserve"> </v>
      </c>
    </row>
    <row r="426" spans="1:37" ht="60" x14ac:dyDescent="0.25">
      <c r="A426" s="587" t="s">
        <v>2565</v>
      </c>
      <c r="B426" s="369" t="s">
        <v>725</v>
      </c>
      <c r="C426" s="588"/>
      <c r="D426" s="589" t="s">
        <v>1903</v>
      </c>
      <c r="E426" s="44" t="s">
        <v>27</v>
      </c>
      <c r="F426" s="214">
        <v>90100</v>
      </c>
      <c r="G426" s="587" t="s">
        <v>1297</v>
      </c>
      <c r="H426" s="590" t="s">
        <v>44</v>
      </c>
      <c r="I426" s="591">
        <v>446.49</v>
      </c>
      <c r="J426" s="592">
        <v>9.73</v>
      </c>
      <c r="K426" s="593">
        <v>0.2033513845915047</v>
      </c>
      <c r="L426" s="592">
        <v>11.708608972075341</v>
      </c>
      <c r="M426" s="594">
        <v>5227.7768199419188</v>
      </c>
      <c r="N426" s="439"/>
      <c r="O426" s="673"/>
      <c r="P426" s="361"/>
      <c r="Q426" s="441"/>
      <c r="R426" s="485"/>
      <c r="S426" s="442"/>
      <c r="T426" s="441">
        <v>294.03000000000003</v>
      </c>
      <c r="U426" s="485">
        <v>1.0923072445820432</v>
      </c>
      <c r="V426" s="442"/>
      <c r="W426" s="578">
        <v>152.46</v>
      </c>
      <c r="X426" s="485">
        <v>1.0923072445820432</v>
      </c>
      <c r="Y426" s="442"/>
      <c r="Z426" s="441"/>
      <c r="AA426" s="485"/>
      <c r="AB426" s="442"/>
      <c r="AC426" s="672"/>
      <c r="AD426" s="441">
        <v>1735.4284818512228</v>
      </c>
      <c r="AE426" s="674">
        <v>1735.4284818512228</v>
      </c>
      <c r="AF426" s="674">
        <v>1756.9198562394733</v>
      </c>
      <c r="AG426" s="674">
        <v>0</v>
      </c>
      <c r="AH426" s="442">
        <v>0</v>
      </c>
      <c r="AI426" s="442">
        <v>0</v>
      </c>
      <c r="AK426" s="3" t="e">
        <f>IF(F426="", " ", VLOOKUP(F426,#REF!, 1, FALSE))</f>
        <v>#REF!</v>
      </c>
    </row>
    <row r="427" spans="1:37" ht="36" x14ac:dyDescent="0.25">
      <c r="A427" s="587" t="s">
        <v>2566</v>
      </c>
      <c r="B427" s="369" t="s">
        <v>725</v>
      </c>
      <c r="C427" s="588"/>
      <c r="D427" s="589" t="s">
        <v>3126</v>
      </c>
      <c r="E427" s="44" t="s">
        <v>27</v>
      </c>
      <c r="F427" s="214">
        <v>101619</v>
      </c>
      <c r="G427" s="587" t="s">
        <v>1170</v>
      </c>
      <c r="H427" s="590" t="s">
        <v>44</v>
      </c>
      <c r="I427" s="591">
        <v>248.05</v>
      </c>
      <c r="J427" s="592">
        <v>290.8</v>
      </c>
      <c r="K427" s="593">
        <v>0.2033513845915047</v>
      </c>
      <c r="L427" s="592">
        <v>349.93458263920957</v>
      </c>
      <c r="M427" s="594">
        <v>86801.273223655939</v>
      </c>
      <c r="N427" s="439"/>
      <c r="O427" s="673"/>
      <c r="P427" s="361"/>
      <c r="Q427" s="441"/>
      <c r="R427" s="485"/>
      <c r="S427" s="442"/>
      <c r="T427" s="441">
        <v>163.35</v>
      </c>
      <c r="U427" s="485"/>
      <c r="V427" s="442"/>
      <c r="W427" s="578">
        <v>84.7</v>
      </c>
      <c r="X427" s="485"/>
      <c r="Y427" s="442"/>
      <c r="Z427" s="441"/>
      <c r="AA427" s="485"/>
      <c r="AB427" s="442"/>
      <c r="AC427" s="672"/>
      <c r="AD427" s="441">
        <v>26741.836547824401</v>
      </c>
      <c r="AE427" s="674">
        <v>60017.647892298832</v>
      </c>
      <c r="AF427" s="674">
        <v>41.788783532709189</v>
      </c>
      <c r="AG427" s="674">
        <v>0</v>
      </c>
      <c r="AH427" s="442">
        <v>0</v>
      </c>
      <c r="AI427" s="442">
        <v>0</v>
      </c>
      <c r="AK427" s="3" t="e">
        <f>IF(F427="", " ", VLOOKUP(F427,#REF!, 1, FALSE))</f>
        <v>#REF!</v>
      </c>
    </row>
    <row r="428" spans="1:37" ht="36" x14ac:dyDescent="0.25">
      <c r="A428" s="587" t="s">
        <v>2567</v>
      </c>
      <c r="B428" s="369" t="s">
        <v>25</v>
      </c>
      <c r="C428" s="588"/>
      <c r="D428" s="589" t="s">
        <v>3127</v>
      </c>
      <c r="E428" s="44" t="s">
        <v>27</v>
      </c>
      <c r="F428" s="214">
        <v>100943</v>
      </c>
      <c r="G428" s="587" t="s">
        <v>786</v>
      </c>
      <c r="H428" s="590" t="s">
        <v>42</v>
      </c>
      <c r="I428" s="591">
        <v>487.70426163343649</v>
      </c>
      <c r="J428" s="592">
        <v>3.1</v>
      </c>
      <c r="K428" s="593">
        <v>0.2033513845915047</v>
      </c>
      <c r="L428" s="592">
        <v>3.7303892922336646</v>
      </c>
      <c r="M428" s="594">
        <v>1819.326755374097</v>
      </c>
      <c r="N428" s="439"/>
      <c r="O428" s="673"/>
      <c r="P428" s="361"/>
      <c r="Q428" s="441"/>
      <c r="R428" s="485"/>
      <c r="S428" s="442"/>
      <c r="T428" s="441">
        <v>321.17109912445818</v>
      </c>
      <c r="U428" s="485"/>
      <c r="V428" s="442">
        <v>1</v>
      </c>
      <c r="W428" s="578">
        <v>166.53316250897831</v>
      </c>
      <c r="X428" s="485"/>
      <c r="Y428" s="442">
        <v>1</v>
      </c>
      <c r="Z428" s="441"/>
      <c r="AA428" s="485"/>
      <c r="AB428" s="442"/>
      <c r="AC428" s="672"/>
      <c r="AD428" s="441">
        <v>129.11351167171011</v>
      </c>
      <c r="AE428" s="674">
        <v>1015.3017054184478</v>
      </c>
      <c r="AF428" s="674">
        <v>674.91153828393919</v>
      </c>
      <c r="AG428" s="674">
        <v>0</v>
      </c>
      <c r="AH428" s="442">
        <v>0</v>
      </c>
      <c r="AI428" s="442">
        <v>0</v>
      </c>
      <c r="AK428" s="3" t="e">
        <f>IF(F428="", " ", VLOOKUP(F428,#REF!, 1, FALSE))</f>
        <v>#REF!</v>
      </c>
    </row>
    <row r="429" spans="1:37" x14ac:dyDescent="0.25">
      <c r="A429" s="587" t="s">
        <v>2568</v>
      </c>
      <c r="B429" s="369"/>
      <c r="C429" s="588"/>
      <c r="D429" s="589" t="s">
        <v>1904</v>
      </c>
      <c r="E429" s="44"/>
      <c r="F429" s="214"/>
      <c r="G429" s="587" t="s">
        <v>2568</v>
      </c>
      <c r="H429" s="590" t="s">
        <v>21</v>
      </c>
      <c r="I429" s="591" t="str">
        <f>IF($F429="","",IF('TRECHO(S) A IMPRIMIR'!$B$1= 1, SUM(Q429, T429, W429, Z429), IF('TRECHO(S) A IMPRIMIR'!$B$1= 2, T429, IF('TRECHO(S) A IMPRIMIR'!$B$1= 3, W429, 0))))</f>
        <v/>
      </c>
      <c r="J429" s="592" t="s">
        <v>21</v>
      </c>
      <c r="K429" s="593" t="str">
        <f t="shared" si="68"/>
        <v/>
      </c>
      <c r="L429" s="592" t="str">
        <f t="shared" si="65"/>
        <v/>
      </c>
      <c r="M429" s="594" t="str">
        <f t="shared" si="69"/>
        <v/>
      </c>
      <c r="N429" s="439"/>
      <c r="O429" s="673"/>
      <c r="P429" s="361"/>
      <c r="Q429" s="441"/>
      <c r="R429" s="485"/>
      <c r="S429" s="442"/>
      <c r="T429" s="441"/>
      <c r="U429" s="485"/>
      <c r="V429" s="442"/>
      <c r="W429" s="578"/>
      <c r="X429" s="485"/>
      <c r="Y429" s="442"/>
      <c r="Z429" s="441"/>
      <c r="AA429" s="485"/>
      <c r="AB429" s="442"/>
      <c r="AC429" s="672"/>
      <c r="AD429" s="441" t="s">
        <v>21</v>
      </c>
      <c r="AE429" s="674" t="s">
        <v>21</v>
      </c>
      <c r="AF429" s="674" t="s">
        <v>21</v>
      </c>
      <c r="AG429" s="674" t="s">
        <v>21</v>
      </c>
      <c r="AH429" s="442" t="s">
        <v>21</v>
      </c>
      <c r="AI429" s="442" t="str">
        <f t="shared" si="67"/>
        <v/>
      </c>
      <c r="AK429" s="3" t="str">
        <f>IF(F429="", " ", VLOOKUP(F429,#REF!, 1, FALSE))</f>
        <v xml:space="preserve"> </v>
      </c>
    </row>
    <row r="430" spans="1:37" ht="60" x14ac:dyDescent="0.25">
      <c r="A430" s="587" t="s">
        <v>4081</v>
      </c>
      <c r="B430" s="369" t="s">
        <v>39</v>
      </c>
      <c r="C430" s="588"/>
      <c r="D430" s="589" t="s">
        <v>1905</v>
      </c>
      <c r="E430" s="44" t="s">
        <v>138</v>
      </c>
      <c r="F430" s="214" t="s">
        <v>2573</v>
      </c>
      <c r="G430" s="587" t="s">
        <v>4131</v>
      </c>
      <c r="H430" s="590" t="s">
        <v>41</v>
      </c>
      <c r="I430" s="591">
        <v>41</v>
      </c>
      <c r="J430" s="592">
        <v>2814.1012144480078</v>
      </c>
      <c r="K430" s="593">
        <v>0.2033513845915047</v>
      </c>
      <c r="L430" s="592">
        <v>3386.3525927866449</v>
      </c>
      <c r="M430" s="594">
        <v>138840.45630425244</v>
      </c>
      <c r="N430" s="439"/>
      <c r="O430" s="673"/>
      <c r="P430" s="361"/>
      <c r="Q430" s="441"/>
      <c r="R430" s="485"/>
      <c r="S430" s="442"/>
      <c r="T430" s="441">
        <v>27</v>
      </c>
      <c r="U430" s="485"/>
      <c r="V430" s="442"/>
      <c r="W430" s="578">
        <v>14</v>
      </c>
      <c r="X430" s="485"/>
      <c r="Y430" s="442"/>
      <c r="Z430" s="441"/>
      <c r="AA430" s="485"/>
      <c r="AB430" s="442"/>
      <c r="AC430" s="672"/>
      <c r="AD430" s="441">
        <v>23340.642959094446</v>
      </c>
      <c r="AE430" s="674">
        <v>115253.09712482025</v>
      </c>
      <c r="AF430" s="674">
        <v>213.59377151987627</v>
      </c>
      <c r="AG430" s="674">
        <v>0</v>
      </c>
      <c r="AH430" s="442">
        <v>33.122448817893996</v>
      </c>
      <c r="AI430" s="442">
        <v>-2.9103830456733704E-11</v>
      </c>
      <c r="AK430" s="3" t="e">
        <f>IF(F430="", " ", VLOOKUP(F430,#REF!, 1, FALSE))</f>
        <v>#REF!</v>
      </c>
    </row>
    <row r="431" spans="1:37" ht="24" x14ac:dyDescent="0.25">
      <c r="A431" s="587" t="s">
        <v>2570</v>
      </c>
      <c r="B431" s="369" t="s">
        <v>725</v>
      </c>
      <c r="C431" s="588"/>
      <c r="D431" s="589" t="s">
        <v>3856</v>
      </c>
      <c r="E431" s="44" t="s">
        <v>27</v>
      </c>
      <c r="F431" s="214">
        <v>93382</v>
      </c>
      <c r="G431" s="587" t="s">
        <v>40</v>
      </c>
      <c r="H431" s="590" t="s">
        <v>44</v>
      </c>
      <c r="I431" s="591">
        <v>168.92000000000002</v>
      </c>
      <c r="J431" s="592">
        <v>25.09</v>
      </c>
      <c r="K431" s="593">
        <v>0.2033513845915047</v>
      </c>
      <c r="L431" s="592">
        <v>30.192086239400854</v>
      </c>
      <c r="M431" s="594">
        <v>5100.0472075595926</v>
      </c>
      <c r="N431" s="439"/>
      <c r="O431" s="673"/>
      <c r="P431" s="361"/>
      <c r="Q431" s="441"/>
      <c r="R431" s="485"/>
      <c r="S431" s="442"/>
      <c r="T431" s="441">
        <v>111.24000000000001</v>
      </c>
      <c r="U431" s="485"/>
      <c r="V431" s="442"/>
      <c r="W431" s="578">
        <v>57.68</v>
      </c>
      <c r="X431" s="485"/>
      <c r="Y431" s="442"/>
      <c r="Z431" s="441"/>
      <c r="AA431" s="485"/>
      <c r="AB431" s="442"/>
      <c r="AC431" s="672"/>
      <c r="AD431" s="441">
        <v>3040.9209336425474</v>
      </c>
      <c r="AE431" s="674">
        <v>1868.0523649849601</v>
      </c>
      <c r="AF431" s="674">
        <v>191.07390893208517</v>
      </c>
      <c r="AG431" s="674">
        <v>0</v>
      </c>
      <c r="AH431" s="442">
        <v>0</v>
      </c>
      <c r="AI431" s="442">
        <v>0</v>
      </c>
      <c r="AK431" s="3" t="e">
        <f>IF(F431="", " ", VLOOKUP(F431,#REF!, 1, FALSE))</f>
        <v>#REF!</v>
      </c>
    </row>
    <row r="432" spans="1:37" x14ac:dyDescent="0.25">
      <c r="A432" s="587" t="s">
        <v>2576</v>
      </c>
      <c r="B432" s="369"/>
      <c r="C432" s="588"/>
      <c r="D432" s="589" t="s">
        <v>1906</v>
      </c>
      <c r="E432" s="44"/>
      <c r="F432" s="214"/>
      <c r="G432" s="587" t="s">
        <v>2576</v>
      </c>
      <c r="H432" s="590" t="s">
        <v>21</v>
      </c>
      <c r="I432" s="591" t="s">
        <v>21</v>
      </c>
      <c r="J432" s="592" t="s">
        <v>21</v>
      </c>
      <c r="K432" s="593" t="s">
        <v>21</v>
      </c>
      <c r="L432" s="592" t="s">
        <v>21</v>
      </c>
      <c r="M432" s="594" t="s">
        <v>21</v>
      </c>
      <c r="N432" s="439"/>
      <c r="O432" s="673"/>
      <c r="P432" s="361"/>
      <c r="Q432" s="441"/>
      <c r="R432" s="485"/>
      <c r="S432" s="442"/>
      <c r="T432" s="441"/>
      <c r="U432" s="485"/>
      <c r="V432" s="442"/>
      <c r="W432" s="578"/>
      <c r="X432" s="485"/>
      <c r="Y432" s="442"/>
      <c r="Z432" s="441"/>
      <c r="AA432" s="485"/>
      <c r="AB432" s="442"/>
      <c r="AC432" s="672"/>
      <c r="AD432" s="441" t="s">
        <v>21</v>
      </c>
      <c r="AE432" s="674" t="s">
        <v>21</v>
      </c>
      <c r="AF432" s="674" t="s">
        <v>21</v>
      </c>
      <c r="AG432" s="674" t="s">
        <v>21</v>
      </c>
      <c r="AH432" s="442" t="s">
        <v>21</v>
      </c>
      <c r="AI432" s="442" t="s">
        <v>21</v>
      </c>
      <c r="AK432" s="3" t="str">
        <f>IF(F432="", " ", VLOOKUP(F432,#REF!, 1, FALSE))</f>
        <v xml:space="preserve"> </v>
      </c>
    </row>
    <row r="433" spans="1:37" x14ac:dyDescent="0.25">
      <c r="A433" s="587" t="s">
        <v>2577</v>
      </c>
      <c r="B433" s="369" t="s">
        <v>26</v>
      </c>
      <c r="C433" s="588"/>
      <c r="D433" s="589" t="s">
        <v>1907</v>
      </c>
      <c r="E433" s="44" t="s">
        <v>138</v>
      </c>
      <c r="F433" s="214" t="s">
        <v>2333</v>
      </c>
      <c r="G433" s="587" t="s">
        <v>2351</v>
      </c>
      <c r="H433" s="590" t="s">
        <v>22</v>
      </c>
      <c r="I433" s="591">
        <v>246</v>
      </c>
      <c r="J433" s="592">
        <v>48.144249999999992</v>
      </c>
      <c r="K433" s="593">
        <v>0.11096635744680849</v>
      </c>
      <c r="L433" s="592">
        <v>53.486642054508501</v>
      </c>
      <c r="M433" s="594">
        <v>13157.713945409092</v>
      </c>
      <c r="N433" s="439"/>
      <c r="O433" s="673"/>
      <c r="P433" s="361"/>
      <c r="Q433" s="441"/>
      <c r="R433" s="485"/>
      <c r="S433" s="442"/>
      <c r="T433" s="441">
        <v>162</v>
      </c>
      <c r="U433" s="485"/>
      <c r="V433" s="442"/>
      <c r="W433" s="578">
        <v>84</v>
      </c>
      <c r="X433" s="485"/>
      <c r="Y433" s="442"/>
      <c r="Z433" s="441"/>
      <c r="AA433" s="485"/>
      <c r="AB433" s="442"/>
      <c r="AC433" s="672"/>
      <c r="AD433" s="441">
        <v>0</v>
      </c>
      <c r="AE433" s="674">
        <v>13157.713945409092</v>
      </c>
      <c r="AF433" s="674">
        <v>0</v>
      </c>
      <c r="AG433" s="674">
        <v>0</v>
      </c>
      <c r="AH433" s="442">
        <v>0</v>
      </c>
      <c r="AI433" s="442">
        <v>0</v>
      </c>
      <c r="AK433" s="3" t="e">
        <f>IF(F433="", " ", VLOOKUP(F433,#REF!, 1, FALSE))</f>
        <v>#REF!</v>
      </c>
    </row>
    <row r="434" spans="1:37" ht="60" x14ac:dyDescent="0.25">
      <c r="A434" s="587" t="s">
        <v>1111</v>
      </c>
      <c r="B434" s="369" t="s">
        <v>725</v>
      </c>
      <c r="C434" s="588"/>
      <c r="D434" s="589" t="s">
        <v>1908</v>
      </c>
      <c r="E434" s="44" t="s">
        <v>27</v>
      </c>
      <c r="F434" s="214">
        <v>90100</v>
      </c>
      <c r="G434" s="587" t="s">
        <v>1297</v>
      </c>
      <c r="H434" s="590" t="s">
        <v>44</v>
      </c>
      <c r="I434" s="591">
        <v>209.09999999999997</v>
      </c>
      <c r="J434" s="592">
        <v>9.73</v>
      </c>
      <c r="K434" s="593">
        <v>0.2033513845915047</v>
      </c>
      <c r="L434" s="592">
        <v>11.708608972075341</v>
      </c>
      <c r="M434" s="594">
        <v>2448.2701360609535</v>
      </c>
      <c r="N434" s="439"/>
      <c r="O434" s="673"/>
      <c r="P434" s="361"/>
      <c r="Q434" s="441"/>
      <c r="R434" s="485"/>
      <c r="S434" s="442"/>
      <c r="T434" s="441">
        <v>137.69999999999999</v>
      </c>
      <c r="U434" s="485">
        <v>1.0923072445820432</v>
      </c>
      <c r="V434" s="442"/>
      <c r="W434" s="578">
        <v>71.399999999999991</v>
      </c>
      <c r="X434" s="485">
        <v>1.0923072445820432</v>
      </c>
      <c r="Y434" s="442"/>
      <c r="Z434" s="441"/>
      <c r="AA434" s="485"/>
      <c r="AB434" s="442"/>
      <c r="AC434" s="672"/>
      <c r="AD434" s="441">
        <v>812.73510169341</v>
      </c>
      <c r="AE434" s="674">
        <v>812.73510169341</v>
      </c>
      <c r="AF434" s="674">
        <v>822.7999326741334</v>
      </c>
      <c r="AG434" s="674">
        <v>0</v>
      </c>
      <c r="AH434" s="442">
        <v>0</v>
      </c>
      <c r="AI434" s="442">
        <v>0</v>
      </c>
      <c r="AK434" s="3" t="e">
        <f>IF(F434="", " ", VLOOKUP(F434,#REF!, 1, FALSE))</f>
        <v>#REF!</v>
      </c>
    </row>
    <row r="435" spans="1:37" ht="24" x14ac:dyDescent="0.25">
      <c r="A435" s="587" t="s">
        <v>2571</v>
      </c>
      <c r="B435" s="369" t="s">
        <v>243</v>
      </c>
      <c r="C435" s="588"/>
      <c r="D435" s="589" t="s">
        <v>1909</v>
      </c>
      <c r="E435" s="44" t="s">
        <v>27</v>
      </c>
      <c r="F435" s="214">
        <v>101616</v>
      </c>
      <c r="G435" s="587" t="s">
        <v>1169</v>
      </c>
      <c r="H435" s="590" t="s">
        <v>51</v>
      </c>
      <c r="I435" s="591">
        <v>145.96</v>
      </c>
      <c r="J435" s="592">
        <v>5.27</v>
      </c>
      <c r="K435" s="593">
        <v>0.2033513845915047</v>
      </c>
      <c r="L435" s="592">
        <v>6.3416617967972293</v>
      </c>
      <c r="M435" s="594">
        <v>925.62895586052366</v>
      </c>
      <c r="N435" s="439"/>
      <c r="O435" s="673"/>
      <c r="P435" s="361"/>
      <c r="Q435" s="441"/>
      <c r="R435" s="485"/>
      <c r="S435" s="442"/>
      <c r="T435" s="441">
        <v>96.12</v>
      </c>
      <c r="U435" s="485"/>
      <c r="V435" s="442"/>
      <c r="W435" s="578">
        <v>49.84</v>
      </c>
      <c r="X435" s="485"/>
      <c r="Y435" s="442"/>
      <c r="Z435" s="441"/>
      <c r="AA435" s="485"/>
      <c r="AB435" s="442"/>
      <c r="AC435" s="672"/>
      <c r="AD435" s="441">
        <v>656.89796867521045</v>
      </c>
      <c r="AE435" s="674">
        <v>268.73098718531332</v>
      </c>
      <c r="AF435" s="674">
        <v>0</v>
      </c>
      <c r="AG435" s="674">
        <v>0</v>
      </c>
      <c r="AH435" s="442">
        <v>0</v>
      </c>
      <c r="AI435" s="442">
        <v>-1.1368683772161603E-13</v>
      </c>
      <c r="AK435" s="3" t="e">
        <f>IF(F435="", " ", VLOOKUP(F435,#REF!, 1, FALSE))</f>
        <v>#REF!</v>
      </c>
    </row>
    <row r="436" spans="1:37" ht="60" x14ac:dyDescent="0.25">
      <c r="A436" s="587" t="s">
        <v>2581</v>
      </c>
      <c r="B436" s="369" t="s">
        <v>26</v>
      </c>
      <c r="C436" s="588"/>
      <c r="D436" s="589" t="s">
        <v>1910</v>
      </c>
      <c r="E436" s="44" t="s">
        <v>27</v>
      </c>
      <c r="F436" s="214">
        <v>92809</v>
      </c>
      <c r="G436" s="587" t="s">
        <v>520</v>
      </c>
      <c r="H436" s="590" t="s">
        <v>22</v>
      </c>
      <c r="I436" s="591">
        <v>246</v>
      </c>
      <c r="J436" s="592">
        <v>39.86</v>
      </c>
      <c r="K436" s="593">
        <v>0.2033513845915047</v>
      </c>
      <c r="L436" s="592">
        <v>47.96558618981738</v>
      </c>
      <c r="M436" s="594">
        <v>11799.534202695075</v>
      </c>
      <c r="N436" s="439"/>
      <c r="O436" s="673"/>
      <c r="P436" s="361"/>
      <c r="Q436" s="441"/>
      <c r="R436" s="485"/>
      <c r="S436" s="442"/>
      <c r="T436" s="441">
        <v>162</v>
      </c>
      <c r="U436" s="485"/>
      <c r="V436" s="442"/>
      <c r="W436" s="578">
        <v>84</v>
      </c>
      <c r="X436" s="485"/>
      <c r="Y436" s="442"/>
      <c r="Z436" s="441"/>
      <c r="AA436" s="485"/>
      <c r="AB436" s="442"/>
      <c r="AC436" s="672"/>
      <c r="AD436" s="441">
        <v>5017.6142683311973</v>
      </c>
      <c r="AE436" s="674">
        <v>3413.1618002276518</v>
      </c>
      <c r="AF436" s="674">
        <v>3368.7581341362256</v>
      </c>
      <c r="AG436" s="674">
        <v>0</v>
      </c>
      <c r="AH436" s="442">
        <v>0</v>
      </c>
      <c r="AI436" s="442">
        <v>0</v>
      </c>
      <c r="AK436" s="3" t="e">
        <f>IF(F436="", " ", VLOOKUP(F436,#REF!, 1, FALSE))</f>
        <v>#REF!</v>
      </c>
    </row>
    <row r="437" spans="1:37" ht="24" x14ac:dyDescent="0.25">
      <c r="A437" s="587" t="s">
        <v>2579</v>
      </c>
      <c r="B437" s="369" t="s">
        <v>28</v>
      </c>
      <c r="C437" s="588"/>
      <c r="D437" s="589" t="s">
        <v>1911</v>
      </c>
      <c r="E437" s="44" t="s">
        <v>27</v>
      </c>
      <c r="F437" s="214">
        <v>93382</v>
      </c>
      <c r="G437" s="587" t="s">
        <v>40</v>
      </c>
      <c r="H437" s="590" t="s">
        <v>44</v>
      </c>
      <c r="I437" s="591">
        <v>71.75</v>
      </c>
      <c r="J437" s="592">
        <v>25.09</v>
      </c>
      <c r="K437" s="593">
        <v>0.2033513845915047</v>
      </c>
      <c r="L437" s="592">
        <v>30.192086239400854</v>
      </c>
      <c r="M437" s="594">
        <v>2166.2821876770113</v>
      </c>
      <c r="N437" s="439"/>
      <c r="O437" s="673"/>
      <c r="P437" s="361"/>
      <c r="Q437" s="441"/>
      <c r="R437" s="485"/>
      <c r="S437" s="442"/>
      <c r="T437" s="441">
        <v>47.25</v>
      </c>
      <c r="U437" s="485"/>
      <c r="V437" s="442"/>
      <c r="W437" s="578">
        <v>24.5</v>
      </c>
      <c r="X437" s="485"/>
      <c r="Y437" s="442"/>
      <c r="Z437" s="441"/>
      <c r="AA437" s="485"/>
      <c r="AB437" s="442"/>
      <c r="AC437" s="672"/>
      <c r="AD437" s="441">
        <v>1291.6533091928295</v>
      </c>
      <c r="AE437" s="674">
        <v>793.46884435040772</v>
      </c>
      <c r="AF437" s="674">
        <v>81.160034133774033</v>
      </c>
      <c r="AG437" s="674">
        <v>0</v>
      </c>
      <c r="AH437" s="442">
        <v>0</v>
      </c>
      <c r="AI437" s="442">
        <v>0</v>
      </c>
      <c r="AK437" s="3" t="e">
        <f>IF(F437="", " ", VLOOKUP(F437,#REF!, 1, FALSE))</f>
        <v>#REF!</v>
      </c>
    </row>
    <row r="438" spans="1:37" ht="72" x14ac:dyDescent="0.25">
      <c r="A438" s="587" t="s">
        <v>2580</v>
      </c>
      <c r="B438" s="369" t="s">
        <v>28</v>
      </c>
      <c r="C438" s="588"/>
      <c r="D438" s="589" t="s">
        <v>3128</v>
      </c>
      <c r="E438" s="44" t="s">
        <v>27</v>
      </c>
      <c r="F438" s="214">
        <v>93371</v>
      </c>
      <c r="G438" s="587" t="s">
        <v>632</v>
      </c>
      <c r="H438" s="590" t="s">
        <v>44</v>
      </c>
      <c r="I438" s="591">
        <v>76.260000000000005</v>
      </c>
      <c r="J438" s="592">
        <v>7.32</v>
      </c>
      <c r="K438" s="593">
        <v>0.2033513845915047</v>
      </c>
      <c r="L438" s="592">
        <v>8.8085321352098145</v>
      </c>
      <c r="M438" s="594">
        <v>671.73866063110052</v>
      </c>
      <c r="N438" s="439"/>
      <c r="O438" s="673"/>
      <c r="P438" s="361"/>
      <c r="Q438" s="441"/>
      <c r="R438" s="485"/>
      <c r="S438" s="442"/>
      <c r="T438" s="441">
        <v>50.220000000000006</v>
      </c>
      <c r="U438" s="485"/>
      <c r="V438" s="442"/>
      <c r="W438" s="578">
        <v>26.040000000000003</v>
      </c>
      <c r="X438" s="485"/>
      <c r="Y438" s="442"/>
      <c r="Z438" s="441"/>
      <c r="AA438" s="485"/>
      <c r="AB438" s="442"/>
      <c r="AC438" s="672"/>
      <c r="AD438" s="441">
        <v>148.66347407409603</v>
      </c>
      <c r="AE438" s="674">
        <v>229.41894147237039</v>
      </c>
      <c r="AF438" s="674">
        <v>293.65624508463412</v>
      </c>
      <c r="AG438" s="674">
        <v>0</v>
      </c>
      <c r="AH438" s="442">
        <v>0</v>
      </c>
      <c r="AI438" s="442">
        <v>-1.1368683772161603E-13</v>
      </c>
      <c r="AK438" s="3" t="e">
        <f>IF(F438="", " ", VLOOKUP(F438,#REF!, 1, FALSE))</f>
        <v>#REF!</v>
      </c>
    </row>
    <row r="439" spans="1:37" ht="24" x14ac:dyDescent="0.25">
      <c r="A439" s="1708" t="s">
        <v>3763</v>
      </c>
      <c r="B439" s="369"/>
      <c r="C439" s="588"/>
      <c r="D439" s="589" t="s">
        <v>1912</v>
      </c>
      <c r="E439" s="44"/>
      <c r="F439" s="214"/>
      <c r="G439" s="587" t="s">
        <v>3763</v>
      </c>
      <c r="H439" s="590" t="s">
        <v>21</v>
      </c>
      <c r="I439" s="591" t="s">
        <v>21</v>
      </c>
      <c r="J439" s="592" t="s">
        <v>21</v>
      </c>
      <c r="K439" s="593" t="s">
        <v>21</v>
      </c>
      <c r="L439" s="592" t="s">
        <v>21</v>
      </c>
      <c r="M439" s="594" t="s">
        <v>21</v>
      </c>
      <c r="N439" s="439"/>
      <c r="O439" s="673"/>
      <c r="P439" s="361"/>
      <c r="Q439" s="441"/>
      <c r="R439" s="485"/>
      <c r="S439" s="442"/>
      <c r="T439" s="441"/>
      <c r="U439" s="485"/>
      <c r="V439" s="442"/>
      <c r="W439" s="578"/>
      <c r="X439" s="485"/>
      <c r="Y439" s="442"/>
      <c r="Z439" s="441"/>
      <c r="AA439" s="485"/>
      <c r="AB439" s="442"/>
      <c r="AC439" s="672"/>
      <c r="AD439" s="441" t="s">
        <v>21</v>
      </c>
      <c r="AE439" s="674" t="s">
        <v>21</v>
      </c>
      <c r="AF439" s="674" t="s">
        <v>21</v>
      </c>
      <c r="AG439" s="674" t="s">
        <v>21</v>
      </c>
      <c r="AH439" s="442" t="s">
        <v>21</v>
      </c>
      <c r="AI439" s="442" t="s">
        <v>21</v>
      </c>
      <c r="AK439" s="3" t="str">
        <f>IF(F439="", " ", VLOOKUP(F439,#REF!, 1, FALSE))</f>
        <v xml:space="preserve"> </v>
      </c>
    </row>
    <row r="440" spans="1:37" ht="48" x14ac:dyDescent="0.25">
      <c r="A440" s="587" t="s">
        <v>2578</v>
      </c>
      <c r="B440" s="369" t="s">
        <v>23</v>
      </c>
      <c r="C440" s="588"/>
      <c r="D440" s="589" t="s">
        <v>1913</v>
      </c>
      <c r="E440" s="44" t="s">
        <v>27</v>
      </c>
      <c r="F440" s="214">
        <v>100995</v>
      </c>
      <c r="G440" s="587" t="s">
        <v>773</v>
      </c>
      <c r="H440" s="590" t="s">
        <v>55</v>
      </c>
      <c r="I440" s="591">
        <v>369.92077145015475</v>
      </c>
      <c r="J440" s="592">
        <v>3.11</v>
      </c>
      <c r="K440" s="593">
        <v>0.2033513845915047</v>
      </c>
      <c r="L440" s="592">
        <v>3.7424228060795794</v>
      </c>
      <c r="M440" s="594">
        <v>1384.3999315176109</v>
      </c>
      <c r="N440" s="439"/>
      <c r="O440" s="673"/>
      <c r="P440" s="361"/>
      <c r="Q440" s="441"/>
      <c r="R440" s="485"/>
      <c r="S440" s="442"/>
      <c r="T440" s="441">
        <v>243.60636168668728</v>
      </c>
      <c r="U440" s="485"/>
      <c r="V440" s="442"/>
      <c r="W440" s="578">
        <v>126.31440976346748</v>
      </c>
      <c r="X440" s="485"/>
      <c r="Y440" s="442"/>
      <c r="Z440" s="441"/>
      <c r="AA440" s="485"/>
      <c r="AB440" s="442"/>
      <c r="AC440" s="672"/>
      <c r="AD440" s="441">
        <v>137.99484847924739</v>
      </c>
      <c r="AE440" s="674">
        <v>649.91122187000383</v>
      </c>
      <c r="AF440" s="674">
        <v>596.49386116835979</v>
      </c>
      <c r="AG440" s="674">
        <v>0</v>
      </c>
      <c r="AH440" s="442">
        <v>0</v>
      </c>
      <c r="AI440" s="442">
        <v>-2.2737367544323206E-13</v>
      </c>
      <c r="AK440" s="3" t="e">
        <f>IF(F440="", " ", VLOOKUP(F440,#REF!, 1, FALSE))</f>
        <v>#REF!</v>
      </c>
    </row>
    <row r="441" spans="1:37" ht="36" x14ac:dyDescent="0.25">
      <c r="A441" s="587" t="s">
        <v>1851</v>
      </c>
      <c r="B441" s="369" t="s">
        <v>25</v>
      </c>
      <c r="C441" s="588"/>
      <c r="D441" s="589" t="s">
        <v>1914</v>
      </c>
      <c r="E441" s="44" t="s">
        <v>27</v>
      </c>
      <c r="F441" s="214">
        <v>95879</v>
      </c>
      <c r="G441" s="587" t="s">
        <v>789</v>
      </c>
      <c r="H441" s="590" t="s">
        <v>42</v>
      </c>
      <c r="I441" s="591">
        <v>6460.0798136173371</v>
      </c>
      <c r="J441" s="592">
        <v>1.04</v>
      </c>
      <c r="K441" s="593">
        <v>0.2033513845915047</v>
      </c>
      <c r="L441" s="592">
        <v>1.2514854399751649</v>
      </c>
      <c r="M441" s="594">
        <v>8084.6958278195743</v>
      </c>
      <c r="N441" s="439"/>
      <c r="O441" s="673"/>
      <c r="P441" s="361"/>
      <c r="Q441" s="441"/>
      <c r="R441" s="485"/>
      <c r="S441" s="442"/>
      <c r="T441" s="441">
        <v>4173.7889968985755</v>
      </c>
      <c r="U441" s="485"/>
      <c r="V441" s="442">
        <v>17.133333333333333</v>
      </c>
      <c r="W441" s="578">
        <v>2286.2908167187616</v>
      </c>
      <c r="X441" s="485"/>
      <c r="Y441" s="442">
        <v>18.100000000000001</v>
      </c>
      <c r="Z441" s="441"/>
      <c r="AA441" s="485"/>
      <c r="AB441" s="442"/>
      <c r="AC441" s="672"/>
      <c r="AD441" s="441">
        <v>544.16221918016367</v>
      </c>
      <c r="AE441" s="674">
        <v>4664.2475929728307</v>
      </c>
      <c r="AF441" s="674">
        <v>2876.2860156665793</v>
      </c>
      <c r="AG441" s="674">
        <v>0</v>
      </c>
      <c r="AH441" s="442">
        <v>0</v>
      </c>
      <c r="AI441" s="442">
        <v>9.0949470177292824E-13</v>
      </c>
      <c r="AK441" s="3" t="e">
        <f>IF(F441="", " ", VLOOKUP(F441,#REF!, 1, FALSE))</f>
        <v>#REF!</v>
      </c>
    </row>
    <row r="442" spans="1:37" ht="36" hidden="1" x14ac:dyDescent="0.25">
      <c r="A442" s="587" t="s">
        <v>1976</v>
      </c>
      <c r="B442" s="369" t="s">
        <v>25</v>
      </c>
      <c r="C442" s="588"/>
      <c r="D442" s="589" t="s">
        <v>1915</v>
      </c>
      <c r="E442" s="44" t="s">
        <v>27</v>
      </c>
      <c r="F442" s="214">
        <v>93599</v>
      </c>
      <c r="G442" s="587" t="s">
        <v>788</v>
      </c>
      <c r="H442" s="590" t="s">
        <v>42</v>
      </c>
      <c r="I442" s="591">
        <f>IF($F442="","",IF('TRECHO(S) A IMPRIMIR'!$B$1= 1, SUM(Q442, T442, W442, Z442), IF('TRECHO(S) A IMPRIMIR'!$B$1= 2, T442, IF('TRECHO(S) A IMPRIMIR'!$B$1= 3, W442, 0))))</f>
        <v>0</v>
      </c>
      <c r="J442" s="592">
        <v>0.41</v>
      </c>
      <c r="K442" s="593">
        <f t="shared" si="68"/>
        <v>0.2033513845915047</v>
      </c>
      <c r="L442" s="592">
        <f t="shared" si="65"/>
        <v>0.4933740676825169</v>
      </c>
      <c r="M442" s="594">
        <f t="shared" si="69"/>
        <v>0</v>
      </c>
      <c r="N442" s="439"/>
      <c r="O442" s="673"/>
      <c r="P442" s="361"/>
      <c r="Q442" s="441"/>
      <c r="R442" s="485"/>
      <c r="S442" s="442"/>
      <c r="T442" s="441">
        <f>T440 * V442</f>
        <v>0</v>
      </c>
      <c r="U442" s="485"/>
      <c r="V442" s="442">
        <f>IF('MLQ-DMT-TR1'!$E$15 &gt; 30, 'MLQ-DMT-TR1'!$E$15 - 30, 0)</f>
        <v>0</v>
      </c>
      <c r="W442" s="578">
        <f>W440 * Y442</f>
        <v>0</v>
      </c>
      <c r="X442" s="485"/>
      <c r="Y442" s="442">
        <f>IF('MLQ-DMT-TR3'!$E$15 &gt; 30, 'MLQ-DMT-TR3'!$E$15 - 30, 0)</f>
        <v>0</v>
      </c>
      <c r="Z442" s="441"/>
      <c r="AA442" s="485"/>
      <c r="AB442" s="442"/>
      <c r="AC442" s="672"/>
      <c r="AD442" s="441" t="s">
        <v>21</v>
      </c>
      <c r="AE442" s="674" t="s">
        <v>21</v>
      </c>
      <c r="AF442" s="674" t="s">
        <v>21</v>
      </c>
      <c r="AG442" s="674" t="s">
        <v>21</v>
      </c>
      <c r="AH442" s="442" t="s">
        <v>21</v>
      </c>
      <c r="AI442" s="442" t="str">
        <f t="shared" si="67"/>
        <v/>
      </c>
      <c r="AK442" s="3" t="e">
        <f>IF(F442="", " ", VLOOKUP(F442,#REF!, 1, FALSE))</f>
        <v>#REF!</v>
      </c>
    </row>
    <row r="443" spans="1:37" x14ac:dyDescent="0.25">
      <c r="A443" s="587"/>
      <c r="B443" s="369"/>
      <c r="C443" s="588"/>
      <c r="D443" s="589"/>
      <c r="E443" s="44"/>
      <c r="F443" s="214"/>
      <c r="G443" s="587" t="s">
        <v>21</v>
      </c>
      <c r="H443" s="590" t="s">
        <v>21</v>
      </c>
      <c r="I443" s="591" t="str">
        <f>IF($F443="","",IF('TRECHO(S) A IMPRIMIR'!$B$1= 1, SUM(Q443, T443, W443, Z443), IF('TRECHO(S) A IMPRIMIR'!$B$1= 2, T443, IF('TRECHO(S) A IMPRIMIR'!$B$1= 3, W443, 0))))</f>
        <v/>
      </c>
      <c r="J443" s="592" t="s">
        <v>21</v>
      </c>
      <c r="K443" s="593" t="str">
        <f t="shared" si="68"/>
        <v/>
      </c>
      <c r="L443" s="592" t="str">
        <f t="shared" si="65"/>
        <v/>
      </c>
      <c r="M443" s="594" t="str">
        <f t="shared" si="69"/>
        <v/>
      </c>
      <c r="N443" s="439"/>
      <c r="O443" s="673"/>
      <c r="P443" s="361"/>
      <c r="Q443" s="441"/>
      <c r="R443" s="485"/>
      <c r="S443" s="442"/>
      <c r="T443" s="441"/>
      <c r="U443" s="485"/>
      <c r="V443" s="442"/>
      <c r="W443" s="578"/>
      <c r="X443" s="485"/>
      <c r="Y443" s="442"/>
      <c r="Z443" s="441"/>
      <c r="AA443" s="485"/>
      <c r="AB443" s="442"/>
      <c r="AC443" s="672"/>
      <c r="AD443" s="441" t="s">
        <v>21</v>
      </c>
      <c r="AE443" s="674" t="s">
        <v>21</v>
      </c>
      <c r="AF443" s="674" t="s">
        <v>21</v>
      </c>
      <c r="AG443" s="674" t="s">
        <v>21</v>
      </c>
      <c r="AH443" s="442" t="s">
        <v>21</v>
      </c>
      <c r="AI443" s="442" t="str">
        <f t="shared" si="67"/>
        <v/>
      </c>
      <c r="AK443" s="3" t="str">
        <f>IF(F443="", " ", VLOOKUP(F443,#REF!, 1, FALSE))</f>
        <v xml:space="preserve"> </v>
      </c>
    </row>
    <row r="444" spans="1:37" x14ac:dyDescent="0.25">
      <c r="A444" s="587" t="s">
        <v>2582</v>
      </c>
      <c r="B444" s="369"/>
      <c r="C444" s="588"/>
      <c r="D444" s="589" t="s">
        <v>2685</v>
      </c>
      <c r="E444" s="44"/>
      <c r="F444" s="214"/>
      <c r="G444" s="587" t="s">
        <v>2582</v>
      </c>
      <c r="H444" s="590" t="s">
        <v>21</v>
      </c>
      <c r="I444" s="591" t="s">
        <v>21</v>
      </c>
      <c r="J444" s="592" t="s">
        <v>21</v>
      </c>
      <c r="K444" s="593" t="s">
        <v>21</v>
      </c>
      <c r="L444" s="592" t="s">
        <v>21</v>
      </c>
      <c r="M444" s="594">
        <v>146865.33206185212</v>
      </c>
      <c r="N444" s="439"/>
      <c r="O444" s="673"/>
      <c r="P444" s="361"/>
      <c r="Q444" s="441"/>
      <c r="R444" s="485"/>
      <c r="S444" s="442"/>
      <c r="T444" s="441"/>
      <c r="U444" s="485"/>
      <c r="V444" s="442"/>
      <c r="W444" s="578"/>
      <c r="X444" s="485"/>
      <c r="Y444" s="442"/>
      <c r="Z444" s="441"/>
      <c r="AA444" s="485"/>
      <c r="AB444" s="442"/>
      <c r="AC444" s="672"/>
      <c r="AD444" s="441" t="s">
        <v>21</v>
      </c>
      <c r="AE444" s="674" t="s">
        <v>21</v>
      </c>
      <c r="AF444" s="674" t="s">
        <v>21</v>
      </c>
      <c r="AG444" s="674" t="s">
        <v>21</v>
      </c>
      <c r="AH444" s="442" t="s">
        <v>21</v>
      </c>
      <c r="AI444" s="442" t="str">
        <f t="shared" si="67"/>
        <v/>
      </c>
      <c r="AK444" s="3" t="str">
        <f>IF(F444="", " ", VLOOKUP(F444,#REF!, 1, FALSE))</f>
        <v xml:space="preserve"> </v>
      </c>
    </row>
    <row r="445" spans="1:37" ht="36" x14ac:dyDescent="0.25">
      <c r="A445" s="587" t="s">
        <v>2564</v>
      </c>
      <c r="B445" s="369"/>
      <c r="C445" s="588"/>
      <c r="D445" s="589" t="s">
        <v>2686</v>
      </c>
      <c r="E445" s="44"/>
      <c r="F445" s="214"/>
      <c r="G445" s="587" t="s">
        <v>2564</v>
      </c>
      <c r="H445" s="590" t="s">
        <v>21</v>
      </c>
      <c r="I445" s="591" t="str">
        <f>IF($F445="","",IF('TRECHO(S) A IMPRIMIR'!$B$1= 1, SUM(Q445, T445, W445, Z445), IF('TRECHO(S) A IMPRIMIR'!$B$1= 2, T445, IF('TRECHO(S) A IMPRIMIR'!$B$1= 3, W445, 0))))</f>
        <v/>
      </c>
      <c r="J445" s="592" t="s">
        <v>21</v>
      </c>
      <c r="K445" s="593" t="str">
        <f t="shared" si="68"/>
        <v/>
      </c>
      <c r="L445" s="592" t="str">
        <f t="shared" si="65"/>
        <v/>
      </c>
      <c r="M445" s="594" t="str">
        <f t="shared" si="69"/>
        <v/>
      </c>
      <c r="N445" s="439"/>
      <c r="O445" s="673"/>
      <c r="P445" s="361"/>
      <c r="Q445" s="441"/>
      <c r="R445" s="485"/>
      <c r="S445" s="442"/>
      <c r="T445" s="441"/>
      <c r="U445" s="485"/>
      <c r="V445" s="442"/>
      <c r="W445" s="578"/>
      <c r="X445" s="485"/>
      <c r="Y445" s="442"/>
      <c r="Z445" s="441"/>
      <c r="AA445" s="485"/>
      <c r="AB445" s="442"/>
      <c r="AC445" s="672"/>
      <c r="AD445" s="441" t="s">
        <v>21</v>
      </c>
      <c r="AE445" s="674" t="s">
        <v>21</v>
      </c>
      <c r="AF445" s="674" t="s">
        <v>21</v>
      </c>
      <c r="AG445" s="674" t="s">
        <v>21</v>
      </c>
      <c r="AH445" s="442" t="s">
        <v>21</v>
      </c>
      <c r="AI445" s="442" t="str">
        <f t="shared" si="67"/>
        <v/>
      </c>
      <c r="AK445" s="3" t="str">
        <f>IF(F445="", " ", VLOOKUP(F445,#REF!, 1, FALSE))</f>
        <v xml:space="preserve"> </v>
      </c>
    </row>
    <row r="446" spans="1:37" ht="60" x14ac:dyDescent="0.25">
      <c r="A446" s="587" t="s">
        <v>2565</v>
      </c>
      <c r="B446" s="369" t="s">
        <v>725</v>
      </c>
      <c r="C446" s="588"/>
      <c r="D446" s="589" t="s">
        <v>2687</v>
      </c>
      <c r="E446" s="44" t="s">
        <v>27</v>
      </c>
      <c r="F446" s="214">
        <v>90100</v>
      </c>
      <c r="G446" s="587" t="s">
        <v>1297</v>
      </c>
      <c r="H446" s="590" t="s">
        <v>44</v>
      </c>
      <c r="I446" s="591">
        <v>254.8</v>
      </c>
      <c r="J446" s="592">
        <v>9.73</v>
      </c>
      <c r="K446" s="593">
        <v>0.2033513845915047</v>
      </c>
      <c r="L446" s="592">
        <v>11.708608972075341</v>
      </c>
      <c r="M446" s="594">
        <v>2983.353566084797</v>
      </c>
      <c r="N446" s="439"/>
      <c r="O446" s="673"/>
      <c r="P446" s="361"/>
      <c r="Q446" s="441"/>
      <c r="R446" s="485"/>
      <c r="S446" s="442"/>
      <c r="T446" s="441">
        <v>137.20000000000002</v>
      </c>
      <c r="U446" s="485">
        <v>1.0923072445820432</v>
      </c>
      <c r="V446" s="442"/>
      <c r="W446" s="578">
        <v>117.60000000000001</v>
      </c>
      <c r="X446" s="485">
        <v>1.0923072445820432</v>
      </c>
      <c r="Y446" s="442"/>
      <c r="Z446" s="441"/>
      <c r="AA446" s="485"/>
      <c r="AB446" s="442"/>
      <c r="AC446" s="672"/>
      <c r="AD446" s="441">
        <v>990.3630029243468</v>
      </c>
      <c r="AE446" s="674">
        <v>990.3630029243468</v>
      </c>
      <c r="AF446" s="674">
        <v>1002.6275602361034</v>
      </c>
      <c r="AG446" s="674">
        <v>0</v>
      </c>
      <c r="AH446" s="442">
        <v>0</v>
      </c>
      <c r="AI446" s="442">
        <v>0</v>
      </c>
      <c r="AK446" s="3" t="e">
        <f>IF(F446="", " ", VLOOKUP(F446,#REF!, 1, FALSE))</f>
        <v>#REF!</v>
      </c>
    </row>
    <row r="447" spans="1:37" ht="36" x14ac:dyDescent="0.25">
      <c r="A447" s="587" t="s">
        <v>2566</v>
      </c>
      <c r="B447" s="369" t="s">
        <v>725</v>
      </c>
      <c r="C447" s="588"/>
      <c r="D447" s="589" t="s">
        <v>2688</v>
      </c>
      <c r="E447" s="44" t="s">
        <v>27</v>
      </c>
      <c r="F447" s="214">
        <v>101619</v>
      </c>
      <c r="G447" s="587" t="s">
        <v>1170</v>
      </c>
      <c r="H447" s="590" t="s">
        <v>44</v>
      </c>
      <c r="I447" s="591">
        <v>141.57</v>
      </c>
      <c r="J447" s="592">
        <v>290.8</v>
      </c>
      <c r="K447" s="593">
        <v>0.2033513845915047</v>
      </c>
      <c r="L447" s="592">
        <v>349.93458263920957</v>
      </c>
      <c r="M447" s="594">
        <v>49540.238864232895</v>
      </c>
      <c r="N447" s="439"/>
      <c r="O447" s="673"/>
      <c r="P447" s="361"/>
      <c r="Q447" s="441"/>
      <c r="R447" s="485"/>
      <c r="S447" s="442"/>
      <c r="T447" s="441">
        <v>76.23</v>
      </c>
      <c r="U447" s="485"/>
      <c r="V447" s="442"/>
      <c r="W447" s="578">
        <v>65.34</v>
      </c>
      <c r="X447" s="485"/>
      <c r="Y447" s="442"/>
      <c r="Z447" s="441"/>
      <c r="AA447" s="485"/>
      <c r="AB447" s="442"/>
      <c r="AC447" s="672"/>
      <c r="AD447" s="441">
        <v>15262.414029733924</v>
      </c>
      <c r="AE447" s="674">
        <v>34253.974650726646</v>
      </c>
      <c r="AF447" s="674">
        <v>23.850183772326705</v>
      </c>
      <c r="AG447" s="674">
        <v>0</v>
      </c>
      <c r="AH447" s="442">
        <v>0</v>
      </c>
      <c r="AI447" s="442">
        <v>0</v>
      </c>
      <c r="AK447" s="3" t="e">
        <f>IF(F447="", " ", VLOOKUP(F447,#REF!, 1, FALSE))</f>
        <v>#REF!</v>
      </c>
    </row>
    <row r="448" spans="1:37" ht="36" x14ac:dyDescent="0.25">
      <c r="A448" s="587" t="s">
        <v>2567</v>
      </c>
      <c r="B448" s="369" t="s">
        <v>25</v>
      </c>
      <c r="C448" s="588"/>
      <c r="D448" s="589" t="s">
        <v>2689</v>
      </c>
      <c r="E448" s="44" t="s">
        <v>27</v>
      </c>
      <c r="F448" s="214">
        <v>100943</v>
      </c>
      <c r="G448" s="587" t="s">
        <v>786</v>
      </c>
      <c r="H448" s="590" t="s">
        <v>42</v>
      </c>
      <c r="I448" s="591">
        <v>278.3198859195046</v>
      </c>
      <c r="J448" s="592">
        <v>3.1</v>
      </c>
      <c r="K448" s="593">
        <v>0.2033513845915047</v>
      </c>
      <c r="L448" s="592">
        <v>3.7303892922336646</v>
      </c>
      <c r="M448" s="594">
        <v>1038.241522249815</v>
      </c>
      <c r="N448" s="439"/>
      <c r="O448" s="673"/>
      <c r="P448" s="361"/>
      <c r="Q448" s="441"/>
      <c r="R448" s="485"/>
      <c r="S448" s="442"/>
      <c r="T448" s="441">
        <v>149.86455395665635</v>
      </c>
      <c r="U448" s="485"/>
      <c r="V448" s="442">
        <v>1</v>
      </c>
      <c r="W448" s="578">
        <v>128.45533196284828</v>
      </c>
      <c r="X448" s="485"/>
      <c r="Y448" s="442">
        <v>1</v>
      </c>
      <c r="Z448" s="441"/>
      <c r="AA448" s="485"/>
      <c r="AB448" s="442"/>
      <c r="AC448" s="672"/>
      <c r="AD448" s="441">
        <v>73.681656417728803</v>
      </c>
      <c r="AE448" s="674">
        <v>579.40575273941283</v>
      </c>
      <c r="AF448" s="674">
        <v>385.1541130926733</v>
      </c>
      <c r="AG448" s="674">
        <v>0</v>
      </c>
      <c r="AH448" s="442">
        <v>0</v>
      </c>
      <c r="AI448" s="442">
        <v>0</v>
      </c>
      <c r="AK448" s="3" t="e">
        <f>IF(F448="", " ", VLOOKUP(F448,#REF!, 1, FALSE))</f>
        <v>#REF!</v>
      </c>
    </row>
    <row r="449" spans="1:37" x14ac:dyDescent="0.25">
      <c r="A449" s="587" t="s">
        <v>2568</v>
      </c>
      <c r="B449" s="369"/>
      <c r="C449" s="588"/>
      <c r="D449" s="589" t="s">
        <v>2690</v>
      </c>
      <c r="E449" s="44"/>
      <c r="F449" s="214"/>
      <c r="G449" s="587" t="s">
        <v>2568</v>
      </c>
      <c r="H449" s="590" t="s">
        <v>21</v>
      </c>
      <c r="I449" s="591" t="str">
        <f>IF($F449="","",IF('TRECHO(S) A IMPRIMIR'!$B$1= 1, SUM(Q449, T449, W449, Z449), IF('TRECHO(S) A IMPRIMIR'!$B$1= 2, T449, IF('TRECHO(S) A IMPRIMIR'!$B$1= 3, W449, 0))))</f>
        <v/>
      </c>
      <c r="J449" s="592" t="s">
        <v>21</v>
      </c>
      <c r="K449" s="593" t="str">
        <f t="shared" si="68"/>
        <v/>
      </c>
      <c r="L449" s="592" t="str">
        <f t="shared" si="65"/>
        <v/>
      </c>
      <c r="M449" s="594" t="str">
        <f t="shared" si="69"/>
        <v/>
      </c>
      <c r="N449" s="439"/>
      <c r="O449" s="673"/>
      <c r="P449" s="361"/>
      <c r="Q449" s="441"/>
      <c r="R449" s="485"/>
      <c r="S449" s="442"/>
      <c r="T449" s="441"/>
      <c r="U449" s="485"/>
      <c r="V449" s="442"/>
      <c r="W449" s="578"/>
      <c r="X449" s="485"/>
      <c r="Y449" s="442"/>
      <c r="Z449" s="441"/>
      <c r="AA449" s="485"/>
      <c r="AB449" s="442"/>
      <c r="AC449" s="672"/>
      <c r="AD449" s="441" t="s">
        <v>21</v>
      </c>
      <c r="AE449" s="674" t="s">
        <v>21</v>
      </c>
      <c r="AF449" s="674" t="s">
        <v>21</v>
      </c>
      <c r="AG449" s="674" t="s">
        <v>21</v>
      </c>
      <c r="AH449" s="442" t="s">
        <v>21</v>
      </c>
      <c r="AI449" s="442" t="s">
        <v>21</v>
      </c>
      <c r="AK449" s="3" t="str">
        <f>IF(F449="", " ", VLOOKUP(F449,#REF!, 1, FALSE))</f>
        <v xml:space="preserve"> </v>
      </c>
    </row>
    <row r="450" spans="1:37" ht="24" x14ac:dyDescent="0.25">
      <c r="A450" s="587" t="s">
        <v>4082</v>
      </c>
      <c r="B450" s="369" t="s">
        <v>39</v>
      </c>
      <c r="C450" s="588"/>
      <c r="D450" s="589" t="s">
        <v>2691</v>
      </c>
      <c r="E450" s="44" t="s">
        <v>138</v>
      </c>
      <c r="F450" s="214" t="s">
        <v>2574</v>
      </c>
      <c r="G450" s="587" t="s">
        <v>2575</v>
      </c>
      <c r="H450" s="590" t="s">
        <v>41</v>
      </c>
      <c r="I450" s="591">
        <v>13</v>
      </c>
      <c r="J450" s="592">
        <v>4826.9811743159689</v>
      </c>
      <c r="K450" s="593">
        <v>0.2033513845915047</v>
      </c>
      <c r="L450" s="592">
        <v>5808.5544795102487</v>
      </c>
      <c r="M450" s="594">
        <v>75511.208233633239</v>
      </c>
      <c r="N450" s="439"/>
      <c r="O450" s="673"/>
      <c r="P450" s="361"/>
      <c r="Q450" s="441"/>
      <c r="R450" s="485"/>
      <c r="S450" s="442"/>
      <c r="T450" s="441">
        <v>7</v>
      </c>
      <c r="U450" s="485"/>
      <c r="V450" s="442"/>
      <c r="W450" s="578">
        <v>6</v>
      </c>
      <c r="X450" s="485"/>
      <c r="Y450" s="442"/>
      <c r="Z450" s="441"/>
      <c r="AA450" s="485"/>
      <c r="AB450" s="442"/>
      <c r="AC450" s="672"/>
      <c r="AD450" s="441">
        <v>24415.888730602768</v>
      </c>
      <c r="AE450" s="674">
        <v>50902.874781844534</v>
      </c>
      <c r="AF450" s="674">
        <v>167.16283187541219</v>
      </c>
      <c r="AG450" s="674">
        <v>0</v>
      </c>
      <c r="AH450" s="442">
        <v>25.281889310508102</v>
      </c>
      <c r="AI450" s="442">
        <v>1.4551915228366852E-11</v>
      </c>
      <c r="AK450" s="3" t="e">
        <f>IF(F450="", " ", VLOOKUP(F450,#REF!, 1, FALSE))</f>
        <v>#REF!</v>
      </c>
    </row>
    <row r="451" spans="1:37" ht="24" x14ac:dyDescent="0.25">
      <c r="A451" s="587" t="s">
        <v>2570</v>
      </c>
      <c r="B451" s="369" t="s">
        <v>725</v>
      </c>
      <c r="C451" s="588"/>
      <c r="D451" s="589" t="s">
        <v>2692</v>
      </c>
      <c r="E451" s="44" t="s">
        <v>27</v>
      </c>
      <c r="F451" s="214">
        <v>93382</v>
      </c>
      <c r="G451" s="587" t="s">
        <v>40</v>
      </c>
      <c r="H451" s="590" t="s">
        <v>44</v>
      </c>
      <c r="I451" s="591">
        <v>96.46</v>
      </c>
      <c r="J451" s="592">
        <v>25.09</v>
      </c>
      <c r="K451" s="593">
        <v>0.2033513845915047</v>
      </c>
      <c r="L451" s="592">
        <v>30.192086239400854</v>
      </c>
      <c r="M451" s="594">
        <v>2912.3286386526061</v>
      </c>
      <c r="N451" s="439"/>
      <c r="O451" s="673"/>
      <c r="P451" s="361"/>
      <c r="Q451" s="441"/>
      <c r="R451" s="485"/>
      <c r="S451" s="442"/>
      <c r="T451" s="441">
        <v>51.94</v>
      </c>
      <c r="U451" s="485"/>
      <c r="V451" s="442"/>
      <c r="W451" s="578">
        <v>44.519999999999996</v>
      </c>
      <c r="X451" s="485"/>
      <c r="Y451" s="442"/>
      <c r="Z451" s="441"/>
      <c r="AA451" s="485"/>
      <c r="AB451" s="442"/>
      <c r="AC451" s="672"/>
      <c r="AD451" s="441">
        <v>1736.4861073831403</v>
      </c>
      <c r="AE451" s="674">
        <v>1066.7317731852311</v>
      </c>
      <c r="AF451" s="674">
        <v>109.11075808423473</v>
      </c>
      <c r="AG451" s="674">
        <v>0</v>
      </c>
      <c r="AH451" s="442">
        <v>0</v>
      </c>
      <c r="AI451" s="442">
        <v>-4.5474735088646412E-13</v>
      </c>
      <c r="AK451" s="3" t="e">
        <f>IF(F451="", " ", VLOOKUP(F451,#REF!, 1, FALSE))</f>
        <v>#REF!</v>
      </c>
    </row>
    <row r="452" spans="1:37" x14ac:dyDescent="0.25">
      <c r="A452" s="587" t="s">
        <v>2576</v>
      </c>
      <c r="B452" s="369"/>
      <c r="C452" s="588"/>
      <c r="D452" s="589" t="s">
        <v>2693</v>
      </c>
      <c r="E452" s="44"/>
      <c r="F452" s="214"/>
      <c r="G452" s="587" t="s">
        <v>2576</v>
      </c>
      <c r="H452" s="590" t="s">
        <v>21</v>
      </c>
      <c r="I452" s="591" t="s">
        <v>21</v>
      </c>
      <c r="J452" s="592" t="s">
        <v>21</v>
      </c>
      <c r="K452" s="593" t="s">
        <v>21</v>
      </c>
      <c r="L452" s="592" t="s">
        <v>21</v>
      </c>
      <c r="M452" s="594" t="s">
        <v>21</v>
      </c>
      <c r="N452" s="439"/>
      <c r="O452" s="673"/>
      <c r="P452" s="361"/>
      <c r="Q452" s="441"/>
      <c r="R452" s="485"/>
      <c r="S452" s="442"/>
      <c r="T452" s="441"/>
      <c r="U452" s="485"/>
      <c r="V452" s="442"/>
      <c r="W452" s="578"/>
      <c r="X452" s="485"/>
      <c r="Y452" s="442"/>
      <c r="Z452" s="441"/>
      <c r="AA452" s="485"/>
      <c r="AB452" s="442"/>
      <c r="AC452" s="672"/>
      <c r="AD452" s="441" t="s">
        <v>21</v>
      </c>
      <c r="AE452" s="674" t="s">
        <v>21</v>
      </c>
      <c r="AF452" s="674" t="s">
        <v>21</v>
      </c>
      <c r="AG452" s="674" t="s">
        <v>21</v>
      </c>
      <c r="AH452" s="442" t="s">
        <v>21</v>
      </c>
      <c r="AI452" s="442" t="s">
        <v>21</v>
      </c>
      <c r="AK452" s="3" t="str">
        <f>IF(F452="", " ", VLOOKUP(F452,#REF!, 1, FALSE))</f>
        <v xml:space="preserve"> </v>
      </c>
    </row>
    <row r="453" spans="1:37" x14ac:dyDescent="0.25">
      <c r="A453" s="587" t="s">
        <v>2577</v>
      </c>
      <c r="B453" s="369" t="s">
        <v>26</v>
      </c>
      <c r="C453" s="588"/>
      <c r="D453" s="589" t="s">
        <v>2694</v>
      </c>
      <c r="E453" s="44" t="s">
        <v>138</v>
      </c>
      <c r="F453" s="214" t="s">
        <v>2333</v>
      </c>
      <c r="G453" s="587" t="s">
        <v>2351</v>
      </c>
      <c r="H453" s="590" t="s">
        <v>22</v>
      </c>
      <c r="I453" s="591">
        <v>78</v>
      </c>
      <c r="J453" s="592">
        <v>48.144249999999992</v>
      </c>
      <c r="K453" s="593">
        <v>0.11096635744680849</v>
      </c>
      <c r="L453" s="592">
        <v>53.486642054508501</v>
      </c>
      <c r="M453" s="594">
        <v>4171.958080251663</v>
      </c>
      <c r="N453" s="439"/>
      <c r="O453" s="673"/>
      <c r="P453" s="361"/>
      <c r="Q453" s="441"/>
      <c r="R453" s="485"/>
      <c r="S453" s="442"/>
      <c r="T453" s="441">
        <v>42</v>
      </c>
      <c r="U453" s="485"/>
      <c r="V453" s="442"/>
      <c r="W453" s="578">
        <v>36</v>
      </c>
      <c r="X453" s="485"/>
      <c r="Y453" s="442"/>
      <c r="Z453" s="441"/>
      <c r="AA453" s="485"/>
      <c r="AB453" s="442"/>
      <c r="AC453" s="672"/>
      <c r="AD453" s="441">
        <v>0</v>
      </c>
      <c r="AE453" s="674">
        <v>4171.958080251663</v>
      </c>
      <c r="AF453" s="674">
        <v>0</v>
      </c>
      <c r="AG453" s="674">
        <v>0</v>
      </c>
      <c r="AH453" s="442">
        <v>0</v>
      </c>
      <c r="AI453" s="442">
        <v>0</v>
      </c>
      <c r="AK453" s="3" t="e">
        <f>IF(F453="", " ", VLOOKUP(F453,#REF!, 1, FALSE))</f>
        <v>#REF!</v>
      </c>
    </row>
    <row r="454" spans="1:37" ht="60" x14ac:dyDescent="0.25">
      <c r="A454" s="587" t="s">
        <v>1111</v>
      </c>
      <c r="B454" s="369" t="s">
        <v>725</v>
      </c>
      <c r="C454" s="588"/>
      <c r="D454" s="589" t="s">
        <v>2695</v>
      </c>
      <c r="E454" s="44" t="s">
        <v>27</v>
      </c>
      <c r="F454" s="214">
        <v>90100</v>
      </c>
      <c r="G454" s="587" t="s">
        <v>1297</v>
      </c>
      <c r="H454" s="590" t="s">
        <v>44</v>
      </c>
      <c r="I454" s="591">
        <v>66.3</v>
      </c>
      <c r="J454" s="592">
        <v>9.73</v>
      </c>
      <c r="K454" s="593">
        <v>0.2033513845915047</v>
      </c>
      <c r="L454" s="592">
        <v>11.708608972075341</v>
      </c>
      <c r="M454" s="594">
        <v>776.28077484859512</v>
      </c>
      <c r="N454" s="439"/>
      <c r="O454" s="673"/>
      <c r="P454" s="361"/>
      <c r="Q454" s="441"/>
      <c r="R454" s="485"/>
      <c r="S454" s="442"/>
      <c r="T454" s="441">
        <v>35.699999999999996</v>
      </c>
      <c r="U454" s="485">
        <v>1.0923072445820432</v>
      </c>
      <c r="V454" s="442"/>
      <c r="W454" s="578">
        <v>30.599999999999998</v>
      </c>
      <c r="X454" s="485">
        <v>1.0923072445820432</v>
      </c>
      <c r="Y454" s="442"/>
      <c r="Z454" s="441"/>
      <c r="AA454" s="485"/>
      <c r="AB454" s="442"/>
      <c r="AC454" s="672"/>
      <c r="AD454" s="441">
        <v>257.69649565888614</v>
      </c>
      <c r="AE454" s="674">
        <v>257.69649565888614</v>
      </c>
      <c r="AF454" s="674">
        <v>260.88778353082279</v>
      </c>
      <c r="AG454" s="674">
        <v>0</v>
      </c>
      <c r="AH454" s="442">
        <v>0</v>
      </c>
      <c r="AI454" s="442">
        <v>1.1368683772161603E-13</v>
      </c>
      <c r="AK454" s="3" t="e">
        <f>IF(F454="", " ", VLOOKUP(F454,#REF!, 1, FALSE))</f>
        <v>#REF!</v>
      </c>
    </row>
    <row r="455" spans="1:37" ht="24" x14ac:dyDescent="0.25">
      <c r="A455" s="587" t="s">
        <v>2571</v>
      </c>
      <c r="B455" s="369" t="s">
        <v>243</v>
      </c>
      <c r="C455" s="588"/>
      <c r="D455" s="589" t="s">
        <v>2696</v>
      </c>
      <c r="E455" s="44" t="s">
        <v>27</v>
      </c>
      <c r="F455" s="214">
        <v>101616</v>
      </c>
      <c r="G455" s="587" t="s">
        <v>1169</v>
      </c>
      <c r="H455" s="590" t="s">
        <v>51</v>
      </c>
      <c r="I455" s="591">
        <v>46.28</v>
      </c>
      <c r="J455" s="592">
        <v>5.27</v>
      </c>
      <c r="K455" s="593">
        <v>0.2033513845915047</v>
      </c>
      <c r="L455" s="592">
        <v>6.3416617967972293</v>
      </c>
      <c r="M455" s="594">
        <v>293.49210795577579</v>
      </c>
      <c r="N455" s="439"/>
      <c r="O455" s="673"/>
      <c r="P455" s="361"/>
      <c r="Q455" s="441"/>
      <c r="R455" s="485"/>
      <c r="S455" s="442"/>
      <c r="T455" s="441">
        <v>24.92</v>
      </c>
      <c r="U455" s="485"/>
      <c r="V455" s="442"/>
      <c r="W455" s="578">
        <v>21.36</v>
      </c>
      <c r="X455" s="485"/>
      <c r="Y455" s="442"/>
      <c r="Z455" s="441"/>
      <c r="AA455" s="485"/>
      <c r="AB455" s="442"/>
      <c r="AC455" s="672"/>
      <c r="AD455" s="441">
        <v>208.28472177506671</v>
      </c>
      <c r="AE455" s="674">
        <v>85.207386180709108</v>
      </c>
      <c r="AF455" s="674">
        <v>0</v>
      </c>
      <c r="AG455" s="674">
        <v>0</v>
      </c>
      <c r="AH455" s="442">
        <v>0</v>
      </c>
      <c r="AI455" s="442">
        <v>-5.6843418860808015E-14</v>
      </c>
      <c r="AK455" s="3" t="e">
        <f>IF(F455="", " ", VLOOKUP(F455,#REF!, 1, FALSE))</f>
        <v>#REF!</v>
      </c>
    </row>
    <row r="456" spans="1:37" ht="60" x14ac:dyDescent="0.25">
      <c r="A456" s="587" t="s">
        <v>2581</v>
      </c>
      <c r="B456" s="369" t="s">
        <v>26</v>
      </c>
      <c r="C456" s="588"/>
      <c r="D456" s="589" t="s">
        <v>2697</v>
      </c>
      <c r="E456" s="44" t="s">
        <v>27</v>
      </c>
      <c r="F456" s="214">
        <v>92809</v>
      </c>
      <c r="G456" s="587" t="s">
        <v>520</v>
      </c>
      <c r="H456" s="590" t="s">
        <v>22</v>
      </c>
      <c r="I456" s="591">
        <v>78</v>
      </c>
      <c r="J456" s="592">
        <v>39.86</v>
      </c>
      <c r="K456" s="593">
        <v>0.2033513845915047</v>
      </c>
      <c r="L456" s="592">
        <v>47.96558618981738</v>
      </c>
      <c r="M456" s="594">
        <v>3741.3157228057557</v>
      </c>
      <c r="N456" s="439"/>
      <c r="O456" s="673"/>
      <c r="P456" s="361"/>
      <c r="Q456" s="441"/>
      <c r="R456" s="485"/>
      <c r="S456" s="442"/>
      <c r="T456" s="441">
        <v>42</v>
      </c>
      <c r="U456" s="485"/>
      <c r="V456" s="442"/>
      <c r="W456" s="578">
        <v>36</v>
      </c>
      <c r="X456" s="485"/>
      <c r="Y456" s="442"/>
      <c r="Z456" s="441"/>
      <c r="AA456" s="485"/>
      <c r="AB456" s="442"/>
      <c r="AC456" s="672"/>
      <c r="AD456" s="441">
        <v>1590.9508655684283</v>
      </c>
      <c r="AE456" s="674">
        <v>1082.2220342185237</v>
      </c>
      <c r="AF456" s="674">
        <v>1068.1428230188033</v>
      </c>
      <c r="AG456" s="674">
        <v>0</v>
      </c>
      <c r="AH456" s="442">
        <v>0</v>
      </c>
      <c r="AI456" s="442">
        <v>4.5474735088646412E-13</v>
      </c>
      <c r="AK456" s="3" t="e">
        <f>IF(F456="", " ", VLOOKUP(F456,#REF!, 1, FALSE))</f>
        <v>#REF!</v>
      </c>
    </row>
    <row r="457" spans="1:37" ht="24" x14ac:dyDescent="0.25">
      <c r="A457" s="587" t="s">
        <v>2579</v>
      </c>
      <c r="B457" s="369" t="s">
        <v>28</v>
      </c>
      <c r="C457" s="588"/>
      <c r="D457" s="589" t="s">
        <v>3129</v>
      </c>
      <c r="E457" s="44" t="s">
        <v>27</v>
      </c>
      <c r="F457" s="214">
        <v>93382</v>
      </c>
      <c r="G457" s="587" t="s">
        <v>40</v>
      </c>
      <c r="H457" s="590" t="s">
        <v>44</v>
      </c>
      <c r="I457" s="591">
        <v>22.75</v>
      </c>
      <c r="J457" s="592">
        <v>25.09</v>
      </c>
      <c r="K457" s="593">
        <v>0.2033513845915047</v>
      </c>
      <c r="L457" s="592">
        <v>30.192086239400854</v>
      </c>
      <c r="M457" s="594">
        <v>686.86996194636947</v>
      </c>
      <c r="N457" s="439"/>
      <c r="O457" s="673"/>
      <c r="P457" s="361"/>
      <c r="Q457" s="441"/>
      <c r="R457" s="485"/>
      <c r="S457" s="442"/>
      <c r="T457" s="441">
        <v>12.25</v>
      </c>
      <c r="U457" s="485"/>
      <c r="V457" s="442"/>
      <c r="W457" s="578">
        <v>10.5</v>
      </c>
      <c r="X457" s="485"/>
      <c r="Y457" s="442"/>
      <c r="Z457" s="441"/>
      <c r="AA457" s="485"/>
      <c r="AB457" s="442"/>
      <c r="AC457" s="672"/>
      <c r="AD457" s="441">
        <v>409.54861023187277</v>
      </c>
      <c r="AE457" s="674">
        <v>251.58768235500736</v>
      </c>
      <c r="AF457" s="674">
        <v>25.733669359489326</v>
      </c>
      <c r="AG457" s="674">
        <v>0</v>
      </c>
      <c r="AH457" s="442">
        <v>0</v>
      </c>
      <c r="AI457" s="442">
        <v>0</v>
      </c>
      <c r="AK457" s="3" t="e">
        <f>IF(F457="", " ", VLOOKUP(F457,#REF!, 1, FALSE))</f>
        <v>#REF!</v>
      </c>
    </row>
    <row r="458" spans="1:37" ht="72" x14ac:dyDescent="0.25">
      <c r="A458" s="587" t="s">
        <v>2580</v>
      </c>
      <c r="B458" s="369" t="s">
        <v>28</v>
      </c>
      <c r="C458" s="588"/>
      <c r="D458" s="589" t="s">
        <v>3130</v>
      </c>
      <c r="E458" s="44" t="s">
        <v>27</v>
      </c>
      <c r="F458" s="214">
        <v>93371</v>
      </c>
      <c r="G458" s="587" t="s">
        <v>632</v>
      </c>
      <c r="H458" s="590" t="s">
        <v>44</v>
      </c>
      <c r="I458" s="591">
        <v>24.18</v>
      </c>
      <c r="J458" s="592">
        <v>7.32</v>
      </c>
      <c r="K458" s="593">
        <v>0.2033513845915047</v>
      </c>
      <c r="L458" s="592">
        <v>8.8085321352098145</v>
      </c>
      <c r="M458" s="594">
        <v>212.9903070293733</v>
      </c>
      <c r="N458" s="439"/>
      <c r="O458" s="673"/>
      <c r="P458" s="361"/>
      <c r="Q458" s="441"/>
      <c r="R458" s="485"/>
      <c r="S458" s="442"/>
      <c r="T458" s="441">
        <v>13.020000000000001</v>
      </c>
      <c r="U458" s="485"/>
      <c r="V458" s="442"/>
      <c r="W458" s="578">
        <v>11.16</v>
      </c>
      <c r="X458" s="485"/>
      <c r="Y458" s="442"/>
      <c r="Z458" s="441"/>
      <c r="AA458" s="485"/>
      <c r="AB458" s="442"/>
      <c r="AC458" s="672"/>
      <c r="AD458" s="441">
        <v>47.137199096664588</v>
      </c>
      <c r="AE458" s="674">
        <v>72.742591198556468</v>
      </c>
      <c r="AF458" s="674">
        <v>93.11051673415227</v>
      </c>
      <c r="AG458" s="674">
        <v>0</v>
      </c>
      <c r="AH458" s="442">
        <v>0</v>
      </c>
      <c r="AI458" s="442">
        <v>-2.8421709430404007E-14</v>
      </c>
      <c r="AK458" s="3" t="e">
        <f>IF(F458="", " ", VLOOKUP(F458,#REF!, 1, FALSE))</f>
        <v>#REF!</v>
      </c>
    </row>
    <row r="459" spans="1:37" ht="24" x14ac:dyDescent="0.25">
      <c r="A459" s="1708" t="s">
        <v>3763</v>
      </c>
      <c r="B459" s="369"/>
      <c r="C459" s="588"/>
      <c r="D459" s="589" t="s">
        <v>3131</v>
      </c>
      <c r="E459" s="44"/>
      <c r="F459" s="214"/>
      <c r="G459" s="587" t="s">
        <v>3763</v>
      </c>
      <c r="H459" s="590" t="s">
        <v>21</v>
      </c>
      <c r="I459" s="591" t="s">
        <v>21</v>
      </c>
      <c r="J459" s="592" t="s">
        <v>21</v>
      </c>
      <c r="K459" s="593" t="s">
        <v>21</v>
      </c>
      <c r="L459" s="592" t="s">
        <v>21</v>
      </c>
      <c r="M459" s="594" t="s">
        <v>21</v>
      </c>
      <c r="N459" s="439"/>
      <c r="O459" s="673"/>
      <c r="P459" s="361"/>
      <c r="Q459" s="441"/>
      <c r="R459" s="485"/>
      <c r="S459" s="442"/>
      <c r="T459" s="441"/>
      <c r="U459" s="485"/>
      <c r="V459" s="442"/>
      <c r="W459" s="578"/>
      <c r="X459" s="485"/>
      <c r="Y459" s="442"/>
      <c r="Z459" s="441"/>
      <c r="AA459" s="485"/>
      <c r="AB459" s="442"/>
      <c r="AC459" s="672"/>
      <c r="AD459" s="441" t="s">
        <v>21</v>
      </c>
      <c r="AE459" s="674" t="s">
        <v>21</v>
      </c>
      <c r="AF459" s="674" t="s">
        <v>21</v>
      </c>
      <c r="AG459" s="674" t="s">
        <v>21</v>
      </c>
      <c r="AH459" s="442" t="s">
        <v>21</v>
      </c>
      <c r="AI459" s="442" t="s">
        <v>21</v>
      </c>
      <c r="AK459" s="3" t="str">
        <f>IF(F459="", " ", VLOOKUP(F459,#REF!, 1, FALSE))</f>
        <v xml:space="preserve"> </v>
      </c>
    </row>
    <row r="460" spans="1:37" ht="48" x14ac:dyDescent="0.25">
      <c r="A460" s="587" t="s">
        <v>2578</v>
      </c>
      <c r="B460" s="369" t="s">
        <v>23</v>
      </c>
      <c r="C460" s="588"/>
      <c r="D460" s="589" t="s">
        <v>3132</v>
      </c>
      <c r="E460" s="44" t="s">
        <v>27</v>
      </c>
      <c r="F460" s="214">
        <v>100995</v>
      </c>
      <c r="G460" s="587" t="s">
        <v>773</v>
      </c>
      <c r="H460" s="590" t="s">
        <v>55</v>
      </c>
      <c r="I460" s="591">
        <v>194.11392043467492</v>
      </c>
      <c r="J460" s="592">
        <v>3.11</v>
      </c>
      <c r="K460" s="593">
        <v>0.2033513845915047</v>
      </c>
      <c r="L460" s="592">
        <v>3.7424228060795794</v>
      </c>
      <c r="M460" s="594">
        <v>726.45636281224438</v>
      </c>
      <c r="N460" s="439"/>
      <c r="O460" s="673"/>
      <c r="P460" s="361"/>
      <c r="Q460" s="441"/>
      <c r="R460" s="485"/>
      <c r="S460" s="442"/>
      <c r="T460" s="441">
        <v>104.52288023405573</v>
      </c>
      <c r="U460" s="485"/>
      <c r="V460" s="442"/>
      <c r="W460" s="578">
        <v>89.591040200619204</v>
      </c>
      <c r="X460" s="485"/>
      <c r="Y460" s="442"/>
      <c r="Z460" s="441"/>
      <c r="AA460" s="485"/>
      <c r="AB460" s="442"/>
      <c r="AC460" s="672"/>
      <c r="AD460" s="441">
        <v>72.412049026300892</v>
      </c>
      <c r="AE460" s="674">
        <v>341.03739218838479</v>
      </c>
      <c r="AF460" s="674">
        <v>313.00692159755869</v>
      </c>
      <c r="AG460" s="674">
        <v>0</v>
      </c>
      <c r="AH460" s="442">
        <v>0</v>
      </c>
      <c r="AI460" s="442">
        <v>0</v>
      </c>
      <c r="AK460" s="3" t="e">
        <f>IF(F460="", " ", VLOOKUP(F460,#REF!, 1, FALSE))</f>
        <v>#REF!</v>
      </c>
    </row>
    <row r="461" spans="1:37" ht="36" x14ac:dyDescent="0.25">
      <c r="A461" s="587" t="s">
        <v>1851</v>
      </c>
      <c r="B461" s="369" t="s">
        <v>25</v>
      </c>
      <c r="C461" s="588"/>
      <c r="D461" s="589" t="s">
        <v>3133</v>
      </c>
      <c r="E461" s="44" t="s">
        <v>27</v>
      </c>
      <c r="F461" s="214">
        <v>95879</v>
      </c>
      <c r="G461" s="587" t="s">
        <v>789</v>
      </c>
      <c r="H461" s="590" t="s">
        <v>42</v>
      </c>
      <c r="I461" s="591">
        <v>3412.4231756413628</v>
      </c>
      <c r="J461" s="592">
        <v>1.04</v>
      </c>
      <c r="K461" s="593">
        <v>0.2033513845915047</v>
      </c>
      <c r="L461" s="592">
        <v>1.2514854399751649</v>
      </c>
      <c r="M461" s="594">
        <v>4270.5979193489802</v>
      </c>
      <c r="N461" s="439"/>
      <c r="O461" s="673"/>
      <c r="P461" s="361"/>
      <c r="Q461" s="441"/>
      <c r="R461" s="485"/>
      <c r="S461" s="442"/>
      <c r="T461" s="441">
        <v>1790.8253480101548</v>
      </c>
      <c r="U461" s="485"/>
      <c r="V461" s="442">
        <v>17.133333333333333</v>
      </c>
      <c r="W461" s="578">
        <v>1621.5978276312078</v>
      </c>
      <c r="X461" s="485"/>
      <c r="Y461" s="442">
        <v>18.100000000000001</v>
      </c>
      <c r="Z461" s="441"/>
      <c r="AA461" s="485"/>
      <c r="AB461" s="442"/>
      <c r="AC461" s="672"/>
      <c r="AD461" s="441">
        <v>287.44409072541214</v>
      </c>
      <c r="AE461" s="674">
        <v>2463.8064919321037</v>
      </c>
      <c r="AF461" s="674">
        <v>1519.3473366914641</v>
      </c>
      <c r="AG461" s="674">
        <v>0</v>
      </c>
      <c r="AH461" s="442">
        <v>0</v>
      </c>
      <c r="AI461" s="442">
        <v>0</v>
      </c>
      <c r="AK461" s="3" t="e">
        <f>IF(F461="", " ", VLOOKUP(F461,#REF!, 1, FALSE))</f>
        <v>#REF!</v>
      </c>
    </row>
    <row r="462" spans="1:37" ht="36" hidden="1" x14ac:dyDescent="0.25">
      <c r="A462" s="587" t="s">
        <v>1976</v>
      </c>
      <c r="B462" s="369" t="s">
        <v>25</v>
      </c>
      <c r="C462" s="588"/>
      <c r="D462" s="589" t="s">
        <v>3134</v>
      </c>
      <c r="E462" s="44" t="s">
        <v>27</v>
      </c>
      <c r="F462" s="214">
        <v>93599</v>
      </c>
      <c r="G462" s="587" t="s">
        <v>788</v>
      </c>
      <c r="H462" s="590" t="s">
        <v>42</v>
      </c>
      <c r="I462" s="591">
        <f>IF($F462="","",IF('TRECHO(S) A IMPRIMIR'!$B$1= 1, SUM(Q462, T462, W462, Z462), IF('TRECHO(S) A IMPRIMIR'!$B$1= 2, T462, IF('TRECHO(S) A IMPRIMIR'!$B$1= 3, W462, 0))))</f>
        <v>0</v>
      </c>
      <c r="J462" s="592">
        <v>0.41</v>
      </c>
      <c r="K462" s="593">
        <f t="shared" si="68"/>
        <v>0.2033513845915047</v>
      </c>
      <c r="L462" s="592">
        <f t="shared" ref="L457:L504" si="70">IF(J462="","",
  IF(AND(J462&lt;&gt;"",K462=""),J462,J462 * (1 + K462)))</f>
        <v>0.4933740676825169</v>
      </c>
      <c r="M462" s="594">
        <f t="shared" ref="M457:M462" si="71">IF(OR(I462="",L462=""),"",I462*L462)</f>
        <v>0</v>
      </c>
      <c r="N462" s="439"/>
      <c r="O462" s="673"/>
      <c r="P462" s="361"/>
      <c r="Q462" s="441"/>
      <c r="R462" s="485"/>
      <c r="S462" s="442"/>
      <c r="T462" s="441">
        <f>T460 * V462</f>
        <v>0</v>
      </c>
      <c r="U462" s="485"/>
      <c r="V462" s="442">
        <f>IF('MLQ-DMT-TR1'!$E$15 &gt; 30, 'MLQ-DMT-TR1'!$E$15 - 30, 0)</f>
        <v>0</v>
      </c>
      <c r="W462" s="578">
        <f>W460 * Y462</f>
        <v>0</v>
      </c>
      <c r="X462" s="485"/>
      <c r="Y462" s="442">
        <f>IF('MLQ-DMT-TR3'!$E$15 &gt; 30, 'MLQ-DMT-TR3'!$E$15 - 30, 0)</f>
        <v>0</v>
      </c>
      <c r="Z462" s="441"/>
      <c r="AA462" s="485"/>
      <c r="AB462" s="442"/>
      <c r="AC462" s="672"/>
      <c r="AD462" s="441" t="s">
        <v>21</v>
      </c>
      <c r="AE462" s="674" t="s">
        <v>21</v>
      </c>
      <c r="AF462" s="674" t="s">
        <v>21</v>
      </c>
      <c r="AG462" s="674" t="s">
        <v>21</v>
      </c>
      <c r="AH462" s="442" t="s">
        <v>21</v>
      </c>
      <c r="AI462" s="442" t="str">
        <f t="shared" ref="AI457:AI504" si="72">IF(SUM(AD462:AH462)=0,"",M462 - SUM(AD462:AH462))</f>
        <v/>
      </c>
      <c r="AK462" s="3" t="e">
        <f>IF(F462="", " ", VLOOKUP(F462,#REF!, 1, FALSE))</f>
        <v>#REF!</v>
      </c>
    </row>
    <row r="463" spans="1:37" x14ac:dyDescent="0.25">
      <c r="A463" s="587"/>
      <c r="B463" s="369"/>
      <c r="C463" s="588"/>
      <c r="D463" s="589"/>
      <c r="E463" s="44"/>
      <c r="F463" s="214"/>
      <c r="G463" s="587" t="s">
        <v>21</v>
      </c>
      <c r="H463" s="590" t="s">
        <v>21</v>
      </c>
      <c r="I463" s="591" t="s">
        <v>21</v>
      </c>
      <c r="J463" s="592" t="s">
        <v>21</v>
      </c>
      <c r="K463" s="593" t="s">
        <v>21</v>
      </c>
      <c r="L463" s="592" t="s">
        <v>21</v>
      </c>
      <c r="M463" s="594" t="s">
        <v>21</v>
      </c>
      <c r="N463" s="439"/>
      <c r="O463" s="673"/>
      <c r="P463" s="361"/>
      <c r="Q463" s="441"/>
      <c r="R463" s="485"/>
      <c r="S463" s="442"/>
      <c r="T463" s="441"/>
      <c r="U463" s="485"/>
      <c r="V463" s="442"/>
      <c r="W463" s="578"/>
      <c r="X463" s="485"/>
      <c r="Y463" s="442"/>
      <c r="Z463" s="441"/>
      <c r="AA463" s="485"/>
      <c r="AB463" s="442"/>
      <c r="AC463" s="672"/>
      <c r="AD463" s="441" t="s">
        <v>21</v>
      </c>
      <c r="AE463" s="674" t="s">
        <v>21</v>
      </c>
      <c r="AF463" s="674" t="s">
        <v>21</v>
      </c>
      <c r="AG463" s="674" t="s">
        <v>21</v>
      </c>
      <c r="AH463" s="442" t="s">
        <v>21</v>
      </c>
      <c r="AI463" s="442" t="str">
        <f t="shared" ref="AI463:AI482" si="73">IF(SUM(AD463:AH463)=0,"",M463 - SUM(AD463:AH463))</f>
        <v/>
      </c>
      <c r="AK463" s="3" t="str">
        <f>IF(F463="", " ", VLOOKUP(F463,#REF!, 1, FALSE))</f>
        <v xml:space="preserve"> </v>
      </c>
    </row>
    <row r="464" spans="1:37" x14ac:dyDescent="0.25">
      <c r="A464" s="587" t="s">
        <v>3825</v>
      </c>
      <c r="B464" s="369"/>
      <c r="C464" s="588"/>
      <c r="D464" s="589" t="s">
        <v>3826</v>
      </c>
      <c r="E464" s="44"/>
      <c r="F464" s="214"/>
      <c r="G464" s="587" t="s">
        <v>3825</v>
      </c>
      <c r="H464" s="590" t="s">
        <v>21</v>
      </c>
      <c r="I464" s="591" t="s">
        <v>21</v>
      </c>
      <c r="J464" s="592" t="s">
        <v>21</v>
      </c>
      <c r="K464" s="593" t="s">
        <v>21</v>
      </c>
      <c r="L464" s="592" t="s">
        <v>21</v>
      </c>
      <c r="M464" s="594">
        <v>1287785.3832556442</v>
      </c>
      <c r="N464" s="439"/>
      <c r="O464" s="1904" t="s">
        <v>4027</v>
      </c>
      <c r="P464" s="361"/>
      <c r="Q464" s="441"/>
      <c r="R464" s="485"/>
      <c r="S464" s="442"/>
      <c r="T464" s="441"/>
      <c r="U464" s="485"/>
      <c r="V464" s="442"/>
      <c r="W464" s="578"/>
      <c r="X464" s="485"/>
      <c r="Y464" s="442"/>
      <c r="Z464" s="441"/>
      <c r="AA464" s="485"/>
      <c r="AB464" s="442"/>
      <c r="AC464" s="672"/>
      <c r="AD464" s="441" t="s">
        <v>21</v>
      </c>
      <c r="AE464" s="674" t="s">
        <v>21</v>
      </c>
      <c r="AF464" s="674" t="s">
        <v>21</v>
      </c>
      <c r="AG464" s="674" t="s">
        <v>21</v>
      </c>
      <c r="AH464" s="442" t="s">
        <v>21</v>
      </c>
      <c r="AI464" s="442" t="str">
        <f t="shared" si="73"/>
        <v/>
      </c>
      <c r="AK464" s="3" t="str">
        <f>IF(F464="", " ", VLOOKUP(F464,#REF!, 1, FALSE))</f>
        <v xml:space="preserve"> </v>
      </c>
    </row>
    <row r="465" spans="1:37" ht="36" x14ac:dyDescent="0.25">
      <c r="A465" s="587" t="s">
        <v>2564</v>
      </c>
      <c r="B465" s="369"/>
      <c r="C465" s="588"/>
      <c r="D465" s="589" t="s">
        <v>3827</v>
      </c>
      <c r="E465" s="44"/>
      <c r="F465" s="214"/>
      <c r="G465" s="587" t="s">
        <v>2564</v>
      </c>
      <c r="H465" s="590" t="s">
        <v>21</v>
      </c>
      <c r="I465" s="591" t="s">
        <v>21</v>
      </c>
      <c r="J465" s="592" t="s">
        <v>21</v>
      </c>
      <c r="K465" s="593" t="s">
        <v>21</v>
      </c>
      <c r="L465" s="592" t="s">
        <v>21</v>
      </c>
      <c r="M465" s="594" t="s">
        <v>21</v>
      </c>
      <c r="N465" s="439"/>
      <c r="O465" s="673"/>
      <c r="P465" s="361"/>
      <c r="Q465" s="441"/>
      <c r="R465" s="485"/>
      <c r="S465" s="442"/>
      <c r="T465" s="441"/>
      <c r="U465" s="485"/>
      <c r="V465" s="442"/>
      <c r="W465" s="578"/>
      <c r="X465" s="485"/>
      <c r="Y465" s="442"/>
      <c r="Z465" s="441"/>
      <c r="AA465" s="485"/>
      <c r="AB465" s="442"/>
      <c r="AC465" s="672"/>
      <c r="AD465" s="441" t="s">
        <v>21</v>
      </c>
      <c r="AE465" s="674" t="s">
        <v>21</v>
      </c>
      <c r="AF465" s="674" t="s">
        <v>21</v>
      </c>
      <c r="AG465" s="674" t="s">
        <v>21</v>
      </c>
      <c r="AH465" s="442" t="s">
        <v>21</v>
      </c>
      <c r="AI465" s="442" t="str">
        <f t="shared" si="73"/>
        <v/>
      </c>
      <c r="AK465" s="3" t="str">
        <f>IF(F465="", " ", VLOOKUP(F465,#REF!, 1, FALSE))</f>
        <v xml:space="preserve"> </v>
      </c>
    </row>
    <row r="466" spans="1:37" ht="60" x14ac:dyDescent="0.25">
      <c r="A466" s="587" t="s">
        <v>2565</v>
      </c>
      <c r="B466" s="369" t="s">
        <v>725</v>
      </c>
      <c r="C466" s="588"/>
      <c r="D466" s="589" t="s">
        <v>3828</v>
      </c>
      <c r="E466" s="44" t="s">
        <v>27</v>
      </c>
      <c r="F466" s="214">
        <v>90100</v>
      </c>
      <c r="G466" s="587" t="s">
        <v>1297</v>
      </c>
      <c r="H466" s="590" t="s">
        <v>44</v>
      </c>
      <c r="I466" s="591">
        <v>1056.33</v>
      </c>
      <c r="J466" s="592">
        <v>9.73</v>
      </c>
      <c r="K466" s="593">
        <v>0.2033513845915047</v>
      </c>
      <c r="L466" s="592">
        <v>11.708608972075341</v>
      </c>
      <c r="M466" s="594">
        <v>12368.154915472343</v>
      </c>
      <c r="N466" s="439"/>
      <c r="O466" s="673"/>
      <c r="P466" s="361"/>
      <c r="Q466" s="441"/>
      <c r="R466" s="485"/>
      <c r="S466" s="442"/>
      <c r="T466" s="441">
        <v>707.85</v>
      </c>
      <c r="U466" s="485">
        <v>1.0923072445820432</v>
      </c>
      <c r="V466" s="442"/>
      <c r="W466" s="441">
        <v>348.48</v>
      </c>
      <c r="X466" s="485">
        <v>1.0923072445820432</v>
      </c>
      <c r="Y466" s="442"/>
      <c r="Z466" s="441"/>
      <c r="AA466" s="485"/>
      <c r="AB466" s="442"/>
      <c r="AC466" s="672"/>
      <c r="AD466" s="441">
        <v>4105.769822916307</v>
      </c>
      <c r="AE466" s="674">
        <v>4105.769822916307</v>
      </c>
      <c r="AF466" s="674">
        <v>4156.6152696397294</v>
      </c>
      <c r="AG466" s="674">
        <v>0</v>
      </c>
      <c r="AH466" s="442">
        <v>0</v>
      </c>
      <c r="AI466" s="442">
        <v>0</v>
      </c>
      <c r="AK466" s="3" t="e">
        <f>IF(F466="", " ", VLOOKUP(F466,#REF!, 1, FALSE))</f>
        <v>#REF!</v>
      </c>
    </row>
    <row r="467" spans="1:37" ht="36" x14ac:dyDescent="0.25">
      <c r="A467" s="587" t="s">
        <v>2566</v>
      </c>
      <c r="B467" s="369" t="s">
        <v>725</v>
      </c>
      <c r="C467" s="588"/>
      <c r="D467" s="589" t="s">
        <v>3829</v>
      </c>
      <c r="E467" s="44" t="s">
        <v>27</v>
      </c>
      <c r="F467" s="214">
        <v>101619</v>
      </c>
      <c r="G467" s="587" t="s">
        <v>1170</v>
      </c>
      <c r="H467" s="590" t="s">
        <v>44</v>
      </c>
      <c r="I467" s="591">
        <v>586.85</v>
      </c>
      <c r="J467" s="592">
        <v>290.8</v>
      </c>
      <c r="K467" s="593">
        <v>0.2033513845915047</v>
      </c>
      <c r="L467" s="592">
        <v>349.93458263920957</v>
      </c>
      <c r="M467" s="594">
        <v>205359.10982182014</v>
      </c>
      <c r="N467" s="439"/>
      <c r="O467" s="673"/>
      <c r="P467" s="361"/>
      <c r="Q467" s="441"/>
      <c r="R467" s="485"/>
      <c r="S467" s="442"/>
      <c r="T467" s="441">
        <v>393.25</v>
      </c>
      <c r="U467" s="485"/>
      <c r="V467" s="442"/>
      <c r="W467" s="441">
        <v>193.6</v>
      </c>
      <c r="X467" s="485"/>
      <c r="Y467" s="442"/>
      <c r="Z467" s="441"/>
      <c r="AA467" s="485"/>
      <c r="AB467" s="442"/>
      <c r="AC467" s="672"/>
      <c r="AD467" s="441">
        <v>63267.271832657731</v>
      </c>
      <c r="AE467" s="674">
        <v>141992.97184275577</v>
      </c>
      <c r="AF467" s="674">
        <v>98.866146406653442</v>
      </c>
      <c r="AG467" s="674">
        <v>0</v>
      </c>
      <c r="AH467" s="442">
        <v>0</v>
      </c>
      <c r="AI467" s="442">
        <v>0</v>
      </c>
      <c r="AK467" s="3" t="e">
        <f>IF(F467="", " ", VLOOKUP(F467,#REF!, 1, FALSE))</f>
        <v>#REF!</v>
      </c>
    </row>
    <row r="468" spans="1:37" ht="36" x14ac:dyDescent="0.25">
      <c r="A468" s="587" t="s">
        <v>2567</v>
      </c>
      <c r="B468" s="369" t="s">
        <v>25</v>
      </c>
      <c r="C468" s="588"/>
      <c r="D468" s="589" t="s">
        <v>3830</v>
      </c>
      <c r="E468" s="44" t="s">
        <v>27</v>
      </c>
      <c r="F468" s="214">
        <v>100943</v>
      </c>
      <c r="G468" s="587" t="s">
        <v>786</v>
      </c>
      <c r="H468" s="590" t="s">
        <v>42</v>
      </c>
      <c r="I468" s="591">
        <v>1001.5780202325695</v>
      </c>
      <c r="J468" s="592">
        <v>3.1</v>
      </c>
      <c r="K468" s="593">
        <v>0.2033513845915047</v>
      </c>
      <c r="L468" s="592">
        <v>3.7303892922336646</v>
      </c>
      <c r="M468" s="594">
        <v>3736.2759220121702</v>
      </c>
      <c r="N468" s="439"/>
      <c r="O468" s="673"/>
      <c r="P468" s="361"/>
      <c r="Q468" s="441"/>
      <c r="R468" s="485"/>
      <c r="S468" s="442"/>
      <c r="T468" s="441">
        <v>773.18968307739931</v>
      </c>
      <c r="U468" s="485"/>
      <c r="V468" s="442">
        <v>1</v>
      </c>
      <c r="W468" s="441">
        <v>228.38833715517023</v>
      </c>
      <c r="X468" s="485"/>
      <c r="Y468" s="442">
        <v>0.6</v>
      </c>
      <c r="Z468" s="441"/>
      <c r="AA468" s="485"/>
      <c r="AB468" s="442"/>
      <c r="AC468" s="672"/>
      <c r="AD468" s="441">
        <v>265.15506543312176</v>
      </c>
      <c r="AE468" s="674">
        <v>2085.0830145422756</v>
      </c>
      <c r="AF468" s="674">
        <v>1386.0378420367726</v>
      </c>
      <c r="AG468" s="674">
        <v>0</v>
      </c>
      <c r="AH468" s="442">
        <v>0</v>
      </c>
      <c r="AI468" s="442">
        <v>4.5474735088646412E-13</v>
      </c>
      <c r="AK468" s="3" t="e">
        <f>IF(F468="", " ", VLOOKUP(F468,#REF!, 1, FALSE))</f>
        <v>#REF!</v>
      </c>
    </row>
    <row r="469" spans="1:37" x14ac:dyDescent="0.25">
      <c r="A469" s="587" t="s">
        <v>2568</v>
      </c>
      <c r="B469" s="369"/>
      <c r="C469" s="588"/>
      <c r="D469" s="589" t="s">
        <v>3831</v>
      </c>
      <c r="E469" s="44"/>
      <c r="F469" s="214"/>
      <c r="G469" s="587" t="s">
        <v>2568</v>
      </c>
      <c r="H469" s="590" t="s">
        <v>21</v>
      </c>
      <c r="I469" s="591" t="str">
        <f>IF($F469="","",IF('TRECHO(S) A IMPRIMIR'!$B$1= 1, SUM(Q469, T469, W469, Z469), IF('TRECHO(S) A IMPRIMIR'!$B$1= 2, T469, IF('TRECHO(S) A IMPRIMIR'!$B$1= 3, W469, 0))))</f>
        <v/>
      </c>
      <c r="J469" s="592" t="s">
        <v>21</v>
      </c>
      <c r="K469" s="593" t="str">
        <f t="shared" si="68"/>
        <v/>
      </c>
      <c r="L469" s="592" t="str">
        <f t="shared" ref="L467:L476" si="74">IF(J469="","",
  IF(AND(J469&lt;&gt;"",K469=""),J469,J469 * (1 + K469)))</f>
        <v/>
      </c>
      <c r="M469" s="594" t="str">
        <f t="shared" ref="M467:M476" si="75">IF(OR(I469="",L469=""),"",I469*L469)</f>
        <v/>
      </c>
      <c r="N469" s="439"/>
      <c r="O469" s="673"/>
      <c r="P469" s="361"/>
      <c r="Q469" s="441"/>
      <c r="R469" s="485"/>
      <c r="S469" s="442"/>
      <c r="T469" s="441"/>
      <c r="U469" s="485"/>
      <c r="V469" s="442"/>
      <c r="W469" s="578"/>
      <c r="X469" s="485"/>
      <c r="Y469" s="442"/>
      <c r="Z469" s="441"/>
      <c r="AA469" s="485"/>
      <c r="AB469" s="442"/>
      <c r="AC469" s="672"/>
      <c r="AD469" s="441" t="s">
        <v>21</v>
      </c>
      <c r="AE469" s="674" t="s">
        <v>21</v>
      </c>
      <c r="AF469" s="674" t="s">
        <v>21</v>
      </c>
      <c r="AG469" s="674" t="s">
        <v>21</v>
      </c>
      <c r="AH469" s="442" t="s">
        <v>21</v>
      </c>
      <c r="AI469" s="442" t="s">
        <v>21</v>
      </c>
      <c r="AK469" s="3" t="str">
        <f>IF(F469="", " ", VLOOKUP(F469,#REF!, 1, FALSE))</f>
        <v xml:space="preserve"> </v>
      </c>
    </row>
    <row r="470" spans="1:37" ht="48" x14ac:dyDescent="0.25">
      <c r="A470" s="587" t="s">
        <v>3855</v>
      </c>
      <c r="B470" s="369" t="s">
        <v>39</v>
      </c>
      <c r="C470" s="588"/>
      <c r="D470" s="589" t="s">
        <v>3832</v>
      </c>
      <c r="E470" s="44" t="s">
        <v>138</v>
      </c>
      <c r="F470" s="214" t="s">
        <v>3844</v>
      </c>
      <c r="G470" s="587" t="s">
        <v>3852</v>
      </c>
      <c r="H470" s="590" t="s">
        <v>41</v>
      </c>
      <c r="I470" s="591">
        <v>97</v>
      </c>
      <c r="J470" s="592">
        <v>8274.4325299820612</v>
      </c>
      <c r="K470" s="593">
        <v>0.2033513845915047</v>
      </c>
      <c r="L470" s="592">
        <v>9957.0498416628998</v>
      </c>
      <c r="M470" s="594">
        <v>965833.83464130131</v>
      </c>
      <c r="N470" s="439"/>
      <c r="O470" s="673"/>
      <c r="P470" s="361"/>
      <c r="Q470" s="441"/>
      <c r="R470" s="485"/>
      <c r="S470" s="442"/>
      <c r="T470" s="441">
        <v>65</v>
      </c>
      <c r="U470" s="485"/>
      <c r="V470" s="442"/>
      <c r="W470" s="578">
        <v>32</v>
      </c>
      <c r="X470" s="485"/>
      <c r="Y470" s="442"/>
      <c r="Z470" s="441"/>
      <c r="AA470" s="485"/>
      <c r="AB470" s="442"/>
      <c r="AC470" s="672"/>
      <c r="AD470" s="441">
        <v>132800.89943376064</v>
      </c>
      <c r="AE470" s="674">
        <v>757109.90016143851</v>
      </c>
      <c r="AF470" s="674">
        <v>75711.546702103864</v>
      </c>
      <c r="AG470" s="674">
        <v>0</v>
      </c>
      <c r="AH470" s="442">
        <v>211.4883439986842</v>
      </c>
      <c r="AI470" s="442">
        <v>-3.4924596548080444E-10</v>
      </c>
      <c r="AK470" s="3" t="e">
        <f>IF(F470="", " ", VLOOKUP(F470,#REF!, 1, FALSE))</f>
        <v>#REF!</v>
      </c>
    </row>
    <row r="471" spans="1:37" x14ac:dyDescent="0.25">
      <c r="A471" s="587" t="s">
        <v>2576</v>
      </c>
      <c r="B471" s="369"/>
      <c r="C471" s="588"/>
      <c r="D471" s="589" t="s">
        <v>3833</v>
      </c>
      <c r="E471" s="44"/>
      <c r="F471" s="214"/>
      <c r="G471" s="587" t="s">
        <v>2576</v>
      </c>
      <c r="H471" s="590" t="s">
        <v>21</v>
      </c>
      <c r="I471" s="591" t="s">
        <v>21</v>
      </c>
      <c r="J471" s="592" t="s">
        <v>21</v>
      </c>
      <c r="K471" s="593" t="s">
        <v>21</v>
      </c>
      <c r="L471" s="592" t="s">
        <v>21</v>
      </c>
      <c r="M471" s="594" t="s">
        <v>21</v>
      </c>
      <c r="N471" s="439"/>
      <c r="O471" s="673"/>
      <c r="P471" s="361"/>
      <c r="Q471" s="441"/>
      <c r="R471" s="485"/>
      <c r="S471" s="442"/>
      <c r="T471" s="441"/>
      <c r="U471" s="485"/>
      <c r="V471" s="442"/>
      <c r="W471" s="578"/>
      <c r="X471" s="485"/>
      <c r="Y471" s="442"/>
      <c r="Z471" s="441"/>
      <c r="AA471" s="485"/>
      <c r="AB471" s="442"/>
      <c r="AC471" s="672"/>
      <c r="AD471" s="441" t="s">
        <v>21</v>
      </c>
      <c r="AE471" s="674" t="s">
        <v>21</v>
      </c>
      <c r="AF471" s="674" t="s">
        <v>21</v>
      </c>
      <c r="AG471" s="674" t="s">
        <v>21</v>
      </c>
      <c r="AH471" s="442" t="s">
        <v>21</v>
      </c>
      <c r="AI471" s="442" t="s">
        <v>21</v>
      </c>
      <c r="AK471" s="3" t="str">
        <f>IF(F471="", " ", VLOOKUP(F471,#REF!, 1, FALSE))</f>
        <v xml:space="preserve"> </v>
      </c>
    </row>
    <row r="472" spans="1:37" x14ac:dyDescent="0.25">
      <c r="A472" s="587" t="s">
        <v>2577</v>
      </c>
      <c r="B472" s="369" t="s">
        <v>26</v>
      </c>
      <c r="C472" s="588"/>
      <c r="D472" s="589" t="s">
        <v>3834</v>
      </c>
      <c r="E472" s="44" t="s">
        <v>138</v>
      </c>
      <c r="F472" s="214" t="s">
        <v>2333</v>
      </c>
      <c r="G472" s="587" t="s">
        <v>2351</v>
      </c>
      <c r="H472" s="590" t="s">
        <v>22</v>
      </c>
      <c r="I472" s="591">
        <v>582</v>
      </c>
      <c r="J472" s="592">
        <v>48.144249999999992</v>
      </c>
      <c r="K472" s="593">
        <v>0.11096635744680849</v>
      </c>
      <c r="L472" s="592">
        <v>53.486642054508501</v>
      </c>
      <c r="M472" s="594">
        <v>31129.225675723948</v>
      </c>
      <c r="N472" s="439"/>
      <c r="O472" s="673"/>
      <c r="P472" s="361"/>
      <c r="Q472" s="441"/>
      <c r="R472" s="485"/>
      <c r="S472" s="442"/>
      <c r="T472" s="441">
        <v>390</v>
      </c>
      <c r="U472" s="485"/>
      <c r="V472" s="442"/>
      <c r="W472" s="578">
        <v>192</v>
      </c>
      <c r="X472" s="485"/>
      <c r="Y472" s="442"/>
      <c r="Z472" s="441"/>
      <c r="AA472" s="485"/>
      <c r="AB472" s="442"/>
      <c r="AC472" s="672"/>
      <c r="AD472" s="441">
        <v>0</v>
      </c>
      <c r="AE472" s="674">
        <v>31129.225675723948</v>
      </c>
      <c r="AF472" s="674">
        <v>0</v>
      </c>
      <c r="AG472" s="674">
        <v>0</v>
      </c>
      <c r="AH472" s="442">
        <v>0</v>
      </c>
      <c r="AI472" s="442">
        <v>0</v>
      </c>
      <c r="AK472" s="3" t="e">
        <f>IF(F472="", " ", VLOOKUP(F472,#REF!, 1, FALSE))</f>
        <v>#REF!</v>
      </c>
    </row>
    <row r="473" spans="1:37" ht="60" x14ac:dyDescent="0.25">
      <c r="A473" s="587" t="s">
        <v>1111</v>
      </c>
      <c r="B473" s="369" t="s">
        <v>725</v>
      </c>
      <c r="C473" s="588"/>
      <c r="D473" s="589" t="s">
        <v>3835</v>
      </c>
      <c r="E473" s="44" t="s">
        <v>27</v>
      </c>
      <c r="F473" s="214">
        <v>90100</v>
      </c>
      <c r="G473" s="587" t="s">
        <v>1297</v>
      </c>
      <c r="H473" s="590" t="s">
        <v>44</v>
      </c>
      <c r="I473" s="591">
        <v>494.7</v>
      </c>
      <c r="J473" s="592">
        <v>9.73</v>
      </c>
      <c r="K473" s="593">
        <v>0.2033513845915047</v>
      </c>
      <c r="L473" s="592">
        <v>11.708608972075341</v>
      </c>
      <c r="M473" s="594">
        <v>5792.248858485671</v>
      </c>
      <c r="N473" s="439"/>
      <c r="O473" s="673"/>
      <c r="P473" s="361"/>
      <c r="Q473" s="441"/>
      <c r="R473" s="485"/>
      <c r="S473" s="442"/>
      <c r="T473" s="441">
        <v>331.5</v>
      </c>
      <c r="U473" s="485">
        <v>1.0923072445820432</v>
      </c>
      <c r="V473" s="442"/>
      <c r="W473" s="578">
        <v>163.19999999999999</v>
      </c>
      <c r="X473" s="485">
        <v>1.0923072445820432</v>
      </c>
      <c r="Y473" s="442"/>
      <c r="Z473" s="441"/>
      <c r="AA473" s="485"/>
      <c r="AB473" s="442"/>
      <c r="AC473" s="672"/>
      <c r="AD473" s="441">
        <v>1922.812313762458</v>
      </c>
      <c r="AE473" s="674">
        <v>1922.812313762458</v>
      </c>
      <c r="AF473" s="674">
        <v>1946.6242309607546</v>
      </c>
      <c r="AG473" s="674">
        <v>0</v>
      </c>
      <c r="AH473" s="442">
        <v>0</v>
      </c>
      <c r="AI473" s="442">
        <v>0</v>
      </c>
      <c r="AK473" s="3" t="e">
        <f>IF(F473="", " ", VLOOKUP(F473,#REF!, 1, FALSE))</f>
        <v>#REF!</v>
      </c>
    </row>
    <row r="474" spans="1:37" ht="24" x14ac:dyDescent="0.25">
      <c r="A474" s="587" t="s">
        <v>2571</v>
      </c>
      <c r="B474" s="369" t="s">
        <v>243</v>
      </c>
      <c r="C474" s="588"/>
      <c r="D474" s="589" t="s">
        <v>3836</v>
      </c>
      <c r="E474" s="44" t="s">
        <v>27</v>
      </c>
      <c r="F474" s="214">
        <v>101616</v>
      </c>
      <c r="G474" s="587" t="s">
        <v>1169</v>
      </c>
      <c r="H474" s="590" t="s">
        <v>51</v>
      </c>
      <c r="I474" s="591">
        <v>345.32</v>
      </c>
      <c r="J474" s="592">
        <v>5.27</v>
      </c>
      <c r="K474" s="593">
        <v>0.2033513845915047</v>
      </c>
      <c r="L474" s="592">
        <v>6.3416617967972293</v>
      </c>
      <c r="M474" s="594">
        <v>2189.9026516700192</v>
      </c>
      <c r="N474" s="439"/>
      <c r="O474" s="673"/>
      <c r="P474" s="361"/>
      <c r="Q474" s="441"/>
      <c r="R474" s="485"/>
      <c r="S474" s="442"/>
      <c r="T474" s="441">
        <v>231.4</v>
      </c>
      <c r="U474" s="485"/>
      <c r="V474" s="442"/>
      <c r="W474" s="578">
        <v>113.92</v>
      </c>
      <c r="X474" s="485"/>
      <c r="Y474" s="442"/>
      <c r="Z474" s="441"/>
      <c r="AA474" s="485"/>
      <c r="AB474" s="442"/>
      <c r="AC474" s="672"/>
      <c r="AD474" s="441">
        <v>1554.1244624754977</v>
      </c>
      <c r="AE474" s="674">
        <v>635.77818919452181</v>
      </c>
      <c r="AF474" s="674">
        <v>0</v>
      </c>
      <c r="AG474" s="674">
        <v>0</v>
      </c>
      <c r="AH474" s="442">
        <v>0</v>
      </c>
      <c r="AI474" s="442">
        <v>-4.5474735088646412E-13</v>
      </c>
      <c r="AK474" s="3" t="e">
        <f>IF(F474="", " ", VLOOKUP(F474,#REF!, 1, FALSE))</f>
        <v>#REF!</v>
      </c>
    </row>
    <row r="475" spans="1:37" ht="60" x14ac:dyDescent="0.25">
      <c r="A475" s="587" t="s">
        <v>2581</v>
      </c>
      <c r="B475" s="369" t="s">
        <v>26</v>
      </c>
      <c r="C475" s="588"/>
      <c r="D475" s="589" t="s">
        <v>3837</v>
      </c>
      <c r="E475" s="44" t="s">
        <v>27</v>
      </c>
      <c r="F475" s="214">
        <v>92809</v>
      </c>
      <c r="G475" s="587" t="s">
        <v>520</v>
      </c>
      <c r="H475" s="590" t="s">
        <v>22</v>
      </c>
      <c r="I475" s="591">
        <v>582</v>
      </c>
      <c r="J475" s="592">
        <v>39.86</v>
      </c>
      <c r="K475" s="593">
        <v>0.2033513845915047</v>
      </c>
      <c r="L475" s="592">
        <v>47.96558618981738</v>
      </c>
      <c r="M475" s="594">
        <v>27915.971162473714</v>
      </c>
      <c r="N475" s="439"/>
      <c r="O475" s="673"/>
      <c r="P475" s="361"/>
      <c r="Q475" s="441"/>
      <c r="R475" s="485"/>
      <c r="S475" s="442"/>
      <c r="T475" s="441">
        <v>390</v>
      </c>
      <c r="U475" s="485"/>
      <c r="V475" s="442"/>
      <c r="W475" s="578">
        <v>192</v>
      </c>
      <c r="X475" s="485"/>
      <c r="Y475" s="442"/>
      <c r="Z475" s="441"/>
      <c r="AA475" s="485"/>
      <c r="AB475" s="442"/>
      <c r="AC475" s="672"/>
      <c r="AD475" s="441">
        <v>11870.941073856735</v>
      </c>
      <c r="AE475" s="674">
        <v>8075.041332245909</v>
      </c>
      <c r="AF475" s="674">
        <v>7969.9887563710708</v>
      </c>
      <c r="AG475" s="674">
        <v>0</v>
      </c>
      <c r="AH475" s="442">
        <v>0</v>
      </c>
      <c r="AI475" s="442">
        <v>-3.637978807091713E-12</v>
      </c>
      <c r="AK475" s="3" t="e">
        <f>IF(F475="", " ", VLOOKUP(F475,#REF!, 1, FALSE))</f>
        <v>#REF!</v>
      </c>
    </row>
    <row r="476" spans="1:37" ht="24" x14ac:dyDescent="0.25">
      <c r="A476" s="587" t="s">
        <v>2579</v>
      </c>
      <c r="B476" s="369" t="s">
        <v>28</v>
      </c>
      <c r="C476" s="588"/>
      <c r="D476" s="589" t="s">
        <v>3838</v>
      </c>
      <c r="E476" s="44" t="s">
        <v>27</v>
      </c>
      <c r="F476" s="214">
        <v>93382</v>
      </c>
      <c r="G476" s="587" t="s">
        <v>40</v>
      </c>
      <c r="H476" s="590" t="s">
        <v>44</v>
      </c>
      <c r="I476" s="591">
        <v>169.75</v>
      </c>
      <c r="J476" s="592">
        <v>25.09</v>
      </c>
      <c r="K476" s="593">
        <v>0.2033513845915047</v>
      </c>
      <c r="L476" s="592">
        <v>30.192086239400854</v>
      </c>
      <c r="M476" s="594">
        <v>5125.1066391382947</v>
      </c>
      <c r="N476" s="439"/>
      <c r="O476" s="673"/>
      <c r="P476" s="361"/>
      <c r="Q476" s="441"/>
      <c r="R476" s="485"/>
      <c r="S476" s="442"/>
      <c r="T476" s="441">
        <v>113.75</v>
      </c>
      <c r="U476" s="485"/>
      <c r="V476" s="442"/>
      <c r="W476" s="578">
        <v>56</v>
      </c>
      <c r="X476" s="485"/>
      <c r="Y476" s="442"/>
      <c r="Z476" s="441"/>
      <c r="AA476" s="485"/>
      <c r="AB476" s="442"/>
      <c r="AC476" s="672"/>
      <c r="AD476" s="441">
        <v>3055.8627071147425</v>
      </c>
      <c r="AE476" s="674">
        <v>1877.2311683412086</v>
      </c>
      <c r="AF476" s="674">
        <v>192.01276368234343</v>
      </c>
      <c r="AG476" s="674">
        <v>0</v>
      </c>
      <c r="AH476" s="442">
        <v>0</v>
      </c>
      <c r="AI476" s="442">
        <v>0</v>
      </c>
      <c r="AK476" s="3" t="e">
        <f>IF(F476="", " ", VLOOKUP(F476,#REF!, 1, FALSE))</f>
        <v>#REF!</v>
      </c>
    </row>
    <row r="477" spans="1:37" ht="72" x14ac:dyDescent="0.25">
      <c r="A477" s="587" t="s">
        <v>2580</v>
      </c>
      <c r="B477" s="369" t="s">
        <v>28</v>
      </c>
      <c r="C477" s="588"/>
      <c r="D477" s="589" t="s">
        <v>3839</v>
      </c>
      <c r="E477" s="44" t="s">
        <v>27</v>
      </c>
      <c r="F477" s="214">
        <v>93371</v>
      </c>
      <c r="G477" s="587" t="s">
        <v>632</v>
      </c>
      <c r="H477" s="590" t="s">
        <v>44</v>
      </c>
      <c r="I477" s="591">
        <v>180.42000000000002</v>
      </c>
      <c r="J477" s="592">
        <v>7.32</v>
      </c>
      <c r="K477" s="593">
        <v>0.2033513845915047</v>
      </c>
      <c r="L477" s="592">
        <v>8.8085321352098145</v>
      </c>
      <c r="M477" s="594">
        <v>1589.2353678345548</v>
      </c>
      <c r="N477" s="439"/>
      <c r="O477" s="673"/>
      <c r="P477" s="361"/>
      <c r="Q477" s="441"/>
      <c r="R477" s="485"/>
      <c r="S477" s="442"/>
      <c r="T477" s="441">
        <v>120.9</v>
      </c>
      <c r="U477" s="485"/>
      <c r="V477" s="442"/>
      <c r="W477" s="578">
        <v>59.52</v>
      </c>
      <c r="X477" s="485"/>
      <c r="Y477" s="442"/>
      <c r="Z477" s="441"/>
      <c r="AA477" s="485"/>
      <c r="AB477" s="442"/>
      <c r="AC477" s="672"/>
      <c r="AD477" s="441">
        <v>351.71602402895888</v>
      </c>
      <c r="AE477" s="674">
        <v>542.77164201999824</v>
      </c>
      <c r="AF477" s="674">
        <v>694.74770178559777</v>
      </c>
      <c r="AG477" s="674">
        <v>0</v>
      </c>
      <c r="AH477" s="442">
        <v>0</v>
      </c>
      <c r="AI477" s="442">
        <v>0</v>
      </c>
      <c r="AK477" s="3" t="e">
        <f>IF(F477="", " ", VLOOKUP(F477,#REF!, 1, FALSE))</f>
        <v>#REF!</v>
      </c>
    </row>
    <row r="478" spans="1:37" ht="24" x14ac:dyDescent="0.25">
      <c r="A478" s="1708" t="s">
        <v>3763</v>
      </c>
      <c r="B478" s="369"/>
      <c r="C478" s="588"/>
      <c r="D478" s="589" t="s">
        <v>3840</v>
      </c>
      <c r="E478" s="44"/>
      <c r="F478" s="214"/>
      <c r="G478" s="587" t="s">
        <v>3763</v>
      </c>
      <c r="H478" s="590" t="s">
        <v>21</v>
      </c>
      <c r="I478" s="591" t="s">
        <v>21</v>
      </c>
      <c r="J478" s="592" t="s">
        <v>21</v>
      </c>
      <c r="K478" s="593" t="s">
        <v>21</v>
      </c>
      <c r="L478" s="592" t="s">
        <v>21</v>
      </c>
      <c r="M478" s="594" t="s">
        <v>21</v>
      </c>
      <c r="N478" s="439"/>
      <c r="O478" s="673"/>
      <c r="P478" s="361"/>
      <c r="Q478" s="441"/>
      <c r="R478" s="485"/>
      <c r="S478" s="442"/>
      <c r="T478" s="441"/>
      <c r="U478" s="485"/>
      <c r="V478" s="442"/>
      <c r="W478" s="578"/>
      <c r="X478" s="485"/>
      <c r="Y478" s="442"/>
      <c r="Z478" s="441"/>
      <c r="AA478" s="485"/>
      <c r="AB478" s="442"/>
      <c r="AC478" s="672"/>
      <c r="AD478" s="441" t="s">
        <v>21</v>
      </c>
      <c r="AE478" s="674" t="s">
        <v>21</v>
      </c>
      <c r="AF478" s="674" t="s">
        <v>21</v>
      </c>
      <c r="AG478" s="674" t="s">
        <v>21</v>
      </c>
      <c r="AH478" s="442" t="s">
        <v>21</v>
      </c>
      <c r="AI478" s="442" t="s">
        <v>21</v>
      </c>
      <c r="AK478" s="3" t="str">
        <f>IF(F478="", " ", VLOOKUP(F478,#REF!, 1, FALSE))</f>
        <v xml:space="preserve"> </v>
      </c>
    </row>
    <row r="479" spans="1:37" ht="48" x14ac:dyDescent="0.25">
      <c r="A479" s="587" t="s">
        <v>2578</v>
      </c>
      <c r="B479" s="369" t="s">
        <v>23</v>
      </c>
      <c r="C479" s="588"/>
      <c r="D479" s="589" t="s">
        <v>3841</v>
      </c>
      <c r="E479" s="44" t="s">
        <v>27</v>
      </c>
      <c r="F479" s="214">
        <v>100995</v>
      </c>
      <c r="G479" s="587" t="s">
        <v>773</v>
      </c>
      <c r="H479" s="590" t="s">
        <v>55</v>
      </c>
      <c r="I479" s="591">
        <v>1045.4461714822291</v>
      </c>
      <c r="J479" s="592">
        <v>3.11</v>
      </c>
      <c r="K479" s="593">
        <v>0.2033513845915047</v>
      </c>
      <c r="L479" s="592">
        <v>3.7424228060795794</v>
      </c>
      <c r="M479" s="594">
        <v>3912.501594683677</v>
      </c>
      <c r="N479" s="439"/>
      <c r="O479" s="1780">
        <f>(SUM('CA-PROJETO'!$G$575:$G$576) - 'CA-PROJETO'!$G$601)</f>
        <v>9.8670000000000009</v>
      </c>
      <c r="P479" s="361"/>
      <c r="Q479" s="441"/>
      <c r="R479" s="485"/>
      <c r="S479" s="442"/>
      <c r="T479" s="441">
        <v>700.55671284891639</v>
      </c>
      <c r="U479" s="485"/>
      <c r="V479" s="442"/>
      <c r="W479" s="441">
        <v>344.8894586333127</v>
      </c>
      <c r="X479" s="485"/>
      <c r="Y479" s="442"/>
      <c r="Z479" s="441"/>
      <c r="AA479" s="485"/>
      <c r="AB479" s="442"/>
      <c r="AC479" s="672"/>
      <c r="AD479" s="441">
        <v>389.99212037039865</v>
      </c>
      <c r="AE479" s="674">
        <v>1836.7370830347811</v>
      </c>
      <c r="AF479" s="674">
        <v>1685.7723912784977</v>
      </c>
      <c r="AG479" s="674">
        <v>0</v>
      </c>
      <c r="AH479" s="442">
        <v>0</v>
      </c>
      <c r="AI479" s="442">
        <v>-4.5474735088646412E-13</v>
      </c>
      <c r="AK479" s="3" t="e">
        <f>IF(F479="", " ", VLOOKUP(F479,#REF!, 1, FALSE))</f>
        <v>#REF!</v>
      </c>
    </row>
    <row r="480" spans="1:37" ht="36" x14ac:dyDescent="0.25">
      <c r="A480" s="587" t="s">
        <v>1851</v>
      </c>
      <c r="B480" s="369" t="s">
        <v>25</v>
      </c>
      <c r="C480" s="588"/>
      <c r="D480" s="589" t="s">
        <v>3842</v>
      </c>
      <c r="E480" s="44" t="s">
        <v>27</v>
      </c>
      <c r="F480" s="214">
        <v>95879</v>
      </c>
      <c r="G480" s="587" t="s">
        <v>789</v>
      </c>
      <c r="H480" s="590" t="s">
        <v>42</v>
      </c>
      <c r="I480" s="591">
        <v>18245.370881407725</v>
      </c>
      <c r="J480" s="592">
        <v>1.04</v>
      </c>
      <c r="K480" s="593">
        <v>0.2033513845915047</v>
      </c>
      <c r="L480" s="592">
        <v>1.2514854399751649</v>
      </c>
      <c r="M480" s="594">
        <v>22833.81600502861</v>
      </c>
      <c r="N480" s="439"/>
      <c r="O480" s="673"/>
      <c r="P480" s="361"/>
      <c r="Q480" s="441"/>
      <c r="R480" s="485"/>
      <c r="S480" s="442"/>
      <c r="T480" s="441">
        <v>12002.871680144766</v>
      </c>
      <c r="U480" s="485"/>
      <c r="V480" s="442">
        <v>17.133333333333333</v>
      </c>
      <c r="W480" s="578">
        <v>6242.49920126296</v>
      </c>
      <c r="X480" s="485"/>
      <c r="Y480" s="442">
        <v>18.100000000000001</v>
      </c>
      <c r="Z480" s="441"/>
      <c r="AA480" s="485"/>
      <c r="AB480" s="442"/>
      <c r="AC480" s="672"/>
      <c r="AD480" s="441">
        <v>1536.8914618769259</v>
      </c>
      <c r="AE480" s="674">
        <v>13173.355387516505</v>
      </c>
      <c r="AF480" s="674">
        <v>8123.5691556351785</v>
      </c>
      <c r="AG480" s="674">
        <v>0</v>
      </c>
      <c r="AH480" s="442">
        <v>0</v>
      </c>
      <c r="AI480" s="442">
        <v>0</v>
      </c>
      <c r="AK480" s="3" t="e">
        <f>IF(F480="", " ", VLOOKUP(F480,#REF!, 1, FALSE))</f>
        <v>#REF!</v>
      </c>
    </row>
    <row r="481" spans="1:37" ht="36" hidden="1" x14ac:dyDescent="0.25">
      <c r="A481" s="587" t="s">
        <v>1976</v>
      </c>
      <c r="B481" s="369" t="s">
        <v>25</v>
      </c>
      <c r="C481" s="588"/>
      <c r="D481" s="589" t="s">
        <v>3843</v>
      </c>
      <c r="E481" s="44" t="s">
        <v>27</v>
      </c>
      <c r="F481" s="214">
        <v>93599</v>
      </c>
      <c r="G481" s="587" t="s">
        <v>788</v>
      </c>
      <c r="H481" s="590" t="s">
        <v>42</v>
      </c>
      <c r="I481" s="591">
        <f>IF($F481="","",IF('TRECHO(S) A IMPRIMIR'!$B$1= 1, SUM(Q481, T481, W481, Z481), IF('TRECHO(S) A IMPRIMIR'!$B$1= 2, T481, IF('TRECHO(S) A IMPRIMIR'!$B$1= 3, W481, 0))))</f>
        <v>0</v>
      </c>
      <c r="J481" s="592">
        <v>0.41</v>
      </c>
      <c r="K481" s="593">
        <f t="shared" ref="K477:K540" si="76">IF(AND(F481&lt;&gt;"", J481&lt;&gt;""),
  IF(OR(F481= "CP9001", F481= "CP9091", F481= "CP9092"), 0,
  IF(ISNA(VLOOKUP(F481, $M$626:$M$646, 1, FALSE)), $M$4, $M$5)), "")</f>
        <v>0.2033513845915047</v>
      </c>
      <c r="L481" s="592">
        <f t="shared" ref="L463:L502" si="77">IF(J481="","",
  IF(AND(J481&lt;&gt;"",K481=""),J481,J481 * (1 + K481)))</f>
        <v>0.4933740676825169</v>
      </c>
      <c r="M481" s="594">
        <f t="shared" ref="M463:M482" si="78">IF(OR(I481="",L481=""),"",I481*L481)</f>
        <v>0</v>
      </c>
      <c r="N481" s="439"/>
      <c r="O481" s="673"/>
      <c r="P481" s="361"/>
      <c r="Q481" s="441"/>
      <c r="R481" s="485"/>
      <c r="S481" s="442"/>
      <c r="T481" s="441">
        <f>T479 * V481</f>
        <v>0</v>
      </c>
      <c r="U481" s="485"/>
      <c r="V481" s="442">
        <f>IF('MLQ-DMT-TR1'!$E$15 &gt; 30, 'MLQ-DMT-TR1'!$E$15 - 30, 0)</f>
        <v>0</v>
      </c>
      <c r="W481" s="578">
        <f>W479 * Y481</f>
        <v>0</v>
      </c>
      <c r="X481" s="485"/>
      <c r="Y481" s="442">
        <f>IF('MLQ-DMT-TR3'!$E$15 &gt; 30, 'MLQ-DMT-TR3'!$E$15 - 30, 0)</f>
        <v>0</v>
      </c>
      <c r="Z481" s="441"/>
      <c r="AA481" s="485"/>
      <c r="AB481" s="442"/>
      <c r="AC481" s="672"/>
      <c r="AD481" s="441" t="s">
        <v>21</v>
      </c>
      <c r="AE481" s="674" t="s">
        <v>21</v>
      </c>
      <c r="AF481" s="674" t="s">
        <v>21</v>
      </c>
      <c r="AG481" s="674" t="s">
        <v>21</v>
      </c>
      <c r="AH481" s="442" t="s">
        <v>21</v>
      </c>
      <c r="AI481" s="442" t="str">
        <f t="shared" si="73"/>
        <v/>
      </c>
      <c r="AK481" s="3" t="e">
        <f>IF(F481="", " ", VLOOKUP(F481,#REF!, 1, FALSE))</f>
        <v>#REF!</v>
      </c>
    </row>
    <row r="482" spans="1:37" x14ac:dyDescent="0.25">
      <c r="A482" s="587"/>
      <c r="B482" s="369"/>
      <c r="C482" s="588"/>
      <c r="D482" s="589"/>
      <c r="E482" s="44"/>
      <c r="F482" s="214"/>
      <c r="G482" s="587" t="s">
        <v>21</v>
      </c>
      <c r="H482" s="590" t="s">
        <v>21</v>
      </c>
      <c r="I482" s="591" t="str">
        <f>IF($F482="","",IF('TRECHO(S) A IMPRIMIR'!$B$1= 1, SUM(Q482, T482, W482, Z482), IF('TRECHO(S) A IMPRIMIR'!$B$1= 2, T482, IF('TRECHO(S) A IMPRIMIR'!$B$1= 3, W482, 0))))</f>
        <v/>
      </c>
      <c r="J482" s="592" t="s">
        <v>21</v>
      </c>
      <c r="K482" s="593" t="str">
        <f t="shared" si="76"/>
        <v/>
      </c>
      <c r="L482" s="592" t="str">
        <f t="shared" si="77"/>
        <v/>
      </c>
      <c r="M482" s="594" t="str">
        <f t="shared" si="78"/>
        <v/>
      </c>
      <c r="N482" s="439"/>
      <c r="O482" s="673"/>
      <c r="P482" s="361"/>
      <c r="Q482" s="441"/>
      <c r="R482" s="485"/>
      <c r="S482" s="442"/>
      <c r="T482" s="441"/>
      <c r="U482" s="485"/>
      <c r="V482" s="442"/>
      <c r="W482" s="578"/>
      <c r="X482" s="485"/>
      <c r="Y482" s="442"/>
      <c r="Z482" s="441"/>
      <c r="AA482" s="485"/>
      <c r="AB482" s="442"/>
      <c r="AC482" s="672"/>
      <c r="AD482" s="441" t="s">
        <v>21</v>
      </c>
      <c r="AE482" s="674" t="s">
        <v>21</v>
      </c>
      <c r="AF482" s="674" t="s">
        <v>21</v>
      </c>
      <c r="AG482" s="674" t="s">
        <v>21</v>
      </c>
      <c r="AH482" s="442" t="s">
        <v>21</v>
      </c>
      <c r="AI482" s="442" t="str">
        <f t="shared" si="73"/>
        <v/>
      </c>
      <c r="AK482" s="3" t="str">
        <f>IF(F482="", " ", VLOOKUP(F482,#REF!, 1, FALSE))</f>
        <v xml:space="preserve"> </v>
      </c>
    </row>
    <row r="483" spans="1:37" ht="33.75" x14ac:dyDescent="0.25">
      <c r="A483" s="587" t="s">
        <v>4029</v>
      </c>
      <c r="B483" s="369"/>
      <c r="C483" s="588"/>
      <c r="D483" s="589" t="s">
        <v>4031</v>
      </c>
      <c r="E483" s="44"/>
      <c r="F483" s="214"/>
      <c r="G483" s="587" t="s">
        <v>4029</v>
      </c>
      <c r="H483" s="590" t="s">
        <v>21</v>
      </c>
      <c r="I483" s="591" t="s">
        <v>21</v>
      </c>
      <c r="J483" s="592" t="s">
        <v>21</v>
      </c>
      <c r="K483" s="593" t="s">
        <v>21</v>
      </c>
      <c r="L483" s="592" t="s">
        <v>21</v>
      </c>
      <c r="M483" s="594">
        <v>428261.76517416595</v>
      </c>
      <c r="N483" s="439"/>
      <c r="O483" s="1904" t="s">
        <v>4028</v>
      </c>
      <c r="P483" s="361"/>
      <c r="Q483" s="441"/>
      <c r="R483" s="485"/>
      <c r="S483" s="442"/>
      <c r="T483" s="441"/>
      <c r="U483" s="485"/>
      <c r="V483" s="442"/>
      <c r="W483" s="578"/>
      <c r="X483" s="485"/>
      <c r="Y483" s="442"/>
      <c r="Z483" s="441"/>
      <c r="AA483" s="485"/>
      <c r="AB483" s="442"/>
      <c r="AC483" s="672"/>
      <c r="AD483" s="441" t="s">
        <v>21</v>
      </c>
      <c r="AE483" s="674" t="s">
        <v>21</v>
      </c>
      <c r="AF483" s="674" t="s">
        <v>21</v>
      </c>
      <c r="AG483" s="674" t="s">
        <v>21</v>
      </c>
      <c r="AH483" s="442" t="s">
        <v>21</v>
      </c>
      <c r="AI483" s="442" t="str">
        <f t="shared" ref="AI483" si="79">IF(SUM(AD483:AH483)=0,"",M483 - SUM(AD483:AH483))</f>
        <v/>
      </c>
      <c r="AK483" s="3" t="str">
        <f>IF(F483="", " ", VLOOKUP(F483,#REF!, 1, FALSE))</f>
        <v xml:space="preserve"> </v>
      </c>
    </row>
    <row r="484" spans="1:37" ht="36" x14ac:dyDescent="0.25">
      <c r="A484" s="587" t="s">
        <v>2564</v>
      </c>
      <c r="B484" s="369"/>
      <c r="C484" s="588"/>
      <c r="D484" s="589" t="s">
        <v>4032</v>
      </c>
      <c r="E484" s="44"/>
      <c r="F484" s="214"/>
      <c r="G484" s="587" t="s">
        <v>2564</v>
      </c>
      <c r="H484" s="590" t="s">
        <v>21</v>
      </c>
      <c r="I484" s="591" t="str">
        <f>IF($F484="","",IF('TRECHO(S) A IMPRIMIR'!$B$1= 1, SUM(Q484, T484, W484, Z484), IF('TRECHO(S) A IMPRIMIR'!$B$1= 2, T484, IF('TRECHO(S) A IMPRIMIR'!$B$1= 3, W484, 0))))</f>
        <v/>
      </c>
      <c r="J484" s="592" t="s">
        <v>21</v>
      </c>
      <c r="K484" s="593" t="str">
        <f t="shared" si="76"/>
        <v/>
      </c>
      <c r="L484" s="592" t="str">
        <f t="shared" si="77"/>
        <v/>
      </c>
      <c r="M484" s="594" t="str">
        <f t="shared" ref="M484:M502" si="80">IF(OR(I484="",L484=""),"",I484*L484)</f>
        <v/>
      </c>
      <c r="N484" s="439"/>
      <c r="O484" s="673"/>
      <c r="P484" s="361"/>
      <c r="Q484" s="441"/>
      <c r="R484" s="485"/>
      <c r="S484" s="442"/>
      <c r="T484" s="441"/>
      <c r="U484" s="485"/>
      <c r="V484" s="442"/>
      <c r="W484" s="578"/>
      <c r="X484" s="485"/>
      <c r="Y484" s="442"/>
      <c r="Z484" s="441"/>
      <c r="AA484" s="485"/>
      <c r="AB484" s="442"/>
      <c r="AC484" s="672"/>
      <c r="AD484" s="441" t="s">
        <v>21</v>
      </c>
      <c r="AE484" s="674" t="s">
        <v>21</v>
      </c>
      <c r="AF484" s="674" t="s">
        <v>21</v>
      </c>
      <c r="AG484" s="674" t="s">
        <v>21</v>
      </c>
      <c r="AH484" s="442" t="s">
        <v>21</v>
      </c>
      <c r="AI484" s="442" t="str">
        <f t="shared" ref="AI484:AI502" si="81">IF(SUM(AD484:AH484)=0,"",M484 - SUM(AD484:AH484))</f>
        <v/>
      </c>
      <c r="AK484" s="3" t="str">
        <f>IF(F484="", " ", VLOOKUP(F484,#REF!, 1, FALSE))</f>
        <v xml:space="preserve"> </v>
      </c>
    </row>
    <row r="485" spans="1:37" ht="60" x14ac:dyDescent="0.25">
      <c r="A485" s="587" t="s">
        <v>2565</v>
      </c>
      <c r="B485" s="369" t="s">
        <v>725</v>
      </c>
      <c r="C485" s="588"/>
      <c r="D485" s="589" t="s">
        <v>4033</v>
      </c>
      <c r="E485" s="44" t="s">
        <v>27</v>
      </c>
      <c r="F485" s="214">
        <v>90100</v>
      </c>
      <c r="G485" s="587" t="s">
        <v>1297</v>
      </c>
      <c r="H485" s="590" t="s">
        <v>44</v>
      </c>
      <c r="I485" s="591">
        <v>719.95</v>
      </c>
      <c r="J485" s="592">
        <v>9.73</v>
      </c>
      <c r="K485" s="593">
        <v>0.2033513845915047</v>
      </c>
      <c r="L485" s="592">
        <v>11.708608972075341</v>
      </c>
      <c r="M485" s="594">
        <v>8429.6130294456416</v>
      </c>
      <c r="N485" s="439"/>
      <c r="O485" s="673"/>
      <c r="P485" s="361"/>
      <c r="Q485" s="441"/>
      <c r="R485" s="485"/>
      <c r="S485" s="442"/>
      <c r="T485" s="441">
        <v>399.3</v>
      </c>
      <c r="U485" s="485">
        <v>1.0923072445820432</v>
      </c>
      <c r="V485" s="442"/>
      <c r="W485" s="578">
        <v>320.64999999999998</v>
      </c>
      <c r="X485" s="485">
        <v>1.0923072445820432</v>
      </c>
      <c r="Y485" s="442"/>
      <c r="Z485" s="441"/>
      <c r="AA485" s="485"/>
      <c r="AB485" s="442"/>
      <c r="AC485" s="672"/>
      <c r="AD485" s="441">
        <v>2798.3196387573921</v>
      </c>
      <c r="AE485" s="674">
        <v>2798.3196387573921</v>
      </c>
      <c r="AF485" s="674">
        <v>2832.9737519308578</v>
      </c>
      <c r="AG485" s="674">
        <v>0</v>
      </c>
      <c r="AH485" s="442">
        <v>0</v>
      </c>
      <c r="AI485" s="442">
        <v>0</v>
      </c>
      <c r="AK485" s="3" t="e">
        <f>IF(F485="", " ", VLOOKUP(F485,#REF!, 1, FALSE))</f>
        <v>#REF!</v>
      </c>
    </row>
    <row r="486" spans="1:37" ht="36" x14ac:dyDescent="0.25">
      <c r="A486" s="587" t="s">
        <v>2566</v>
      </c>
      <c r="B486" s="369" t="s">
        <v>725</v>
      </c>
      <c r="C486" s="588"/>
      <c r="D486" s="589" t="s">
        <v>4034</v>
      </c>
      <c r="E486" s="44" t="s">
        <v>27</v>
      </c>
      <c r="F486" s="214">
        <v>101619</v>
      </c>
      <c r="G486" s="587" t="s">
        <v>1170</v>
      </c>
      <c r="H486" s="590" t="s">
        <v>44</v>
      </c>
      <c r="I486" s="591">
        <v>423.64</v>
      </c>
      <c r="J486" s="592">
        <v>290.8</v>
      </c>
      <c r="K486" s="593">
        <v>0.2033513845915047</v>
      </c>
      <c r="L486" s="592">
        <v>349.93458263920957</v>
      </c>
      <c r="M486" s="594">
        <v>148246.28658927474</v>
      </c>
      <c r="N486" s="439"/>
      <c r="O486" s="673"/>
      <c r="P486" s="361"/>
      <c r="Q486" s="441"/>
      <c r="R486" s="485"/>
      <c r="S486" s="442"/>
      <c r="T486" s="441">
        <v>234.96</v>
      </c>
      <c r="U486" s="485"/>
      <c r="V486" s="442"/>
      <c r="W486" s="578">
        <v>188.68</v>
      </c>
      <c r="X486" s="485"/>
      <c r="Y486" s="442"/>
      <c r="Z486" s="441"/>
      <c r="AA486" s="485"/>
      <c r="AB486" s="442"/>
      <c r="AC486" s="672"/>
      <c r="AD486" s="441">
        <v>45671.887261118034</v>
      </c>
      <c r="AE486" s="674">
        <v>102503.02903887712</v>
      </c>
      <c r="AF486" s="674">
        <v>71.370289279568311</v>
      </c>
      <c r="AG486" s="674">
        <v>0</v>
      </c>
      <c r="AH486" s="442">
        <v>0</v>
      </c>
      <c r="AI486" s="442">
        <v>2.9103830456733704E-11</v>
      </c>
      <c r="AK486" s="3" t="e">
        <f>IF(F486="", " ", VLOOKUP(F486,#REF!, 1, FALSE))</f>
        <v>#REF!</v>
      </c>
    </row>
    <row r="487" spans="1:37" ht="36" x14ac:dyDescent="0.25">
      <c r="A487" s="587" t="s">
        <v>2567</v>
      </c>
      <c r="B487" s="369" t="s">
        <v>25</v>
      </c>
      <c r="C487" s="588"/>
      <c r="D487" s="589" t="s">
        <v>4035</v>
      </c>
      <c r="E487" s="44" t="s">
        <v>27</v>
      </c>
      <c r="F487" s="214">
        <v>100943</v>
      </c>
      <c r="G487" s="587" t="s">
        <v>786</v>
      </c>
      <c r="H487" s="590" t="s">
        <v>42</v>
      </c>
      <c r="I487" s="591">
        <v>786.40660073684194</v>
      </c>
      <c r="J487" s="592">
        <v>3.1</v>
      </c>
      <c r="K487" s="593">
        <v>0.2033513845915047</v>
      </c>
      <c r="L487" s="592">
        <v>3.7303892922336646</v>
      </c>
      <c r="M487" s="594">
        <v>2933.6027627305898</v>
      </c>
      <c r="N487" s="439"/>
      <c r="O487" s="673"/>
      <c r="P487" s="361"/>
      <c r="Q487" s="441"/>
      <c r="R487" s="485"/>
      <c r="S487" s="442"/>
      <c r="T487" s="441">
        <v>436.15828276160988</v>
      </c>
      <c r="U487" s="485"/>
      <c r="V487" s="442">
        <v>1</v>
      </c>
      <c r="W487" s="578">
        <v>350.24831797523211</v>
      </c>
      <c r="X487" s="485"/>
      <c r="Y487" s="442">
        <v>1</v>
      </c>
      <c r="Z487" s="441"/>
      <c r="AA487" s="485"/>
      <c r="AB487" s="442"/>
      <c r="AC487" s="672"/>
      <c r="AD487" s="441">
        <v>208.191163806687</v>
      </c>
      <c r="AE487" s="674">
        <v>1637.1396062980386</v>
      </c>
      <c r="AF487" s="674">
        <v>1088.271992625864</v>
      </c>
      <c r="AG487" s="674">
        <v>0</v>
      </c>
      <c r="AH487" s="442">
        <v>0</v>
      </c>
      <c r="AI487" s="442">
        <v>4.5474735088646412E-13</v>
      </c>
      <c r="AK487" s="3" t="e">
        <f>IF(F487="", " ", VLOOKUP(F487,#REF!, 1, FALSE))</f>
        <v>#REF!</v>
      </c>
    </row>
    <row r="488" spans="1:37" x14ac:dyDescent="0.25">
      <c r="A488" s="587" t="s">
        <v>2568</v>
      </c>
      <c r="B488" s="369"/>
      <c r="C488" s="588"/>
      <c r="D488" s="589" t="s">
        <v>4036</v>
      </c>
      <c r="E488" s="44"/>
      <c r="F488" s="214"/>
      <c r="G488" s="587" t="s">
        <v>2568</v>
      </c>
      <c r="H488" s="590" t="s">
        <v>21</v>
      </c>
      <c r="I488" s="591" t="s">
        <v>21</v>
      </c>
      <c r="J488" s="592" t="s">
        <v>21</v>
      </c>
      <c r="K488" s="593" t="s">
        <v>21</v>
      </c>
      <c r="L488" s="592" t="s">
        <v>21</v>
      </c>
      <c r="M488" s="594" t="s">
        <v>21</v>
      </c>
      <c r="N488" s="439"/>
      <c r="O488" s="673"/>
      <c r="P488" s="361"/>
      <c r="Q488" s="441"/>
      <c r="R488" s="485"/>
      <c r="S488" s="442"/>
      <c r="T488" s="441"/>
      <c r="U488" s="485"/>
      <c r="V488" s="442"/>
      <c r="W488" s="578"/>
      <c r="X488" s="485"/>
      <c r="Y488" s="442"/>
      <c r="Z488" s="441"/>
      <c r="AA488" s="485"/>
      <c r="AB488" s="442"/>
      <c r="AC488" s="672"/>
      <c r="AD488" s="441" t="s">
        <v>21</v>
      </c>
      <c r="AE488" s="674" t="s">
        <v>21</v>
      </c>
      <c r="AF488" s="674" t="s">
        <v>21</v>
      </c>
      <c r="AG488" s="674" t="s">
        <v>21</v>
      </c>
      <c r="AH488" s="442" t="s">
        <v>21</v>
      </c>
      <c r="AI488" s="442" t="s">
        <v>21</v>
      </c>
      <c r="AK488" s="3" t="str">
        <f>IF(F488="", " ", VLOOKUP(F488,#REF!, 1, FALSE))</f>
        <v xml:space="preserve"> </v>
      </c>
    </row>
    <row r="489" spans="1:37" ht="36" x14ac:dyDescent="0.25">
      <c r="A489" s="587" t="s">
        <v>2569</v>
      </c>
      <c r="B489" s="369" t="s">
        <v>39</v>
      </c>
      <c r="C489" s="588"/>
      <c r="D489" s="589" t="s">
        <v>4037</v>
      </c>
      <c r="E489" s="44" t="s">
        <v>27</v>
      </c>
      <c r="F489" s="214">
        <v>97953</v>
      </c>
      <c r="G489" s="587" t="s">
        <v>1289</v>
      </c>
      <c r="H489" s="590" t="s">
        <v>41</v>
      </c>
      <c r="I489" s="591">
        <v>119</v>
      </c>
      <c r="J489" s="592">
        <v>1062.82</v>
      </c>
      <c r="K489" s="593">
        <v>0.2033513845915047</v>
      </c>
      <c r="L489" s="592">
        <v>1278.945918571543</v>
      </c>
      <c r="M489" s="594">
        <v>152194.56431001361</v>
      </c>
      <c r="N489" s="439"/>
      <c r="O489" s="673"/>
      <c r="P489" s="361"/>
      <c r="Q489" s="441"/>
      <c r="R489" s="485"/>
      <c r="S489" s="442"/>
      <c r="T489" s="441">
        <v>66</v>
      </c>
      <c r="U489" s="485"/>
      <c r="V489" s="442"/>
      <c r="W489" s="578">
        <v>53</v>
      </c>
      <c r="X489" s="485"/>
      <c r="Y489" s="442"/>
      <c r="Z489" s="441"/>
      <c r="AA489" s="485"/>
      <c r="AB489" s="442"/>
      <c r="AC489" s="672"/>
      <c r="AD489" s="441">
        <v>34840.271632662458</v>
      </c>
      <c r="AE489" s="674">
        <v>116986.27172340154</v>
      </c>
      <c r="AF489" s="674">
        <v>325.06130951970317</v>
      </c>
      <c r="AG489" s="674">
        <v>0</v>
      </c>
      <c r="AH489" s="442">
        <v>42.959644429916715</v>
      </c>
      <c r="AI489" s="442">
        <v>0</v>
      </c>
      <c r="AK489" s="3" t="e">
        <f>IF(F489="", " ", VLOOKUP(F489,#REF!, 1, FALSE))</f>
        <v>#REF!</v>
      </c>
    </row>
    <row r="490" spans="1:37" ht="24" x14ac:dyDescent="0.25">
      <c r="A490" s="587" t="s">
        <v>2570</v>
      </c>
      <c r="B490" s="369" t="s">
        <v>725</v>
      </c>
      <c r="C490" s="588"/>
      <c r="D490" s="589" t="s">
        <v>4038</v>
      </c>
      <c r="E490" s="44" t="s">
        <v>27</v>
      </c>
      <c r="F490" s="214">
        <v>93382</v>
      </c>
      <c r="G490" s="587" t="s">
        <v>40</v>
      </c>
      <c r="H490" s="590" t="s">
        <v>44</v>
      </c>
      <c r="I490" s="591">
        <v>372.46999999999997</v>
      </c>
      <c r="J490" s="592">
        <v>25.09</v>
      </c>
      <c r="K490" s="593">
        <v>0.2033513845915047</v>
      </c>
      <c r="L490" s="592">
        <v>30.192086239400854</v>
      </c>
      <c r="M490" s="594">
        <v>11245.646361589635</v>
      </c>
      <c r="N490" s="439"/>
      <c r="O490" s="673"/>
      <c r="P490" s="361"/>
      <c r="Q490" s="441"/>
      <c r="R490" s="485"/>
      <c r="S490" s="442"/>
      <c r="T490" s="441">
        <v>206.57999999999998</v>
      </c>
      <c r="U490" s="485"/>
      <c r="V490" s="442"/>
      <c r="W490" s="578">
        <v>165.89</v>
      </c>
      <c r="X490" s="485"/>
      <c r="Y490" s="442"/>
      <c r="Z490" s="441"/>
      <c r="AA490" s="485"/>
      <c r="AB490" s="442"/>
      <c r="AC490" s="672"/>
      <c r="AD490" s="441">
        <v>6705.2558616732149</v>
      </c>
      <c r="AE490" s="674">
        <v>4119.0709471107511</v>
      </c>
      <c r="AF490" s="674">
        <v>421.31955280566984</v>
      </c>
      <c r="AG490" s="674">
        <v>0</v>
      </c>
      <c r="AH490" s="442">
        <v>0</v>
      </c>
      <c r="AI490" s="442">
        <v>0</v>
      </c>
      <c r="AK490" s="3" t="e">
        <f>IF(F490="", " ", VLOOKUP(F490,#REF!, 1, FALSE))</f>
        <v>#REF!</v>
      </c>
    </row>
    <row r="491" spans="1:37" x14ac:dyDescent="0.25">
      <c r="A491" s="587" t="s">
        <v>2576</v>
      </c>
      <c r="B491" s="369"/>
      <c r="C491" s="588"/>
      <c r="D491" s="589" t="s">
        <v>4039</v>
      </c>
      <c r="E491" s="44"/>
      <c r="F491" s="214"/>
      <c r="G491" s="587" t="s">
        <v>2576</v>
      </c>
      <c r="H491" s="590" t="s">
        <v>21</v>
      </c>
      <c r="I491" s="591" t="s">
        <v>21</v>
      </c>
      <c r="J491" s="592" t="s">
        <v>21</v>
      </c>
      <c r="K491" s="593" t="s">
        <v>21</v>
      </c>
      <c r="L491" s="592" t="s">
        <v>21</v>
      </c>
      <c r="M491" s="594" t="s">
        <v>21</v>
      </c>
      <c r="N491" s="439"/>
      <c r="O491" s="673"/>
      <c r="P491" s="361"/>
      <c r="Q491" s="441"/>
      <c r="R491" s="485"/>
      <c r="S491" s="442"/>
      <c r="T491" s="441"/>
      <c r="U491" s="485"/>
      <c r="V491" s="442"/>
      <c r="W491" s="578"/>
      <c r="X491" s="485"/>
      <c r="Y491" s="442"/>
      <c r="Z491" s="441"/>
      <c r="AA491" s="485"/>
      <c r="AB491" s="442"/>
      <c r="AC491" s="672"/>
      <c r="AD491" s="441" t="s">
        <v>21</v>
      </c>
      <c r="AE491" s="674" t="s">
        <v>21</v>
      </c>
      <c r="AF491" s="674" t="s">
        <v>21</v>
      </c>
      <c r="AG491" s="674" t="s">
        <v>21</v>
      </c>
      <c r="AH491" s="442" t="s">
        <v>21</v>
      </c>
      <c r="AI491" s="442" t="s">
        <v>21</v>
      </c>
      <c r="AK491" s="3" t="str">
        <f>IF(F491="", " ", VLOOKUP(F491,#REF!, 1, FALSE))</f>
        <v xml:space="preserve"> </v>
      </c>
    </row>
    <row r="492" spans="1:37" x14ac:dyDescent="0.25">
      <c r="A492" s="587" t="s">
        <v>2577</v>
      </c>
      <c r="B492" s="369" t="s">
        <v>26</v>
      </c>
      <c r="C492" s="588"/>
      <c r="D492" s="589" t="s">
        <v>4040</v>
      </c>
      <c r="E492" s="44" t="s">
        <v>138</v>
      </c>
      <c r="F492" s="214" t="s">
        <v>2333</v>
      </c>
      <c r="G492" s="587" t="s">
        <v>2351</v>
      </c>
      <c r="H492" s="590" t="s">
        <v>22</v>
      </c>
      <c r="I492" s="591">
        <v>714</v>
      </c>
      <c r="J492" s="592">
        <v>48.144249999999992</v>
      </c>
      <c r="K492" s="593">
        <v>0.11096635744680849</v>
      </c>
      <c r="L492" s="592">
        <v>53.486642054508501</v>
      </c>
      <c r="M492" s="594">
        <v>38189.462426919068</v>
      </c>
      <c r="N492" s="439"/>
      <c r="O492" s="673"/>
      <c r="P492" s="361"/>
      <c r="Q492" s="441"/>
      <c r="R492" s="485"/>
      <c r="S492" s="442"/>
      <c r="T492" s="441">
        <v>396</v>
      </c>
      <c r="U492" s="485"/>
      <c r="V492" s="442"/>
      <c r="W492" s="578">
        <v>318</v>
      </c>
      <c r="X492" s="485"/>
      <c r="Y492" s="442"/>
      <c r="Z492" s="441"/>
      <c r="AA492" s="485"/>
      <c r="AB492" s="442"/>
      <c r="AC492" s="672"/>
      <c r="AD492" s="441">
        <v>0</v>
      </c>
      <c r="AE492" s="674">
        <v>38189.462426919068</v>
      </c>
      <c r="AF492" s="674">
        <v>0</v>
      </c>
      <c r="AG492" s="674">
        <v>0</v>
      </c>
      <c r="AH492" s="442">
        <v>0</v>
      </c>
      <c r="AI492" s="442">
        <v>0</v>
      </c>
      <c r="AK492" s="3" t="e">
        <f>IF(F492="", " ", VLOOKUP(F492,#REF!, 1, FALSE))</f>
        <v>#REF!</v>
      </c>
    </row>
    <row r="493" spans="1:37" ht="60" x14ac:dyDescent="0.25">
      <c r="A493" s="587" t="s">
        <v>1111</v>
      </c>
      <c r="B493" s="369" t="s">
        <v>725</v>
      </c>
      <c r="C493" s="588"/>
      <c r="D493" s="589" t="s">
        <v>4041</v>
      </c>
      <c r="E493" s="44" t="s">
        <v>27</v>
      </c>
      <c r="F493" s="214">
        <v>90100</v>
      </c>
      <c r="G493" s="587" t="s">
        <v>1297</v>
      </c>
      <c r="H493" s="590" t="s">
        <v>44</v>
      </c>
      <c r="I493" s="591">
        <v>606.89999999999986</v>
      </c>
      <c r="J493" s="592">
        <v>9.73</v>
      </c>
      <c r="K493" s="593">
        <v>0.2033513845915047</v>
      </c>
      <c r="L493" s="592">
        <v>11.708608972075341</v>
      </c>
      <c r="M493" s="594">
        <v>7105.9547851525231</v>
      </c>
      <c r="N493" s="439"/>
      <c r="O493" s="673"/>
      <c r="P493" s="361"/>
      <c r="Q493" s="441"/>
      <c r="R493" s="485"/>
      <c r="S493" s="442"/>
      <c r="T493" s="441">
        <v>336.59999999999997</v>
      </c>
      <c r="U493" s="485">
        <v>1.0923072445820432</v>
      </c>
      <c r="V493" s="442"/>
      <c r="W493" s="578">
        <v>270.29999999999995</v>
      </c>
      <c r="X493" s="485">
        <v>1.0923072445820432</v>
      </c>
      <c r="Y493" s="442"/>
      <c r="Z493" s="441"/>
      <c r="AA493" s="485"/>
      <c r="AB493" s="442"/>
      <c r="AC493" s="672"/>
      <c r="AD493" s="441">
        <v>2358.9140756467264</v>
      </c>
      <c r="AE493" s="674">
        <v>2358.9140756467264</v>
      </c>
      <c r="AF493" s="674">
        <v>2388.1266338590699</v>
      </c>
      <c r="AG493" s="674">
        <v>0</v>
      </c>
      <c r="AH493" s="442">
        <v>0</v>
      </c>
      <c r="AI493" s="442">
        <v>9.0949470177292824E-13</v>
      </c>
      <c r="AK493" s="3" t="e">
        <f>IF(F493="", " ", VLOOKUP(F493,#REF!, 1, FALSE))</f>
        <v>#REF!</v>
      </c>
    </row>
    <row r="494" spans="1:37" ht="24" x14ac:dyDescent="0.25">
      <c r="A494" s="587" t="s">
        <v>2571</v>
      </c>
      <c r="B494" s="369" t="s">
        <v>243</v>
      </c>
      <c r="C494" s="588"/>
      <c r="D494" s="589" t="s">
        <v>4042</v>
      </c>
      <c r="E494" s="44" t="s">
        <v>27</v>
      </c>
      <c r="F494" s="214">
        <v>101616</v>
      </c>
      <c r="G494" s="587" t="s">
        <v>1169</v>
      </c>
      <c r="H494" s="590" t="s">
        <v>51</v>
      </c>
      <c r="I494" s="591">
        <v>423.64</v>
      </c>
      <c r="J494" s="592">
        <v>5.27</v>
      </c>
      <c r="K494" s="593">
        <v>0.2033513845915047</v>
      </c>
      <c r="L494" s="592">
        <v>6.3416617967972293</v>
      </c>
      <c r="M494" s="594">
        <v>2686.581603595178</v>
      </c>
      <c r="N494" s="439"/>
      <c r="O494" s="673"/>
      <c r="P494" s="361"/>
      <c r="Q494" s="441"/>
      <c r="R494" s="485"/>
      <c r="S494" s="442"/>
      <c r="T494" s="441">
        <v>234.96</v>
      </c>
      <c r="U494" s="485"/>
      <c r="V494" s="442"/>
      <c r="W494" s="578">
        <v>188.68</v>
      </c>
      <c r="X494" s="485"/>
      <c r="Y494" s="442"/>
      <c r="Z494" s="441"/>
      <c r="AA494" s="485"/>
      <c r="AB494" s="442"/>
      <c r="AC494" s="672"/>
      <c r="AD494" s="441">
        <v>1906.6062993256105</v>
      </c>
      <c r="AE494" s="674">
        <v>779.97530426956803</v>
      </c>
      <c r="AF494" s="674">
        <v>0</v>
      </c>
      <c r="AG494" s="674">
        <v>0</v>
      </c>
      <c r="AH494" s="442">
        <v>0</v>
      </c>
      <c r="AI494" s="442">
        <v>-4.5474735088646412E-13</v>
      </c>
      <c r="AK494" s="3" t="e">
        <f>IF(F494="", " ", VLOOKUP(F494,#REF!, 1, FALSE))</f>
        <v>#REF!</v>
      </c>
    </row>
    <row r="495" spans="1:37" ht="60" x14ac:dyDescent="0.25">
      <c r="A495" s="587" t="s">
        <v>2581</v>
      </c>
      <c r="B495" s="369" t="s">
        <v>26</v>
      </c>
      <c r="C495" s="588"/>
      <c r="D495" s="589" t="s">
        <v>4043</v>
      </c>
      <c r="E495" s="44" t="s">
        <v>27</v>
      </c>
      <c r="F495" s="214">
        <v>92809</v>
      </c>
      <c r="G495" s="587" t="s">
        <v>520</v>
      </c>
      <c r="H495" s="590" t="s">
        <v>22</v>
      </c>
      <c r="I495" s="591">
        <v>714</v>
      </c>
      <c r="J495" s="592">
        <v>39.86</v>
      </c>
      <c r="K495" s="593">
        <v>0.2033513845915047</v>
      </c>
      <c r="L495" s="592">
        <v>47.96558618981738</v>
      </c>
      <c r="M495" s="594">
        <v>34247.42853952961</v>
      </c>
      <c r="N495" s="439"/>
      <c r="O495" s="673"/>
      <c r="P495" s="361"/>
      <c r="Q495" s="441"/>
      <c r="R495" s="485"/>
      <c r="S495" s="442"/>
      <c r="T495" s="441">
        <v>396</v>
      </c>
      <c r="U495" s="485"/>
      <c r="V495" s="442"/>
      <c r="W495" s="578">
        <v>318</v>
      </c>
      <c r="X495" s="485"/>
      <c r="Y495" s="442"/>
      <c r="Z495" s="441"/>
      <c r="AA495" s="485"/>
      <c r="AB495" s="442"/>
      <c r="AC495" s="672"/>
      <c r="AD495" s="441">
        <v>14563.319461741767</v>
      </c>
      <c r="AE495" s="674">
        <v>9906.494005538796</v>
      </c>
      <c r="AF495" s="674">
        <v>9777.6150722490456</v>
      </c>
      <c r="AG495" s="674">
        <v>0</v>
      </c>
      <c r="AH495" s="442">
        <v>0</v>
      </c>
      <c r="AI495" s="442">
        <v>7.2759576141834259E-12</v>
      </c>
      <c r="AK495" s="3" t="e">
        <f>IF(F495="", " ", VLOOKUP(F495,#REF!, 1, FALSE))</f>
        <v>#REF!</v>
      </c>
    </row>
    <row r="496" spans="1:37" ht="24" x14ac:dyDescent="0.25">
      <c r="A496" s="587" t="s">
        <v>2579</v>
      </c>
      <c r="B496" s="369" t="s">
        <v>28</v>
      </c>
      <c r="C496" s="588"/>
      <c r="D496" s="589" t="s">
        <v>4044</v>
      </c>
      <c r="E496" s="44" t="s">
        <v>27</v>
      </c>
      <c r="F496" s="214">
        <v>93382</v>
      </c>
      <c r="G496" s="587" t="s">
        <v>40</v>
      </c>
      <c r="H496" s="590" t="s">
        <v>44</v>
      </c>
      <c r="I496" s="591">
        <v>208.25</v>
      </c>
      <c r="J496" s="592">
        <v>25.09</v>
      </c>
      <c r="K496" s="593">
        <v>0.2033513845915047</v>
      </c>
      <c r="L496" s="592">
        <v>30.192086239400854</v>
      </c>
      <c r="M496" s="594">
        <v>6287.5019593552279</v>
      </c>
      <c r="N496" s="439"/>
      <c r="O496" s="673"/>
      <c r="P496" s="361"/>
      <c r="Q496" s="441"/>
      <c r="R496" s="485"/>
      <c r="S496" s="442"/>
      <c r="T496" s="441">
        <v>115.5</v>
      </c>
      <c r="U496" s="485"/>
      <c r="V496" s="442"/>
      <c r="W496" s="578">
        <v>92.75</v>
      </c>
      <c r="X496" s="485"/>
      <c r="Y496" s="442"/>
      <c r="Z496" s="441"/>
      <c r="AA496" s="485"/>
      <c r="AB496" s="442"/>
      <c r="AC496" s="672"/>
      <c r="AD496" s="441">
        <v>3748.9449705840657</v>
      </c>
      <c r="AE496" s="674">
        <v>2302.9949384804518</v>
      </c>
      <c r="AF496" s="674">
        <v>235.56205029071</v>
      </c>
      <c r="AG496" s="674">
        <v>0</v>
      </c>
      <c r="AH496" s="442">
        <v>0</v>
      </c>
      <c r="AI496" s="442">
        <v>0</v>
      </c>
      <c r="AK496" s="3" t="e">
        <f>IF(F496="", " ", VLOOKUP(F496,#REF!, 1, FALSE))</f>
        <v>#REF!</v>
      </c>
    </row>
    <row r="497" spans="1:37" ht="72" x14ac:dyDescent="0.25">
      <c r="A497" s="587" t="s">
        <v>2580</v>
      </c>
      <c r="B497" s="369" t="s">
        <v>28</v>
      </c>
      <c r="C497" s="588"/>
      <c r="D497" s="589" t="s">
        <v>4045</v>
      </c>
      <c r="E497" s="44" t="s">
        <v>27</v>
      </c>
      <c r="F497" s="214">
        <v>93371</v>
      </c>
      <c r="G497" s="587" t="s">
        <v>632</v>
      </c>
      <c r="H497" s="590" t="s">
        <v>44</v>
      </c>
      <c r="I497" s="591">
        <v>221.34</v>
      </c>
      <c r="J497" s="592">
        <v>7.32</v>
      </c>
      <c r="K497" s="593">
        <v>0.2033513845915047</v>
      </c>
      <c r="L497" s="592">
        <v>8.8085321352098145</v>
      </c>
      <c r="M497" s="594">
        <v>1949.6805028073404</v>
      </c>
      <c r="N497" s="439"/>
      <c r="O497" s="673"/>
      <c r="P497" s="361"/>
      <c r="Q497" s="441"/>
      <c r="R497" s="485"/>
      <c r="S497" s="442"/>
      <c r="T497" s="441">
        <v>122.76</v>
      </c>
      <c r="U497" s="485"/>
      <c r="V497" s="442"/>
      <c r="W497" s="578">
        <v>98.58</v>
      </c>
      <c r="X497" s="485"/>
      <c r="Y497" s="442"/>
      <c r="Z497" s="441"/>
      <c r="AA497" s="485"/>
      <c r="AB497" s="442"/>
      <c r="AC497" s="672"/>
      <c r="AD497" s="441">
        <v>431.48666865408353</v>
      </c>
      <c r="AE497" s="674">
        <v>665.87448866370914</v>
      </c>
      <c r="AF497" s="674">
        <v>852.31934548954769</v>
      </c>
      <c r="AG497" s="674">
        <v>0</v>
      </c>
      <c r="AH497" s="442">
        <v>0</v>
      </c>
      <c r="AI497" s="442">
        <v>0</v>
      </c>
      <c r="AK497" s="3" t="e">
        <f>IF(F497="", " ", VLOOKUP(F497,#REF!, 1, FALSE))</f>
        <v>#REF!</v>
      </c>
    </row>
    <row r="498" spans="1:37" ht="24" x14ac:dyDescent="0.25">
      <c r="A498" s="1708" t="s">
        <v>3763</v>
      </c>
      <c r="B498" s="369"/>
      <c r="C498" s="588"/>
      <c r="D498" s="589" t="s">
        <v>4046</v>
      </c>
      <c r="E498" s="44"/>
      <c r="F498" s="214"/>
      <c r="G498" s="587" t="s">
        <v>3763</v>
      </c>
      <c r="H498" s="590" t="s">
        <v>21</v>
      </c>
      <c r="I498" s="591" t="str">
        <f>IF($F498="","",IF('TRECHO(S) A IMPRIMIR'!$B$1= 1, SUM(Q498, T498, W498, Z498), IF('TRECHO(S) A IMPRIMIR'!$B$1= 2, T498, IF('TRECHO(S) A IMPRIMIR'!$B$1= 3, W498, 0))))</f>
        <v/>
      </c>
      <c r="J498" s="592" t="s">
        <v>21</v>
      </c>
      <c r="K498" s="593" t="str">
        <f t="shared" si="76"/>
        <v/>
      </c>
      <c r="L498" s="592" t="str">
        <f t="shared" si="77"/>
        <v/>
      </c>
      <c r="M498" s="594" t="str">
        <f t="shared" si="80"/>
        <v/>
      </c>
      <c r="N498" s="439"/>
      <c r="O498" s="673"/>
      <c r="P498" s="361"/>
      <c r="Q498" s="441"/>
      <c r="R498" s="485"/>
      <c r="S498" s="442"/>
      <c r="T498" s="441"/>
      <c r="U498" s="485"/>
      <c r="V498" s="442"/>
      <c r="W498" s="578"/>
      <c r="X498" s="485"/>
      <c r="Y498" s="442"/>
      <c r="Z498" s="441"/>
      <c r="AA498" s="485"/>
      <c r="AB498" s="442"/>
      <c r="AC498" s="672"/>
      <c r="AD498" s="441" t="s">
        <v>21</v>
      </c>
      <c r="AE498" s="674" t="s">
        <v>21</v>
      </c>
      <c r="AF498" s="674" t="s">
        <v>21</v>
      </c>
      <c r="AG498" s="674" t="s">
        <v>21</v>
      </c>
      <c r="AH498" s="442" t="s">
        <v>21</v>
      </c>
      <c r="AI498" s="442" t="str">
        <f t="shared" si="81"/>
        <v/>
      </c>
      <c r="AK498" s="3" t="str">
        <f>IF(F498="", " ", VLOOKUP(F498,#REF!, 1, FALSE))</f>
        <v xml:space="preserve"> </v>
      </c>
    </row>
    <row r="499" spans="1:37" ht="48" x14ac:dyDescent="0.25">
      <c r="A499" s="587" t="s">
        <v>2578</v>
      </c>
      <c r="B499" s="369" t="s">
        <v>23</v>
      </c>
      <c r="C499" s="588"/>
      <c r="D499" s="589" t="s">
        <v>4047</v>
      </c>
      <c r="E499" s="44" t="s">
        <v>27</v>
      </c>
      <c r="F499" s="214">
        <v>100995</v>
      </c>
      <c r="G499" s="587" t="s">
        <v>773</v>
      </c>
      <c r="H499" s="590" t="s">
        <v>55</v>
      </c>
      <c r="I499" s="591">
        <v>573.23191888421047</v>
      </c>
      <c r="J499" s="592">
        <v>3.11</v>
      </c>
      <c r="K499" s="593">
        <v>0.2033513845915047</v>
      </c>
      <c r="L499" s="592">
        <v>3.7424228060795794</v>
      </c>
      <c r="M499" s="594">
        <v>2145.2762064050289</v>
      </c>
      <c r="N499" s="439"/>
      <c r="O499" s="673"/>
      <c r="P499" s="361"/>
      <c r="Q499" s="441"/>
      <c r="R499" s="485"/>
      <c r="S499" s="442"/>
      <c r="T499" s="441">
        <v>317.92694660804949</v>
      </c>
      <c r="U499" s="485"/>
      <c r="V499" s="442"/>
      <c r="W499" s="578">
        <v>255.30497227616092</v>
      </c>
      <c r="X499" s="485"/>
      <c r="Y499" s="442"/>
      <c r="Z499" s="441"/>
      <c r="AA499" s="485"/>
      <c r="AB499" s="442"/>
      <c r="AC499" s="672"/>
      <c r="AD499" s="441">
        <v>213.83782121722152</v>
      </c>
      <c r="AE499" s="674">
        <v>1007.1071579907854</v>
      </c>
      <c r="AF499" s="674">
        <v>924.33122719702214</v>
      </c>
      <c r="AG499" s="674">
        <v>0</v>
      </c>
      <c r="AH499" s="442">
        <v>0</v>
      </c>
      <c r="AI499" s="442">
        <v>0</v>
      </c>
      <c r="AK499" s="3" t="e">
        <f>IF(F499="", " ", VLOOKUP(F499,#REF!, 1, FALSE))</f>
        <v>#REF!</v>
      </c>
    </row>
    <row r="500" spans="1:37" ht="36" x14ac:dyDescent="0.25">
      <c r="A500" s="587" t="s">
        <v>1851</v>
      </c>
      <c r="B500" s="369" t="s">
        <v>25</v>
      </c>
      <c r="C500" s="588"/>
      <c r="D500" s="589" t="s">
        <v>4048</v>
      </c>
      <c r="E500" s="44" t="s">
        <v>27</v>
      </c>
      <c r="F500" s="214">
        <v>95879</v>
      </c>
      <c r="G500" s="587" t="s">
        <v>789</v>
      </c>
      <c r="H500" s="590" t="s">
        <v>42</v>
      </c>
      <c r="I500" s="591">
        <v>10068.168350083095</v>
      </c>
      <c r="J500" s="592">
        <v>1.04</v>
      </c>
      <c r="K500" s="593">
        <v>0.2033513845915047</v>
      </c>
      <c r="L500" s="592">
        <v>1.2514854399751649</v>
      </c>
      <c r="M500" s="594">
        <v>12600.166097347772</v>
      </c>
      <c r="N500" s="439"/>
      <c r="O500" s="673"/>
      <c r="P500" s="361"/>
      <c r="Q500" s="441"/>
      <c r="R500" s="485"/>
      <c r="S500" s="442"/>
      <c r="T500" s="441">
        <v>5447.1483518845807</v>
      </c>
      <c r="U500" s="485"/>
      <c r="V500" s="442">
        <v>17.133333333333333</v>
      </c>
      <c r="W500" s="578">
        <v>4621.0199981985133</v>
      </c>
      <c r="X500" s="485"/>
      <c r="Y500" s="442">
        <v>18.100000000000001</v>
      </c>
      <c r="Z500" s="441"/>
      <c r="AA500" s="485"/>
      <c r="AB500" s="442"/>
      <c r="AC500" s="672"/>
      <c r="AD500" s="441">
        <v>848.08810270610013</v>
      </c>
      <c r="AE500" s="674">
        <v>7269.3265946237152</v>
      </c>
      <c r="AF500" s="674">
        <v>4482.7514000179572</v>
      </c>
      <c r="AG500" s="674">
        <v>0</v>
      </c>
      <c r="AH500" s="442">
        <v>0</v>
      </c>
      <c r="AI500" s="442">
        <v>-1.8189894035458565E-12</v>
      </c>
      <c r="AK500" s="3" t="e">
        <f>IF(F500="", " ", VLOOKUP(F500,#REF!, 1, FALSE))</f>
        <v>#REF!</v>
      </c>
    </row>
    <row r="501" spans="1:37" ht="36" hidden="1" x14ac:dyDescent="0.25">
      <c r="A501" s="587" t="s">
        <v>1976</v>
      </c>
      <c r="B501" s="369" t="s">
        <v>25</v>
      </c>
      <c r="C501" s="588"/>
      <c r="D501" s="589" t="s">
        <v>4049</v>
      </c>
      <c r="E501" s="44" t="s">
        <v>27</v>
      </c>
      <c r="F501" s="214">
        <v>93599</v>
      </c>
      <c r="G501" s="587" t="s">
        <v>788</v>
      </c>
      <c r="H501" s="590" t="s">
        <v>42</v>
      </c>
      <c r="I501" s="591">
        <f>IF($F501="","",IF('TRECHO(S) A IMPRIMIR'!$B$1= 1, SUM(Q501, T501, W501, Z501), IF('TRECHO(S) A IMPRIMIR'!$B$1= 2, T501, IF('TRECHO(S) A IMPRIMIR'!$B$1= 3, W501, 0))))</f>
        <v>0</v>
      </c>
      <c r="J501" s="592">
        <v>0.41</v>
      </c>
      <c r="K501" s="593">
        <f t="shared" si="76"/>
        <v>0.2033513845915047</v>
      </c>
      <c r="L501" s="592">
        <f t="shared" si="77"/>
        <v>0.4933740676825169</v>
      </c>
      <c r="M501" s="594">
        <f t="shared" si="80"/>
        <v>0</v>
      </c>
      <c r="N501" s="439"/>
      <c r="O501" s="673"/>
      <c r="P501" s="361"/>
      <c r="Q501" s="441"/>
      <c r="R501" s="485"/>
      <c r="S501" s="442"/>
      <c r="T501" s="441">
        <f>T499 * V501</f>
        <v>0</v>
      </c>
      <c r="U501" s="485"/>
      <c r="V501" s="442">
        <f>IF('MLQ-DMT-TR1'!$E$15 &gt; 30, 'MLQ-DMT-TR1'!$E$15 - 30, 0)</f>
        <v>0</v>
      </c>
      <c r="W501" s="578">
        <f>W499 * Y501</f>
        <v>0</v>
      </c>
      <c r="X501" s="485"/>
      <c r="Y501" s="442">
        <f>IF('MLQ-DMT-TR3'!$E$15 &gt; 30, 'MLQ-DMT-TR3'!$E$15 - 30, 0)</f>
        <v>0</v>
      </c>
      <c r="Z501" s="441"/>
      <c r="AA501" s="485"/>
      <c r="AB501" s="442"/>
      <c r="AC501" s="672"/>
      <c r="AD501" s="441" t="s">
        <v>21</v>
      </c>
      <c r="AE501" s="674" t="s">
        <v>21</v>
      </c>
      <c r="AF501" s="674" t="s">
        <v>21</v>
      </c>
      <c r="AG501" s="674" t="s">
        <v>21</v>
      </c>
      <c r="AH501" s="442" t="s">
        <v>21</v>
      </c>
      <c r="AI501" s="442" t="str">
        <f t="shared" si="81"/>
        <v/>
      </c>
      <c r="AK501" s="3" t="e">
        <f>IF(F501="", " ", VLOOKUP(F501,#REF!, 1, FALSE))</f>
        <v>#REF!</v>
      </c>
    </row>
    <row r="502" spans="1:37" x14ac:dyDescent="0.25">
      <c r="A502" s="587"/>
      <c r="B502" s="369"/>
      <c r="C502" s="588"/>
      <c r="D502" s="589"/>
      <c r="E502" s="44"/>
      <c r="F502" s="214"/>
      <c r="G502" s="587" t="s">
        <v>21</v>
      </c>
      <c r="H502" s="590" t="s">
        <v>21</v>
      </c>
      <c r="I502" s="591" t="s">
        <v>21</v>
      </c>
      <c r="J502" s="592" t="s">
        <v>21</v>
      </c>
      <c r="K502" s="593" t="s">
        <v>21</v>
      </c>
      <c r="L502" s="592" t="s">
        <v>21</v>
      </c>
      <c r="M502" s="594" t="s">
        <v>21</v>
      </c>
      <c r="N502" s="439"/>
      <c r="O502" s="673"/>
      <c r="P502" s="361"/>
      <c r="Q502" s="441"/>
      <c r="R502" s="485"/>
      <c r="S502" s="442"/>
      <c r="T502" s="441"/>
      <c r="U502" s="485"/>
      <c r="V502" s="442"/>
      <c r="W502" s="578"/>
      <c r="X502" s="485"/>
      <c r="Y502" s="442"/>
      <c r="Z502" s="441"/>
      <c r="AA502" s="485"/>
      <c r="AB502" s="442"/>
      <c r="AC502" s="672"/>
      <c r="AD502" s="441" t="s">
        <v>21</v>
      </c>
      <c r="AE502" s="674" t="s">
        <v>21</v>
      </c>
      <c r="AF502" s="674" t="s">
        <v>21</v>
      </c>
      <c r="AG502" s="674" t="s">
        <v>21</v>
      </c>
      <c r="AH502" s="442" t="s">
        <v>21</v>
      </c>
      <c r="AI502" s="442" t="str">
        <f t="shared" si="81"/>
        <v/>
      </c>
      <c r="AK502" s="3" t="str">
        <f>IF(F502="", " ", VLOOKUP(F502,#REF!, 1, FALSE))</f>
        <v xml:space="preserve"> </v>
      </c>
    </row>
    <row r="503" spans="1:37" ht="36" x14ac:dyDescent="0.25">
      <c r="A503" s="587" t="s">
        <v>2595</v>
      </c>
      <c r="B503" s="369"/>
      <c r="C503" s="588"/>
      <c r="D503" s="589" t="s">
        <v>1897</v>
      </c>
      <c r="E503" s="44"/>
      <c r="F503" s="214"/>
      <c r="G503" s="587" t="s">
        <v>2595</v>
      </c>
      <c r="H503" s="590" t="s">
        <v>21</v>
      </c>
      <c r="I503" s="591" t="s">
        <v>21</v>
      </c>
      <c r="J503" s="592" t="s">
        <v>21</v>
      </c>
      <c r="K503" s="593" t="s">
        <v>21</v>
      </c>
      <c r="L503" s="592" t="s">
        <v>21</v>
      </c>
      <c r="M503" s="594">
        <v>10840097.117488114</v>
      </c>
      <c r="N503" s="439"/>
      <c r="O503" s="673"/>
      <c r="P503" s="361"/>
      <c r="Q503" s="441"/>
      <c r="R503" s="485"/>
      <c r="S503" s="442"/>
      <c r="T503" s="441"/>
      <c r="U503" s="485"/>
      <c r="V503" s="442"/>
      <c r="W503" s="578"/>
      <c r="X503" s="485"/>
      <c r="Y503" s="442"/>
      <c r="Z503" s="441"/>
      <c r="AA503" s="485"/>
      <c r="AB503" s="442"/>
      <c r="AC503" s="672"/>
      <c r="AD503" s="441" t="s">
        <v>21</v>
      </c>
      <c r="AE503" s="674" t="s">
        <v>21</v>
      </c>
      <c r="AF503" s="674" t="s">
        <v>21</v>
      </c>
      <c r="AG503" s="674" t="s">
        <v>21</v>
      </c>
      <c r="AH503" s="442" t="s">
        <v>21</v>
      </c>
      <c r="AI503" s="442" t="str">
        <f t="shared" si="72"/>
        <v/>
      </c>
      <c r="AK503" s="3" t="str">
        <f>IF(F503="", " ", VLOOKUP(F503,#REF!, 1, FALSE))</f>
        <v xml:space="preserve"> </v>
      </c>
    </row>
    <row r="504" spans="1:37" x14ac:dyDescent="0.25">
      <c r="A504" s="587" t="s">
        <v>2636</v>
      </c>
      <c r="B504" s="369"/>
      <c r="C504" s="588"/>
      <c r="D504" s="589" t="s">
        <v>1898</v>
      </c>
      <c r="E504" s="44"/>
      <c r="F504" s="214"/>
      <c r="G504" s="587" t="s">
        <v>2636</v>
      </c>
      <c r="H504" s="590" t="s">
        <v>21</v>
      </c>
      <c r="I504" s="591" t="s">
        <v>21</v>
      </c>
      <c r="J504" s="592" t="s">
        <v>21</v>
      </c>
      <c r="K504" s="593" t="s">
        <v>21</v>
      </c>
      <c r="L504" s="592" t="s">
        <v>21</v>
      </c>
      <c r="M504" s="594">
        <v>499880.78219921532</v>
      </c>
      <c r="N504" s="439"/>
      <c r="O504" s="673"/>
      <c r="P504" s="361"/>
      <c r="Q504" s="441"/>
      <c r="R504" s="485"/>
      <c r="S504" s="442"/>
      <c r="T504" s="441"/>
      <c r="U504" s="485"/>
      <c r="V504" s="442"/>
      <c r="W504" s="578"/>
      <c r="X504" s="485"/>
      <c r="Y504" s="442"/>
      <c r="Z504" s="441"/>
      <c r="AA504" s="485"/>
      <c r="AB504" s="442"/>
      <c r="AC504" s="672"/>
      <c r="AD504" s="441" t="s">
        <v>21</v>
      </c>
      <c r="AE504" s="674" t="s">
        <v>21</v>
      </c>
      <c r="AF504" s="674" t="s">
        <v>21</v>
      </c>
      <c r="AG504" s="674" t="s">
        <v>21</v>
      </c>
      <c r="AH504" s="442" t="s">
        <v>21</v>
      </c>
      <c r="AI504" s="442" t="str">
        <f t="shared" si="72"/>
        <v/>
      </c>
      <c r="AK504" s="3" t="str">
        <f>IF(F504="", " ", VLOOKUP(F504,#REF!, 1, FALSE))</f>
        <v xml:space="preserve"> </v>
      </c>
    </row>
    <row r="505" spans="1:37" ht="36" x14ac:dyDescent="0.25">
      <c r="A505" s="587" t="s">
        <v>1542</v>
      </c>
      <c r="B505" s="369" t="s">
        <v>20</v>
      </c>
      <c r="C505" s="588"/>
      <c r="D505" s="589" t="s">
        <v>2596</v>
      </c>
      <c r="E505" s="44" t="s">
        <v>27</v>
      </c>
      <c r="F505" s="214">
        <v>98525</v>
      </c>
      <c r="G505" s="587" t="s">
        <v>597</v>
      </c>
      <c r="H505" s="590" t="s">
        <v>51</v>
      </c>
      <c r="I505" s="591">
        <v>61586.407000000007</v>
      </c>
      <c r="J505" s="592">
        <v>0.3</v>
      </c>
      <c r="K505" s="593">
        <v>0.2033513845915047</v>
      </c>
      <c r="L505" s="592">
        <v>0.3610054153774514</v>
      </c>
      <c r="M505" s="594">
        <v>22233.026440639784</v>
      </c>
      <c r="N505" s="439"/>
      <c r="O505" s="675">
        <v>0.1</v>
      </c>
      <c r="P505" s="361"/>
      <c r="Q505" s="441"/>
      <c r="R505" s="485"/>
      <c r="S505" s="442"/>
      <c r="T505" s="441">
        <v>37727.886000000013</v>
      </c>
      <c r="U505" s="485"/>
      <c r="V505" s="442"/>
      <c r="W505" s="578">
        <v>23858.520999999997</v>
      </c>
      <c r="X505" s="485"/>
      <c r="Y505" s="442"/>
      <c r="Z505" s="441"/>
      <c r="AA505" s="485"/>
      <c r="AB505" s="442"/>
      <c r="AC505" s="672"/>
      <c r="AD505" s="441">
        <v>11857.614101674551</v>
      </c>
      <c r="AE505" s="674">
        <v>1482.2017627093189</v>
      </c>
      <c r="AF505" s="674">
        <v>8893.2105762559131</v>
      </c>
      <c r="AG505" s="674">
        <v>0</v>
      </c>
      <c r="AH505" s="442">
        <v>0</v>
      </c>
      <c r="AI505" s="442">
        <v>0</v>
      </c>
      <c r="AK505" s="3" t="e">
        <f>IF(F505="", " ", VLOOKUP(F505,#REF!, 1, FALSE))</f>
        <v>#REF!</v>
      </c>
    </row>
    <row r="506" spans="1:37" ht="48" x14ac:dyDescent="0.25">
      <c r="A506" s="587" t="s">
        <v>1052</v>
      </c>
      <c r="B506" s="369" t="s">
        <v>23</v>
      </c>
      <c r="C506" s="588"/>
      <c r="D506" s="589" t="s">
        <v>2597</v>
      </c>
      <c r="E506" s="44" t="s">
        <v>27</v>
      </c>
      <c r="F506" s="214">
        <v>100999</v>
      </c>
      <c r="G506" s="587" t="s">
        <v>769</v>
      </c>
      <c r="H506" s="590" t="s">
        <v>55</v>
      </c>
      <c r="I506" s="591">
        <v>9237.9610500000017</v>
      </c>
      <c r="J506" s="592">
        <v>4.24</v>
      </c>
      <c r="K506" s="593">
        <v>0.2033513845915047</v>
      </c>
      <c r="L506" s="592">
        <v>5.1022098706679806</v>
      </c>
      <c r="M506" s="594">
        <v>47134.016054156353</v>
      </c>
      <c r="N506" s="439"/>
      <c r="O506" s="673"/>
      <c r="P506" s="361"/>
      <c r="Q506" s="441">
        <v>0</v>
      </c>
      <c r="R506" s="485">
        <v>1.5</v>
      </c>
      <c r="S506" s="442"/>
      <c r="T506" s="441">
        <v>5659.1829000000025</v>
      </c>
      <c r="U506" s="485">
        <v>1.5</v>
      </c>
      <c r="V506" s="442"/>
      <c r="W506" s="441">
        <v>3578.7781499999992</v>
      </c>
      <c r="X506" s="485">
        <v>1.5</v>
      </c>
      <c r="Y506" s="442"/>
      <c r="Z506" s="441">
        <v>0</v>
      </c>
      <c r="AA506" s="485">
        <v>1.5</v>
      </c>
      <c r="AB506" s="442"/>
      <c r="AC506" s="672"/>
      <c r="AD506" s="441">
        <v>5002.4309491439517</v>
      </c>
      <c r="AE506" s="674">
        <v>21566.035647420591</v>
      </c>
      <c r="AF506" s="674">
        <v>20565.549457591806</v>
      </c>
      <c r="AG506" s="674">
        <v>0</v>
      </c>
      <c r="AH506" s="442">
        <v>0</v>
      </c>
      <c r="AI506" s="442">
        <v>0</v>
      </c>
      <c r="AK506" s="3" t="e">
        <f>IF(F506="", " ", VLOOKUP(F506,#REF!, 1, FALSE))</f>
        <v>#REF!</v>
      </c>
    </row>
    <row r="507" spans="1:37" ht="36" x14ac:dyDescent="0.25">
      <c r="A507" s="587" t="s">
        <v>1543</v>
      </c>
      <c r="B507" s="369" t="s">
        <v>25</v>
      </c>
      <c r="C507" s="588"/>
      <c r="D507" s="589" t="s">
        <v>2598</v>
      </c>
      <c r="E507" s="44" t="s">
        <v>27</v>
      </c>
      <c r="F507" s="214">
        <v>95879</v>
      </c>
      <c r="G507" s="587" t="s">
        <v>789</v>
      </c>
      <c r="H507" s="590" t="s">
        <v>42</v>
      </c>
      <c r="I507" s="591">
        <v>203235.14310000004</v>
      </c>
      <c r="J507" s="592">
        <v>1.04</v>
      </c>
      <c r="K507" s="593">
        <v>0.2033513845915047</v>
      </c>
      <c r="L507" s="592">
        <v>1.2514854399751649</v>
      </c>
      <c r="M507" s="594">
        <v>254345.82248091916</v>
      </c>
      <c r="N507" s="439"/>
      <c r="O507" s="673"/>
      <c r="P507" s="361"/>
      <c r="Q507" s="441">
        <v>0</v>
      </c>
      <c r="R507" s="485"/>
      <c r="S507" s="442">
        <v>22</v>
      </c>
      <c r="T507" s="441">
        <v>124502.02380000005</v>
      </c>
      <c r="U507" s="485"/>
      <c r="V507" s="442">
        <v>22</v>
      </c>
      <c r="W507" s="441">
        <v>78733.119299999977</v>
      </c>
      <c r="X507" s="485"/>
      <c r="Y507" s="442">
        <v>22</v>
      </c>
      <c r="Z507" s="441">
        <v>0</v>
      </c>
      <c r="AA507" s="485"/>
      <c r="AB507" s="442">
        <v>22</v>
      </c>
      <c r="AC507" s="672"/>
      <c r="AD507" s="441">
        <v>17119.430359292637</v>
      </c>
      <c r="AE507" s="674">
        <v>146737.97450822257</v>
      </c>
      <c r="AF507" s="674">
        <v>90488.41761340393</v>
      </c>
      <c r="AG507" s="674">
        <v>0</v>
      </c>
      <c r="AH507" s="442">
        <v>0</v>
      </c>
      <c r="AI507" s="442">
        <v>2.9103830456733704E-11</v>
      </c>
      <c r="AK507" s="3" t="e">
        <f>IF(F507="", " ", VLOOKUP(F507,#REF!, 1, FALSE))</f>
        <v>#REF!</v>
      </c>
    </row>
    <row r="508" spans="1:37" ht="36" hidden="1" x14ac:dyDescent="0.25">
      <c r="A508" s="587" t="s">
        <v>1544</v>
      </c>
      <c r="B508" s="369" t="s">
        <v>25</v>
      </c>
      <c r="C508" s="588"/>
      <c r="D508" s="589" t="s">
        <v>2599</v>
      </c>
      <c r="E508" s="44" t="s">
        <v>27</v>
      </c>
      <c r="F508" s="214">
        <v>93599</v>
      </c>
      <c r="G508" s="587" t="s">
        <v>788</v>
      </c>
      <c r="H508" s="590" t="s">
        <v>42</v>
      </c>
      <c r="I508" s="591">
        <f>IF($F508="","",IF('TRECHO(S) A IMPRIMIR'!$B$1= 1, SUM(Q508, T508, W508, Z508), IF('TRECHO(S) A IMPRIMIR'!$B$1= 2, T508, IF('TRECHO(S) A IMPRIMIR'!$B$1= 3, W508, 0))))</f>
        <v>0</v>
      </c>
      <c r="J508" s="592">
        <v>0.41</v>
      </c>
      <c r="K508" s="593">
        <f t="shared" si="76"/>
        <v>0.2033513845915047</v>
      </c>
      <c r="L508" s="592">
        <f t="shared" ref="L505:L513" si="82">IF(J508="","",
  IF(AND(J508&lt;&gt;"",K508=""),J508,J508 * (1 + K508)))</f>
        <v>0.4933740676825169</v>
      </c>
      <c r="M508" s="594">
        <f t="shared" ref="M505:M510" si="83">IF(OR(I508="",L508=""),"",I508*L508)</f>
        <v>0</v>
      </c>
      <c r="N508" s="439"/>
      <c r="O508" s="673"/>
      <c r="P508" s="361"/>
      <c r="Q508" s="441">
        <f>Q506 * S508</f>
        <v>0</v>
      </c>
      <c r="R508" s="485"/>
      <c r="S508" s="442">
        <f>IF('MLQ-DMT-TR1'!$E$7 &gt; 30, 'MLQ-DMT-TR1'!$E$7 - 30, 0)</f>
        <v>0</v>
      </c>
      <c r="T508" s="441">
        <f>T506 * V508</f>
        <v>0</v>
      </c>
      <c r="U508" s="485"/>
      <c r="V508" s="442">
        <f>IF('MLQ-DMT-TR1'!$E$7 &gt; 30, 'MLQ-DMT-TR1'!$E$7 - 30, 0)</f>
        <v>0</v>
      </c>
      <c r="W508" s="441">
        <f>W506 * Y508</f>
        <v>0</v>
      </c>
      <c r="X508" s="485"/>
      <c r="Y508" s="442">
        <f>IF('MLQ-DMT-TR3'!$E$7 &gt; 30, 'MLQ-DMT-TR3'!$E$7 - 30, 0)</f>
        <v>0</v>
      </c>
      <c r="Z508" s="441">
        <f>Z506 * AB508</f>
        <v>0</v>
      </c>
      <c r="AA508" s="485"/>
      <c r="AB508" s="442">
        <f>IF('MLQ-DMT-TR1'!$E$7 &gt; 30, 'MLQ-DMT-TR1'!$E$7 - 30, 0)</f>
        <v>0</v>
      </c>
      <c r="AC508" s="672"/>
      <c r="AD508" s="441" t="s">
        <v>21</v>
      </c>
      <c r="AE508" s="674" t="s">
        <v>21</v>
      </c>
      <c r="AF508" s="674" t="s">
        <v>21</v>
      </c>
      <c r="AG508" s="674" t="s">
        <v>21</v>
      </c>
      <c r="AH508" s="442" t="s">
        <v>21</v>
      </c>
      <c r="AI508" s="442" t="str">
        <f t="shared" ref="AI505:AI513" si="84">IF(SUM(AD508:AH508)=0,"",M508 - SUM(AD508:AH508))</f>
        <v/>
      </c>
      <c r="AK508" s="3" t="e">
        <f>IF(F508="", " ", VLOOKUP(F508,#REF!, 1, FALSE))</f>
        <v>#REF!</v>
      </c>
    </row>
    <row r="509" spans="1:37" ht="24" x14ac:dyDescent="0.25">
      <c r="A509" s="587" t="s">
        <v>1545</v>
      </c>
      <c r="B509" s="369" t="s">
        <v>23</v>
      </c>
      <c r="C509" s="588"/>
      <c r="D509" s="589" t="s">
        <v>2600</v>
      </c>
      <c r="E509" s="44" t="s">
        <v>138</v>
      </c>
      <c r="F509" s="214" t="s">
        <v>3637</v>
      </c>
      <c r="G509" s="587" t="s">
        <v>3640</v>
      </c>
      <c r="H509" s="590" t="s">
        <v>55</v>
      </c>
      <c r="I509" s="591">
        <v>9237.9610500000017</v>
      </c>
      <c r="J509" s="592">
        <v>19.07</v>
      </c>
      <c r="K509" s="593">
        <v>0</v>
      </c>
      <c r="L509" s="592">
        <v>19.07</v>
      </c>
      <c r="M509" s="594">
        <v>176167.91722350003</v>
      </c>
      <c r="N509" s="439"/>
      <c r="O509" s="673"/>
      <c r="P509" s="361"/>
      <c r="Q509" s="441">
        <v>0</v>
      </c>
      <c r="R509" s="485"/>
      <c r="S509" s="442"/>
      <c r="T509" s="441">
        <v>5659.1829000000025</v>
      </c>
      <c r="U509" s="485"/>
      <c r="V509" s="442"/>
      <c r="W509" s="441">
        <v>3578.7781499999992</v>
      </c>
      <c r="X509" s="485"/>
      <c r="Y509" s="442"/>
      <c r="Z509" s="441">
        <v>0</v>
      </c>
      <c r="AA509" s="485"/>
      <c r="AB509" s="442"/>
      <c r="AC509" s="672"/>
      <c r="AD509" s="441">
        <v>0</v>
      </c>
      <c r="AE509" s="674">
        <v>0</v>
      </c>
      <c r="AF509" s="674">
        <v>0</v>
      </c>
      <c r="AG509" s="674">
        <v>176167.91722350003</v>
      </c>
      <c r="AH509" s="442">
        <v>0</v>
      </c>
      <c r="AI509" s="442">
        <v>0</v>
      </c>
      <c r="AK509" s="3" t="e">
        <f>IF(F509="", " ", VLOOKUP(F509,#REF!, 1, FALSE))</f>
        <v>#REF!</v>
      </c>
    </row>
    <row r="510" spans="1:37" x14ac:dyDescent="0.25">
      <c r="A510" s="587"/>
      <c r="B510" s="369"/>
      <c r="C510" s="588"/>
      <c r="D510" s="589"/>
      <c r="E510" s="44"/>
      <c r="F510" s="214"/>
      <c r="G510" s="587" t="s">
        <v>21</v>
      </c>
      <c r="H510" s="590" t="s">
        <v>21</v>
      </c>
      <c r="I510" s="591" t="s">
        <v>21</v>
      </c>
      <c r="J510" s="592" t="s">
        <v>21</v>
      </c>
      <c r="K510" s="593" t="s">
        <v>21</v>
      </c>
      <c r="L510" s="592" t="s">
        <v>21</v>
      </c>
      <c r="M510" s="594" t="s">
        <v>21</v>
      </c>
      <c r="O510" s="673"/>
      <c r="P510" s="361"/>
      <c r="Q510" s="441"/>
      <c r="R510" s="485"/>
      <c r="S510" s="442"/>
      <c r="T510" s="441"/>
      <c r="U510" s="485"/>
      <c r="V510" s="442"/>
      <c r="W510" s="578"/>
      <c r="X510" s="485"/>
      <c r="Y510" s="442"/>
      <c r="Z510" s="441"/>
      <c r="AA510" s="485"/>
      <c r="AB510" s="442"/>
      <c r="AC510" s="672"/>
      <c r="AD510" s="441" t="s">
        <v>21</v>
      </c>
      <c r="AE510" s="674" t="s">
        <v>21</v>
      </c>
      <c r="AF510" s="674" t="s">
        <v>21</v>
      </c>
      <c r="AG510" s="674" t="s">
        <v>21</v>
      </c>
      <c r="AH510" s="442" t="s">
        <v>21</v>
      </c>
      <c r="AI510" s="442" t="s">
        <v>21</v>
      </c>
      <c r="AK510" s="3" t="str">
        <f>IF(F510="", " ", VLOOKUP(F510,#REF!, 1, FALSE))</f>
        <v xml:space="preserve"> </v>
      </c>
    </row>
    <row r="511" spans="1:37" x14ac:dyDescent="0.25">
      <c r="A511" s="587" t="s">
        <v>1855</v>
      </c>
      <c r="B511" s="369"/>
      <c r="C511" s="588"/>
      <c r="D511" s="589" t="s">
        <v>1899</v>
      </c>
      <c r="E511" s="44"/>
      <c r="F511" s="214"/>
      <c r="G511" s="587" t="s">
        <v>1855</v>
      </c>
      <c r="H511" s="590" t="s">
        <v>21</v>
      </c>
      <c r="I511" s="591" t="s">
        <v>21</v>
      </c>
      <c r="J511" s="592" t="s">
        <v>21</v>
      </c>
      <c r="K511" s="593" t="s">
        <v>21</v>
      </c>
      <c r="L511" s="592" t="s">
        <v>21</v>
      </c>
      <c r="M511" s="594">
        <v>64203.092212064636</v>
      </c>
      <c r="O511" s="673"/>
      <c r="P511" s="361"/>
      <c r="Q511" s="441"/>
      <c r="R511" s="485"/>
      <c r="S511" s="442"/>
      <c r="T511" s="441"/>
      <c r="U511" s="485"/>
      <c r="V511" s="442"/>
      <c r="W511" s="578"/>
      <c r="X511" s="485"/>
      <c r="Y511" s="442"/>
      <c r="Z511" s="441"/>
      <c r="AA511" s="485"/>
      <c r="AB511" s="442"/>
      <c r="AC511" s="672"/>
      <c r="AD511" s="441" t="s">
        <v>21</v>
      </c>
      <c r="AE511" s="674" t="s">
        <v>21</v>
      </c>
      <c r="AF511" s="674" t="s">
        <v>21</v>
      </c>
      <c r="AG511" s="674" t="s">
        <v>21</v>
      </c>
      <c r="AH511" s="442" t="s">
        <v>21</v>
      </c>
      <c r="AI511" s="442" t="s">
        <v>21</v>
      </c>
      <c r="AK511" s="3" t="str">
        <f>IF(F511="", " ", VLOOKUP(F511,#REF!, 1, FALSE))</f>
        <v xml:space="preserve"> </v>
      </c>
    </row>
    <row r="512" spans="1:37" x14ac:dyDescent="0.25">
      <c r="A512" s="587" t="s">
        <v>1856</v>
      </c>
      <c r="B512" s="369" t="s">
        <v>26</v>
      </c>
      <c r="C512" s="588"/>
      <c r="D512" s="589" t="s">
        <v>2601</v>
      </c>
      <c r="E512" s="44" t="s">
        <v>27</v>
      </c>
      <c r="F512" s="214">
        <v>99063</v>
      </c>
      <c r="G512" s="587" t="s">
        <v>53</v>
      </c>
      <c r="H512" s="590" t="s">
        <v>22</v>
      </c>
      <c r="I512" s="591">
        <v>11777.83</v>
      </c>
      <c r="J512" s="592">
        <v>4.53</v>
      </c>
      <c r="K512" s="593">
        <v>0.2033513845915047</v>
      </c>
      <c r="L512" s="592">
        <v>5.4511817721995168</v>
      </c>
      <c r="M512" s="594">
        <v>64203.092212064636</v>
      </c>
      <c r="N512" s="439"/>
      <c r="O512" s="673"/>
      <c r="P512" s="361"/>
      <c r="Q512" s="441" t="s">
        <v>21</v>
      </c>
      <c r="R512" s="485"/>
      <c r="S512" s="442"/>
      <c r="T512" s="441">
        <v>7408.92</v>
      </c>
      <c r="U512" s="485"/>
      <c r="V512" s="442"/>
      <c r="W512" s="578">
        <v>4368.91</v>
      </c>
      <c r="X512" s="485"/>
      <c r="Y512" s="442"/>
      <c r="Z512" s="441" t="s">
        <v>21</v>
      </c>
      <c r="AA512" s="485"/>
      <c r="AB512" s="442"/>
      <c r="AC512" s="672"/>
      <c r="AD512" s="441">
        <v>29763.02287976506</v>
      </c>
      <c r="AE512" s="674">
        <v>34440.069332299572</v>
      </c>
      <c r="AF512" s="674">
        <v>0</v>
      </c>
      <c r="AG512" s="674">
        <v>0</v>
      </c>
      <c r="AH512" s="442">
        <v>0</v>
      </c>
      <c r="AI512" s="442">
        <v>7.2759576141834259E-12</v>
      </c>
      <c r="AK512" s="3" t="e">
        <f>IF(F512="", " ", VLOOKUP(F512,#REF!, 1, FALSE))</f>
        <v>#REF!</v>
      </c>
    </row>
    <row r="513" spans="1:37" x14ac:dyDescent="0.25">
      <c r="A513" s="587"/>
      <c r="B513" s="369"/>
      <c r="C513" s="588"/>
      <c r="D513" s="589"/>
      <c r="E513" s="44"/>
      <c r="F513" s="214"/>
      <c r="G513" s="587" t="s">
        <v>21</v>
      </c>
      <c r="H513" s="590" t="s">
        <v>21</v>
      </c>
      <c r="I513" s="591" t="s">
        <v>21</v>
      </c>
      <c r="J513" s="592" t="s">
        <v>21</v>
      </c>
      <c r="K513" s="593" t="s">
        <v>21</v>
      </c>
      <c r="L513" s="592" t="s">
        <v>21</v>
      </c>
      <c r="M513" s="594" t="s">
        <v>21</v>
      </c>
      <c r="N513" s="439"/>
      <c r="O513" s="673"/>
      <c r="P513" s="361"/>
      <c r="Q513" s="441"/>
      <c r="R513" s="485"/>
      <c r="S513" s="442"/>
      <c r="T513" s="441"/>
      <c r="U513" s="485"/>
      <c r="V513" s="442"/>
      <c r="W513" s="578"/>
      <c r="X513" s="485"/>
      <c r="Y513" s="442"/>
      <c r="Z513" s="441"/>
      <c r="AA513" s="485"/>
      <c r="AB513" s="442"/>
      <c r="AC513" s="672"/>
      <c r="AD513" s="441" t="s">
        <v>21</v>
      </c>
      <c r="AE513" s="674" t="s">
        <v>21</v>
      </c>
      <c r="AF513" s="674" t="s">
        <v>21</v>
      </c>
      <c r="AG513" s="674" t="s">
        <v>21</v>
      </c>
      <c r="AH513" s="442" t="s">
        <v>21</v>
      </c>
      <c r="AI513" s="442" t="s">
        <v>21</v>
      </c>
      <c r="AK513" s="3" t="str">
        <f>IF(F513="", " ", VLOOKUP(F513,#REF!, 1, FALSE))</f>
        <v xml:space="preserve"> </v>
      </c>
    </row>
    <row r="514" spans="1:37" x14ac:dyDescent="0.25">
      <c r="A514" s="587" t="s">
        <v>1896</v>
      </c>
      <c r="B514" s="369"/>
      <c r="C514" s="588"/>
      <c r="D514" s="589" t="s">
        <v>2314</v>
      </c>
      <c r="E514" s="44"/>
      <c r="F514" s="214"/>
      <c r="G514" s="587" t="s">
        <v>1896</v>
      </c>
      <c r="H514" s="590" t="s">
        <v>21</v>
      </c>
      <c r="I514" s="591" t="s">
        <v>21</v>
      </c>
      <c r="J514" s="592" t="s">
        <v>21</v>
      </c>
      <c r="K514" s="593" t="s">
        <v>21</v>
      </c>
      <c r="L514" s="592" t="s">
        <v>21</v>
      </c>
      <c r="M514" s="594">
        <v>653018.64344608202</v>
      </c>
      <c r="O514" s="673"/>
      <c r="P514" s="361"/>
      <c r="Q514" s="441"/>
      <c r="R514" s="485"/>
      <c r="S514" s="442"/>
      <c r="T514" s="441"/>
      <c r="U514" s="485"/>
      <c r="V514" s="442"/>
      <c r="W514" s="578"/>
      <c r="X514" s="485"/>
      <c r="Y514" s="442"/>
      <c r="Z514" s="441"/>
      <c r="AA514" s="485"/>
      <c r="AB514" s="442"/>
      <c r="AC514" s="672"/>
      <c r="AD514" s="441" t="s">
        <v>21</v>
      </c>
      <c r="AE514" s="674" t="s">
        <v>21</v>
      </c>
      <c r="AF514" s="674" t="s">
        <v>21</v>
      </c>
      <c r="AG514" s="674" t="s">
        <v>21</v>
      </c>
      <c r="AH514" s="442" t="s">
        <v>21</v>
      </c>
      <c r="AI514" s="442" t="s">
        <v>21</v>
      </c>
      <c r="AK514" s="3" t="str">
        <f>IF(F514="", " ", VLOOKUP(F514,#REF!, 1, FALSE))</f>
        <v xml:space="preserve"> </v>
      </c>
    </row>
    <row r="515" spans="1:37" ht="72" x14ac:dyDescent="0.25">
      <c r="A515" s="587" t="s">
        <v>2306</v>
      </c>
      <c r="B515" s="369" t="s">
        <v>28</v>
      </c>
      <c r="C515" s="588"/>
      <c r="D515" s="589" t="s">
        <v>2602</v>
      </c>
      <c r="E515" s="44" t="s">
        <v>27</v>
      </c>
      <c r="F515" s="214">
        <v>102276</v>
      </c>
      <c r="G515" s="587" t="s">
        <v>1295</v>
      </c>
      <c r="H515" s="590" t="s">
        <v>44</v>
      </c>
      <c r="I515" s="591">
        <v>379.995</v>
      </c>
      <c r="J515" s="592">
        <v>9.0500000000000007</v>
      </c>
      <c r="K515" s="593">
        <v>0.2033513845915047</v>
      </c>
      <c r="L515" s="592">
        <v>10.890330030553118</v>
      </c>
      <c r="M515" s="594">
        <v>4138.2709599600321</v>
      </c>
      <c r="O515" s="673"/>
      <c r="P515" s="361"/>
      <c r="Q515" s="441"/>
      <c r="R515" s="485"/>
      <c r="S515" s="442"/>
      <c r="T515" s="441">
        <v>338.952</v>
      </c>
      <c r="U515" s="485"/>
      <c r="V515" s="442"/>
      <c r="W515" s="578">
        <v>41.042999999999999</v>
      </c>
      <c r="X515" s="485"/>
      <c r="Y515" s="442"/>
      <c r="Z515" s="441"/>
      <c r="AA515" s="485"/>
      <c r="AB515" s="442"/>
      <c r="AC515" s="672"/>
      <c r="AD515" s="441">
        <v>1010.5611957471459</v>
      </c>
      <c r="AE515" s="674">
        <v>1179.75017422065</v>
      </c>
      <c r="AF515" s="674">
        <v>1947.9595899922358</v>
      </c>
      <c r="AG515" s="674">
        <v>0</v>
      </c>
      <c r="AH515" s="442">
        <v>0</v>
      </c>
      <c r="AI515" s="442">
        <v>0</v>
      </c>
      <c r="AK515" s="3" t="e">
        <f>IF(F515="", " ", VLOOKUP(F515,#REF!, 1, FALSE))</f>
        <v>#REF!</v>
      </c>
    </row>
    <row r="516" spans="1:37" s="294" customFormat="1" ht="60" hidden="1" x14ac:dyDescent="0.25">
      <c r="A516" s="587" t="s">
        <v>2307</v>
      </c>
      <c r="B516" s="586" t="s">
        <v>28</v>
      </c>
      <c r="C516" s="596"/>
      <c r="D516" s="589" t="s">
        <v>2603</v>
      </c>
      <c r="E516" s="44" t="s">
        <v>27</v>
      </c>
      <c r="F516" s="577">
        <v>90082</v>
      </c>
      <c r="G516" s="595" t="s">
        <v>1294</v>
      </c>
      <c r="H516" s="597" t="s">
        <v>44</v>
      </c>
      <c r="I516" s="598">
        <f>IF($F516="","",IF('TRECHO(S) A IMPRIMIR'!$B$1= 1, SUM(Q516, T516, W516, Z516), IF('TRECHO(S) A IMPRIMIR'!$B$1= 2, T516, IF('TRECHO(S) A IMPRIMIR'!$B$1= 3, W516, 0))))</f>
        <v>0</v>
      </c>
      <c r="J516" s="599">
        <v>8.0500000000000007</v>
      </c>
      <c r="K516" s="600">
        <f t="shared" si="76"/>
        <v>0.2033513845915047</v>
      </c>
      <c r="L516" s="599">
        <f>IF(J516="","",
  IF(AND(J516&lt;&gt;"",K516=""),J516,J516 * (1 + K516)))</f>
        <v>9.686978645961613</v>
      </c>
      <c r="M516" s="601">
        <f>IF(OR(I516="",L516=""),"",I516*L516)</f>
        <v>0</v>
      </c>
      <c r="N516" s="293"/>
      <c r="O516" s="680"/>
      <c r="P516" s="362"/>
      <c r="Q516" s="578"/>
      <c r="R516" s="579"/>
      <c r="S516" s="580"/>
      <c r="T516" s="578">
        <f>'04-MLQ-DR-TR1'!AG327</f>
        <v>0</v>
      </c>
      <c r="U516" s="579"/>
      <c r="V516" s="580"/>
      <c r="W516" s="578">
        <f>'04-MLQ-DR-TR3'!AG256</f>
        <v>0</v>
      </c>
      <c r="X516" s="579"/>
      <c r="Y516" s="580"/>
      <c r="Z516" s="578"/>
      <c r="AA516" s="579"/>
      <c r="AB516" s="580"/>
      <c r="AC516" s="681"/>
      <c r="AD516" s="578" t="s">
        <v>21</v>
      </c>
      <c r="AE516" s="682" t="s">
        <v>21</v>
      </c>
      <c r="AF516" s="682" t="s">
        <v>21</v>
      </c>
      <c r="AG516" s="682" t="s">
        <v>21</v>
      </c>
      <c r="AH516" s="580" t="s">
        <v>21</v>
      </c>
      <c r="AI516" s="580" t="str">
        <f>IF(SUM(AD516:AH516)=0,"",M516 - SUM(AD516:AH516))</f>
        <v/>
      </c>
      <c r="AK516" s="294" t="e">
        <f>IF(F516="", " ", VLOOKUP(F516,#REF!, 1, FALSE))</f>
        <v>#REF!</v>
      </c>
    </row>
    <row r="517" spans="1:37" ht="72" x14ac:dyDescent="0.25">
      <c r="A517" s="587" t="s">
        <v>2308</v>
      </c>
      <c r="B517" s="586" t="s">
        <v>28</v>
      </c>
      <c r="C517" s="588"/>
      <c r="D517" s="589" t="s">
        <v>2604</v>
      </c>
      <c r="E517" s="44" t="s">
        <v>27</v>
      </c>
      <c r="F517" s="214">
        <v>90084</v>
      </c>
      <c r="G517" s="587" t="s">
        <v>1300</v>
      </c>
      <c r="H517" s="590" t="s">
        <v>44</v>
      </c>
      <c r="I517" s="591">
        <v>39676.282999999996</v>
      </c>
      <c r="J517" s="592">
        <v>7.79</v>
      </c>
      <c r="K517" s="593">
        <v>0.2033513845915047</v>
      </c>
      <c r="L517" s="592">
        <v>9.3741072859678223</v>
      </c>
      <c r="M517" s="594">
        <v>371929.7335504212</v>
      </c>
      <c r="O517" s="673"/>
      <c r="P517" s="361"/>
      <c r="Q517" s="441"/>
      <c r="R517" s="485"/>
      <c r="S517" s="442"/>
      <c r="T517" s="441">
        <v>29356.749</v>
      </c>
      <c r="U517" s="485"/>
      <c r="V517" s="442"/>
      <c r="W517" s="578">
        <v>10319.533999999998</v>
      </c>
      <c r="X517" s="485"/>
      <c r="Y517" s="442"/>
      <c r="Z517" s="441"/>
      <c r="AA517" s="485"/>
      <c r="AB517" s="442"/>
      <c r="AC517" s="672"/>
      <c r="AD517" s="441">
        <v>90714.569158639322</v>
      </c>
      <c r="AE517" s="674">
        <v>105515.36728452257</v>
      </c>
      <c r="AF517" s="674">
        <v>175699.79710725931</v>
      </c>
      <c r="AG517" s="674">
        <v>0</v>
      </c>
      <c r="AH517" s="442">
        <v>0</v>
      </c>
      <c r="AI517" s="442">
        <v>0</v>
      </c>
      <c r="AK517" s="3" t="e">
        <f>IF(F517="", " ", VLOOKUP(F517,#REF!, 1, FALSE))</f>
        <v>#REF!</v>
      </c>
    </row>
    <row r="518" spans="1:37" ht="72" x14ac:dyDescent="0.25">
      <c r="A518" s="587" t="s">
        <v>2309</v>
      </c>
      <c r="B518" s="586" t="s">
        <v>28</v>
      </c>
      <c r="C518" s="588"/>
      <c r="D518" s="589" t="s">
        <v>2605</v>
      </c>
      <c r="E518" s="44" t="s">
        <v>27</v>
      </c>
      <c r="F518" s="214">
        <v>102278</v>
      </c>
      <c r="G518" s="587" t="s">
        <v>1301</v>
      </c>
      <c r="H518" s="590" t="s">
        <v>44</v>
      </c>
      <c r="I518" s="591">
        <v>15459.427000000001</v>
      </c>
      <c r="J518" s="592">
        <v>7</v>
      </c>
      <c r="K518" s="593">
        <v>0.2033513845915047</v>
      </c>
      <c r="L518" s="592">
        <v>8.4234596921405327</v>
      </c>
      <c r="M518" s="594">
        <v>130221.86019808905</v>
      </c>
      <c r="O518" s="673"/>
      <c r="P518" s="361"/>
      <c r="Q518" s="441"/>
      <c r="R518" s="485"/>
      <c r="S518" s="442"/>
      <c r="T518" s="441">
        <v>4727.9110000000001</v>
      </c>
      <c r="U518" s="485"/>
      <c r="V518" s="442"/>
      <c r="W518" s="578">
        <v>10731.516000000001</v>
      </c>
      <c r="X518" s="485"/>
      <c r="Y518" s="442"/>
      <c r="Z518" s="441"/>
      <c r="AA518" s="485"/>
      <c r="AB518" s="442"/>
      <c r="AC518" s="672"/>
      <c r="AD518" s="441">
        <v>28090.715557016352</v>
      </c>
      <c r="AE518" s="674">
        <v>41670.995263388497</v>
      </c>
      <c r="AF518" s="674">
        <v>60460.149377684204</v>
      </c>
      <c r="AG518" s="674">
        <v>0</v>
      </c>
      <c r="AH518" s="442">
        <v>0</v>
      </c>
      <c r="AI518" s="442">
        <v>1.4551915228366852E-11</v>
      </c>
      <c r="AK518" s="3" t="e">
        <f>IF(F518="", " ", VLOOKUP(F518,#REF!, 1, FALSE))</f>
        <v>#REF!</v>
      </c>
    </row>
    <row r="519" spans="1:37" ht="72" x14ac:dyDescent="0.25">
      <c r="A519" s="587" t="s">
        <v>2310</v>
      </c>
      <c r="B519" s="586" t="s">
        <v>28</v>
      </c>
      <c r="C519" s="588"/>
      <c r="D519" s="589" t="s">
        <v>2606</v>
      </c>
      <c r="E519" s="44" t="s">
        <v>27</v>
      </c>
      <c r="F519" s="214">
        <v>90094</v>
      </c>
      <c r="G519" s="587" t="s">
        <v>1302</v>
      </c>
      <c r="H519" s="590" t="s">
        <v>44</v>
      </c>
      <c r="I519" s="591">
        <v>1118.8209999999999</v>
      </c>
      <c r="J519" s="592">
        <v>4.0599999999999996</v>
      </c>
      <c r="K519" s="593">
        <v>0.2033513845915047</v>
      </c>
      <c r="L519" s="592">
        <v>4.885606621441509</v>
      </c>
      <c r="M519" s="594">
        <v>5466.1192858078102</v>
      </c>
      <c r="O519" s="673"/>
      <c r="P519" s="361"/>
      <c r="Q519" s="441"/>
      <c r="R519" s="485"/>
      <c r="S519" s="442"/>
      <c r="T519" s="441">
        <v>773.16499999999996</v>
      </c>
      <c r="U519" s="485"/>
      <c r="V519" s="442"/>
      <c r="W519" s="578">
        <v>345.65600000000001</v>
      </c>
      <c r="X519" s="485"/>
      <c r="Y519" s="442"/>
      <c r="Z519" s="441"/>
      <c r="AA519" s="485"/>
      <c r="AB519" s="442"/>
      <c r="AC519" s="672"/>
      <c r="AD519" s="441">
        <v>1332.8714514654512</v>
      </c>
      <c r="AE519" s="674">
        <v>1534.821671384459</v>
      </c>
      <c r="AF519" s="674">
        <v>2598.4261629579</v>
      </c>
      <c r="AG519" s="674">
        <v>0</v>
      </c>
      <c r="AH519" s="442">
        <v>0</v>
      </c>
      <c r="AI519" s="442">
        <v>0</v>
      </c>
      <c r="AK519" s="3" t="e">
        <f>IF(F519="", " ", VLOOKUP(F519,#REF!, 1, FALSE))</f>
        <v>#REF!</v>
      </c>
    </row>
    <row r="520" spans="1:37" ht="72" x14ac:dyDescent="0.25">
      <c r="A520" s="587" t="s">
        <v>2311</v>
      </c>
      <c r="B520" s="586" t="s">
        <v>28</v>
      </c>
      <c r="C520" s="588"/>
      <c r="D520" s="589" t="s">
        <v>2637</v>
      </c>
      <c r="E520" s="44" t="s">
        <v>27</v>
      </c>
      <c r="F520" s="214">
        <v>90087</v>
      </c>
      <c r="G520" s="587" t="s">
        <v>1299</v>
      </c>
      <c r="H520" s="590" t="s">
        <v>44</v>
      </c>
      <c r="I520" s="591">
        <v>4190.4769999999999</v>
      </c>
      <c r="J520" s="592">
        <v>6.71</v>
      </c>
      <c r="K520" s="593">
        <v>0.2033513845915047</v>
      </c>
      <c r="L520" s="592">
        <v>8.0744877906089965</v>
      </c>
      <c r="M520" s="594">
        <v>33835.955373327815</v>
      </c>
      <c r="O520" s="673"/>
      <c r="P520" s="361"/>
      <c r="Q520" s="441"/>
      <c r="R520" s="485"/>
      <c r="S520" s="442"/>
      <c r="T520" s="441">
        <v>2693.5459999999998</v>
      </c>
      <c r="U520" s="485"/>
      <c r="V520" s="442"/>
      <c r="W520" s="578">
        <v>1496.931</v>
      </c>
      <c r="X520" s="485"/>
      <c r="Y520" s="442"/>
      <c r="Z520" s="441"/>
      <c r="AA520" s="485"/>
      <c r="AB520" s="442"/>
      <c r="AC520" s="672"/>
      <c r="AD520" s="441">
        <v>7261.3674720703502</v>
      </c>
      <c r="AE520" s="674">
        <v>10892.051208105526</v>
      </c>
      <c r="AF520" s="674">
        <v>15682.536693151937</v>
      </c>
      <c r="AG520" s="674">
        <v>0</v>
      </c>
      <c r="AH520" s="442">
        <v>0</v>
      </c>
      <c r="AI520" s="442">
        <v>0</v>
      </c>
      <c r="AK520" s="3" t="e">
        <f>IF(F520="", " ", VLOOKUP(F520,#REF!, 1, FALSE))</f>
        <v>#REF!</v>
      </c>
    </row>
    <row r="521" spans="1:37" ht="72" hidden="1" x14ac:dyDescent="0.25">
      <c r="A521" s="587" t="s">
        <v>2312</v>
      </c>
      <c r="B521" s="586" t="s">
        <v>28</v>
      </c>
      <c r="C521" s="588"/>
      <c r="D521" s="589" t="s">
        <v>2638</v>
      </c>
      <c r="E521" s="44" t="s">
        <v>27</v>
      </c>
      <c r="F521" s="214">
        <v>102280</v>
      </c>
      <c r="G521" s="587" t="s">
        <v>1303</v>
      </c>
      <c r="H521" s="590" t="s">
        <v>44</v>
      </c>
      <c r="I521" s="591">
        <f>IF($F521="","",IF('TRECHO(S) A IMPRIMIR'!$B$1= 1, SUM(Q521, T521, W521, Z521), IF('TRECHO(S) A IMPRIMIR'!$B$1= 2, T521, IF('TRECHO(S) A IMPRIMIR'!$B$1= 3, W521, 0))))</f>
        <v>0</v>
      </c>
      <c r="J521" s="592">
        <v>3.95</v>
      </c>
      <c r="K521" s="593">
        <f t="shared" si="76"/>
        <v>0.2033513845915047</v>
      </c>
      <c r="L521" s="592">
        <f t="shared" ref="L517:L523" si="85">IF(J521="","",
  IF(AND(J521&lt;&gt;"",K521=""),J521,J521 * (1 + K521)))</f>
        <v>4.7532379691364435</v>
      </c>
      <c r="M521" s="594">
        <f t="shared" ref="M517:M522" si="86">IF(OR(I521="",L521=""),"",I521*L521)</f>
        <v>0</v>
      </c>
      <c r="O521" s="673"/>
      <c r="P521" s="361"/>
      <c r="Q521" s="441"/>
      <c r="R521" s="485"/>
      <c r="S521" s="442"/>
      <c r="T521" s="441">
        <f>'04-MLQ-DR-TR1'!AL327</f>
        <v>0</v>
      </c>
      <c r="U521" s="485"/>
      <c r="V521" s="442"/>
      <c r="W521" s="578">
        <f>'04-MLQ-DR-TR3'!AL256</f>
        <v>0</v>
      </c>
      <c r="X521" s="485"/>
      <c r="Y521" s="442"/>
      <c r="Z521" s="441"/>
      <c r="AA521" s="485"/>
      <c r="AB521" s="442"/>
      <c r="AC521" s="672"/>
      <c r="AD521" s="441" t="s">
        <v>21</v>
      </c>
      <c r="AE521" s="674" t="s">
        <v>21</v>
      </c>
      <c r="AF521" s="674" t="s">
        <v>21</v>
      </c>
      <c r="AG521" s="674" t="s">
        <v>21</v>
      </c>
      <c r="AH521" s="442" t="s">
        <v>21</v>
      </c>
      <c r="AI521" s="442" t="str">
        <f t="shared" ref="AI517:AI523" si="87">IF(SUM(AD521:AH521)=0,"",M521 - SUM(AD521:AH521))</f>
        <v/>
      </c>
      <c r="AK521" s="3" t="e">
        <f>IF(F521="", " ", VLOOKUP(F521,#REF!, 1, FALSE))</f>
        <v>#REF!</v>
      </c>
    </row>
    <row r="522" spans="1:37" ht="72" x14ac:dyDescent="0.25">
      <c r="A522" s="587" t="s">
        <v>2313</v>
      </c>
      <c r="B522" s="586" t="s">
        <v>28</v>
      </c>
      <c r="C522" s="588"/>
      <c r="D522" s="589" t="s">
        <v>2639</v>
      </c>
      <c r="E522" s="44" t="s">
        <v>27</v>
      </c>
      <c r="F522" s="214">
        <v>90090</v>
      </c>
      <c r="G522" s="587" t="s">
        <v>1304</v>
      </c>
      <c r="H522" s="590" t="s">
        <v>44</v>
      </c>
      <c r="I522" s="591">
        <v>2410.509</v>
      </c>
      <c r="J522" s="592">
        <v>6.57</v>
      </c>
      <c r="K522" s="593">
        <v>0.2033513845915047</v>
      </c>
      <c r="L522" s="592">
        <v>7.9060185967661862</v>
      </c>
      <c r="M522" s="594">
        <v>19057.528981672262</v>
      </c>
      <c r="O522" s="673"/>
      <c r="P522" s="361"/>
      <c r="Q522" s="441"/>
      <c r="R522" s="485"/>
      <c r="S522" s="442"/>
      <c r="T522" s="441">
        <v>2410.509</v>
      </c>
      <c r="U522" s="485"/>
      <c r="V522" s="442"/>
      <c r="W522" s="578">
        <v>0</v>
      </c>
      <c r="X522" s="485"/>
      <c r="Y522" s="442"/>
      <c r="Z522" s="441"/>
      <c r="AA522" s="485"/>
      <c r="AB522" s="442"/>
      <c r="AC522" s="672"/>
      <c r="AD522" s="441">
        <v>4089.9719732355993</v>
      </c>
      <c r="AE522" s="674">
        <v>6062.4407262853911</v>
      </c>
      <c r="AF522" s="674">
        <v>8905.1162821512698</v>
      </c>
      <c r="AG522" s="674">
        <v>0</v>
      </c>
      <c r="AH522" s="442">
        <v>0</v>
      </c>
      <c r="AI522" s="442">
        <v>3.637978807091713E-12</v>
      </c>
      <c r="AK522" s="3" t="e">
        <f>IF(F522="", " ", VLOOKUP(F522,#REF!, 1, FALSE))</f>
        <v>#REF!</v>
      </c>
    </row>
    <row r="523" spans="1:37" ht="72" x14ac:dyDescent="0.25">
      <c r="A523" s="587" t="s">
        <v>2320</v>
      </c>
      <c r="B523" s="369" t="s">
        <v>28</v>
      </c>
      <c r="C523" s="588"/>
      <c r="D523" s="589" t="s">
        <v>2640</v>
      </c>
      <c r="E523" s="44" t="s">
        <v>27</v>
      </c>
      <c r="F523" s="214">
        <v>101232</v>
      </c>
      <c r="G523" s="587" t="s">
        <v>562</v>
      </c>
      <c r="H523" s="590" t="s">
        <v>44</v>
      </c>
      <c r="I523" s="591">
        <v>10799.395</v>
      </c>
      <c r="J523" s="592">
        <v>6.8</v>
      </c>
      <c r="K523" s="593">
        <v>0.2033513845915047</v>
      </c>
      <c r="L523" s="592">
        <v>8.1827894152222314</v>
      </c>
      <c r="M523" s="594">
        <v>88369.175096803898</v>
      </c>
      <c r="O523" s="673"/>
      <c r="P523" s="361"/>
      <c r="Q523" s="441"/>
      <c r="R523" s="485"/>
      <c r="S523" s="442"/>
      <c r="T523" s="441">
        <v>3062.2820000000002</v>
      </c>
      <c r="U523" s="485"/>
      <c r="V523" s="442"/>
      <c r="W523" s="578">
        <v>7737.1130000000003</v>
      </c>
      <c r="X523" s="485"/>
      <c r="Y523" s="442"/>
      <c r="Z523" s="441"/>
      <c r="AA523" s="485"/>
      <c r="AB523" s="442"/>
      <c r="AC523" s="672"/>
      <c r="AD523" s="441">
        <v>8187.1441633803615</v>
      </c>
      <c r="AE523" s="674">
        <v>45614.088910262006</v>
      </c>
      <c r="AF523" s="674">
        <v>34567.94202316153</v>
      </c>
      <c r="AG523" s="674">
        <v>0</v>
      </c>
      <c r="AH523" s="442">
        <v>0</v>
      </c>
      <c r="AI523" s="442">
        <v>0</v>
      </c>
      <c r="AK523" s="3" t="e">
        <f>IF(F523="", " ", VLOOKUP(F523,#REF!, 1, FALSE))</f>
        <v>#REF!</v>
      </c>
    </row>
    <row r="524" spans="1:37" x14ac:dyDescent="0.25">
      <c r="A524" s="587"/>
      <c r="B524" s="369"/>
      <c r="C524" s="588"/>
      <c r="D524" s="589"/>
      <c r="E524" s="44"/>
      <c r="F524" s="214"/>
      <c r="G524" s="587" t="s">
        <v>21</v>
      </c>
      <c r="H524" s="590" t="s">
        <v>21</v>
      </c>
      <c r="I524" s="591" t="s">
        <v>21</v>
      </c>
      <c r="J524" s="592" t="s">
        <v>21</v>
      </c>
      <c r="K524" s="593" t="s">
        <v>21</v>
      </c>
      <c r="L524" s="592" t="s">
        <v>21</v>
      </c>
      <c r="M524" s="594" t="s">
        <v>21</v>
      </c>
      <c r="O524" s="673"/>
      <c r="P524" s="361"/>
      <c r="Q524" s="441"/>
      <c r="R524" s="485"/>
      <c r="S524" s="442"/>
      <c r="T524" s="441"/>
      <c r="U524" s="485"/>
      <c r="V524" s="442"/>
      <c r="W524" s="578"/>
      <c r="X524" s="485"/>
      <c r="Y524" s="442"/>
      <c r="Z524" s="441"/>
      <c r="AA524" s="485"/>
      <c r="AB524" s="442"/>
      <c r="AC524" s="672"/>
      <c r="AD524" s="441" t="s">
        <v>21</v>
      </c>
      <c r="AE524" s="674" t="s">
        <v>21</v>
      </c>
      <c r="AF524" s="674" t="s">
        <v>21</v>
      </c>
      <c r="AG524" s="674" t="s">
        <v>21</v>
      </c>
      <c r="AH524" s="442" t="s">
        <v>21</v>
      </c>
      <c r="AI524" s="442" t="s">
        <v>21</v>
      </c>
      <c r="AK524" s="3" t="str">
        <f>IF(F524="", " ", VLOOKUP(F524,#REF!, 1, FALSE))</f>
        <v xml:space="preserve"> </v>
      </c>
    </row>
    <row r="525" spans="1:37" x14ac:dyDescent="0.25">
      <c r="A525" s="587" t="s">
        <v>1900</v>
      </c>
      <c r="B525" s="369"/>
      <c r="C525" s="588"/>
      <c r="D525" s="589" t="s">
        <v>2315</v>
      </c>
      <c r="E525" s="44"/>
      <c r="F525" s="214"/>
      <c r="G525" s="587" t="s">
        <v>1900</v>
      </c>
      <c r="H525" s="590" t="s">
        <v>21</v>
      </c>
      <c r="I525" s="591" t="s">
        <v>21</v>
      </c>
      <c r="J525" s="592" t="s">
        <v>21</v>
      </c>
      <c r="K525" s="593" t="s">
        <v>21</v>
      </c>
      <c r="L525" s="592" t="s">
        <v>21</v>
      </c>
      <c r="M525" s="594">
        <v>2452128.9365134626</v>
      </c>
      <c r="O525" s="673"/>
      <c r="P525" s="361"/>
      <c r="Q525" s="441"/>
      <c r="R525" s="485"/>
      <c r="S525" s="442"/>
      <c r="T525" s="441"/>
      <c r="U525" s="485"/>
      <c r="V525" s="442"/>
      <c r="W525" s="578"/>
      <c r="X525" s="485"/>
      <c r="Y525" s="442"/>
      <c r="Z525" s="441"/>
      <c r="AA525" s="485"/>
      <c r="AB525" s="442"/>
      <c r="AC525" s="672"/>
      <c r="AD525" s="441" t="s">
        <v>21</v>
      </c>
      <c r="AE525" s="674" t="s">
        <v>21</v>
      </c>
      <c r="AF525" s="674" t="s">
        <v>21</v>
      </c>
      <c r="AG525" s="674" t="s">
        <v>21</v>
      </c>
      <c r="AH525" s="442" t="s">
        <v>21</v>
      </c>
      <c r="AI525" s="442" t="s">
        <v>21</v>
      </c>
      <c r="AK525" s="3" t="str">
        <f>IF(F525="", " ", VLOOKUP(F525,#REF!, 1, FALSE))</f>
        <v xml:space="preserve"> </v>
      </c>
    </row>
    <row r="526" spans="1:37" ht="36" x14ac:dyDescent="0.25">
      <c r="A526" s="587" t="s">
        <v>2325</v>
      </c>
      <c r="B526" s="369" t="s">
        <v>20</v>
      </c>
      <c r="C526" s="588"/>
      <c r="D526" s="589" t="s">
        <v>2607</v>
      </c>
      <c r="E526" s="44" t="s">
        <v>27</v>
      </c>
      <c r="F526" s="214">
        <v>101576</v>
      </c>
      <c r="G526" s="587" t="s">
        <v>1154</v>
      </c>
      <c r="H526" s="590" t="s">
        <v>51</v>
      </c>
      <c r="I526" s="591">
        <v>426.19229999999999</v>
      </c>
      <c r="J526" s="592">
        <v>36.130000000000003</v>
      </c>
      <c r="K526" s="593">
        <v>0.2033513845915047</v>
      </c>
      <c r="L526" s="592">
        <v>43.477085525291066</v>
      </c>
      <c r="M526" s="594">
        <v>18529.599077320509</v>
      </c>
      <c r="O526" s="673"/>
      <c r="P526" s="361"/>
      <c r="Q526" s="441"/>
      <c r="R526" s="485"/>
      <c r="S526" s="442"/>
      <c r="T526" s="441">
        <v>378.20799</v>
      </c>
      <c r="U526" s="485"/>
      <c r="V526" s="442"/>
      <c r="W526" s="578">
        <v>47.984310000000001</v>
      </c>
      <c r="X526" s="485"/>
      <c r="Y526" s="442"/>
      <c r="Z526" s="441"/>
      <c r="AA526" s="485"/>
      <c r="AB526" s="442"/>
      <c r="AC526" s="672"/>
      <c r="AD526" s="441">
        <v>6913.3405912615681</v>
      </c>
      <c r="AE526" s="674">
        <v>11616.258486058938</v>
      </c>
      <c r="AF526" s="674">
        <v>0</v>
      </c>
      <c r="AG526" s="674">
        <v>0</v>
      </c>
      <c r="AH526" s="442">
        <v>0</v>
      </c>
      <c r="AI526" s="442">
        <v>3.637978807091713E-12</v>
      </c>
      <c r="AK526" s="3" t="e">
        <f>IF(F526="", " ", VLOOKUP(F526,#REF!, 1, FALSE))</f>
        <v>#REF!</v>
      </c>
    </row>
    <row r="527" spans="1:37" ht="36" x14ac:dyDescent="0.25">
      <c r="A527" s="587" t="s">
        <v>2326</v>
      </c>
      <c r="B527" s="369" t="s">
        <v>20</v>
      </c>
      <c r="C527" s="588"/>
      <c r="D527" s="589" t="s">
        <v>2608</v>
      </c>
      <c r="E527" s="44" t="s">
        <v>27</v>
      </c>
      <c r="F527" s="214">
        <v>101578</v>
      </c>
      <c r="G527" s="587" t="s">
        <v>1156</v>
      </c>
      <c r="H527" s="590" t="s">
        <v>51</v>
      </c>
      <c r="I527" s="591">
        <v>38616.797519999993</v>
      </c>
      <c r="J527" s="592">
        <v>29.84</v>
      </c>
      <c r="K527" s="593">
        <v>0.2033513845915047</v>
      </c>
      <c r="L527" s="592">
        <v>35.908005316210499</v>
      </c>
      <c r="M527" s="594">
        <v>1386652.1706431841</v>
      </c>
      <c r="O527" s="673"/>
      <c r="P527" s="361"/>
      <c r="Q527" s="441"/>
      <c r="R527" s="485"/>
      <c r="S527" s="442"/>
      <c r="T527" s="441">
        <v>28689.244539999989</v>
      </c>
      <c r="U527" s="485"/>
      <c r="V527" s="442"/>
      <c r="W527" s="578">
        <v>9927.5529800000004</v>
      </c>
      <c r="X527" s="485"/>
      <c r="Y527" s="442"/>
      <c r="Z527" s="441"/>
      <c r="AA527" s="485"/>
      <c r="AB527" s="442"/>
      <c r="AC527" s="672"/>
      <c r="AD527" s="441">
        <v>465160.46340945957</v>
      </c>
      <c r="AE527" s="674">
        <v>921491.70723372453</v>
      </c>
      <c r="AF527" s="674">
        <v>0</v>
      </c>
      <c r="AG527" s="674">
        <v>0</v>
      </c>
      <c r="AH527" s="442">
        <v>0</v>
      </c>
      <c r="AI527" s="442">
        <v>0</v>
      </c>
      <c r="AK527" s="3" t="e">
        <f>IF(F527="", " ", VLOOKUP(F527,#REF!, 1, FALSE))</f>
        <v>#REF!</v>
      </c>
    </row>
    <row r="528" spans="1:37" ht="36" x14ac:dyDescent="0.25">
      <c r="A528" s="587" t="s">
        <v>2327</v>
      </c>
      <c r="B528" s="369" t="s">
        <v>20</v>
      </c>
      <c r="C528" s="588"/>
      <c r="D528" s="589" t="s">
        <v>2609</v>
      </c>
      <c r="E528" s="44" t="s">
        <v>27</v>
      </c>
      <c r="F528" s="214">
        <v>101580</v>
      </c>
      <c r="G528" s="587" t="s">
        <v>1158</v>
      </c>
      <c r="H528" s="590" t="s">
        <v>51</v>
      </c>
      <c r="I528" s="591">
        <v>938.27785999999992</v>
      </c>
      <c r="J528" s="592">
        <v>26.38</v>
      </c>
      <c r="K528" s="593">
        <v>0.2033513845915047</v>
      </c>
      <c r="L528" s="592">
        <v>31.744409525523892</v>
      </c>
      <c r="M528" s="594">
        <v>29785.076636572172</v>
      </c>
      <c r="O528" s="673"/>
      <c r="P528" s="361"/>
      <c r="Q528" s="441"/>
      <c r="R528" s="485"/>
      <c r="S528" s="442"/>
      <c r="T528" s="441">
        <v>652.05433999999991</v>
      </c>
      <c r="U528" s="485"/>
      <c r="V528" s="442"/>
      <c r="W528" s="578">
        <v>286.22352000000001</v>
      </c>
      <c r="X528" s="485"/>
      <c r="Y528" s="442"/>
      <c r="Z528" s="441"/>
      <c r="AA528" s="485"/>
      <c r="AB528" s="442"/>
      <c r="AC528" s="672"/>
      <c r="AD528" s="441">
        <v>7384.1698712351026</v>
      </c>
      <c r="AE528" s="674">
        <v>22400.906765337066</v>
      </c>
      <c r="AF528" s="674">
        <v>0</v>
      </c>
      <c r="AG528" s="674">
        <v>0</v>
      </c>
      <c r="AH528" s="442">
        <v>0</v>
      </c>
      <c r="AI528" s="442">
        <v>3.637978807091713E-12</v>
      </c>
      <c r="AK528" s="3" t="e">
        <f>IF(F528="", " ", VLOOKUP(F528,#REF!, 1, FALSE))</f>
        <v>#REF!</v>
      </c>
    </row>
    <row r="529" spans="1:37" ht="36" hidden="1" x14ac:dyDescent="0.25">
      <c r="A529" s="587" t="s">
        <v>2328</v>
      </c>
      <c r="B529" s="369" t="s">
        <v>20</v>
      </c>
      <c r="C529" s="588"/>
      <c r="D529" s="589" t="s">
        <v>2610</v>
      </c>
      <c r="E529" s="44" t="s">
        <v>27</v>
      </c>
      <c r="F529" s="214">
        <v>101577</v>
      </c>
      <c r="G529" s="587" t="s">
        <v>1153</v>
      </c>
      <c r="H529" s="590" t="s">
        <v>51</v>
      </c>
      <c r="I529" s="591">
        <f>IF($F529="","",IF('TRECHO(S) A IMPRIMIR'!$B$1= 1, SUM(Q529, T529, W529, Z529), IF('TRECHO(S) A IMPRIMIR'!$B$1= 2, T529, IF('TRECHO(S) A IMPRIMIR'!$B$1= 3, W529, 0))))</f>
        <v>0</v>
      </c>
      <c r="J529" s="592">
        <v>45.42</v>
      </c>
      <c r="K529" s="593">
        <f t="shared" si="76"/>
        <v>0.2033513845915047</v>
      </c>
      <c r="L529" s="592">
        <f t="shared" ref="L524:L529" si="88">IF(J529="","",
  IF(AND(J529&lt;&gt;"",K529=""),J529,J529 * (1 + K529)))</f>
        <v>54.656219888146147</v>
      </c>
      <c r="M529" s="594">
        <f t="shared" ref="M526:M560" si="89">IF(OR(I529="",L529=""),"",I529*L529)</f>
        <v>0</v>
      </c>
      <c r="O529" s="673"/>
      <c r="P529" s="361"/>
      <c r="Q529" s="441"/>
      <c r="R529" s="485"/>
      <c r="S529" s="442"/>
      <c r="T529" s="441">
        <f>'04-MLQ-DR-TR1'!AV327</f>
        <v>0</v>
      </c>
      <c r="U529" s="485"/>
      <c r="V529" s="442"/>
      <c r="W529" s="578">
        <f>'04-MLQ-DR-TR3'!AV256</f>
        <v>0</v>
      </c>
      <c r="X529" s="485"/>
      <c r="Y529" s="442"/>
      <c r="Z529" s="441"/>
      <c r="AA529" s="485"/>
      <c r="AB529" s="442"/>
      <c r="AC529" s="672"/>
      <c r="AD529" s="441" t="s">
        <v>21</v>
      </c>
      <c r="AE529" s="674" t="s">
        <v>21</v>
      </c>
      <c r="AF529" s="674" t="s">
        <v>21</v>
      </c>
      <c r="AG529" s="674" t="s">
        <v>21</v>
      </c>
      <c r="AH529" s="442" t="s">
        <v>21</v>
      </c>
      <c r="AI529" s="442" t="str">
        <f t="shared" ref="AI524:AI534" si="90">IF(SUM(AD529:AH529)=0,"",M529 - SUM(AD529:AH529))</f>
        <v/>
      </c>
      <c r="AK529" s="3" t="e">
        <f>IF(F529="", " ", VLOOKUP(F529,#REF!, 1, FALSE))</f>
        <v>#REF!</v>
      </c>
    </row>
    <row r="530" spans="1:37" ht="36" x14ac:dyDescent="0.25">
      <c r="A530" s="587" t="s">
        <v>2329</v>
      </c>
      <c r="B530" s="369" t="s">
        <v>20</v>
      </c>
      <c r="C530" s="588"/>
      <c r="D530" s="589" t="s">
        <v>2611</v>
      </c>
      <c r="E530" s="44" t="s">
        <v>27</v>
      </c>
      <c r="F530" s="214">
        <v>101579</v>
      </c>
      <c r="G530" s="587" t="s">
        <v>1155</v>
      </c>
      <c r="H530" s="590" t="s">
        <v>51</v>
      </c>
      <c r="I530" s="591">
        <v>12081.408740000003</v>
      </c>
      <c r="J530" s="592">
        <v>39.130000000000003</v>
      </c>
      <c r="K530" s="593">
        <v>0.2033513845915047</v>
      </c>
      <c r="L530" s="592">
        <v>47.087139679065579</v>
      </c>
      <c r="M530" s="594">
        <v>568878.98086026381</v>
      </c>
      <c r="N530" s="439"/>
      <c r="O530" s="673"/>
      <c r="P530" s="361"/>
      <c r="Q530" s="441"/>
      <c r="R530" s="485"/>
      <c r="S530" s="442"/>
      <c r="T530" s="441">
        <v>3763.3733700000003</v>
      </c>
      <c r="U530" s="485"/>
      <c r="V530" s="442"/>
      <c r="W530" s="578">
        <v>8318.0353700000014</v>
      </c>
      <c r="X530" s="485"/>
      <c r="Y530" s="442"/>
      <c r="Z530" s="441"/>
      <c r="AA530" s="485"/>
      <c r="AB530" s="442"/>
      <c r="AC530" s="672"/>
      <c r="AD530" s="441">
        <v>239589.20533036412</v>
      </c>
      <c r="AE530" s="674">
        <v>329289.77552989969</v>
      </c>
      <c r="AF530" s="674">
        <v>0</v>
      </c>
      <c r="AG530" s="674">
        <v>0</v>
      </c>
      <c r="AH530" s="442">
        <v>0</v>
      </c>
      <c r="AI530" s="442">
        <v>0</v>
      </c>
      <c r="AK530" s="3" t="e">
        <f>IF(F530="", " ", VLOOKUP(F530,#REF!, 1, FALSE))</f>
        <v>#REF!</v>
      </c>
    </row>
    <row r="531" spans="1:37" ht="36" x14ac:dyDescent="0.25">
      <c r="A531" s="587" t="s">
        <v>2330</v>
      </c>
      <c r="B531" s="369" t="s">
        <v>20</v>
      </c>
      <c r="C531" s="588"/>
      <c r="D531" s="589" t="s">
        <v>2612</v>
      </c>
      <c r="E531" s="44" t="s">
        <v>27</v>
      </c>
      <c r="F531" s="214">
        <v>101581</v>
      </c>
      <c r="G531" s="587" t="s">
        <v>1157</v>
      </c>
      <c r="H531" s="590" t="s">
        <v>51</v>
      </c>
      <c r="I531" s="591">
        <v>2986.7302799999998</v>
      </c>
      <c r="J531" s="592">
        <v>35.78</v>
      </c>
      <c r="K531" s="593">
        <v>0.2033513845915047</v>
      </c>
      <c r="L531" s="592">
        <v>43.055912540684041</v>
      </c>
      <c r="M531" s="594">
        <v>128596.39771829275</v>
      </c>
      <c r="N531" s="439"/>
      <c r="O531" s="673"/>
      <c r="P531" s="361"/>
      <c r="Q531" s="441"/>
      <c r="R531" s="485"/>
      <c r="S531" s="442"/>
      <c r="T531" s="441">
        <v>1941.70183</v>
      </c>
      <c r="U531" s="485"/>
      <c r="V531" s="442"/>
      <c r="W531" s="578">
        <v>1045.02845</v>
      </c>
      <c r="X531" s="485"/>
      <c r="Y531" s="442"/>
      <c r="Z531" s="441"/>
      <c r="AA531" s="485"/>
      <c r="AB531" s="442"/>
      <c r="AC531" s="672"/>
      <c r="AD531" s="441">
        <v>46794.999952268627</v>
      </c>
      <c r="AE531" s="674">
        <v>81801.397766024122</v>
      </c>
      <c r="AF531" s="674">
        <v>0</v>
      </c>
      <c r="AG531" s="674">
        <v>0</v>
      </c>
      <c r="AH531" s="442">
        <v>0</v>
      </c>
      <c r="AI531" s="442">
        <v>0</v>
      </c>
      <c r="AK531" s="3" t="e">
        <f>IF(F531="", " ", VLOOKUP(F531,#REF!, 1, FALSE))</f>
        <v>#REF!</v>
      </c>
    </row>
    <row r="532" spans="1:37" ht="48" x14ac:dyDescent="0.25">
      <c r="A532" s="587" t="s">
        <v>2324</v>
      </c>
      <c r="B532" s="369" t="s">
        <v>20</v>
      </c>
      <c r="C532" s="588"/>
      <c r="D532" s="589" t="s">
        <v>2613</v>
      </c>
      <c r="E532" s="369" t="s">
        <v>138</v>
      </c>
      <c r="F532" s="214" t="s">
        <v>2118</v>
      </c>
      <c r="G532" s="587" t="s">
        <v>2331</v>
      </c>
      <c r="H532" s="590" t="s">
        <v>51</v>
      </c>
      <c r="I532" s="591">
        <v>4011.1809200000002</v>
      </c>
      <c r="J532" s="592">
        <v>26.409175130000005</v>
      </c>
      <c r="K532" s="593">
        <v>0.2033513845915047</v>
      </c>
      <c r="L532" s="592">
        <v>31.779517458605039</v>
      </c>
      <c r="M532" s="594">
        <v>127473.39407676343</v>
      </c>
      <c r="N532" s="439"/>
      <c r="O532" s="673"/>
      <c r="P532" s="361"/>
      <c r="Q532" s="441"/>
      <c r="R532" s="485"/>
      <c r="S532" s="442"/>
      <c r="T532" s="441">
        <v>3036.9766900000004</v>
      </c>
      <c r="U532" s="485"/>
      <c r="V532" s="442"/>
      <c r="W532" s="578">
        <v>974.20422999999982</v>
      </c>
      <c r="X532" s="485"/>
      <c r="Y532" s="442"/>
      <c r="Z532" s="441"/>
      <c r="AA532" s="485"/>
      <c r="AB532" s="442"/>
      <c r="AC532" s="672"/>
      <c r="AD532" s="441">
        <v>42787.969370660168</v>
      </c>
      <c r="AE532" s="674">
        <v>79622.813938337145</v>
      </c>
      <c r="AF532" s="674">
        <v>5062.6107677660802</v>
      </c>
      <c r="AG532" s="674">
        <v>0</v>
      </c>
      <c r="AH532" s="442">
        <v>-2.1435564940515243E-12</v>
      </c>
      <c r="AI532" s="442">
        <v>4.3655745685100555E-11</v>
      </c>
      <c r="AK532" s="3" t="e">
        <f>IF(F532="", " ", VLOOKUP(F532,#REF!, 1, FALSE))</f>
        <v>#REF!</v>
      </c>
    </row>
    <row r="533" spans="1:37" ht="36" x14ac:dyDescent="0.25">
      <c r="A533" s="587" t="s">
        <v>4023</v>
      </c>
      <c r="B533" s="369" t="s">
        <v>20</v>
      </c>
      <c r="C533" s="588"/>
      <c r="D533" s="589" t="s">
        <v>4024</v>
      </c>
      <c r="E533" s="44" t="s">
        <v>27</v>
      </c>
      <c r="F533" s="214">
        <v>101587</v>
      </c>
      <c r="G533" s="587" t="s">
        <v>1152</v>
      </c>
      <c r="H533" s="590" t="s">
        <v>51</v>
      </c>
      <c r="I533" s="591">
        <v>2816.1435600000004</v>
      </c>
      <c r="J533" s="592">
        <v>56.72</v>
      </c>
      <c r="K533" s="593">
        <v>0.2033513845915047</v>
      </c>
      <c r="L533" s="592">
        <v>68.254090534030141</v>
      </c>
      <c r="M533" s="594">
        <v>192213.31750106596</v>
      </c>
      <c r="N533" s="439"/>
      <c r="O533" s="673"/>
      <c r="P533" s="361"/>
      <c r="Q533" s="441"/>
      <c r="R533" s="485"/>
      <c r="S533" s="442"/>
      <c r="T533" s="441"/>
      <c r="U533" s="485"/>
      <c r="V533" s="442"/>
      <c r="W533" s="578">
        <v>2816.1435600000004</v>
      </c>
      <c r="X533" s="485"/>
      <c r="Y533" s="442"/>
      <c r="Z533" s="441"/>
      <c r="AA533" s="485"/>
      <c r="AB533" s="442"/>
      <c r="AC533" s="672"/>
      <c r="AD533" s="441">
        <v>69775.603091448313</v>
      </c>
      <c r="AE533" s="674">
        <v>122437.71440961768</v>
      </c>
      <c r="AF533" s="674">
        <v>0</v>
      </c>
      <c r="AG533" s="674">
        <v>0</v>
      </c>
      <c r="AH533" s="442">
        <v>0</v>
      </c>
      <c r="AI533" s="442">
        <v>-2.9103830456733704E-11</v>
      </c>
      <c r="AK533" s="3" t="e">
        <f>IF(F533="", " ", VLOOKUP(F533,#REF!, 1, FALSE))</f>
        <v>#REF!</v>
      </c>
    </row>
    <row r="534" spans="1:37" x14ac:dyDescent="0.25">
      <c r="A534" s="587"/>
      <c r="B534" s="369"/>
      <c r="C534" s="588"/>
      <c r="D534" s="589"/>
      <c r="E534" s="44"/>
      <c r="F534" s="214"/>
      <c r="G534" s="587" t="s">
        <v>21</v>
      </c>
      <c r="H534" s="590" t="s">
        <v>21</v>
      </c>
      <c r="I534" s="591" t="s">
        <v>21</v>
      </c>
      <c r="J534" s="592" t="s">
        <v>21</v>
      </c>
      <c r="K534" s="593" t="s">
        <v>21</v>
      </c>
      <c r="L534" s="592" t="s">
        <v>21</v>
      </c>
      <c r="M534" s="594" t="s">
        <v>21</v>
      </c>
      <c r="N534" s="439"/>
      <c r="O534" s="673"/>
      <c r="P534" s="361"/>
      <c r="Q534" s="441"/>
      <c r="R534" s="485"/>
      <c r="S534" s="442"/>
      <c r="T534" s="441"/>
      <c r="U534" s="485"/>
      <c r="V534" s="442"/>
      <c r="W534" s="578"/>
      <c r="X534" s="485"/>
      <c r="Y534" s="442"/>
      <c r="Z534" s="441"/>
      <c r="AA534" s="485"/>
      <c r="AB534" s="442"/>
      <c r="AC534" s="672"/>
      <c r="AD534" s="441" t="s">
        <v>21</v>
      </c>
      <c r="AE534" s="674" t="s">
        <v>21</v>
      </c>
      <c r="AF534" s="674" t="s">
        <v>21</v>
      </c>
      <c r="AG534" s="674" t="s">
        <v>21</v>
      </c>
      <c r="AH534" s="442" t="s">
        <v>21</v>
      </c>
      <c r="AI534" s="442" t="str">
        <f t="shared" si="90"/>
        <v/>
      </c>
      <c r="AK534" s="3" t="str">
        <f>IF(F534="", " ", VLOOKUP(F534,#REF!, 1, FALSE))</f>
        <v xml:space="preserve"> </v>
      </c>
    </row>
    <row r="535" spans="1:37" s="294" customFormat="1" ht="36" x14ac:dyDescent="0.25">
      <c r="A535" s="595" t="s">
        <v>1918</v>
      </c>
      <c r="B535" s="586"/>
      <c r="C535" s="596"/>
      <c r="D535" s="589" t="s">
        <v>2316</v>
      </c>
      <c r="E535" s="292"/>
      <c r="F535" s="577"/>
      <c r="G535" s="595" t="s">
        <v>1918</v>
      </c>
      <c r="H535" s="597" t="s">
        <v>21</v>
      </c>
      <c r="I535" s="598" t="s">
        <v>21</v>
      </c>
      <c r="J535" s="599" t="s">
        <v>21</v>
      </c>
      <c r="K535" s="600" t="s">
        <v>21</v>
      </c>
      <c r="L535" s="599" t="s">
        <v>21</v>
      </c>
      <c r="M535" s="601">
        <v>622119.64066215302</v>
      </c>
      <c r="N535" s="293"/>
      <c r="O535" s="680"/>
      <c r="P535" s="362"/>
      <c r="Q535" s="578"/>
      <c r="R535" s="579">
        <v>1.8644999999999998</v>
      </c>
      <c r="S535" s="580"/>
      <c r="T535" s="578"/>
      <c r="U535" s="579">
        <v>1.8644999999999998</v>
      </c>
      <c r="V535" s="580"/>
      <c r="W535" s="578"/>
      <c r="X535" s="579">
        <v>1.8644999999999998</v>
      </c>
      <c r="Y535" s="580"/>
      <c r="Z535" s="578"/>
      <c r="AA535" s="579">
        <v>1.8644999999999998</v>
      </c>
      <c r="AB535" s="580"/>
      <c r="AC535" s="681"/>
      <c r="AD535" s="578" t="s">
        <v>21</v>
      </c>
      <c r="AE535" s="682" t="s">
        <v>21</v>
      </c>
      <c r="AF535" s="682" t="s">
        <v>21</v>
      </c>
      <c r="AG535" s="682" t="s">
        <v>21</v>
      </c>
      <c r="AH535" s="580" t="s">
        <v>21</v>
      </c>
      <c r="AI535" s="580" t="s">
        <v>21</v>
      </c>
      <c r="AK535" s="294" t="str">
        <f>IF(F535="", " ", VLOOKUP(F535,#REF!, 1, FALSE))</f>
        <v xml:space="preserve"> </v>
      </c>
    </row>
    <row r="536" spans="1:37" ht="36" x14ac:dyDescent="0.25">
      <c r="A536" s="587" t="s">
        <v>1916</v>
      </c>
      <c r="B536" s="369" t="s">
        <v>28</v>
      </c>
      <c r="C536" s="588"/>
      <c r="D536" s="589" t="s">
        <v>2614</v>
      </c>
      <c r="E536" s="44" t="s">
        <v>27</v>
      </c>
      <c r="F536" s="214">
        <v>101623</v>
      </c>
      <c r="G536" s="587" t="s">
        <v>1171</v>
      </c>
      <c r="H536" s="590" t="s">
        <v>44</v>
      </c>
      <c r="I536" s="591">
        <v>1164.9790000000003</v>
      </c>
      <c r="J536" s="592">
        <v>252.3</v>
      </c>
      <c r="K536" s="593">
        <v>0.2033513845915047</v>
      </c>
      <c r="L536" s="592">
        <v>303.60555433243667</v>
      </c>
      <c r="M536" s="594">
        <v>353694.09508064779</v>
      </c>
      <c r="O536" s="673"/>
      <c r="P536" s="361"/>
      <c r="Q536" s="441"/>
      <c r="R536" s="485"/>
      <c r="S536" s="442"/>
      <c r="T536" s="441">
        <v>875.14400000000023</v>
      </c>
      <c r="U536" s="485"/>
      <c r="V536" s="442"/>
      <c r="W536" s="578">
        <v>289.83500000000004</v>
      </c>
      <c r="X536" s="485"/>
      <c r="Y536" s="442"/>
      <c r="Z536" s="441"/>
      <c r="AA536" s="485"/>
      <c r="AB536" s="442"/>
      <c r="AC536" s="672"/>
      <c r="AD536" s="441">
        <v>67009.820629627284</v>
      </c>
      <c r="AE536" s="674">
        <v>261492.50715574011</v>
      </c>
      <c r="AF536" s="674">
        <v>25191.767295280384</v>
      </c>
      <c r="AG536" s="674">
        <v>0</v>
      </c>
      <c r="AH536" s="442">
        <v>0</v>
      </c>
      <c r="AI536" s="442">
        <v>5.8207660913467407E-11</v>
      </c>
      <c r="AK536" s="3" t="e">
        <f>IF(F536="", " ", VLOOKUP(F536,#REF!, 1, FALSE))</f>
        <v>#REF!</v>
      </c>
    </row>
    <row r="537" spans="1:37" ht="36" x14ac:dyDescent="0.25">
      <c r="A537" s="587" t="s">
        <v>1916</v>
      </c>
      <c r="B537" s="369" t="s">
        <v>28</v>
      </c>
      <c r="C537" s="588"/>
      <c r="D537" s="589" t="s">
        <v>2615</v>
      </c>
      <c r="E537" s="44" t="s">
        <v>27</v>
      </c>
      <c r="F537" s="214">
        <v>101624</v>
      </c>
      <c r="G537" s="587" t="s">
        <v>1168</v>
      </c>
      <c r="H537" s="590" t="s">
        <v>44</v>
      </c>
      <c r="I537" s="591">
        <v>1025.2089999999998</v>
      </c>
      <c r="J537" s="592">
        <v>217.58</v>
      </c>
      <c r="K537" s="593">
        <v>0.2033513845915047</v>
      </c>
      <c r="L537" s="592">
        <v>261.82519425941962</v>
      </c>
      <c r="M537" s="594">
        <v>268425.54558150528</v>
      </c>
      <c r="O537" s="673"/>
      <c r="P537" s="361"/>
      <c r="Q537" s="441"/>
      <c r="R537" s="485"/>
      <c r="S537" s="442"/>
      <c r="T537" s="441">
        <v>299.41300000000001</v>
      </c>
      <c r="U537" s="485"/>
      <c r="V537" s="442"/>
      <c r="W537" s="578">
        <v>725.79599999999971</v>
      </c>
      <c r="X537" s="485"/>
      <c r="Y537" s="442"/>
      <c r="Z537" s="441"/>
      <c r="AA537" s="485"/>
      <c r="AB537" s="442"/>
      <c r="AC537" s="672"/>
      <c r="AD537" s="441">
        <v>36221.040620796921</v>
      </c>
      <c r="AE537" s="674">
        <v>218485.90919424847</v>
      </c>
      <c r="AF537" s="674">
        <v>13718.595766459868</v>
      </c>
      <c r="AG537" s="674">
        <v>0</v>
      </c>
      <c r="AH537" s="442">
        <v>0</v>
      </c>
      <c r="AI537" s="442">
        <v>0</v>
      </c>
      <c r="AK537" s="3" t="e">
        <f>IF(F537="", " ", VLOOKUP(F537,#REF!, 1, FALSE))</f>
        <v>#REF!</v>
      </c>
    </row>
    <row r="538" spans="1:37" ht="36" hidden="1" x14ac:dyDescent="0.25">
      <c r="A538" s="587" t="s">
        <v>1851</v>
      </c>
      <c r="B538" s="369" t="s">
        <v>25</v>
      </c>
      <c r="C538" s="588"/>
      <c r="D538" s="589" t="s">
        <v>2616</v>
      </c>
      <c r="E538" s="44" t="s">
        <v>27</v>
      </c>
      <c r="F538" s="214">
        <v>95879</v>
      </c>
      <c r="G538" s="587" t="s">
        <v>789</v>
      </c>
      <c r="H538" s="590" t="s">
        <v>42</v>
      </c>
      <c r="I538" s="591">
        <f>IF($F538="","",IF('TRECHO(S) A IMPRIMIR'!$B$1= 1, SUM(Q538, T538, W538, Z538), IF('TRECHO(S) A IMPRIMIR'!$B$1= 2, T538, IF('TRECHO(S) A IMPRIMIR'!$B$1= 3, W538, 0))))</f>
        <v>0</v>
      </c>
      <c r="J538" s="592">
        <v>1.04</v>
      </c>
      <c r="K538" s="593">
        <f t="shared" si="76"/>
        <v>0.2033513845915047</v>
      </c>
      <c r="L538" s="592">
        <f t="shared" ref="L535:L541" si="91">IF(J538="","",
  IF(AND(J538&lt;&gt;"",K538=""),J538,J538 * (1 + K538)))</f>
        <v>1.2514854399751649</v>
      </c>
      <c r="M538" s="594">
        <f t="shared" ref="M536:M541" si="92">IF(OR(I538="",L538=""),"",I538*L538)</f>
        <v>0</v>
      </c>
      <c r="O538" s="673"/>
      <c r="P538" s="361"/>
      <c r="Q538" s="441">
        <f>SUM(Q536:Q537) * R535 * S538</f>
        <v>0</v>
      </c>
      <c r="R538" s="485"/>
      <c r="S538" s="442"/>
      <c r="T538" s="441">
        <f>SUM(T536:T537) * U535 * V538</f>
        <v>0</v>
      </c>
      <c r="U538" s="485"/>
      <c r="V538" s="1608"/>
      <c r="W538" s="441">
        <f>SUM(W536:W537) * X535 * Y538</f>
        <v>0</v>
      </c>
      <c r="X538" s="485"/>
      <c r="Y538" s="1608"/>
      <c r="Z538" s="441">
        <f>SUM(Z536:Z537) * AA535 * AB538</f>
        <v>0</v>
      </c>
      <c r="AA538" s="485"/>
      <c r="AB538" s="442"/>
      <c r="AC538" s="672"/>
      <c r="AD538" s="441" t="s">
        <v>21</v>
      </c>
      <c r="AE538" s="674" t="s">
        <v>21</v>
      </c>
      <c r="AF538" s="674" t="s">
        <v>21</v>
      </c>
      <c r="AG538" s="674" t="s">
        <v>21</v>
      </c>
      <c r="AH538" s="442" t="s">
        <v>21</v>
      </c>
      <c r="AI538" s="442" t="str">
        <f t="shared" ref="AI535:AI541" si="93">IF(SUM(AD538:AH538)=0,"",M538 - SUM(AD538:AH538))</f>
        <v/>
      </c>
      <c r="AK538" s="3" t="e">
        <f>IF(F538="", " ", VLOOKUP(F538,#REF!, 1, FALSE))</f>
        <v>#REF!</v>
      </c>
    </row>
    <row r="539" spans="1:37" ht="36" hidden="1" x14ac:dyDescent="0.25">
      <c r="A539" s="587" t="s">
        <v>1852</v>
      </c>
      <c r="B539" s="369" t="s">
        <v>25</v>
      </c>
      <c r="C539" s="588"/>
      <c r="D539" s="589" t="s">
        <v>2617</v>
      </c>
      <c r="E539" s="44" t="s">
        <v>27</v>
      </c>
      <c r="F539" s="214">
        <v>93599</v>
      </c>
      <c r="G539" s="587" t="s">
        <v>788</v>
      </c>
      <c r="H539" s="590" t="s">
        <v>42</v>
      </c>
      <c r="I539" s="591">
        <f>IF($F539="","",IF('TRECHO(S) A IMPRIMIR'!$B$1= 1, SUM(Q539, T539, W539, Z539), IF('TRECHO(S) A IMPRIMIR'!$B$1= 2, T539, IF('TRECHO(S) A IMPRIMIR'!$B$1= 3, W539, 0))))</f>
        <v>0</v>
      </c>
      <c r="J539" s="592">
        <v>0.41</v>
      </c>
      <c r="K539" s="593">
        <f t="shared" si="76"/>
        <v>0.2033513845915047</v>
      </c>
      <c r="L539" s="592">
        <f t="shared" si="91"/>
        <v>0.4933740676825169</v>
      </c>
      <c r="M539" s="594">
        <f t="shared" si="92"/>
        <v>0</v>
      </c>
      <c r="O539" s="673"/>
      <c r="P539" s="361"/>
      <c r="Q539" s="441">
        <f>SUM(Q536:Q537) * R535 * S539</f>
        <v>0</v>
      </c>
      <c r="R539" s="485"/>
      <c r="S539" s="442"/>
      <c r="T539" s="441">
        <f>SUM(T536:T537) * U535 * V539</f>
        <v>0</v>
      </c>
      <c r="U539" s="485"/>
      <c r="V539" s="1608"/>
      <c r="W539" s="441">
        <f>SUM(W536:W537) * X535 * Y539</f>
        <v>0</v>
      </c>
      <c r="X539" s="485"/>
      <c r="Y539" s="1608"/>
      <c r="Z539" s="441">
        <f>SUM(Z536:Z537) * AA535 * AB539</f>
        <v>0</v>
      </c>
      <c r="AA539" s="485"/>
      <c r="AB539" s="442"/>
      <c r="AC539" s="672"/>
      <c r="AD539" s="441" t="s">
        <v>21</v>
      </c>
      <c r="AE539" s="674" t="s">
        <v>21</v>
      </c>
      <c r="AF539" s="674" t="s">
        <v>21</v>
      </c>
      <c r="AG539" s="674" t="s">
        <v>21</v>
      </c>
      <c r="AH539" s="442" t="s">
        <v>21</v>
      </c>
      <c r="AI539" s="442" t="str">
        <f t="shared" si="93"/>
        <v/>
      </c>
      <c r="AK539" s="3" t="e">
        <f>IF(F539="", " ", VLOOKUP(F539,#REF!, 1, FALSE))</f>
        <v>#REF!</v>
      </c>
    </row>
    <row r="540" spans="1:37" ht="36" hidden="1" x14ac:dyDescent="0.25">
      <c r="A540" s="587" t="s">
        <v>1917</v>
      </c>
      <c r="B540" s="369" t="s">
        <v>25</v>
      </c>
      <c r="C540" s="588"/>
      <c r="D540" s="589" t="s">
        <v>2618</v>
      </c>
      <c r="E540" s="44" t="s">
        <v>27</v>
      </c>
      <c r="F540" s="214">
        <v>100943</v>
      </c>
      <c r="G540" s="587" t="s">
        <v>786</v>
      </c>
      <c r="H540" s="590" t="s">
        <v>42</v>
      </c>
      <c r="I540" s="591">
        <f>IF($F540="","",IF('TRECHO(S) A IMPRIMIR'!$B$1= 1, SUM(Q540, T540, W540, Z540), IF('TRECHO(S) A IMPRIMIR'!$B$1= 2, T540, IF('TRECHO(S) A IMPRIMIR'!$B$1= 3, W540, 0))))</f>
        <v>0</v>
      </c>
      <c r="J540" s="592">
        <v>3.1</v>
      </c>
      <c r="K540" s="593">
        <f t="shared" si="76"/>
        <v>0.2033513845915047</v>
      </c>
      <c r="L540" s="592">
        <f t="shared" si="91"/>
        <v>3.7303892922336646</v>
      </c>
      <c r="M540" s="594">
        <f t="shared" si="92"/>
        <v>0</v>
      </c>
      <c r="O540" s="673"/>
      <c r="P540" s="361"/>
      <c r="Q540" s="441">
        <f>SUM(Q536:Q537) * R535 * S540</f>
        <v>0</v>
      </c>
      <c r="R540" s="485"/>
      <c r="S540" s="442"/>
      <c r="T540" s="441">
        <f>SUM(T536:T537) * U535 * V540</f>
        <v>0</v>
      </c>
      <c r="U540" s="485"/>
      <c r="V540" s="1608"/>
      <c r="W540" s="441">
        <f>SUM(W536:W537) * X535 * Y540</f>
        <v>0</v>
      </c>
      <c r="X540" s="485"/>
      <c r="Y540" s="1608"/>
      <c r="Z540" s="441">
        <f>SUM(Z536:Z537) * AA535 * AB540</f>
        <v>0</v>
      </c>
      <c r="AA540" s="485"/>
      <c r="AB540" s="442"/>
      <c r="AC540" s="672"/>
      <c r="AD540" s="441" t="s">
        <v>21</v>
      </c>
      <c r="AE540" s="674" t="s">
        <v>21</v>
      </c>
      <c r="AF540" s="674" t="s">
        <v>21</v>
      </c>
      <c r="AG540" s="674" t="s">
        <v>21</v>
      </c>
      <c r="AH540" s="442" t="s">
        <v>21</v>
      </c>
      <c r="AI540" s="442" t="str">
        <f t="shared" si="93"/>
        <v/>
      </c>
      <c r="AK540" s="3" t="e">
        <f>IF(F540="", " ", VLOOKUP(F540,#REF!, 1, FALSE))</f>
        <v>#REF!</v>
      </c>
    </row>
    <row r="541" spans="1:37" x14ac:dyDescent="0.25">
      <c r="A541" s="587"/>
      <c r="B541" s="369"/>
      <c r="C541" s="588"/>
      <c r="D541" s="589"/>
      <c r="E541" s="44"/>
      <c r="F541" s="214"/>
      <c r="G541" s="587" t="s">
        <v>21</v>
      </c>
      <c r="H541" s="590" t="s">
        <v>21</v>
      </c>
      <c r="I541" s="591" t="str">
        <f>IF($F541="","",IF('TRECHO(S) A IMPRIMIR'!$B$1= 1, SUM(Q541, T541, W541, Z541), IF('TRECHO(S) A IMPRIMIR'!$B$1= 2, T541, IF('TRECHO(S) A IMPRIMIR'!$B$1= 3, W541, 0))))</f>
        <v/>
      </c>
      <c r="J541" s="592" t="s">
        <v>21</v>
      </c>
      <c r="K541" s="593" t="str">
        <f t="shared" ref="K541:K604" si="94">IF(AND(F541&lt;&gt;"", J541&lt;&gt;""),
  IF(OR(F541= "CP9001", F541= "CP9091", F541= "CP9092"), 0,
  IF(ISNA(VLOOKUP(F541, $M$626:$M$646, 1, FALSE)), $M$4, $M$5)), "")</f>
        <v/>
      </c>
      <c r="L541" s="592" t="str">
        <f t="shared" si="91"/>
        <v/>
      </c>
      <c r="M541" s="594" t="str">
        <f t="shared" si="92"/>
        <v/>
      </c>
      <c r="O541" s="673"/>
      <c r="P541" s="361"/>
      <c r="Q541" s="441"/>
      <c r="R541" s="485"/>
      <c r="S541" s="442"/>
      <c r="T541" s="441"/>
      <c r="U541" s="485"/>
      <c r="V541" s="442"/>
      <c r="W541" s="578"/>
      <c r="X541" s="485"/>
      <c r="Y541" s="442"/>
      <c r="Z541" s="441"/>
      <c r="AA541" s="485"/>
      <c r="AB541" s="442"/>
      <c r="AC541" s="672"/>
      <c r="AD541" s="441" t="s">
        <v>21</v>
      </c>
      <c r="AE541" s="674" t="s">
        <v>21</v>
      </c>
      <c r="AF541" s="674" t="s">
        <v>21</v>
      </c>
      <c r="AG541" s="674" t="s">
        <v>21</v>
      </c>
      <c r="AH541" s="442" t="s">
        <v>21</v>
      </c>
      <c r="AI541" s="442" t="s">
        <v>21</v>
      </c>
      <c r="AK541" s="3" t="str">
        <f>IF(F541="", " ", VLOOKUP(F541,#REF!, 1, FALSE))</f>
        <v xml:space="preserve"> </v>
      </c>
    </row>
    <row r="542" spans="1:37" ht="24" x14ac:dyDescent="0.25">
      <c r="A542" s="587" t="s">
        <v>2419</v>
      </c>
      <c r="B542" s="369"/>
      <c r="C542" s="588"/>
      <c r="D542" s="589" t="s">
        <v>2317</v>
      </c>
      <c r="E542" s="44"/>
      <c r="F542" s="214"/>
      <c r="G542" s="587" t="s">
        <v>2419</v>
      </c>
      <c r="H542" s="590" t="s">
        <v>21</v>
      </c>
      <c r="I542" s="591" t="s">
        <v>21</v>
      </c>
      <c r="J542" s="592" t="s">
        <v>21</v>
      </c>
      <c r="K542" s="593" t="s">
        <v>21</v>
      </c>
      <c r="L542" s="592" t="s">
        <v>21</v>
      </c>
      <c r="M542" s="594">
        <v>3023071.9742962914</v>
      </c>
      <c r="O542" s="673"/>
      <c r="P542" s="361"/>
      <c r="Q542" s="441"/>
      <c r="R542" s="485"/>
      <c r="S542" s="442"/>
      <c r="T542" s="441"/>
      <c r="U542" s="485"/>
      <c r="V542" s="442"/>
      <c r="W542" s="578"/>
      <c r="X542" s="485"/>
      <c r="Y542" s="442"/>
      <c r="Z542" s="441"/>
      <c r="AA542" s="485"/>
      <c r="AB542" s="442"/>
      <c r="AC542" s="672"/>
      <c r="AD542" s="441" t="s">
        <v>21</v>
      </c>
      <c r="AE542" s="674" t="s">
        <v>21</v>
      </c>
      <c r="AF542" s="674" t="s">
        <v>21</v>
      </c>
      <c r="AG542" s="674" t="s">
        <v>21</v>
      </c>
      <c r="AH542" s="442" t="s">
        <v>21</v>
      </c>
      <c r="AI542" s="442" t="s">
        <v>21</v>
      </c>
      <c r="AK542" s="3" t="str">
        <f>IF(F542="", " ", VLOOKUP(F542,#REF!, 1, FALSE))</f>
        <v xml:space="preserve"> </v>
      </c>
    </row>
    <row r="543" spans="1:37" hidden="1" x14ac:dyDescent="0.25">
      <c r="A543" s="587" t="s">
        <v>2369</v>
      </c>
      <c r="B543" s="369" t="s">
        <v>26</v>
      </c>
      <c r="C543" s="588"/>
      <c r="D543" s="589" t="s">
        <v>2619</v>
      </c>
      <c r="E543" s="44" t="s">
        <v>138</v>
      </c>
      <c r="F543" s="214" t="s">
        <v>2333</v>
      </c>
      <c r="G543" s="587" t="s">
        <v>2351</v>
      </c>
      <c r="H543" s="590" t="s">
        <v>22</v>
      </c>
      <c r="I543" s="591">
        <f>IF($F543="","",IF('TRECHO(S) A IMPRIMIR'!$B$1= 1, SUM(Q543, T543, W543, Z543), IF('TRECHO(S) A IMPRIMIR'!$B$1= 2, T543, IF('TRECHO(S) A IMPRIMIR'!$B$1= 3, W543, 0))))</f>
        <v>0</v>
      </c>
      <c r="J543" s="592">
        <v>48.144249999999992</v>
      </c>
      <c r="K543" s="593">
        <f t="shared" si="94"/>
        <v>0.11096635744680849</v>
      </c>
      <c r="L543" s="592">
        <f t="shared" ref="L530:L551" si="95">IF(J543="","",
  IF(AND(J543&lt;&gt;"",K543=""),J543,J543 * (1 + K543)))</f>
        <v>53.486642054508501</v>
      </c>
      <c r="M543" s="594">
        <f t="shared" si="89"/>
        <v>0</v>
      </c>
      <c r="O543" s="673"/>
      <c r="P543" s="361"/>
      <c r="Q543" s="441"/>
      <c r="R543" s="485">
        <f>'04-MLQ-DR-TIPOL E DIMENS'!$B$9</f>
        <v>0.2465</v>
      </c>
      <c r="S543" s="442"/>
      <c r="T543" s="441"/>
      <c r="U543" s="485">
        <f>'04-MLQ-DR-TIPOL E DIMENS'!$B$9</f>
        <v>0.2465</v>
      </c>
      <c r="V543" s="442"/>
      <c r="W543" s="578"/>
      <c r="X543" s="485">
        <f>'04-MLQ-DR-TIPOL E DIMENS'!$B$9</f>
        <v>0.2465</v>
      </c>
      <c r="Y543" s="442"/>
      <c r="Z543" s="441"/>
      <c r="AA543" s="485">
        <f>'04-MLQ-DR-TIPOL E DIMENS'!$B$9</f>
        <v>0.2465</v>
      </c>
      <c r="AB543" s="442"/>
      <c r="AC543" s="672"/>
      <c r="AD543" s="441" t="s">
        <v>21</v>
      </c>
      <c r="AE543" s="674" t="s">
        <v>21</v>
      </c>
      <c r="AF543" s="674" t="s">
        <v>21</v>
      </c>
      <c r="AG543" s="674" t="s">
        <v>21</v>
      </c>
      <c r="AH543" s="442" t="s">
        <v>21</v>
      </c>
      <c r="AI543" s="442" t="str">
        <f t="shared" ref="AI542:AI569" si="96">IF(SUM(AD543:AH543)=0,"",M543 - SUM(AD543:AH543))</f>
        <v/>
      </c>
      <c r="AK543" s="3" t="e">
        <f>IF(F543="", " ", VLOOKUP(F543,#REF!, 1, FALSE))</f>
        <v>#REF!</v>
      </c>
    </row>
    <row r="544" spans="1:37" s="294" customFormat="1" hidden="1" x14ac:dyDescent="0.25">
      <c r="A544" s="595" t="s">
        <v>2370</v>
      </c>
      <c r="B544" s="369" t="s">
        <v>26</v>
      </c>
      <c r="C544" s="596"/>
      <c r="D544" s="589" t="s">
        <v>2620</v>
      </c>
      <c r="E544" s="44" t="s">
        <v>138</v>
      </c>
      <c r="F544" s="214" t="s">
        <v>2334</v>
      </c>
      <c r="G544" s="595" t="s">
        <v>2368</v>
      </c>
      <c r="H544" s="597" t="s">
        <v>22</v>
      </c>
      <c r="I544" s="598">
        <f>IF($F544="","",IF('TRECHO(S) A IMPRIMIR'!$B$1= 1, SUM(Q544, T544, W544, Z544), IF('TRECHO(S) A IMPRIMIR'!$B$1= 2, T544, IF('TRECHO(S) A IMPRIMIR'!$B$1= 3, W544, 0))))</f>
        <v>0</v>
      </c>
      <c r="J544" s="599">
        <v>71.657749999999993</v>
      </c>
      <c r="K544" s="600">
        <f t="shared" si="94"/>
        <v>0.11096635744680849</v>
      </c>
      <c r="L544" s="599">
        <f t="shared" si="95"/>
        <v>79.609349500334034</v>
      </c>
      <c r="M544" s="601">
        <f t="shared" si="89"/>
        <v>0</v>
      </c>
      <c r="N544" s="293"/>
      <c r="O544" s="680"/>
      <c r="P544" s="362"/>
      <c r="Q544" s="578"/>
      <c r="R544" s="579">
        <f>'04-MLQ-DR-TIPOL E DIMENS'!$C$9</f>
        <v>0.33699999999999997</v>
      </c>
      <c r="S544" s="580"/>
      <c r="T544" s="578"/>
      <c r="U544" s="579">
        <f>'04-MLQ-DR-TIPOL E DIMENS'!$C$9</f>
        <v>0.33699999999999997</v>
      </c>
      <c r="V544" s="580"/>
      <c r="W544" s="578"/>
      <c r="X544" s="579">
        <f>'04-MLQ-DR-TIPOL E DIMENS'!$C$9</f>
        <v>0.33699999999999997</v>
      </c>
      <c r="Y544" s="580"/>
      <c r="Z544" s="578"/>
      <c r="AA544" s="579">
        <f>'04-MLQ-DR-TIPOL E DIMENS'!$C$9</f>
        <v>0.33699999999999997</v>
      </c>
      <c r="AB544" s="580"/>
      <c r="AC544" s="681"/>
      <c r="AD544" s="578" t="s">
        <v>21</v>
      </c>
      <c r="AE544" s="682" t="s">
        <v>21</v>
      </c>
      <c r="AF544" s="682" t="s">
        <v>21</v>
      </c>
      <c r="AG544" s="682" t="s">
        <v>21</v>
      </c>
      <c r="AH544" s="580" t="s">
        <v>21</v>
      </c>
      <c r="AI544" s="580" t="str">
        <f t="shared" si="96"/>
        <v/>
      </c>
      <c r="AK544" s="294" t="e">
        <f>IF(F544="", " ", VLOOKUP(F544,#REF!, 1, FALSE))</f>
        <v>#REF!</v>
      </c>
    </row>
    <row r="545" spans="1:37" x14ac:dyDescent="0.25">
      <c r="A545" s="587" t="s">
        <v>2371</v>
      </c>
      <c r="B545" s="369" t="s">
        <v>26</v>
      </c>
      <c r="C545" s="588"/>
      <c r="D545" s="589" t="s">
        <v>2621</v>
      </c>
      <c r="E545" s="44" t="s">
        <v>138</v>
      </c>
      <c r="F545" s="214" t="s">
        <v>2335</v>
      </c>
      <c r="G545" s="587" t="s">
        <v>2355</v>
      </c>
      <c r="H545" s="590" t="s">
        <v>22</v>
      </c>
      <c r="I545" s="591">
        <v>167.60000000000002</v>
      </c>
      <c r="J545" s="592">
        <v>85.772000000000006</v>
      </c>
      <c r="K545" s="593">
        <v>0.11096635744680849</v>
      </c>
      <c r="L545" s="592">
        <v>95.289806410927667</v>
      </c>
      <c r="M545" s="594">
        <v>15970.571554471479</v>
      </c>
      <c r="O545" s="673"/>
      <c r="P545" s="361"/>
      <c r="Q545" s="441"/>
      <c r="R545" s="485">
        <v>0.45999999999999996</v>
      </c>
      <c r="S545" s="442"/>
      <c r="T545" s="441">
        <v>124.4</v>
      </c>
      <c r="U545" s="485">
        <v>0.45999999999999996</v>
      </c>
      <c r="V545" s="442"/>
      <c r="W545" s="578">
        <v>43.2</v>
      </c>
      <c r="X545" s="485">
        <v>0.45999999999999996</v>
      </c>
      <c r="Y545" s="442"/>
      <c r="Z545" s="441"/>
      <c r="AA545" s="485">
        <v>0.45999999999999996</v>
      </c>
      <c r="AB545" s="442"/>
      <c r="AC545" s="672"/>
      <c r="AD545" s="441">
        <v>0</v>
      </c>
      <c r="AE545" s="674">
        <v>15970.571554471479</v>
      </c>
      <c r="AF545" s="674">
        <v>0</v>
      </c>
      <c r="AG545" s="674">
        <v>0</v>
      </c>
      <c r="AH545" s="442">
        <v>0</v>
      </c>
      <c r="AI545" s="442">
        <v>0</v>
      </c>
      <c r="AK545" s="3" t="e">
        <f>IF(F545="", " ", VLOOKUP(F545,#REF!, 1, FALSE))</f>
        <v>#REF!</v>
      </c>
    </row>
    <row r="546" spans="1:37" x14ac:dyDescent="0.25">
      <c r="A546" s="587" t="s">
        <v>2372</v>
      </c>
      <c r="B546" s="369" t="s">
        <v>26</v>
      </c>
      <c r="C546" s="588"/>
      <c r="D546" s="589" t="s">
        <v>2622</v>
      </c>
      <c r="E546" s="44" t="s">
        <v>138</v>
      </c>
      <c r="F546" s="214" t="s">
        <v>2336</v>
      </c>
      <c r="G546" s="587" t="s">
        <v>2354</v>
      </c>
      <c r="H546" s="590" t="s">
        <v>22</v>
      </c>
      <c r="I546" s="591">
        <v>8392.630000000001</v>
      </c>
      <c r="J546" s="592">
        <v>171.708</v>
      </c>
      <c r="K546" s="593">
        <v>0.11096635744680849</v>
      </c>
      <c r="L546" s="592">
        <v>190.76181130447659</v>
      </c>
      <c r="M546" s="594">
        <v>1600993.3004082895</v>
      </c>
      <c r="O546" s="673"/>
      <c r="P546" s="361"/>
      <c r="Q546" s="441"/>
      <c r="R546" s="485">
        <v>0.45999999999999996</v>
      </c>
      <c r="S546" s="442"/>
      <c r="T546" s="441">
        <v>5974.5</v>
      </c>
      <c r="U546" s="485">
        <v>0.45999999999999996</v>
      </c>
      <c r="V546" s="442"/>
      <c r="W546" s="578">
        <v>2418.13</v>
      </c>
      <c r="X546" s="485">
        <v>0.45999999999999996</v>
      </c>
      <c r="Y546" s="442"/>
      <c r="Z546" s="441"/>
      <c r="AA546" s="485">
        <v>0.45999999999999996</v>
      </c>
      <c r="AB546" s="442"/>
      <c r="AC546" s="672"/>
      <c r="AD546" s="441">
        <v>0</v>
      </c>
      <c r="AE546" s="674">
        <v>1600993.3004082895</v>
      </c>
      <c r="AF546" s="674">
        <v>0</v>
      </c>
      <c r="AG546" s="674">
        <v>0</v>
      </c>
      <c r="AH546" s="442">
        <v>0</v>
      </c>
      <c r="AI546" s="442">
        <v>0</v>
      </c>
      <c r="AK546" s="3" t="e">
        <f>IF(F546="", " ", VLOOKUP(F546,#REF!, 1, FALSE))</f>
        <v>#REF!</v>
      </c>
    </row>
    <row r="547" spans="1:37" x14ac:dyDescent="0.25">
      <c r="A547" s="587" t="s">
        <v>2373</v>
      </c>
      <c r="B547" s="369" t="s">
        <v>26</v>
      </c>
      <c r="C547" s="588"/>
      <c r="D547" s="589" t="s">
        <v>2623</v>
      </c>
      <c r="E547" s="44" t="s">
        <v>138</v>
      </c>
      <c r="F547" s="214" t="s">
        <v>2337</v>
      </c>
      <c r="G547" s="587" t="s">
        <v>2356</v>
      </c>
      <c r="H547" s="590" t="s">
        <v>22</v>
      </c>
      <c r="I547" s="591">
        <v>1370.34</v>
      </c>
      <c r="J547" s="592">
        <v>285.69824999999997</v>
      </c>
      <c r="K547" s="593">
        <v>0.11096635744680849</v>
      </c>
      <c r="L547" s="592">
        <v>317.4011441314276</v>
      </c>
      <c r="M547" s="594">
        <v>434947.48384906049</v>
      </c>
      <c r="O547" s="673"/>
      <c r="P547" s="361"/>
      <c r="Q547" s="441"/>
      <c r="R547" s="485">
        <v>0.79</v>
      </c>
      <c r="S547" s="442"/>
      <c r="T547" s="441">
        <v>476.61</v>
      </c>
      <c r="U547" s="485">
        <v>0.79</v>
      </c>
      <c r="V547" s="442"/>
      <c r="W547" s="578">
        <v>893.7299999999999</v>
      </c>
      <c r="X547" s="485">
        <v>0.79</v>
      </c>
      <c r="Y547" s="442"/>
      <c r="Z547" s="441"/>
      <c r="AA547" s="485">
        <v>0.79</v>
      </c>
      <c r="AB547" s="442"/>
      <c r="AC547" s="672"/>
      <c r="AD547" s="441">
        <v>0</v>
      </c>
      <c r="AE547" s="674">
        <v>434947.48384906055</v>
      </c>
      <c r="AF547" s="674">
        <v>0</v>
      </c>
      <c r="AG547" s="674">
        <v>0</v>
      </c>
      <c r="AH547" s="442">
        <v>0</v>
      </c>
      <c r="AI547" s="442">
        <v>-5.8207660913467407E-11</v>
      </c>
      <c r="AK547" s="3" t="e">
        <f>IF(F547="", " ", VLOOKUP(F547,#REF!, 1, FALSE))</f>
        <v>#REF!</v>
      </c>
    </row>
    <row r="548" spans="1:37" ht="24" x14ac:dyDescent="0.25">
      <c r="A548" s="587" t="s">
        <v>2374</v>
      </c>
      <c r="B548" s="369" t="s">
        <v>26</v>
      </c>
      <c r="C548" s="588"/>
      <c r="D548" s="589" t="s">
        <v>2624</v>
      </c>
      <c r="E548" s="44" t="s">
        <v>138</v>
      </c>
      <c r="F548" s="214" t="s">
        <v>2338</v>
      </c>
      <c r="G548" s="587" t="s">
        <v>2361</v>
      </c>
      <c r="H548" s="590" t="s">
        <v>22</v>
      </c>
      <c r="I548" s="591">
        <v>199.82000000000002</v>
      </c>
      <c r="J548" s="592">
        <v>334.75474999999994</v>
      </c>
      <c r="K548" s="593">
        <v>0.11096635744680849</v>
      </c>
      <c r="L548" s="592">
        <v>371.90126524551698</v>
      </c>
      <c r="M548" s="594">
        <v>74313.310821359206</v>
      </c>
      <c r="O548" s="673"/>
      <c r="P548" s="361"/>
      <c r="Q548" s="441"/>
      <c r="R548" s="485">
        <v>1.21835</v>
      </c>
      <c r="S548" s="442"/>
      <c r="T548" s="441">
        <v>65.180000000000007</v>
      </c>
      <c r="U548" s="485">
        <v>1.21835</v>
      </c>
      <c r="V548" s="442"/>
      <c r="W548" s="578">
        <v>134.64000000000001</v>
      </c>
      <c r="X548" s="485">
        <v>1.21835</v>
      </c>
      <c r="Y548" s="442"/>
      <c r="Z548" s="441"/>
      <c r="AA548" s="485">
        <v>1.21835</v>
      </c>
      <c r="AB548" s="442"/>
      <c r="AC548" s="672"/>
      <c r="AD548" s="441">
        <v>0</v>
      </c>
      <c r="AE548" s="674">
        <v>74313.310821359206</v>
      </c>
      <c r="AF548" s="674">
        <v>0</v>
      </c>
      <c r="AG548" s="674">
        <v>0</v>
      </c>
      <c r="AH548" s="442">
        <v>0</v>
      </c>
      <c r="AI548" s="442">
        <v>0</v>
      </c>
      <c r="AK548" s="3" t="e">
        <f>IF(F548="", " ", VLOOKUP(F548,#REF!, 1, FALSE))</f>
        <v>#REF!</v>
      </c>
    </row>
    <row r="549" spans="1:37" ht="24" hidden="1" x14ac:dyDescent="0.25">
      <c r="A549" s="587" t="s">
        <v>2375</v>
      </c>
      <c r="B549" s="369" t="s">
        <v>26</v>
      </c>
      <c r="C549" s="588"/>
      <c r="D549" s="589" t="s">
        <v>2625</v>
      </c>
      <c r="E549" s="44" t="s">
        <v>138</v>
      </c>
      <c r="F549" s="214" t="s">
        <v>2339</v>
      </c>
      <c r="G549" s="587" t="s">
        <v>2362</v>
      </c>
      <c r="H549" s="590" t="s">
        <v>22</v>
      </c>
      <c r="I549" s="591">
        <f>IF($F549="","",IF('TRECHO(S) A IMPRIMIR'!$B$1= 1, SUM(Q549, T549, W549, Z549), IF('TRECHO(S) A IMPRIMIR'!$B$1= 2, T549, IF('TRECHO(S) A IMPRIMIR'!$B$1= 3, W549, 0))))</f>
        <v>0</v>
      </c>
      <c r="J549" s="592">
        <v>499.96424999999994</v>
      </c>
      <c r="K549" s="593">
        <f t="shared" si="94"/>
        <v>0.11096635744680849</v>
      </c>
      <c r="L549" s="592">
        <f t="shared" si="95"/>
        <v>555.44346167612548</v>
      </c>
      <c r="M549" s="594">
        <f t="shared" si="89"/>
        <v>0</v>
      </c>
      <c r="O549" s="673"/>
      <c r="P549" s="361"/>
      <c r="Q549" s="441"/>
      <c r="R549" s="485">
        <f>'04-MLQ-DR-TIPOL E DIMENS'!$H$10</f>
        <v>1.3973333333333333</v>
      </c>
      <c r="S549" s="442"/>
      <c r="T549" s="441">
        <f>'04-MLQ-DR-TR1'!BF339</f>
        <v>0</v>
      </c>
      <c r="U549" s="485">
        <f>'04-MLQ-DR-TIPOL E DIMENS'!$H$10</f>
        <v>1.3973333333333333</v>
      </c>
      <c r="V549" s="442"/>
      <c r="W549" s="578">
        <f>'04-MLQ-DR-TR3'!BF268</f>
        <v>0</v>
      </c>
      <c r="X549" s="485">
        <f>'04-MLQ-DR-TIPOL E DIMENS'!$H$10</f>
        <v>1.3973333333333333</v>
      </c>
      <c r="Y549" s="442"/>
      <c r="Z549" s="441"/>
      <c r="AA549" s="485">
        <f>'04-MLQ-DR-TIPOL E DIMENS'!$H$10</f>
        <v>1.3973333333333333</v>
      </c>
      <c r="AB549" s="442"/>
      <c r="AC549" s="672"/>
      <c r="AD549" s="441" t="s">
        <v>21</v>
      </c>
      <c r="AE549" s="674" t="s">
        <v>21</v>
      </c>
      <c r="AF549" s="674" t="s">
        <v>21</v>
      </c>
      <c r="AG549" s="674" t="s">
        <v>21</v>
      </c>
      <c r="AH549" s="442" t="s">
        <v>21</v>
      </c>
      <c r="AI549" s="442" t="str">
        <f t="shared" si="96"/>
        <v/>
      </c>
      <c r="AK549" s="3" t="e">
        <f>IF(F549="", " ", VLOOKUP(F549,#REF!, 1, FALSE))</f>
        <v>#REF!</v>
      </c>
    </row>
    <row r="550" spans="1:37" ht="24" hidden="1" x14ac:dyDescent="0.25">
      <c r="A550" s="587" t="s">
        <v>2376</v>
      </c>
      <c r="B550" s="369" t="s">
        <v>26</v>
      </c>
      <c r="C550" s="588"/>
      <c r="D550" s="589" t="s">
        <v>2626</v>
      </c>
      <c r="E550" s="44" t="s">
        <v>138</v>
      </c>
      <c r="F550" s="214" t="s">
        <v>2340</v>
      </c>
      <c r="G550" s="587" t="s">
        <v>2367</v>
      </c>
      <c r="H550" s="590" t="s">
        <v>22</v>
      </c>
      <c r="I550" s="591">
        <f>IF($F550="","",IF('TRECHO(S) A IMPRIMIR'!$B$1= 1, SUM(Q550, T550, W550, Z550), IF('TRECHO(S) A IMPRIMIR'!$B$1= 2, T550, IF('TRECHO(S) A IMPRIMIR'!$B$1= 3, W550, 0))))</f>
        <v>0</v>
      </c>
      <c r="J550" s="592">
        <v>724.34699999999987</v>
      </c>
      <c r="K550" s="593">
        <f t="shared" si="94"/>
        <v>0.11096635744680849</v>
      </c>
      <c r="L550" s="592">
        <f t="shared" si="95"/>
        <v>804.72514811752319</v>
      </c>
      <c r="M550" s="594">
        <f t="shared" si="89"/>
        <v>0</v>
      </c>
      <c r="O550" s="673"/>
      <c r="P550" s="361"/>
      <c r="Q550" s="441"/>
      <c r="R550" s="485">
        <f>'04-MLQ-DR-TIPOL E DIMENS'!$I$10</f>
        <v>2.1800000000000002</v>
      </c>
      <c r="S550" s="442"/>
      <c r="T550" s="441">
        <f>'04-MLQ-DR-TR1'!BF340</f>
        <v>0</v>
      </c>
      <c r="U550" s="485">
        <f>'04-MLQ-DR-TIPOL E DIMENS'!$I$10</f>
        <v>2.1800000000000002</v>
      </c>
      <c r="V550" s="442"/>
      <c r="W550" s="578">
        <f>'04-MLQ-DR-TR3'!BF269</f>
        <v>0</v>
      </c>
      <c r="X550" s="485">
        <f>'04-MLQ-DR-TIPOL E DIMENS'!$I$10</f>
        <v>2.1800000000000002</v>
      </c>
      <c r="Y550" s="442"/>
      <c r="Z550" s="441"/>
      <c r="AA550" s="485">
        <f>'04-MLQ-DR-TIPOL E DIMENS'!$I$10</f>
        <v>2.1800000000000002</v>
      </c>
      <c r="AB550" s="442"/>
      <c r="AC550" s="672"/>
      <c r="AD550" s="441" t="s">
        <v>21</v>
      </c>
      <c r="AE550" s="674" t="s">
        <v>21</v>
      </c>
      <c r="AF550" s="674" t="s">
        <v>21</v>
      </c>
      <c r="AG550" s="674" t="s">
        <v>21</v>
      </c>
      <c r="AH550" s="442" t="s">
        <v>21</v>
      </c>
      <c r="AI550" s="442" t="str">
        <f t="shared" si="96"/>
        <v/>
      </c>
      <c r="AK550" s="3" t="e">
        <f>IF(F550="", " ", VLOOKUP(F550,#REF!, 1, FALSE))</f>
        <v>#REF!</v>
      </c>
    </row>
    <row r="551" spans="1:37" x14ac:dyDescent="0.25">
      <c r="A551" s="587" t="s">
        <v>2377</v>
      </c>
      <c r="B551" s="369" t="s">
        <v>26</v>
      </c>
      <c r="C551" s="588"/>
      <c r="D551" s="589" t="s">
        <v>2627</v>
      </c>
      <c r="E551" s="44" t="s">
        <v>138</v>
      </c>
      <c r="F551" s="214" t="s">
        <v>2341</v>
      </c>
      <c r="G551" s="587" t="s">
        <v>2353</v>
      </c>
      <c r="H551" s="590" t="s">
        <v>22</v>
      </c>
      <c r="I551" s="591">
        <v>377.07000000000005</v>
      </c>
      <c r="J551" s="592">
        <v>148.9735</v>
      </c>
      <c r="K551" s="593">
        <v>0.11096635744680849</v>
      </c>
      <c r="L551" s="592">
        <v>165.50454665110212</v>
      </c>
      <c r="M551" s="594">
        <v>62406.799405731086</v>
      </c>
      <c r="O551" s="673"/>
      <c r="P551" s="361"/>
      <c r="Q551" s="441"/>
      <c r="R551" s="485">
        <v>0.45999999999999996</v>
      </c>
      <c r="S551" s="442"/>
      <c r="T551" s="441">
        <v>152.13</v>
      </c>
      <c r="U551" s="485">
        <v>0.45999999999999996</v>
      </c>
      <c r="V551" s="442"/>
      <c r="W551" s="578">
        <v>224.94000000000003</v>
      </c>
      <c r="X551" s="485">
        <v>0.45999999999999996</v>
      </c>
      <c r="Y551" s="442"/>
      <c r="Z551" s="441"/>
      <c r="AA551" s="485">
        <v>0.45999999999999996</v>
      </c>
      <c r="AB551" s="442"/>
      <c r="AC551" s="672"/>
      <c r="AD551" s="441">
        <v>0</v>
      </c>
      <c r="AE551" s="674">
        <v>62406.799405731086</v>
      </c>
      <c r="AF551" s="674">
        <v>0</v>
      </c>
      <c r="AG551" s="674">
        <v>0</v>
      </c>
      <c r="AH551" s="442">
        <v>0</v>
      </c>
      <c r="AI551" s="442">
        <v>0</v>
      </c>
      <c r="AK551" s="3" t="e">
        <f>IF(F551="", " ", VLOOKUP(F551,#REF!, 1, FALSE))</f>
        <v>#REF!</v>
      </c>
    </row>
    <row r="552" spans="1:37" x14ac:dyDescent="0.25">
      <c r="A552" s="587" t="s">
        <v>2378</v>
      </c>
      <c r="B552" s="369" t="s">
        <v>26</v>
      </c>
      <c r="C552" s="588"/>
      <c r="D552" s="589" t="s">
        <v>2628</v>
      </c>
      <c r="E552" s="44" t="s">
        <v>138</v>
      </c>
      <c r="F552" s="214" t="s">
        <v>2342</v>
      </c>
      <c r="G552" s="587" t="s">
        <v>2357</v>
      </c>
      <c r="H552" s="590" t="s">
        <v>22</v>
      </c>
      <c r="I552" s="591">
        <v>691.62</v>
      </c>
      <c r="J552" s="592">
        <v>277.75450000000001</v>
      </c>
      <c r="K552" s="593">
        <v>0.11096635744680849</v>
      </c>
      <c r="L552" s="592">
        <v>308.57590512945956</v>
      </c>
      <c r="M552" s="594">
        <v>213417.26750563682</v>
      </c>
      <c r="N552" s="439"/>
      <c r="O552" s="673"/>
      <c r="P552" s="361"/>
      <c r="Q552" s="441"/>
      <c r="R552" s="485">
        <v>0.79</v>
      </c>
      <c r="S552" s="442"/>
      <c r="T552" s="441">
        <v>444.17</v>
      </c>
      <c r="U552" s="485">
        <v>0.79</v>
      </c>
      <c r="V552" s="442"/>
      <c r="W552" s="578">
        <v>247.45000000000002</v>
      </c>
      <c r="X552" s="485">
        <v>0.79</v>
      </c>
      <c r="Y552" s="442"/>
      <c r="Z552" s="441"/>
      <c r="AA552" s="485">
        <v>0.79</v>
      </c>
      <c r="AB552" s="442"/>
      <c r="AC552" s="672"/>
      <c r="AD552" s="441">
        <v>0</v>
      </c>
      <c r="AE552" s="674">
        <v>213417.26750563685</v>
      </c>
      <c r="AF552" s="674">
        <v>0</v>
      </c>
      <c r="AG552" s="674">
        <v>0</v>
      </c>
      <c r="AH552" s="442">
        <v>0</v>
      </c>
      <c r="AI552" s="442">
        <v>-2.9103830456733704E-11</v>
      </c>
      <c r="AK552" s="3" t="e">
        <f>IF(F552="", " ", VLOOKUP(F552,#REF!, 1, FALSE))</f>
        <v>#REF!</v>
      </c>
    </row>
    <row r="553" spans="1:37" ht="24" x14ac:dyDescent="0.25">
      <c r="A553" s="587" t="s">
        <v>2379</v>
      </c>
      <c r="B553" s="369" t="s">
        <v>26</v>
      </c>
      <c r="C553" s="588"/>
      <c r="D553" s="589" t="s">
        <v>2641</v>
      </c>
      <c r="E553" s="44" t="s">
        <v>138</v>
      </c>
      <c r="F553" s="214" t="s">
        <v>2343</v>
      </c>
      <c r="G553" s="587" t="s">
        <v>2360</v>
      </c>
      <c r="H553" s="590" t="s">
        <v>22</v>
      </c>
      <c r="I553" s="591">
        <v>306.75</v>
      </c>
      <c r="J553" s="592">
        <v>367.94425000000001</v>
      </c>
      <c r="K553" s="593">
        <v>0.11096635744680849</v>
      </c>
      <c r="L553" s="592">
        <v>408.77368316599785</v>
      </c>
      <c r="M553" s="594">
        <v>125391.32731116984</v>
      </c>
      <c r="N553" s="439"/>
      <c r="O553" s="673"/>
      <c r="P553" s="361"/>
      <c r="Q553" s="441"/>
      <c r="R553" s="485">
        <v>1.21835</v>
      </c>
      <c r="S553" s="442"/>
      <c r="T553" s="441">
        <v>27.06</v>
      </c>
      <c r="U553" s="485">
        <v>1.21835</v>
      </c>
      <c r="V553" s="442"/>
      <c r="W553" s="578">
        <v>279.69</v>
      </c>
      <c r="X553" s="485">
        <v>1.21835</v>
      </c>
      <c r="Y553" s="442"/>
      <c r="Z553" s="441"/>
      <c r="AA553" s="485">
        <v>1.21835</v>
      </c>
      <c r="AB553" s="442"/>
      <c r="AC553" s="672"/>
      <c r="AD553" s="441">
        <v>0</v>
      </c>
      <c r="AE553" s="674">
        <v>125391.32731116984</v>
      </c>
      <c r="AF553" s="674">
        <v>0</v>
      </c>
      <c r="AG553" s="674">
        <v>0</v>
      </c>
      <c r="AH553" s="442">
        <v>0</v>
      </c>
      <c r="AI553" s="442">
        <v>0</v>
      </c>
      <c r="AK553" s="3" t="e">
        <f>IF(F553="", " ", VLOOKUP(F553,#REF!, 1, FALSE))</f>
        <v>#REF!</v>
      </c>
    </row>
    <row r="554" spans="1:37" ht="24" hidden="1" x14ac:dyDescent="0.25">
      <c r="A554" s="587" t="s">
        <v>2380</v>
      </c>
      <c r="B554" s="369" t="s">
        <v>26</v>
      </c>
      <c r="C554" s="588"/>
      <c r="D554" s="589" t="s">
        <v>2642</v>
      </c>
      <c r="E554" s="44" t="s">
        <v>138</v>
      </c>
      <c r="F554" s="214" t="s">
        <v>2344</v>
      </c>
      <c r="G554" s="587" t="s">
        <v>2363</v>
      </c>
      <c r="H554" s="590" t="s">
        <v>22</v>
      </c>
      <c r="I554" s="591">
        <f>IF($F554="","",IF('TRECHO(S) A IMPRIMIR'!$B$1= 1, SUM(Q554, T554, W554, Z554), IF('TRECHO(S) A IMPRIMIR'!$B$1= 2, T554, IF('TRECHO(S) A IMPRIMIR'!$B$1= 3, W554, 0))))</f>
        <v>0</v>
      </c>
      <c r="J554" s="592">
        <v>539.65224999999998</v>
      </c>
      <c r="K554" s="593">
        <f t="shared" si="94"/>
        <v>0.11096635744680849</v>
      </c>
      <c r="L554" s="592">
        <f t="shared" ref="L552:L560" si="97">IF(J554="","",
  IF(AND(J554&lt;&gt;"",K554=""),J554,J554 * (1 + K554)))</f>
        <v>599.53549447047442</v>
      </c>
      <c r="M554" s="594">
        <f t="shared" si="89"/>
        <v>0</v>
      </c>
      <c r="O554" s="673"/>
      <c r="P554" s="361"/>
      <c r="Q554" s="441"/>
      <c r="R554" s="485">
        <f>'04-MLQ-DR-TIPOL E DIMENS'!$H$11</f>
        <v>1.3973333333333333</v>
      </c>
      <c r="S554" s="442"/>
      <c r="T554" s="441">
        <f>'04-MLQ-DR-TR1'!BF346</f>
        <v>0</v>
      </c>
      <c r="U554" s="485">
        <f>'04-MLQ-DR-TIPOL E DIMENS'!$H$11</f>
        <v>1.3973333333333333</v>
      </c>
      <c r="V554" s="442"/>
      <c r="W554" s="578">
        <f>'04-MLQ-DR-TR3'!BF275</f>
        <v>0</v>
      </c>
      <c r="X554" s="485">
        <f>'04-MLQ-DR-TIPOL E DIMENS'!$H$11</f>
        <v>1.3973333333333333</v>
      </c>
      <c r="Y554" s="442"/>
      <c r="Z554" s="441"/>
      <c r="AA554" s="485">
        <f>'04-MLQ-DR-TIPOL E DIMENS'!$H$11</f>
        <v>1.3973333333333333</v>
      </c>
      <c r="AB554" s="442"/>
      <c r="AC554" s="672"/>
      <c r="AD554" s="441" t="s">
        <v>21</v>
      </c>
      <c r="AE554" s="674" t="s">
        <v>21</v>
      </c>
      <c r="AF554" s="674" t="s">
        <v>21</v>
      </c>
      <c r="AG554" s="674" t="s">
        <v>21</v>
      </c>
      <c r="AH554" s="442" t="s">
        <v>21</v>
      </c>
      <c r="AI554" s="442" t="str">
        <f t="shared" si="96"/>
        <v/>
      </c>
      <c r="AK554" s="3" t="e">
        <f>IF(F554="", " ", VLOOKUP(F554,#REF!, 1, FALSE))</f>
        <v>#REF!</v>
      </c>
    </row>
    <row r="555" spans="1:37" ht="24" x14ac:dyDescent="0.25">
      <c r="A555" s="587" t="s">
        <v>2381</v>
      </c>
      <c r="B555" s="369" t="s">
        <v>26</v>
      </c>
      <c r="C555" s="588"/>
      <c r="D555" s="589" t="s">
        <v>2643</v>
      </c>
      <c r="E555" s="44" t="s">
        <v>138</v>
      </c>
      <c r="F555" s="214" t="s">
        <v>2345</v>
      </c>
      <c r="G555" s="587" t="s">
        <v>2366</v>
      </c>
      <c r="H555" s="590" t="s">
        <v>22</v>
      </c>
      <c r="I555" s="591">
        <v>127.13</v>
      </c>
      <c r="J555" s="592">
        <v>774.84875</v>
      </c>
      <c r="K555" s="593">
        <v>0.11096635744680849</v>
      </c>
      <c r="L555" s="592">
        <v>860.83089335971272</v>
      </c>
      <c r="M555" s="594">
        <v>109437.43147282027</v>
      </c>
      <c r="O555" s="673"/>
      <c r="P555" s="361"/>
      <c r="Q555" s="441"/>
      <c r="R555" s="485">
        <v>2.1800000000000002</v>
      </c>
      <c r="S555" s="442"/>
      <c r="T555" s="441">
        <v>0</v>
      </c>
      <c r="U555" s="485">
        <v>2.1800000000000002</v>
      </c>
      <c r="V555" s="442"/>
      <c r="W555" s="578">
        <v>127.13</v>
      </c>
      <c r="X555" s="485">
        <v>2.1800000000000002</v>
      </c>
      <c r="Y555" s="442"/>
      <c r="Z555" s="441"/>
      <c r="AA555" s="485">
        <v>2.1800000000000002</v>
      </c>
      <c r="AB555" s="442"/>
      <c r="AC555" s="672"/>
      <c r="AD555" s="441">
        <v>0</v>
      </c>
      <c r="AE555" s="674">
        <v>109437.43147282029</v>
      </c>
      <c r="AF555" s="674">
        <v>0</v>
      </c>
      <c r="AG555" s="674">
        <v>0</v>
      </c>
      <c r="AH555" s="442">
        <v>0</v>
      </c>
      <c r="AI555" s="442">
        <v>-1.4551915228366852E-11</v>
      </c>
      <c r="AK555" s="3" t="e">
        <f>IF(F555="", " ", VLOOKUP(F555,#REF!, 1, FALSE))</f>
        <v>#REF!</v>
      </c>
    </row>
    <row r="556" spans="1:37" s="294" customFormat="1" hidden="1" x14ac:dyDescent="0.25">
      <c r="A556" s="595" t="s">
        <v>2382</v>
      </c>
      <c r="B556" s="369" t="s">
        <v>26</v>
      </c>
      <c r="C556" s="596"/>
      <c r="D556" s="589" t="s">
        <v>2644</v>
      </c>
      <c r="E556" s="44" t="s">
        <v>138</v>
      </c>
      <c r="F556" s="214" t="s">
        <v>2346</v>
      </c>
      <c r="G556" s="595" t="s">
        <v>2352</v>
      </c>
      <c r="H556" s="597" t="s">
        <v>22</v>
      </c>
      <c r="I556" s="598">
        <f>IF($F556="","",IF('TRECHO(S) A IMPRIMIR'!$B$1= 1, SUM(Q556, T556, W556, Z556), IF('TRECHO(S) A IMPRIMIR'!$B$1= 2, T556, IF('TRECHO(S) A IMPRIMIR'!$B$1= 3, W556, 0))))</f>
        <v>0</v>
      </c>
      <c r="J556" s="599">
        <v>223.64474999999999</v>
      </c>
      <c r="K556" s="600">
        <f t="shared" si="94"/>
        <v>0.11096635744680849</v>
      </c>
      <c r="L556" s="599">
        <f t="shared" si="97"/>
        <v>248.46179326960211</v>
      </c>
      <c r="M556" s="601">
        <f t="shared" si="89"/>
        <v>0</v>
      </c>
      <c r="N556" s="293"/>
      <c r="O556" s="680"/>
      <c r="P556" s="362"/>
      <c r="Q556" s="578"/>
      <c r="R556" s="579">
        <f>'04-MLQ-DR-TIPOL E DIMENS'!$D$12</f>
        <v>0.45999999999999996</v>
      </c>
      <c r="S556" s="580"/>
      <c r="T556" s="578">
        <f>'04-MLQ-DR-TR1'!BF350</f>
        <v>0</v>
      </c>
      <c r="U556" s="579">
        <f>'04-MLQ-DR-TIPOL E DIMENS'!$D$12</f>
        <v>0.45999999999999996</v>
      </c>
      <c r="V556" s="580"/>
      <c r="W556" s="578">
        <f>'04-MLQ-DR-TR3'!BF279</f>
        <v>0</v>
      </c>
      <c r="X556" s="579">
        <f>'04-MLQ-DR-TIPOL E DIMENS'!$D$12</f>
        <v>0.45999999999999996</v>
      </c>
      <c r="Y556" s="580"/>
      <c r="Z556" s="578"/>
      <c r="AA556" s="579">
        <f>'04-MLQ-DR-TIPOL E DIMENS'!$D$12</f>
        <v>0.45999999999999996</v>
      </c>
      <c r="AB556" s="580"/>
      <c r="AC556" s="681"/>
      <c r="AD556" s="578" t="s">
        <v>21</v>
      </c>
      <c r="AE556" s="682" t="s">
        <v>21</v>
      </c>
      <c r="AF556" s="682" t="s">
        <v>21</v>
      </c>
      <c r="AG556" s="682" t="s">
        <v>21</v>
      </c>
      <c r="AH556" s="580" t="s">
        <v>21</v>
      </c>
      <c r="AI556" s="580" t="str">
        <f t="shared" si="96"/>
        <v/>
      </c>
      <c r="AK556" s="294" t="e">
        <f>IF(F556="", " ", VLOOKUP(F556,#REF!, 1, FALSE))</f>
        <v>#REF!</v>
      </c>
    </row>
    <row r="557" spans="1:37" x14ac:dyDescent="0.25">
      <c r="A557" s="587" t="s">
        <v>2383</v>
      </c>
      <c r="B557" s="369" t="s">
        <v>26</v>
      </c>
      <c r="C557" s="588"/>
      <c r="D557" s="589" t="s">
        <v>2645</v>
      </c>
      <c r="E557" s="44" t="s">
        <v>138</v>
      </c>
      <c r="F557" s="214" t="s">
        <v>2347</v>
      </c>
      <c r="G557" s="587" t="s">
        <v>2358</v>
      </c>
      <c r="H557" s="590" t="s">
        <v>22</v>
      </c>
      <c r="I557" s="591">
        <v>144.87</v>
      </c>
      <c r="J557" s="592">
        <v>401.42074999999994</v>
      </c>
      <c r="K557" s="593">
        <v>0.11096635744680849</v>
      </c>
      <c r="L557" s="592">
        <v>445.96494843106586</v>
      </c>
      <c r="M557" s="594">
        <v>64606.942079208515</v>
      </c>
      <c r="O557" s="673"/>
      <c r="P557" s="361"/>
      <c r="Q557" s="441"/>
      <c r="R557" s="485">
        <v>0.79</v>
      </c>
      <c r="S557" s="442"/>
      <c r="T557" s="441">
        <v>144.87</v>
      </c>
      <c r="U557" s="485">
        <v>0.79</v>
      </c>
      <c r="V557" s="442"/>
      <c r="W557" s="578">
        <v>0</v>
      </c>
      <c r="X557" s="485">
        <v>0.79</v>
      </c>
      <c r="Y557" s="442"/>
      <c r="Z557" s="441"/>
      <c r="AA557" s="485">
        <v>0.79</v>
      </c>
      <c r="AB557" s="442"/>
      <c r="AC557" s="672"/>
      <c r="AD557" s="441">
        <v>0</v>
      </c>
      <c r="AE557" s="674">
        <v>64606.942079208515</v>
      </c>
      <c r="AF557" s="674">
        <v>0</v>
      </c>
      <c r="AG557" s="674">
        <v>0</v>
      </c>
      <c r="AH557" s="442">
        <v>0</v>
      </c>
      <c r="AI557" s="442">
        <v>0</v>
      </c>
      <c r="AK557" s="3" t="e">
        <f>IF(F557="", " ", VLOOKUP(F557,#REF!, 1, FALSE))</f>
        <v>#REF!</v>
      </c>
    </row>
    <row r="558" spans="1:37" ht="24" hidden="1" x14ac:dyDescent="0.25">
      <c r="A558" s="587" t="s">
        <v>2384</v>
      </c>
      <c r="B558" s="369" t="s">
        <v>26</v>
      </c>
      <c r="C558" s="588"/>
      <c r="D558" s="589" t="s">
        <v>2646</v>
      </c>
      <c r="E558" s="44" t="s">
        <v>138</v>
      </c>
      <c r="F558" s="214" t="s">
        <v>2348</v>
      </c>
      <c r="G558" s="587" t="s">
        <v>2359</v>
      </c>
      <c r="H558" s="590" t="s">
        <v>22</v>
      </c>
      <c r="I558" s="591">
        <f>IF($F558="","",IF('TRECHO(S) A IMPRIMIR'!$B$1= 1, SUM(Q558, T558, W558, Z558), IF('TRECHO(S) A IMPRIMIR'!$B$1= 2, T558, IF('TRECHO(S) A IMPRIMIR'!$B$1= 3, W558, 0))))</f>
        <v>0</v>
      </c>
      <c r="J558" s="592">
        <v>468.94774999999993</v>
      </c>
      <c r="K558" s="593">
        <f t="shared" si="94"/>
        <v>0.11096635744680849</v>
      </c>
      <c r="L558" s="592">
        <f t="shared" si="97"/>
        <v>520.98517365037651</v>
      </c>
      <c r="M558" s="594">
        <f t="shared" si="89"/>
        <v>0</v>
      </c>
      <c r="O558" s="673"/>
      <c r="P558" s="361"/>
      <c r="Q558" s="441"/>
      <c r="R558" s="485">
        <f>'04-MLQ-DR-TIPOL E DIMENS'!$G$12</f>
        <v>1.21835</v>
      </c>
      <c r="S558" s="442"/>
      <c r="T558" s="441">
        <f>'04-MLQ-DR-TR1'!BF352</f>
        <v>0</v>
      </c>
      <c r="U558" s="485">
        <f>'04-MLQ-DR-TIPOL E DIMENS'!$G$12</f>
        <v>1.21835</v>
      </c>
      <c r="V558" s="442"/>
      <c r="W558" s="578">
        <f>'04-MLQ-DR-TR3'!BF281</f>
        <v>0</v>
      </c>
      <c r="X558" s="485">
        <f>'04-MLQ-DR-TIPOL E DIMENS'!$G$12</f>
        <v>1.21835</v>
      </c>
      <c r="Y558" s="442"/>
      <c r="Z558" s="441"/>
      <c r="AA558" s="485">
        <f>'04-MLQ-DR-TIPOL E DIMENS'!$G$12</f>
        <v>1.21835</v>
      </c>
      <c r="AB558" s="442"/>
      <c r="AC558" s="672"/>
      <c r="AD558" s="441" t="s">
        <v>21</v>
      </c>
      <c r="AE558" s="674" t="s">
        <v>21</v>
      </c>
      <c r="AF558" s="674" t="s">
        <v>21</v>
      </c>
      <c r="AG558" s="674" t="s">
        <v>21</v>
      </c>
      <c r="AH558" s="442" t="s">
        <v>21</v>
      </c>
      <c r="AI558" s="442" t="str">
        <f t="shared" si="96"/>
        <v/>
      </c>
      <c r="AK558" s="3" t="e">
        <f>IF(F558="", " ", VLOOKUP(F558,#REF!, 1, FALSE))</f>
        <v>#REF!</v>
      </c>
    </row>
    <row r="559" spans="1:37" ht="24" hidden="1" x14ac:dyDescent="0.25">
      <c r="A559" s="587" t="s">
        <v>2385</v>
      </c>
      <c r="B559" s="369" t="s">
        <v>26</v>
      </c>
      <c r="C559" s="588"/>
      <c r="D559" s="589" t="s">
        <v>2647</v>
      </c>
      <c r="E559" s="44" t="s">
        <v>138</v>
      </c>
      <c r="F559" s="214" t="s">
        <v>2349</v>
      </c>
      <c r="G559" s="587" t="s">
        <v>2364</v>
      </c>
      <c r="H559" s="590" t="s">
        <v>22</v>
      </c>
      <c r="I559" s="591">
        <f>IF($F559="","",IF('TRECHO(S) A IMPRIMIR'!$B$1= 1, SUM(Q559, T559, W559, Z559), IF('TRECHO(S) A IMPRIMIR'!$B$1= 2, T559, IF('TRECHO(S) A IMPRIMIR'!$B$1= 3, W559, 0))))</f>
        <v>0</v>
      </c>
      <c r="J559" s="592">
        <v>745.84124999999995</v>
      </c>
      <c r="K559" s="593">
        <f t="shared" si="94"/>
        <v>0.11096635744680849</v>
      </c>
      <c r="L559" s="592">
        <f t="shared" si="97"/>
        <v>828.60453674607436</v>
      </c>
      <c r="M559" s="594">
        <f t="shared" si="89"/>
        <v>0</v>
      </c>
      <c r="O559" s="673"/>
      <c r="P559" s="361"/>
      <c r="Q559" s="441"/>
      <c r="R559" s="485">
        <f>'04-MLQ-DR-TIPOL E DIMENS'!$H$12</f>
        <v>1.3973333333333333</v>
      </c>
      <c r="S559" s="442"/>
      <c r="T559" s="441">
        <f>'04-MLQ-DR-TR1'!BF353</f>
        <v>0</v>
      </c>
      <c r="U559" s="485">
        <f>'04-MLQ-DR-TIPOL E DIMENS'!$H$12</f>
        <v>1.3973333333333333</v>
      </c>
      <c r="V559" s="442"/>
      <c r="W559" s="578">
        <f>'04-MLQ-DR-TR3'!BF282</f>
        <v>0</v>
      </c>
      <c r="X559" s="485">
        <f>'04-MLQ-DR-TIPOL E DIMENS'!$H$12</f>
        <v>1.3973333333333333</v>
      </c>
      <c r="Y559" s="442"/>
      <c r="Z559" s="441"/>
      <c r="AA559" s="485">
        <f>'04-MLQ-DR-TIPOL E DIMENS'!$H$12</f>
        <v>1.3973333333333333</v>
      </c>
      <c r="AB559" s="442"/>
      <c r="AC559" s="672"/>
      <c r="AD559" s="441" t="s">
        <v>21</v>
      </c>
      <c r="AE559" s="674" t="s">
        <v>21</v>
      </c>
      <c r="AF559" s="674" t="s">
        <v>21</v>
      </c>
      <c r="AG559" s="674" t="s">
        <v>21</v>
      </c>
      <c r="AH559" s="442" t="s">
        <v>21</v>
      </c>
      <c r="AI559" s="442" t="str">
        <f t="shared" si="96"/>
        <v/>
      </c>
      <c r="AK559" s="3" t="e">
        <f>IF(F559="", " ", VLOOKUP(F559,#REF!, 1, FALSE))</f>
        <v>#REF!</v>
      </c>
    </row>
    <row r="560" spans="1:37" ht="24" hidden="1" x14ac:dyDescent="0.25">
      <c r="A560" s="587" t="s">
        <v>2386</v>
      </c>
      <c r="B560" s="369" t="s">
        <v>26</v>
      </c>
      <c r="C560" s="588"/>
      <c r="D560" s="589" t="s">
        <v>2648</v>
      </c>
      <c r="E560" s="44" t="s">
        <v>138</v>
      </c>
      <c r="F560" s="214" t="s">
        <v>2350</v>
      </c>
      <c r="G560" s="587" t="s">
        <v>2365</v>
      </c>
      <c r="H560" s="590" t="s">
        <v>22</v>
      </c>
      <c r="I560" s="591">
        <f>IF($F560="","",IF('TRECHO(S) A IMPRIMIR'!$B$1= 1, SUM(Q560, T560, W560, Z560), IF('TRECHO(S) A IMPRIMIR'!$B$1= 2, T560, IF('TRECHO(S) A IMPRIMIR'!$B$1= 3, W560, 0))))</f>
        <v>0</v>
      </c>
      <c r="J560" s="592">
        <v>1132.6864999999998</v>
      </c>
      <c r="K560" s="593">
        <f t="shared" si="94"/>
        <v>0.11096635744680849</v>
      </c>
      <c r="L560" s="592">
        <f t="shared" si="97"/>
        <v>1258.3765950341742</v>
      </c>
      <c r="M560" s="594">
        <f t="shared" si="89"/>
        <v>0</v>
      </c>
      <c r="O560" s="673"/>
      <c r="P560" s="361"/>
      <c r="Q560" s="441"/>
      <c r="R560" s="485">
        <f>'04-MLQ-DR-TIPOL E DIMENS'!$I$12</f>
        <v>2.1800000000000002</v>
      </c>
      <c r="S560" s="442"/>
      <c r="T560" s="441">
        <f>'04-MLQ-DR-TR1'!BF354</f>
        <v>0</v>
      </c>
      <c r="U560" s="485">
        <f>'04-MLQ-DR-TIPOL E DIMENS'!$I$12</f>
        <v>2.1800000000000002</v>
      </c>
      <c r="V560" s="442"/>
      <c r="W560" s="578">
        <f>'04-MLQ-DR-TR3'!BF283</f>
        <v>0</v>
      </c>
      <c r="X560" s="485">
        <f>'04-MLQ-DR-TIPOL E DIMENS'!$I$12</f>
        <v>2.1800000000000002</v>
      </c>
      <c r="Y560" s="442"/>
      <c r="Z560" s="441"/>
      <c r="AA560" s="485">
        <f>'04-MLQ-DR-TIPOL E DIMENS'!$I$12</f>
        <v>2.1800000000000002</v>
      </c>
      <c r="AB560" s="442"/>
      <c r="AC560" s="672"/>
      <c r="AD560" s="441" t="s">
        <v>21</v>
      </c>
      <c r="AE560" s="674" t="s">
        <v>21</v>
      </c>
      <c r="AF560" s="674" t="s">
        <v>21</v>
      </c>
      <c r="AG560" s="674" t="s">
        <v>21</v>
      </c>
      <c r="AH560" s="442" t="s">
        <v>21</v>
      </c>
      <c r="AI560" s="442" t="str">
        <f t="shared" si="96"/>
        <v/>
      </c>
      <c r="AK560" s="3" t="e">
        <f>IF(F560="", " ", VLOOKUP(F560,#REF!, 1, FALSE))</f>
        <v>#REF!</v>
      </c>
    </row>
    <row r="561" spans="1:37" ht="48" hidden="1" x14ac:dyDescent="0.25">
      <c r="A561" s="587" t="s">
        <v>1920</v>
      </c>
      <c r="B561" s="369" t="s">
        <v>23</v>
      </c>
      <c r="C561" s="588"/>
      <c r="D561" s="589" t="s">
        <v>2649</v>
      </c>
      <c r="E561" s="44" t="s">
        <v>27</v>
      </c>
      <c r="F561" s="214">
        <v>101013</v>
      </c>
      <c r="G561" s="587" t="s">
        <v>784</v>
      </c>
      <c r="H561" s="590" t="s">
        <v>55</v>
      </c>
      <c r="I561" s="591">
        <f>IF($F561="","",IF('TRECHO(S) A IMPRIMIR'!$B$1= 1, SUM(Q561, T561, W561, Z561), IF('TRECHO(S) A IMPRIMIR'!$B$1= 2, T561, IF('TRECHO(S) A IMPRIMIR'!$B$1= 3, W561, 0))))</f>
        <v>0</v>
      </c>
      <c r="J561" s="592">
        <v>30.13</v>
      </c>
      <c r="K561" s="593">
        <f t="shared" si="94"/>
        <v>0.2033513845915047</v>
      </c>
      <c r="L561" s="592">
        <f>IF(J561="","",
  IF(AND(J561&lt;&gt;"",K561=""),J561,J561 * (1 + K561)))</f>
        <v>36.256977217742033</v>
      </c>
      <c r="M561" s="594">
        <f>IF(OR(I561="",L561=""),"",I561*L561)</f>
        <v>0</v>
      </c>
      <c r="O561" s="673"/>
      <c r="P561" s="361"/>
      <c r="Q561" s="441">
        <v>0</v>
      </c>
      <c r="R561" s="485"/>
      <c r="S561" s="442"/>
      <c r="T561" s="441">
        <v>0</v>
      </c>
      <c r="U561" s="485"/>
      <c r="V561" s="442"/>
      <c r="W561" s="578">
        <v>0</v>
      </c>
      <c r="X561" s="485"/>
      <c r="Y561" s="442"/>
      <c r="Z561" s="441">
        <v>0</v>
      </c>
      <c r="AA561" s="485"/>
      <c r="AB561" s="442"/>
      <c r="AC561" s="672"/>
      <c r="AD561" s="441" t="s">
        <v>21</v>
      </c>
      <c r="AE561" s="674" t="s">
        <v>21</v>
      </c>
      <c r="AF561" s="674" t="s">
        <v>21</v>
      </c>
      <c r="AG561" s="674" t="s">
        <v>21</v>
      </c>
      <c r="AH561" s="442" t="s">
        <v>21</v>
      </c>
      <c r="AI561" s="442" t="str">
        <f t="shared" si="96"/>
        <v/>
      </c>
      <c r="AK561" s="3" t="e">
        <f>IF(F561="", " ", VLOOKUP(F561,#REF!, 1, FALSE))</f>
        <v>#REF!</v>
      </c>
    </row>
    <row r="562" spans="1:37" ht="36" hidden="1" x14ac:dyDescent="0.25">
      <c r="A562" s="587" t="s">
        <v>1921</v>
      </c>
      <c r="B562" s="369" t="s">
        <v>23</v>
      </c>
      <c r="C562" s="588"/>
      <c r="D562" s="589" t="s">
        <v>2650</v>
      </c>
      <c r="E562" s="44" t="s">
        <v>27</v>
      </c>
      <c r="F562" s="214">
        <v>101014</v>
      </c>
      <c r="G562" s="587" t="s">
        <v>778</v>
      </c>
      <c r="H562" s="590" t="s">
        <v>55</v>
      </c>
      <c r="I562" s="591">
        <f>IF($F562="","",IF('TRECHO(S) A IMPRIMIR'!$B$1= 1, SUM(Q562, T562, W562, Z562), IF('TRECHO(S) A IMPRIMIR'!$B$1= 2, T562, IF('TRECHO(S) A IMPRIMIR'!$B$1= 3, W562, 0))))</f>
        <v>0</v>
      </c>
      <c r="J562" s="592">
        <v>27.61</v>
      </c>
      <c r="K562" s="593">
        <f t="shared" si="94"/>
        <v>0.2033513845915047</v>
      </c>
      <c r="L562" s="592">
        <f t="shared" ref="L562:L568" si="98">IF(J562="","",
  IF(AND(J562&lt;&gt;"",K562=""),J562,J562 * (1 + K562)))</f>
        <v>33.224531728571442</v>
      </c>
      <c r="M562" s="594">
        <f t="shared" ref="M562:M568" si="99">IF(OR(I562="",L562=""),"",I562*L562)</f>
        <v>0</v>
      </c>
      <c r="O562" s="673"/>
      <c r="P562" s="361"/>
      <c r="Q562" s="441">
        <f>Q543 * R543</f>
        <v>0</v>
      </c>
      <c r="R562" s="485"/>
      <c r="S562" s="442"/>
      <c r="T562" s="441">
        <f>T543 * U543</f>
        <v>0</v>
      </c>
      <c r="U562" s="485"/>
      <c r="V562" s="442"/>
      <c r="W562" s="578">
        <v>0</v>
      </c>
      <c r="X562" s="485"/>
      <c r="Y562" s="442"/>
      <c r="Z562" s="441">
        <f>Z543 * AA543</f>
        <v>0</v>
      </c>
      <c r="AA562" s="485"/>
      <c r="AB562" s="442"/>
      <c r="AC562" s="672"/>
      <c r="AD562" s="441" t="s">
        <v>21</v>
      </c>
      <c r="AE562" s="674" t="s">
        <v>21</v>
      </c>
      <c r="AF562" s="674" t="s">
        <v>21</v>
      </c>
      <c r="AG562" s="674" t="s">
        <v>21</v>
      </c>
      <c r="AH562" s="442" t="s">
        <v>21</v>
      </c>
      <c r="AI562" s="442" t="str">
        <f t="shared" si="96"/>
        <v/>
      </c>
      <c r="AK562" s="3" t="e">
        <f>IF(F562="", " ", VLOOKUP(F562,#REF!, 1, FALSE))</f>
        <v>#REF!</v>
      </c>
    </row>
    <row r="563" spans="1:37" ht="36" hidden="1" x14ac:dyDescent="0.25">
      <c r="A563" s="587" t="s">
        <v>1922</v>
      </c>
      <c r="B563" s="369" t="s">
        <v>23</v>
      </c>
      <c r="C563" s="588"/>
      <c r="D563" s="589" t="s">
        <v>2651</v>
      </c>
      <c r="E563" s="44" t="s">
        <v>27</v>
      </c>
      <c r="F563" s="214">
        <v>101015</v>
      </c>
      <c r="G563" s="587" t="s">
        <v>779</v>
      </c>
      <c r="H563" s="590" t="s">
        <v>55</v>
      </c>
      <c r="I563" s="591">
        <f>IF($F563="","",IF('TRECHO(S) A IMPRIMIR'!$B$1= 1, SUM(Q563, T563, W563, Z563), IF('TRECHO(S) A IMPRIMIR'!$B$1= 2, T563, IF('TRECHO(S) A IMPRIMIR'!$B$1= 3, W563, 0))))</f>
        <v>0</v>
      </c>
      <c r="J563" s="592">
        <v>22.67</v>
      </c>
      <c r="K563" s="593">
        <f t="shared" si="94"/>
        <v>0.2033513845915047</v>
      </c>
      <c r="L563" s="592">
        <f t="shared" si="98"/>
        <v>27.279975888689414</v>
      </c>
      <c r="M563" s="594">
        <f t="shared" si="99"/>
        <v>0</v>
      </c>
      <c r="O563" s="673"/>
      <c r="P563" s="361"/>
      <c r="Q563" s="441">
        <f>Q544 * R544</f>
        <v>0</v>
      </c>
      <c r="R563" s="485"/>
      <c r="S563" s="442"/>
      <c r="T563" s="441">
        <f>T544 * U544</f>
        <v>0</v>
      </c>
      <c r="U563" s="485"/>
      <c r="V563" s="442"/>
      <c r="W563" s="441">
        <f>W544 * X544</f>
        <v>0</v>
      </c>
      <c r="X563" s="485"/>
      <c r="Y563" s="442"/>
      <c r="Z563" s="441">
        <f>Z544 * AA544</f>
        <v>0</v>
      </c>
      <c r="AA563" s="485"/>
      <c r="AB563" s="442"/>
      <c r="AC563" s="672"/>
      <c r="AD563" s="441" t="s">
        <v>21</v>
      </c>
      <c r="AE563" s="674" t="s">
        <v>21</v>
      </c>
      <c r="AF563" s="674" t="s">
        <v>21</v>
      </c>
      <c r="AG563" s="674" t="s">
        <v>21</v>
      </c>
      <c r="AH563" s="442" t="s">
        <v>21</v>
      </c>
      <c r="AI563" s="442" t="str">
        <f t="shared" si="96"/>
        <v/>
      </c>
      <c r="AK563" s="3" t="e">
        <f>IF(F563="", " ", VLOOKUP(F563,#REF!, 1, FALSE))</f>
        <v>#REF!</v>
      </c>
    </row>
    <row r="564" spans="1:37" ht="36" x14ac:dyDescent="0.25">
      <c r="A564" s="587" t="s">
        <v>1923</v>
      </c>
      <c r="B564" s="369" t="s">
        <v>23</v>
      </c>
      <c r="C564" s="588"/>
      <c r="D564" s="589" t="s">
        <v>2652</v>
      </c>
      <c r="E564" s="44" t="s">
        <v>27</v>
      </c>
      <c r="F564" s="214">
        <v>101463</v>
      </c>
      <c r="G564" s="587" t="s">
        <v>780</v>
      </c>
      <c r="H564" s="590" t="s">
        <v>55</v>
      </c>
      <c r="I564" s="591">
        <v>4111.1580000000004</v>
      </c>
      <c r="J564" s="592">
        <v>30.23</v>
      </c>
      <c r="K564" s="593">
        <v>0.2033513845915047</v>
      </c>
      <c r="L564" s="592">
        <v>36.377312356201188</v>
      </c>
      <c r="M564" s="594">
        <v>149552.87871169538</v>
      </c>
      <c r="O564" s="673"/>
      <c r="P564" s="361"/>
      <c r="Q564" s="441">
        <v>0</v>
      </c>
      <c r="R564" s="485"/>
      <c r="S564" s="442"/>
      <c r="T564" s="441">
        <v>2875.4738000000002</v>
      </c>
      <c r="U564" s="485"/>
      <c r="V564" s="442"/>
      <c r="W564" s="441">
        <v>1235.6842000000001</v>
      </c>
      <c r="X564" s="485"/>
      <c r="Y564" s="442"/>
      <c r="Z564" s="441">
        <v>0</v>
      </c>
      <c r="AA564" s="485"/>
      <c r="AB564" s="442"/>
      <c r="AC564" s="672"/>
      <c r="AD564" s="441">
        <v>31909.231481655148</v>
      </c>
      <c r="AE564" s="674">
        <v>88702.716351329742</v>
      </c>
      <c r="AF564" s="674">
        <v>28940.930878710482</v>
      </c>
      <c r="AG564" s="674">
        <v>0</v>
      </c>
      <c r="AH564" s="442">
        <v>0</v>
      </c>
      <c r="AI564" s="442">
        <v>0</v>
      </c>
      <c r="AK564" s="3" t="e">
        <f>IF(F564="", " ", VLOOKUP(F564,#REF!, 1, FALSE))</f>
        <v>#REF!</v>
      </c>
    </row>
    <row r="565" spans="1:37" ht="36" hidden="1" x14ac:dyDescent="0.25">
      <c r="A565" s="587" t="s">
        <v>1924</v>
      </c>
      <c r="B565" s="369" t="s">
        <v>23</v>
      </c>
      <c r="C565" s="588"/>
      <c r="D565" s="589" t="s">
        <v>2653</v>
      </c>
      <c r="E565" s="44" t="s">
        <v>27</v>
      </c>
      <c r="F565" s="214">
        <v>101464</v>
      </c>
      <c r="G565" s="587" t="s">
        <v>781</v>
      </c>
      <c r="H565" s="590" t="s">
        <v>55</v>
      </c>
      <c r="I565" s="591">
        <f>IF($F565="","",IF('TRECHO(S) A IMPRIMIR'!$B$1= 1, SUM(Q565, T565, W565, Z565), IF('TRECHO(S) A IMPRIMIR'!$B$1= 2, T565, IF('TRECHO(S) A IMPRIMIR'!$B$1= 3, W565, 0))))</f>
        <v>0</v>
      </c>
      <c r="J565" s="592">
        <v>23.22</v>
      </c>
      <c r="K565" s="593">
        <f t="shared" si="94"/>
        <v>0.2033513845915047</v>
      </c>
      <c r="L565" s="592">
        <f t="shared" si="98"/>
        <v>27.941819150214737</v>
      </c>
      <c r="M565" s="594">
        <f t="shared" si="99"/>
        <v>0</v>
      </c>
      <c r="O565" s="673"/>
      <c r="P565" s="361"/>
      <c r="Q565" s="441">
        <v>0</v>
      </c>
      <c r="R565" s="485"/>
      <c r="S565" s="442"/>
      <c r="T565" s="441">
        <v>0</v>
      </c>
      <c r="U565" s="485"/>
      <c r="V565" s="442"/>
      <c r="W565" s="441">
        <v>0</v>
      </c>
      <c r="X565" s="485"/>
      <c r="Y565" s="442"/>
      <c r="Z565" s="441">
        <v>0</v>
      </c>
      <c r="AA565" s="485"/>
      <c r="AB565" s="442"/>
      <c r="AC565" s="672"/>
      <c r="AD565" s="441" t="s">
        <v>21</v>
      </c>
      <c r="AE565" s="674" t="s">
        <v>21</v>
      </c>
      <c r="AF565" s="674" t="s">
        <v>21</v>
      </c>
      <c r="AG565" s="674" t="s">
        <v>21</v>
      </c>
      <c r="AH565" s="442" t="s">
        <v>21</v>
      </c>
      <c r="AI565" s="442" t="str">
        <f t="shared" si="96"/>
        <v/>
      </c>
      <c r="AK565" s="3" t="e">
        <f>IF(F565="", " ", VLOOKUP(F565,#REF!, 1, FALSE))</f>
        <v>#REF!</v>
      </c>
    </row>
    <row r="566" spans="1:37" ht="36" x14ac:dyDescent="0.25">
      <c r="A566" s="587" t="s">
        <v>1925</v>
      </c>
      <c r="B566" s="369" t="s">
        <v>23</v>
      </c>
      <c r="C566" s="588"/>
      <c r="D566" s="589" t="s">
        <v>2654</v>
      </c>
      <c r="E566" s="44" t="s">
        <v>27</v>
      </c>
      <c r="F566" s="214">
        <v>101465</v>
      </c>
      <c r="G566" s="587" t="s">
        <v>782</v>
      </c>
      <c r="H566" s="590" t="s">
        <v>55</v>
      </c>
      <c r="I566" s="591">
        <v>1743.3957</v>
      </c>
      <c r="J566" s="592">
        <v>17.75</v>
      </c>
      <c r="K566" s="593">
        <v>0.2033513845915047</v>
      </c>
      <c r="L566" s="592">
        <v>21.35948707649921</v>
      </c>
      <c r="M566" s="594">
        <v>37238.037923374293</v>
      </c>
      <c r="O566" s="673"/>
      <c r="P566" s="361"/>
      <c r="Q566" s="441">
        <v>0</v>
      </c>
      <c r="R566" s="485"/>
      <c r="S566" s="442"/>
      <c r="T566" s="441">
        <v>841.86350000000016</v>
      </c>
      <c r="U566" s="485"/>
      <c r="V566" s="442"/>
      <c r="W566" s="441">
        <v>901.53219999999999</v>
      </c>
      <c r="X566" s="485"/>
      <c r="Y566" s="442"/>
      <c r="Z566" s="441">
        <v>0</v>
      </c>
      <c r="AA566" s="485"/>
      <c r="AB566" s="442"/>
      <c r="AC566" s="672"/>
      <c r="AD566" s="441">
        <v>7972.0869920463274</v>
      </c>
      <c r="AE566" s="674">
        <v>22091.072638486268</v>
      </c>
      <c r="AF566" s="674">
        <v>7174.878292841694</v>
      </c>
      <c r="AG566" s="674">
        <v>0</v>
      </c>
      <c r="AH566" s="442">
        <v>0</v>
      </c>
      <c r="AI566" s="442">
        <v>7.2759576141834259E-12</v>
      </c>
      <c r="AK566" s="3" t="e">
        <f>IF(F566="", " ", VLOOKUP(F566,#REF!, 1, FALSE))</f>
        <v>#REF!</v>
      </c>
    </row>
    <row r="567" spans="1:37" ht="36" hidden="1" x14ac:dyDescent="0.25">
      <c r="A567" s="587" t="s">
        <v>1926</v>
      </c>
      <c r="B567" s="369" t="s">
        <v>23</v>
      </c>
      <c r="C567" s="588"/>
      <c r="D567" s="589" t="s">
        <v>2655</v>
      </c>
      <c r="E567" s="44" t="s">
        <v>27</v>
      </c>
      <c r="F567" s="214">
        <v>101466</v>
      </c>
      <c r="G567" s="587" t="s">
        <v>783</v>
      </c>
      <c r="H567" s="590" t="s">
        <v>55</v>
      </c>
      <c r="I567" s="591">
        <f>IF($F567="","",IF('TRECHO(S) A IMPRIMIR'!$B$1= 1, SUM(Q567, T567, W567, Z567), IF('TRECHO(S) A IMPRIMIR'!$B$1= 2, T567, IF('TRECHO(S) A IMPRIMIR'!$B$1= 3, W567, 0))))</f>
        <v>0</v>
      </c>
      <c r="J567" s="592">
        <v>14.44</v>
      </c>
      <c r="K567" s="593">
        <f t="shared" si="94"/>
        <v>0.2033513845915047</v>
      </c>
      <c r="L567" s="592">
        <f t="shared" si="98"/>
        <v>17.376393993501328</v>
      </c>
      <c r="M567" s="594">
        <f t="shared" si="99"/>
        <v>0</v>
      </c>
      <c r="O567" s="673"/>
      <c r="P567" s="361"/>
      <c r="Q567" s="441">
        <v>0</v>
      </c>
      <c r="R567" s="485"/>
      <c r="S567" s="442"/>
      <c r="T567" s="441">
        <v>0</v>
      </c>
      <c r="U567" s="485"/>
      <c r="V567" s="442"/>
      <c r="W567" s="441">
        <v>0</v>
      </c>
      <c r="X567" s="485"/>
      <c r="Y567" s="442"/>
      <c r="Z567" s="441">
        <v>0</v>
      </c>
      <c r="AA567" s="485"/>
      <c r="AB567" s="442"/>
      <c r="AC567" s="672"/>
      <c r="AD567" s="441" t="s">
        <v>21</v>
      </c>
      <c r="AE567" s="674" t="s">
        <v>21</v>
      </c>
      <c r="AF567" s="674" t="s">
        <v>21</v>
      </c>
      <c r="AG567" s="674" t="s">
        <v>21</v>
      </c>
      <c r="AH567" s="442" t="s">
        <v>21</v>
      </c>
      <c r="AI567" s="442" t="str">
        <f t="shared" si="96"/>
        <v/>
      </c>
      <c r="AK567" s="3" t="e">
        <f>IF(F567="", " ", VLOOKUP(F567,#REF!, 1, FALSE))</f>
        <v>#REF!</v>
      </c>
    </row>
    <row r="568" spans="1:37" ht="36" x14ac:dyDescent="0.25">
      <c r="A568" s="587" t="s">
        <v>1927</v>
      </c>
      <c r="B568" s="369" t="s">
        <v>23</v>
      </c>
      <c r="C568" s="588"/>
      <c r="D568" s="589" t="s">
        <v>2656</v>
      </c>
      <c r="E568" s="44" t="s">
        <v>27</v>
      </c>
      <c r="F568" s="214">
        <v>101467</v>
      </c>
      <c r="G568" s="587" t="s">
        <v>776</v>
      </c>
      <c r="H568" s="590" t="s">
        <v>55</v>
      </c>
      <c r="I568" s="591">
        <v>617.1795595000001</v>
      </c>
      <c r="J568" s="592">
        <v>12.08</v>
      </c>
      <c r="K568" s="593">
        <v>0.2033513845915047</v>
      </c>
      <c r="L568" s="592">
        <v>14.536484725865376</v>
      </c>
      <c r="M568" s="594">
        <v>8971.6212397880736</v>
      </c>
      <c r="O568" s="673"/>
      <c r="P568" s="361"/>
      <c r="Q568" s="441">
        <v>0</v>
      </c>
      <c r="R568" s="485"/>
      <c r="S568" s="442"/>
      <c r="T568" s="441">
        <v>112.38060400000001</v>
      </c>
      <c r="U568" s="485"/>
      <c r="V568" s="442"/>
      <c r="W568" s="441">
        <v>504.79895550000003</v>
      </c>
      <c r="X568" s="485"/>
      <c r="Y568" s="442"/>
      <c r="Z568" s="441">
        <v>0</v>
      </c>
      <c r="AA568" s="485"/>
      <c r="AB568" s="442"/>
      <c r="AC568" s="672"/>
      <c r="AD568" s="441">
        <v>1923.5512426366811</v>
      </c>
      <c r="AE568" s="674">
        <v>5332.4702402051626</v>
      </c>
      <c r="AF568" s="674">
        <v>1715.5997569462293</v>
      </c>
      <c r="AG568" s="674">
        <v>0</v>
      </c>
      <c r="AH568" s="442">
        <v>0</v>
      </c>
      <c r="AI568" s="442">
        <v>0</v>
      </c>
      <c r="AK568" s="3" t="e">
        <f>IF(F568="", " ", VLOOKUP(F568,#REF!, 1, FALSE))</f>
        <v>#REF!</v>
      </c>
    </row>
    <row r="569" spans="1:37" ht="36" x14ac:dyDescent="0.25">
      <c r="A569" s="587" t="s">
        <v>1928</v>
      </c>
      <c r="B569" s="369" t="s">
        <v>23</v>
      </c>
      <c r="C569" s="588"/>
      <c r="D569" s="589" t="s">
        <v>2657</v>
      </c>
      <c r="E569" s="44" t="s">
        <v>27</v>
      </c>
      <c r="F569" s="214">
        <v>101468</v>
      </c>
      <c r="G569" s="587" t="s">
        <v>777</v>
      </c>
      <c r="H569" s="590" t="s">
        <v>55</v>
      </c>
      <c r="I569" s="591">
        <v>277.14339999999999</v>
      </c>
      <c r="J569" s="592">
        <v>11.05</v>
      </c>
      <c r="K569" s="593">
        <v>0.2033513845915047</v>
      </c>
      <c r="L569" s="592">
        <v>13.297032799736128</v>
      </c>
      <c r="M569" s="594">
        <v>3685.1848800303892</v>
      </c>
      <c r="O569" s="673"/>
      <c r="P569" s="361"/>
      <c r="Q569" s="441">
        <v>0</v>
      </c>
      <c r="R569" s="485"/>
      <c r="S569" s="442"/>
      <c r="T569" s="441">
        <v>0</v>
      </c>
      <c r="U569" s="485"/>
      <c r="V569" s="442"/>
      <c r="W569" s="441">
        <v>277.14339999999999</v>
      </c>
      <c r="X569" s="485"/>
      <c r="Y569" s="442"/>
      <c r="Z569" s="441">
        <v>0</v>
      </c>
      <c r="AA569" s="485"/>
      <c r="AB569" s="442"/>
      <c r="AC569" s="672"/>
      <c r="AD569" s="441">
        <v>787.06211012413735</v>
      </c>
      <c r="AE569" s="674">
        <v>2194.4358833122137</v>
      </c>
      <c r="AF569" s="674">
        <v>703.68688659403813</v>
      </c>
      <c r="AG569" s="674">
        <v>0</v>
      </c>
      <c r="AH569" s="442">
        <v>0</v>
      </c>
      <c r="AI569" s="442">
        <v>0</v>
      </c>
      <c r="AK569" s="3" t="e">
        <f>IF(F569="", " ", VLOOKUP(F569,#REF!, 1, FALSE))</f>
        <v>#REF!</v>
      </c>
    </row>
    <row r="570" spans="1:37" ht="48" x14ac:dyDescent="0.25">
      <c r="A570" s="587" t="s">
        <v>1851</v>
      </c>
      <c r="B570" s="369" t="s">
        <v>25</v>
      </c>
      <c r="C570" s="588"/>
      <c r="D570" s="589" t="s">
        <v>2658</v>
      </c>
      <c r="E570" s="44" t="s">
        <v>27</v>
      </c>
      <c r="F570" s="214">
        <v>100952</v>
      </c>
      <c r="G570" s="587" t="s">
        <v>797</v>
      </c>
      <c r="H570" s="590" t="s">
        <v>42</v>
      </c>
      <c r="I570" s="591">
        <v>39395.219498500002</v>
      </c>
      <c r="J570" s="592">
        <v>1.81</v>
      </c>
      <c r="K570" s="593">
        <v>0.2033513845915047</v>
      </c>
      <c r="L570" s="592">
        <v>2.1780660061106234</v>
      </c>
      <c r="M570" s="594">
        <v>85805.388392949259</v>
      </c>
      <c r="O570" s="673"/>
      <c r="P570" s="361"/>
      <c r="Q570" s="441">
        <v>0</v>
      </c>
      <c r="R570" s="485"/>
      <c r="S570" s="442"/>
      <c r="T570" s="441">
        <v>30637.743232000001</v>
      </c>
      <c r="U570" s="485"/>
      <c r="V570" s="442">
        <v>8</v>
      </c>
      <c r="W570" s="441">
        <v>8757.4762664999998</v>
      </c>
      <c r="X570" s="485"/>
      <c r="Y570" s="442">
        <v>3</v>
      </c>
      <c r="Z570" s="441">
        <v>0</v>
      </c>
      <c r="AA570" s="485"/>
      <c r="AB570" s="442"/>
      <c r="AC570" s="672"/>
      <c r="AD570" s="441">
        <v>8059.0696280670581</v>
      </c>
      <c r="AE570" s="674">
        <v>58783.801992959721</v>
      </c>
      <c r="AF570" s="674">
        <v>18962.516771922488</v>
      </c>
      <c r="AG570" s="674">
        <v>0</v>
      </c>
      <c r="AH570" s="442">
        <v>0</v>
      </c>
      <c r="AI570" s="442">
        <v>0</v>
      </c>
      <c r="AK570" s="3" t="e">
        <f>IF(F570="", " ", VLOOKUP(F570,#REF!, 1, FALSE))</f>
        <v>#REF!</v>
      </c>
    </row>
    <row r="571" spans="1:37" ht="48" hidden="1" x14ac:dyDescent="0.25">
      <c r="A571" s="587" t="s">
        <v>1852</v>
      </c>
      <c r="B571" s="369" t="s">
        <v>25</v>
      </c>
      <c r="C571" s="588"/>
      <c r="D571" s="589" t="s">
        <v>2659</v>
      </c>
      <c r="E571" s="44" t="s">
        <v>27</v>
      </c>
      <c r="F571" s="214">
        <v>100953</v>
      </c>
      <c r="G571" s="587" t="s">
        <v>796</v>
      </c>
      <c r="H571" s="590" t="s">
        <v>42</v>
      </c>
      <c r="I571" s="591">
        <f>IF($F571="","",IF('TRECHO(S) A IMPRIMIR'!$B$1= 1, SUM(Q571, T571, W571, Z571), IF('TRECHO(S) A IMPRIMIR'!$B$1= 2, T571, IF('TRECHO(S) A IMPRIMIR'!$B$1= 3, W571, 0))))</f>
        <v>0</v>
      </c>
      <c r="J571" s="592">
        <v>0.71</v>
      </c>
      <c r="K571" s="593">
        <f t="shared" si="94"/>
        <v>0.2033513845915047</v>
      </c>
      <c r="L571" s="592">
        <f t="shared" ref="L569:L574" si="100">IF(J571="","",
  IF(AND(J571&lt;&gt;"",K571=""),J571,J571 * (1 + K571)))</f>
        <v>0.85437948305996825</v>
      </c>
      <c r="M571" s="594">
        <f>IF(OR(I571="",L571=""),"",I571*L571)</f>
        <v>0</v>
      </c>
      <c r="O571" s="673"/>
      <c r="P571" s="361"/>
      <c r="Q571" s="441">
        <f>SUM(Q561:Q569) * S571</f>
        <v>0</v>
      </c>
      <c r="R571" s="485"/>
      <c r="S571" s="442"/>
      <c r="T571" s="441">
        <f>SUM(T561:T569) * V571</f>
        <v>0</v>
      </c>
      <c r="U571" s="485"/>
      <c r="V571" s="442">
        <f>IF('MLQ-DMT-TR1'!$E$11&gt; 30, 'MLQ-DMT-TR1'!$E$11 - 30, 0)</f>
        <v>0</v>
      </c>
      <c r="W571" s="441">
        <f>SUM(W561:W569) * Y571</f>
        <v>0</v>
      </c>
      <c r="X571" s="485"/>
      <c r="Y571" s="442">
        <f>IF('MLQ-DMT-TR3'!$E$11&gt; 30, 'MLQ-DMT-TR3'!$E$11 - 30, 0)</f>
        <v>0</v>
      </c>
      <c r="Z571" s="441">
        <f>SUM(Z561:Z569) * AB571</f>
        <v>0</v>
      </c>
      <c r="AA571" s="485"/>
      <c r="AB571" s="442"/>
      <c r="AC571" s="672"/>
      <c r="AD571" s="441" t="s">
        <v>21</v>
      </c>
      <c r="AE571" s="674" t="s">
        <v>21</v>
      </c>
      <c r="AF571" s="674" t="s">
        <v>21</v>
      </c>
      <c r="AG571" s="674" t="s">
        <v>21</v>
      </c>
      <c r="AH571" s="442" t="s">
        <v>21</v>
      </c>
      <c r="AI571" s="442" t="str">
        <f t="shared" ref="AI570:AI608" si="101">IF(SUM(AD571:AH571)=0,"",M571 - SUM(AD571:AH571))</f>
        <v/>
      </c>
      <c r="AK571" s="3" t="e">
        <f>IF(F571="", " ", VLOOKUP(F571,#REF!, 1, FALSE))</f>
        <v>#REF!</v>
      </c>
    </row>
    <row r="572" spans="1:37" ht="48" x14ac:dyDescent="0.25">
      <c r="A572" s="587" t="s">
        <v>1917</v>
      </c>
      <c r="B572" s="369" t="s">
        <v>25</v>
      </c>
      <c r="C572" s="588"/>
      <c r="D572" s="589" t="s">
        <v>2660</v>
      </c>
      <c r="E572" s="44" t="s">
        <v>27</v>
      </c>
      <c r="F572" s="214">
        <v>100954</v>
      </c>
      <c r="G572" s="587" t="s">
        <v>794</v>
      </c>
      <c r="H572" s="590" t="s">
        <v>42</v>
      </c>
      <c r="I572" s="591">
        <v>5581.2131573000006</v>
      </c>
      <c r="J572" s="592">
        <v>5.41</v>
      </c>
      <c r="K572" s="593">
        <v>0.2033513845915047</v>
      </c>
      <c r="L572" s="592">
        <v>6.5101309906400404</v>
      </c>
      <c r="M572" s="594">
        <v>36334.42874070668</v>
      </c>
      <c r="O572" s="673"/>
      <c r="P572" s="361"/>
      <c r="Q572" s="441">
        <v>0</v>
      </c>
      <c r="R572" s="485"/>
      <c r="S572" s="442"/>
      <c r="T572" s="441">
        <v>3829.7179040000001</v>
      </c>
      <c r="U572" s="485"/>
      <c r="V572" s="442">
        <v>1</v>
      </c>
      <c r="W572" s="441">
        <v>1751.4952533000001</v>
      </c>
      <c r="X572" s="485"/>
      <c r="Y572" s="442">
        <v>0.6</v>
      </c>
      <c r="Z572" s="441">
        <v>0</v>
      </c>
      <c r="AA572" s="485"/>
      <c r="AB572" s="442"/>
      <c r="AC572" s="672"/>
      <c r="AD572" s="441">
        <v>3492.4035018793852</v>
      </c>
      <c r="AE572" s="674">
        <v>24178.178089934205</v>
      </c>
      <c r="AF572" s="674">
        <v>8663.84714889309</v>
      </c>
      <c r="AG572" s="674">
        <v>0</v>
      </c>
      <c r="AH572" s="442">
        <v>0</v>
      </c>
      <c r="AI572" s="442">
        <v>0</v>
      </c>
      <c r="AK572" s="3" t="e">
        <f>IF(F572="", " ", VLOOKUP(F572,#REF!, 1, FALSE))</f>
        <v>#REF!</v>
      </c>
    </row>
    <row r="573" spans="1:37" x14ac:dyDescent="0.25">
      <c r="A573" s="587"/>
      <c r="B573" s="369"/>
      <c r="C573" s="588"/>
      <c r="D573" s="589"/>
      <c r="E573" s="44"/>
      <c r="F573" s="214"/>
      <c r="G573" s="587" t="s">
        <v>21</v>
      </c>
      <c r="H573" s="590" t="s">
        <v>21</v>
      </c>
      <c r="I573" s="591" t="str">
        <f>IF($F573="","",IF('TRECHO(S) A IMPRIMIR'!$B$1= 1, SUM(Q573, T573, W573, Z573), IF('TRECHO(S) A IMPRIMIR'!$B$1= 2, T573, IF('TRECHO(S) A IMPRIMIR'!$B$1= 3, W573, 0))))</f>
        <v/>
      </c>
      <c r="J573" s="592" t="s">
        <v>21</v>
      </c>
      <c r="K573" s="593" t="str">
        <f t="shared" si="94"/>
        <v/>
      </c>
      <c r="L573" s="592" t="str">
        <f t="shared" si="100"/>
        <v/>
      </c>
      <c r="M573" s="594" t="str">
        <f t="shared" ref="M573:M598" si="102">IF(OR(I573="",L573=""),"",I573*L573)</f>
        <v/>
      </c>
      <c r="O573" s="673"/>
      <c r="P573" s="361"/>
      <c r="Q573" s="441"/>
      <c r="R573" s="485"/>
      <c r="S573" s="442"/>
      <c r="T573" s="441"/>
      <c r="U573" s="485"/>
      <c r="V573" s="442"/>
      <c r="W573" s="441"/>
      <c r="X573" s="485"/>
      <c r="Y573" s="442"/>
      <c r="Z573" s="441"/>
      <c r="AA573" s="485"/>
      <c r="AB573" s="442"/>
      <c r="AC573" s="672"/>
      <c r="AD573" s="441" t="s">
        <v>21</v>
      </c>
      <c r="AE573" s="674" t="s">
        <v>21</v>
      </c>
      <c r="AF573" s="674" t="s">
        <v>21</v>
      </c>
      <c r="AG573" s="674" t="s">
        <v>21</v>
      </c>
      <c r="AH573" s="442" t="s">
        <v>21</v>
      </c>
      <c r="AI573" s="442" t="s">
        <v>21</v>
      </c>
      <c r="AK573" s="3" t="str">
        <f>IF(F573="", " ", VLOOKUP(F573,#REF!, 1, FALSE))</f>
        <v xml:space="preserve"> </v>
      </c>
    </row>
    <row r="574" spans="1:37" ht="24" x14ac:dyDescent="0.25">
      <c r="A574" s="587" t="s">
        <v>1919</v>
      </c>
      <c r="B574" s="369"/>
      <c r="C574" s="588"/>
      <c r="D574" s="589" t="s">
        <v>2318</v>
      </c>
      <c r="E574" s="44"/>
      <c r="F574" s="214"/>
      <c r="G574" s="587" t="s">
        <v>1919</v>
      </c>
      <c r="H574" s="590" t="s">
        <v>21</v>
      </c>
      <c r="I574" s="591" t="s">
        <v>21</v>
      </c>
      <c r="J574" s="592" t="s">
        <v>21</v>
      </c>
      <c r="K574" s="593" t="s">
        <v>21</v>
      </c>
      <c r="L574" s="592" t="s">
        <v>21</v>
      </c>
      <c r="M574" s="594">
        <v>917317.63070782658</v>
      </c>
      <c r="O574" s="673"/>
      <c r="P574" s="361"/>
      <c r="Q574" s="441"/>
      <c r="R574" s="485"/>
      <c r="S574" s="442"/>
      <c r="T574" s="441"/>
      <c r="U574" s="485"/>
      <c r="V574" s="442"/>
      <c r="W574" s="441"/>
      <c r="X574" s="485"/>
      <c r="Y574" s="442"/>
      <c r="Z574" s="441"/>
      <c r="AA574" s="485"/>
      <c r="AB574" s="442"/>
      <c r="AC574" s="672"/>
      <c r="AD574" s="441" t="s">
        <v>21</v>
      </c>
      <c r="AE574" s="674" t="s">
        <v>21</v>
      </c>
      <c r="AF574" s="674" t="s">
        <v>21</v>
      </c>
      <c r="AG574" s="674" t="s">
        <v>21</v>
      </c>
      <c r="AH574" s="442" t="s">
        <v>21</v>
      </c>
      <c r="AI574" s="442" t="s">
        <v>21</v>
      </c>
      <c r="AK574" s="3" t="str">
        <f>IF(F574="", " ", VLOOKUP(F574,#REF!, 1, FALSE))</f>
        <v xml:space="preserve"> </v>
      </c>
    </row>
    <row r="575" spans="1:37" ht="60" hidden="1" x14ac:dyDescent="0.25">
      <c r="A575" s="587" t="s">
        <v>1929</v>
      </c>
      <c r="B575" s="369"/>
      <c r="C575" s="588"/>
      <c r="D575" s="589" t="s">
        <v>2629</v>
      </c>
      <c r="E575" s="44" t="s">
        <v>27</v>
      </c>
      <c r="F575" s="214">
        <v>92809</v>
      </c>
      <c r="G575" s="587" t="s">
        <v>520</v>
      </c>
      <c r="H575" s="590" t="s">
        <v>22</v>
      </c>
      <c r="I575" s="591">
        <f>IF($F575="","",IF('TRECHO(S) A IMPRIMIR'!$B$1= 1, SUM(Q575, T575, W575, Z575), IF('TRECHO(S) A IMPRIMIR'!$B$1= 2, T575, IF('TRECHO(S) A IMPRIMIR'!$B$1= 3, W575, 0))))</f>
        <v>0</v>
      </c>
      <c r="J575" s="592">
        <v>39.86</v>
      </c>
      <c r="K575" s="593">
        <f t="shared" si="94"/>
        <v>0.2033513845915047</v>
      </c>
      <c r="L575" s="592">
        <f t="shared" ref="L575:L585" si="103">IF(J575="","",
  IF(AND(J575&lt;&gt;"",K575=""),J575,J575 * (1 + K575)))</f>
        <v>47.96558618981738</v>
      </c>
      <c r="M575" s="594">
        <f t="shared" si="102"/>
        <v>0</v>
      </c>
      <c r="N575" s="439"/>
      <c r="O575" s="673"/>
      <c r="P575" s="361"/>
      <c r="Q575" s="441"/>
      <c r="R575" s="485"/>
      <c r="S575" s="442"/>
      <c r="T575" s="441">
        <f>T543</f>
        <v>0</v>
      </c>
      <c r="U575" s="485"/>
      <c r="V575" s="442"/>
      <c r="W575" s="441">
        <f>W543</f>
        <v>0</v>
      </c>
      <c r="X575" s="485"/>
      <c r="Y575" s="442"/>
      <c r="Z575" s="441"/>
      <c r="AA575" s="485"/>
      <c r="AB575" s="442"/>
      <c r="AC575" s="672"/>
      <c r="AD575" s="441" t="s">
        <v>21</v>
      </c>
      <c r="AE575" s="674" t="s">
        <v>21</v>
      </c>
      <c r="AF575" s="674" t="s">
        <v>21</v>
      </c>
      <c r="AG575" s="674" t="s">
        <v>21</v>
      </c>
      <c r="AH575" s="442" t="s">
        <v>21</v>
      </c>
      <c r="AI575" s="442" t="str">
        <f t="shared" si="101"/>
        <v/>
      </c>
      <c r="AK575" s="3" t="e">
        <f>IF(F575="", " ", VLOOKUP(F575,#REF!, 1, FALSE))</f>
        <v>#REF!</v>
      </c>
    </row>
    <row r="576" spans="1:37" ht="60" hidden="1" x14ac:dyDescent="0.25">
      <c r="A576" s="587" t="s">
        <v>1930</v>
      </c>
      <c r="B576" s="369"/>
      <c r="C576" s="588"/>
      <c r="D576" s="589" t="s">
        <v>2630</v>
      </c>
      <c r="E576" s="44" t="s">
        <v>27</v>
      </c>
      <c r="F576" s="214">
        <v>92810</v>
      </c>
      <c r="G576" s="587" t="s">
        <v>521</v>
      </c>
      <c r="H576" s="590" t="s">
        <v>22</v>
      </c>
      <c r="I576" s="591">
        <f>IF($F576="","",IF('TRECHO(S) A IMPRIMIR'!$B$1= 1, SUM(Q576, T576, W576, Z576), IF('TRECHO(S) A IMPRIMIR'!$B$1= 2, T576, IF('TRECHO(S) A IMPRIMIR'!$B$1= 3, W576, 0))))</f>
        <v>0</v>
      </c>
      <c r="J576" s="592">
        <v>48.52</v>
      </c>
      <c r="K576" s="593">
        <f t="shared" si="94"/>
        <v>0.2033513845915047</v>
      </c>
      <c r="L576" s="592">
        <f t="shared" si="103"/>
        <v>58.386609180379814</v>
      </c>
      <c r="M576" s="594">
        <f t="shared" si="102"/>
        <v>0</v>
      </c>
      <c r="N576" s="439"/>
      <c r="O576" s="673"/>
      <c r="P576" s="361"/>
      <c r="Q576" s="441"/>
      <c r="R576" s="485"/>
      <c r="S576" s="442"/>
      <c r="T576" s="441">
        <f>T544</f>
        <v>0</v>
      </c>
      <c r="U576" s="485"/>
      <c r="V576" s="442"/>
      <c r="W576" s="441">
        <f>W544</f>
        <v>0</v>
      </c>
      <c r="X576" s="485"/>
      <c r="Y576" s="442"/>
      <c r="Z576" s="441"/>
      <c r="AA576" s="485"/>
      <c r="AB576" s="442"/>
      <c r="AC576" s="672"/>
      <c r="AD576" s="441" t="s">
        <v>21</v>
      </c>
      <c r="AE576" s="674" t="s">
        <v>21</v>
      </c>
      <c r="AF576" s="674" t="s">
        <v>21</v>
      </c>
      <c r="AG576" s="674" t="s">
        <v>21</v>
      </c>
      <c r="AH576" s="442" t="s">
        <v>21</v>
      </c>
      <c r="AI576" s="442" t="str">
        <f t="shared" si="101"/>
        <v/>
      </c>
      <c r="AK576" s="3" t="e">
        <f>IF(F576="", " ", VLOOKUP(F576,#REF!, 1, FALSE))</f>
        <v>#REF!</v>
      </c>
    </row>
    <row r="577" spans="1:37" ht="60" x14ac:dyDescent="0.25">
      <c r="A577" s="587" t="s">
        <v>1931</v>
      </c>
      <c r="B577" s="369"/>
      <c r="C577" s="588"/>
      <c r="D577" s="589" t="s">
        <v>2631</v>
      </c>
      <c r="E577" s="44" t="s">
        <v>27</v>
      </c>
      <c r="F577" s="214">
        <v>92811</v>
      </c>
      <c r="G577" s="587" t="s">
        <v>522</v>
      </c>
      <c r="H577" s="590" t="s">
        <v>22</v>
      </c>
      <c r="I577" s="591">
        <v>8937.2999999999993</v>
      </c>
      <c r="J577" s="592">
        <v>57.83</v>
      </c>
      <c r="K577" s="593">
        <v>0.2033513845915047</v>
      </c>
      <c r="L577" s="592">
        <v>69.589810570926716</v>
      </c>
      <c r="M577" s="594">
        <v>621945.01401554327</v>
      </c>
      <c r="O577" s="673"/>
      <c r="P577" s="361"/>
      <c r="Q577" s="441"/>
      <c r="R577" s="485"/>
      <c r="S577" s="442"/>
      <c r="T577" s="441">
        <v>6251.03</v>
      </c>
      <c r="U577" s="485"/>
      <c r="V577" s="442"/>
      <c r="W577" s="441">
        <v>2686.27</v>
      </c>
      <c r="X577" s="485"/>
      <c r="Y577" s="442"/>
      <c r="Z577" s="441"/>
      <c r="AA577" s="485"/>
      <c r="AB577" s="442"/>
      <c r="AC577" s="672"/>
      <c r="AD577" s="441">
        <v>261877.24522356011</v>
      </c>
      <c r="AE577" s="674">
        <v>186164.07042381208</v>
      </c>
      <c r="AF577" s="674">
        <v>173903.69836817111</v>
      </c>
      <c r="AG577" s="674">
        <v>0</v>
      </c>
      <c r="AH577" s="442">
        <v>0</v>
      </c>
      <c r="AI577" s="442">
        <v>0</v>
      </c>
      <c r="AK577" s="3" t="e">
        <f>IF(F577="", " ", VLOOKUP(F577,#REF!, 1, FALSE))</f>
        <v>#REF!</v>
      </c>
    </row>
    <row r="578" spans="1:37" ht="60" x14ac:dyDescent="0.25">
      <c r="A578" s="587" t="s">
        <v>1932</v>
      </c>
      <c r="B578" s="369"/>
      <c r="C578" s="588"/>
      <c r="D578" s="589" t="s">
        <v>2632</v>
      </c>
      <c r="E578" s="44" t="s">
        <v>27</v>
      </c>
      <c r="F578" s="214">
        <v>92813</v>
      </c>
      <c r="G578" s="587" t="s">
        <v>523</v>
      </c>
      <c r="H578" s="590" t="s">
        <v>22</v>
      </c>
      <c r="I578" s="591">
        <v>2206.83</v>
      </c>
      <c r="J578" s="592">
        <v>77.819999999999993</v>
      </c>
      <c r="K578" s="593">
        <v>0.2033513845915047</v>
      </c>
      <c r="L578" s="592">
        <v>93.644804748910886</v>
      </c>
      <c r="M578" s="594">
        <v>206658.164464039</v>
      </c>
      <c r="O578" s="673"/>
      <c r="P578" s="361"/>
      <c r="Q578" s="441"/>
      <c r="R578" s="485"/>
      <c r="S578" s="442"/>
      <c r="T578" s="441">
        <v>1065.6500000000001</v>
      </c>
      <c r="U578" s="485"/>
      <c r="V578" s="442"/>
      <c r="W578" s="441">
        <v>1141.1799999999998</v>
      </c>
      <c r="X578" s="485"/>
      <c r="Y578" s="442"/>
      <c r="Z578" s="441"/>
      <c r="AA578" s="485"/>
      <c r="AB578" s="442"/>
      <c r="AC578" s="672"/>
      <c r="AD578" s="441">
        <v>85377.280744266958</v>
      </c>
      <c r="AE578" s="674">
        <v>65593.120820634329</v>
      </c>
      <c r="AF578" s="674">
        <v>55687.762899137728</v>
      </c>
      <c r="AG578" s="674">
        <v>0</v>
      </c>
      <c r="AH578" s="442">
        <v>0</v>
      </c>
      <c r="AI578" s="442">
        <v>-2.9103830456733704E-11</v>
      </c>
      <c r="AK578" s="3" t="e">
        <f>IF(F578="", " ", VLOOKUP(F578,#REF!, 1, FALSE))</f>
        <v>#REF!</v>
      </c>
    </row>
    <row r="579" spans="1:37" s="294" customFormat="1" ht="60" x14ac:dyDescent="0.25">
      <c r="A579" s="587" t="s">
        <v>1933</v>
      </c>
      <c r="B579" s="586"/>
      <c r="C579" s="596"/>
      <c r="D579" s="589" t="s">
        <v>2633</v>
      </c>
      <c r="E579" s="44" t="s">
        <v>27</v>
      </c>
      <c r="F579" s="577">
        <v>92815</v>
      </c>
      <c r="G579" s="595" t="s">
        <v>516</v>
      </c>
      <c r="H579" s="597" t="s">
        <v>22</v>
      </c>
      <c r="I579" s="598">
        <v>506.57000000000005</v>
      </c>
      <c r="J579" s="599">
        <v>102.29</v>
      </c>
      <c r="K579" s="600">
        <v>0.2033513845915047</v>
      </c>
      <c r="L579" s="599">
        <v>123.09081312986503</v>
      </c>
      <c r="M579" s="601">
        <v>62354.113207195733</v>
      </c>
      <c r="N579" s="293"/>
      <c r="O579" s="680"/>
      <c r="P579" s="362"/>
      <c r="Q579" s="578"/>
      <c r="R579" s="579"/>
      <c r="S579" s="580"/>
      <c r="T579" s="578">
        <v>92.240000000000009</v>
      </c>
      <c r="U579" s="579"/>
      <c r="V579" s="580"/>
      <c r="W579" s="578">
        <v>414.33000000000004</v>
      </c>
      <c r="X579" s="579"/>
      <c r="Y579" s="580"/>
      <c r="Z579" s="578"/>
      <c r="AA579" s="579"/>
      <c r="AB579" s="580"/>
      <c r="AC579" s="681"/>
      <c r="AD579" s="578">
        <v>24870.933804414755</v>
      </c>
      <c r="AE579" s="682">
        <v>21810.833615734318</v>
      </c>
      <c r="AF579" s="682">
        <v>15672.345787046654</v>
      </c>
      <c r="AG579" s="682">
        <v>0</v>
      </c>
      <c r="AH579" s="580">
        <v>0</v>
      </c>
      <c r="AI579" s="580">
        <v>7.2759576141834259E-12</v>
      </c>
      <c r="AK579" s="294" t="e">
        <f>IF(F579="", " ", VLOOKUP(F579,#REF!, 1, FALSE))</f>
        <v>#REF!</v>
      </c>
    </row>
    <row r="580" spans="1:37" ht="60" hidden="1" x14ac:dyDescent="0.25">
      <c r="A580" s="587" t="s">
        <v>1934</v>
      </c>
      <c r="B580" s="369"/>
      <c r="C580" s="588"/>
      <c r="D580" s="589" t="s">
        <v>2634</v>
      </c>
      <c r="E580" s="44" t="s">
        <v>27</v>
      </c>
      <c r="F580" s="214">
        <v>92817</v>
      </c>
      <c r="G580" s="587" t="s">
        <v>517</v>
      </c>
      <c r="H580" s="590" t="s">
        <v>22</v>
      </c>
      <c r="I580" s="591">
        <f>IF($F580="","",IF('TRECHO(S) A IMPRIMIR'!$B$1= 1, SUM(Q580, T580, W580, Z580), IF('TRECHO(S) A IMPRIMIR'!$B$1= 2, T580, IF('TRECHO(S) A IMPRIMIR'!$B$1= 3, W580, 0))))</f>
        <v>0</v>
      </c>
      <c r="J580" s="592">
        <v>128.01</v>
      </c>
      <c r="K580" s="593">
        <f t="shared" si="94"/>
        <v>0.2033513845915047</v>
      </c>
      <c r="L580" s="592">
        <f t="shared" si="103"/>
        <v>154.04101074155849</v>
      </c>
      <c r="M580" s="594">
        <f t="shared" si="102"/>
        <v>0</v>
      </c>
      <c r="O580" s="673"/>
      <c r="P580" s="361"/>
      <c r="Q580" s="441"/>
      <c r="R580" s="485"/>
      <c r="S580" s="442"/>
      <c r="T580" s="441">
        <f>SUM(T549,T554,T559)</f>
        <v>0</v>
      </c>
      <c r="U580" s="485"/>
      <c r="V580" s="442"/>
      <c r="W580" s="441">
        <f>SUM(W549,W554,W559)</f>
        <v>0</v>
      </c>
      <c r="X580" s="485"/>
      <c r="Y580" s="442"/>
      <c r="Z580" s="441"/>
      <c r="AA580" s="485"/>
      <c r="AB580" s="442"/>
      <c r="AC580" s="672"/>
      <c r="AD580" s="441" t="s">
        <v>21</v>
      </c>
      <c r="AE580" s="674" t="s">
        <v>21</v>
      </c>
      <c r="AF580" s="674" t="s">
        <v>21</v>
      </c>
      <c r="AG580" s="674" t="s">
        <v>21</v>
      </c>
      <c r="AH580" s="442" t="s">
        <v>21</v>
      </c>
      <c r="AI580" s="442" t="str">
        <f t="shared" si="101"/>
        <v/>
      </c>
      <c r="AK580" s="3" t="e">
        <f>IF(F580="", " ", VLOOKUP(F580,#REF!, 1, FALSE))</f>
        <v>#REF!</v>
      </c>
    </row>
    <row r="581" spans="1:37" ht="60" x14ac:dyDescent="0.25">
      <c r="A581" s="587" t="s">
        <v>1935</v>
      </c>
      <c r="B581" s="369"/>
      <c r="C581" s="588"/>
      <c r="D581" s="589" t="s">
        <v>2635</v>
      </c>
      <c r="E581" s="44" t="s">
        <v>27</v>
      </c>
      <c r="F581" s="214">
        <v>92819</v>
      </c>
      <c r="G581" s="587" t="s">
        <v>518</v>
      </c>
      <c r="H581" s="590" t="s">
        <v>22</v>
      </c>
      <c r="I581" s="591">
        <v>127.13</v>
      </c>
      <c r="J581" s="592">
        <v>172.31</v>
      </c>
      <c r="K581" s="593">
        <v>0.2033513845915047</v>
      </c>
      <c r="L581" s="592">
        <v>207.34947707896217</v>
      </c>
      <c r="M581" s="594">
        <v>26360.339021048458</v>
      </c>
      <c r="O581" s="673"/>
      <c r="P581" s="361"/>
      <c r="Q581" s="441"/>
      <c r="R581" s="485"/>
      <c r="S581" s="442"/>
      <c r="T581" s="441">
        <v>0</v>
      </c>
      <c r="U581" s="485"/>
      <c r="V581" s="442"/>
      <c r="W581" s="441">
        <v>127.13</v>
      </c>
      <c r="X581" s="485"/>
      <c r="Y581" s="442"/>
      <c r="Z581" s="441"/>
      <c r="AA581" s="485"/>
      <c r="AB581" s="442"/>
      <c r="AC581" s="672"/>
      <c r="AD581" s="441">
        <v>10512.927267868667</v>
      </c>
      <c r="AE581" s="674">
        <v>9221.7586686135528</v>
      </c>
      <c r="AF581" s="674">
        <v>6625.6530845662401</v>
      </c>
      <c r="AG581" s="674">
        <v>0</v>
      </c>
      <c r="AH581" s="442">
        <v>0</v>
      </c>
      <c r="AI581" s="442">
        <v>0</v>
      </c>
      <c r="AK581" s="3" t="e">
        <f>IF(F581="", " ", VLOOKUP(F581,#REF!, 1, FALSE))</f>
        <v>#REF!</v>
      </c>
    </row>
    <row r="582" spans="1:37" x14ac:dyDescent="0.25">
      <c r="A582" s="587"/>
      <c r="B582" s="369"/>
      <c r="C582" s="588"/>
      <c r="D582" s="589"/>
      <c r="E582" s="44"/>
      <c r="F582" s="214"/>
      <c r="G582" s="587" t="s">
        <v>21</v>
      </c>
      <c r="H582" s="590" t="s">
        <v>21</v>
      </c>
      <c r="I582" s="591" t="str">
        <f>IF($F582="","",IF('TRECHO(S) A IMPRIMIR'!$B$1= 1, SUM(Q582, T582, W582, Z582), IF('TRECHO(S) A IMPRIMIR'!$B$1= 2, T582, IF('TRECHO(S) A IMPRIMIR'!$B$1= 3, W582, 0))))</f>
        <v/>
      </c>
      <c r="J582" s="592" t="s">
        <v>21</v>
      </c>
      <c r="K582" s="593" t="str">
        <f t="shared" si="94"/>
        <v/>
      </c>
      <c r="L582" s="592" t="str">
        <f t="shared" si="103"/>
        <v/>
      </c>
      <c r="M582" s="594" t="str">
        <f t="shared" si="102"/>
        <v/>
      </c>
      <c r="O582" s="673"/>
      <c r="P582" s="361"/>
      <c r="Q582" s="441"/>
      <c r="R582" s="485"/>
      <c r="S582" s="442"/>
      <c r="T582" s="441"/>
      <c r="U582" s="485"/>
      <c r="V582" s="442"/>
      <c r="W582" s="578"/>
      <c r="X582" s="485"/>
      <c r="Y582" s="442"/>
      <c r="Z582" s="441"/>
      <c r="AA582" s="485"/>
      <c r="AB582" s="442"/>
      <c r="AC582" s="672"/>
      <c r="AD582" s="441" t="s">
        <v>21</v>
      </c>
      <c r="AE582" s="674" t="s">
        <v>21</v>
      </c>
      <c r="AF582" s="674" t="s">
        <v>21</v>
      </c>
      <c r="AG582" s="674" t="s">
        <v>21</v>
      </c>
      <c r="AH582" s="442" t="s">
        <v>21</v>
      </c>
      <c r="AI582" s="442" t="str">
        <f t="shared" si="101"/>
        <v/>
      </c>
      <c r="AK582" s="3" t="str">
        <f>IF(F582="", " ", VLOOKUP(F582,#REF!, 1, FALSE))</f>
        <v xml:space="preserve"> </v>
      </c>
    </row>
    <row r="583" spans="1:37" x14ac:dyDescent="0.25">
      <c r="A583" s="587" t="s">
        <v>2420</v>
      </c>
      <c r="B583" s="369"/>
      <c r="C583" s="588"/>
      <c r="D583" s="589" t="s">
        <v>2319</v>
      </c>
      <c r="E583" s="44"/>
      <c r="F583" s="214"/>
      <c r="G583" s="587" t="s">
        <v>2420</v>
      </c>
      <c r="H583" s="590" t="s">
        <v>21</v>
      </c>
      <c r="I583" s="591" t="str">
        <f>IF($F583="","",IF('TRECHO(S) A IMPRIMIR'!$B$1= 1, SUM(Q583, T583, W583, Z583), IF('TRECHO(S) A IMPRIMIR'!$B$1= 2, T583, IF('TRECHO(S) A IMPRIMIR'!$B$1= 3, W583, 0))))</f>
        <v/>
      </c>
      <c r="J583" s="592" t="s">
        <v>21</v>
      </c>
      <c r="K583" s="593" t="str">
        <f t="shared" si="94"/>
        <v/>
      </c>
      <c r="L583" s="592" t="str">
        <f t="shared" si="103"/>
        <v/>
      </c>
      <c r="M583" s="594">
        <v>773357.84140898031</v>
      </c>
      <c r="O583" s="673"/>
      <c r="P583" s="361"/>
      <c r="Q583" s="441"/>
      <c r="R583" s="485"/>
      <c r="S583" s="442"/>
      <c r="T583" s="441"/>
      <c r="U583" s="485"/>
      <c r="V583" s="442"/>
      <c r="W583" s="578"/>
      <c r="X583" s="485"/>
      <c r="Y583" s="442"/>
      <c r="Z583" s="441"/>
      <c r="AA583" s="485"/>
      <c r="AB583" s="442"/>
      <c r="AC583" s="672"/>
      <c r="AD583" s="441" t="s">
        <v>21</v>
      </c>
      <c r="AE583" s="674" t="s">
        <v>21</v>
      </c>
      <c r="AF583" s="674" t="s">
        <v>21</v>
      </c>
      <c r="AG583" s="674" t="s">
        <v>21</v>
      </c>
      <c r="AH583" s="442" t="s">
        <v>21</v>
      </c>
      <c r="AI583" s="442" t="s">
        <v>21</v>
      </c>
      <c r="AK583" s="3" t="str">
        <f>IF(F583="", " ", VLOOKUP(F583,#REF!, 1, FALSE))</f>
        <v xml:space="preserve"> </v>
      </c>
    </row>
    <row r="584" spans="1:37" ht="48" x14ac:dyDescent="0.25">
      <c r="A584" s="587" t="s">
        <v>2406</v>
      </c>
      <c r="B584" s="369" t="s">
        <v>39</v>
      </c>
      <c r="C584" s="588"/>
      <c r="D584" s="589" t="s">
        <v>2661</v>
      </c>
      <c r="E584" s="44" t="s">
        <v>138</v>
      </c>
      <c r="F584" s="214" t="s">
        <v>2387</v>
      </c>
      <c r="G584" s="587" t="s">
        <v>2412</v>
      </c>
      <c r="H584" s="590" t="s">
        <v>41</v>
      </c>
      <c r="I584" s="591">
        <v>289</v>
      </c>
      <c r="J584" s="592">
        <v>1183.4178576702777</v>
      </c>
      <c r="K584" s="593">
        <v>0.2033513845915047</v>
      </c>
      <c r="L584" s="592">
        <v>1424.067517577841</v>
      </c>
      <c r="M584" s="594">
        <v>411555.51257999608</v>
      </c>
      <c r="O584" s="673"/>
      <c r="P584" s="361"/>
      <c r="Q584" s="441"/>
      <c r="R584" s="485"/>
      <c r="S584" s="442"/>
      <c r="T584" s="441">
        <v>191</v>
      </c>
      <c r="U584" s="485"/>
      <c r="V584" s="442"/>
      <c r="W584" s="578">
        <v>98</v>
      </c>
      <c r="X584" s="485"/>
      <c r="Y584" s="442"/>
      <c r="Z584" s="441"/>
      <c r="AA584" s="485"/>
      <c r="AB584" s="442"/>
      <c r="AC584" s="672"/>
      <c r="AD584" s="441">
        <v>113686.87768435753</v>
      </c>
      <c r="AE584" s="674">
        <v>295450.83952238329</v>
      </c>
      <c r="AF584" s="674">
        <v>2215.3787471289143</v>
      </c>
      <c r="AG584" s="674">
        <v>0</v>
      </c>
      <c r="AH584" s="442">
        <v>202.41662612637205</v>
      </c>
      <c r="AI584" s="442">
        <v>-5.8207660913467407E-11</v>
      </c>
      <c r="AK584" s="3" t="e">
        <f>IF(F584="", " ", VLOOKUP(F584,#REF!, 1, FALSE))</f>
        <v>#REF!</v>
      </c>
    </row>
    <row r="585" spans="1:37" ht="48" x14ac:dyDescent="0.25">
      <c r="A585" s="587" t="s">
        <v>2407</v>
      </c>
      <c r="B585" s="369" t="s">
        <v>39</v>
      </c>
      <c r="C585" s="588"/>
      <c r="D585" s="589" t="s">
        <v>2662</v>
      </c>
      <c r="E585" s="44" t="s">
        <v>138</v>
      </c>
      <c r="F585" s="214" t="s">
        <v>2392</v>
      </c>
      <c r="G585" s="587" t="s">
        <v>2413</v>
      </c>
      <c r="H585" s="590" t="s">
        <v>41</v>
      </c>
      <c r="I585" s="591">
        <v>63</v>
      </c>
      <c r="J585" s="592">
        <v>1803.8161404202781</v>
      </c>
      <c r="K585" s="593">
        <v>0.2033513845915047</v>
      </c>
      <c r="L585" s="592">
        <v>2170.6246501232458</v>
      </c>
      <c r="M585" s="594">
        <v>136749.35295776449</v>
      </c>
      <c r="O585" s="673"/>
      <c r="P585" s="361"/>
      <c r="Q585" s="441"/>
      <c r="R585" s="485"/>
      <c r="S585" s="442"/>
      <c r="T585" s="441">
        <v>30</v>
      </c>
      <c r="U585" s="485"/>
      <c r="V585" s="442"/>
      <c r="W585" s="578">
        <v>33</v>
      </c>
      <c r="X585" s="485"/>
      <c r="Y585" s="442"/>
      <c r="Z585" s="441"/>
      <c r="AA585" s="485"/>
      <c r="AB585" s="442"/>
      <c r="AC585" s="672"/>
      <c r="AD585" s="441">
        <v>37519.038775220768</v>
      </c>
      <c r="AE585" s="674">
        <v>98172.370263780933</v>
      </c>
      <c r="AF585" s="674">
        <v>973.31095935102337</v>
      </c>
      <c r="AG585" s="674">
        <v>0</v>
      </c>
      <c r="AH585" s="442">
        <v>84.632959411731107</v>
      </c>
      <c r="AI585" s="442">
        <v>2.9103830456733704E-11</v>
      </c>
      <c r="AK585" s="3" t="e">
        <f>IF(F585="", " ", VLOOKUP(F585,#REF!, 1, FALSE))</f>
        <v>#REF!</v>
      </c>
    </row>
    <row r="586" spans="1:37" ht="48" x14ac:dyDescent="0.25">
      <c r="A586" s="587" t="s">
        <v>2408</v>
      </c>
      <c r="B586" s="369" t="s">
        <v>39</v>
      </c>
      <c r="C586" s="588"/>
      <c r="D586" s="589" t="s">
        <v>2663</v>
      </c>
      <c r="E586" s="44" t="s">
        <v>138</v>
      </c>
      <c r="F586" s="214" t="s">
        <v>2394</v>
      </c>
      <c r="G586" s="587" t="s">
        <v>2414</v>
      </c>
      <c r="H586" s="590" t="s">
        <v>41</v>
      </c>
      <c r="I586" s="591">
        <v>17</v>
      </c>
      <c r="J586" s="592">
        <v>3497.5044211993795</v>
      </c>
      <c r="K586" s="593">
        <v>0.2033513845915047</v>
      </c>
      <c r="L586" s="592">
        <v>4208.7267878651828</v>
      </c>
      <c r="M586" s="594">
        <v>71548.355393708101</v>
      </c>
      <c r="O586" s="673"/>
      <c r="P586" s="361"/>
      <c r="Q586" s="441"/>
      <c r="R586" s="485"/>
      <c r="S586" s="442"/>
      <c r="T586" s="441">
        <v>3</v>
      </c>
      <c r="U586" s="485"/>
      <c r="V586" s="442"/>
      <c r="W586" s="578">
        <v>14</v>
      </c>
      <c r="X586" s="485"/>
      <c r="Y586" s="442"/>
      <c r="Z586" s="441"/>
      <c r="AA586" s="485"/>
      <c r="AB586" s="442"/>
      <c r="AC586" s="672"/>
      <c r="AD586" s="441">
        <v>17589.555087411052</v>
      </c>
      <c r="AE586" s="674">
        <v>51673.348822269851</v>
      </c>
      <c r="AF586" s="674">
        <v>2279.9981954083673</v>
      </c>
      <c r="AG586" s="674">
        <v>0</v>
      </c>
      <c r="AH586" s="442">
        <v>5.4532886188429748</v>
      </c>
      <c r="AI586" s="442">
        <v>0</v>
      </c>
      <c r="AK586" s="3" t="e">
        <f>IF(F586="", " ", VLOOKUP(F586,#REF!, 1, FALSE))</f>
        <v>#REF!</v>
      </c>
    </row>
    <row r="587" spans="1:37" s="370" customFormat="1" ht="48" hidden="1" x14ac:dyDescent="0.25">
      <c r="A587" s="602" t="s">
        <v>2409</v>
      </c>
      <c r="B587" s="369" t="s">
        <v>39</v>
      </c>
      <c r="C587" s="603"/>
      <c r="D587" s="589" t="s">
        <v>2664</v>
      </c>
      <c r="E587" s="369" t="s">
        <v>138</v>
      </c>
      <c r="F587" s="214" t="s">
        <v>2397</v>
      </c>
      <c r="G587" s="602" t="s">
        <v>2415</v>
      </c>
      <c r="H587" s="590" t="s">
        <v>41</v>
      </c>
      <c r="I587" s="605">
        <f>IF($F587="","",IF('TRECHO(S) A IMPRIMIR'!$B$1= 1, SUM(Q587, T587, W587, Z587), IF('TRECHO(S) A IMPRIMIR'!$B$1= 2, T587, IF('TRECHO(S) A IMPRIMIR'!$B$1= 3, W587, 0))))</f>
        <v>0</v>
      </c>
      <c r="J587" s="606">
        <v>4661.48996279938</v>
      </c>
      <c r="K587" s="607">
        <f t="shared" si="94"/>
        <v>0.2033513845915047</v>
      </c>
      <c r="L587" s="606">
        <f>IF(J587="","",
  IF(AND(J587&lt;&gt;"",K587=""),J587,J587 * (1 + K587)))</f>
        <v>5609.4104009940356</v>
      </c>
      <c r="M587" s="608">
        <f t="shared" si="102"/>
        <v>0</v>
      </c>
      <c r="N587" s="581"/>
      <c r="O587" s="683"/>
      <c r="P587" s="684"/>
      <c r="Q587" s="582"/>
      <c r="R587" s="583"/>
      <c r="S587" s="584"/>
      <c r="T587" s="582">
        <f>'04-MLQ-DR-TR1'!BS327</f>
        <v>0</v>
      </c>
      <c r="U587" s="583"/>
      <c r="V587" s="584"/>
      <c r="W587" s="1184">
        <f>'04-MLQ-DR-TR3'!BS256</f>
        <v>0</v>
      </c>
      <c r="X587" s="583"/>
      <c r="Y587" s="584"/>
      <c r="Z587" s="582"/>
      <c r="AA587" s="583"/>
      <c r="AB587" s="584"/>
      <c r="AC587" s="685"/>
      <c r="AD587" s="582" t="s">
        <v>21</v>
      </c>
      <c r="AE587" s="686" t="s">
        <v>21</v>
      </c>
      <c r="AF587" s="686" t="s">
        <v>21</v>
      </c>
      <c r="AG587" s="686" t="s">
        <v>21</v>
      </c>
      <c r="AH587" s="584" t="s">
        <v>21</v>
      </c>
      <c r="AI587" s="584" t="str">
        <f t="shared" si="101"/>
        <v/>
      </c>
      <c r="AK587" s="370" t="e">
        <f>IF(F587="", " ", VLOOKUP(F587,#REF!, 1, FALSE))</f>
        <v>#REF!</v>
      </c>
    </row>
    <row r="588" spans="1:37" s="370" customFormat="1" ht="48" x14ac:dyDescent="0.25">
      <c r="A588" s="602" t="s">
        <v>2410</v>
      </c>
      <c r="B588" s="369" t="s">
        <v>39</v>
      </c>
      <c r="C588" s="603"/>
      <c r="D588" s="589" t="s">
        <v>2665</v>
      </c>
      <c r="E588" s="369" t="s">
        <v>138</v>
      </c>
      <c r="F588" s="214" t="s">
        <v>2399</v>
      </c>
      <c r="G588" s="602" t="s">
        <v>2416</v>
      </c>
      <c r="H588" s="590" t="s">
        <v>41</v>
      </c>
      <c r="I588" s="605">
        <v>4</v>
      </c>
      <c r="J588" s="606">
        <v>6357.7790761593797</v>
      </c>
      <c r="K588" s="607">
        <v>0.2033513845915047</v>
      </c>
      <c r="L588" s="606">
        <v>7650.6422542232867</v>
      </c>
      <c r="M588" s="608">
        <v>30602.569016893147</v>
      </c>
      <c r="N588" s="585"/>
      <c r="O588" s="683"/>
      <c r="P588" s="684"/>
      <c r="Q588" s="582"/>
      <c r="R588" s="583"/>
      <c r="S588" s="584"/>
      <c r="T588" s="582">
        <v>0</v>
      </c>
      <c r="U588" s="583"/>
      <c r="V588" s="584"/>
      <c r="W588" s="1184">
        <v>4</v>
      </c>
      <c r="X588" s="583"/>
      <c r="Y588" s="584"/>
      <c r="Z588" s="582"/>
      <c r="AA588" s="583"/>
      <c r="AB588" s="584"/>
      <c r="AC588" s="685"/>
      <c r="AD588" s="582">
        <v>6356.0810191909204</v>
      </c>
      <c r="AE588" s="686">
        <v>23458.757716207168</v>
      </c>
      <c r="AF588" s="686">
        <v>786.74783800077762</v>
      </c>
      <c r="AG588" s="686">
        <v>0</v>
      </c>
      <c r="AH588" s="584">
        <v>0.9824434942834912</v>
      </c>
      <c r="AI588" s="584">
        <v>0</v>
      </c>
      <c r="AK588" s="370" t="e">
        <f>IF(F588="", " ", VLOOKUP(F588,#REF!, 1, FALSE))</f>
        <v>#REF!</v>
      </c>
    </row>
    <row r="589" spans="1:37" s="370" customFormat="1" ht="36" x14ac:dyDescent="0.25">
      <c r="A589" s="602" t="s">
        <v>2417</v>
      </c>
      <c r="B589" s="369" t="s">
        <v>26</v>
      </c>
      <c r="C589" s="603"/>
      <c r="D589" s="589" t="s">
        <v>2666</v>
      </c>
      <c r="E589" s="369" t="s">
        <v>27</v>
      </c>
      <c r="F589" s="214">
        <v>99318</v>
      </c>
      <c r="G589" s="602" t="s">
        <v>1292</v>
      </c>
      <c r="H589" s="590" t="s">
        <v>22</v>
      </c>
      <c r="I589" s="605">
        <v>441</v>
      </c>
      <c r="J589" s="606">
        <v>210.44</v>
      </c>
      <c r="K589" s="607">
        <v>0.2033513845915047</v>
      </c>
      <c r="L589" s="606">
        <v>253.23326537343624</v>
      </c>
      <c r="M589" s="608">
        <v>111675.87002968538</v>
      </c>
      <c r="N589" s="581"/>
      <c r="O589" s="683"/>
      <c r="P589" s="684"/>
      <c r="Q589" s="582"/>
      <c r="R589" s="583"/>
      <c r="S589" s="584"/>
      <c r="T589" s="582">
        <v>278.5</v>
      </c>
      <c r="U589" s="1106">
        <v>0.45999999999999996</v>
      </c>
      <c r="V589" s="584"/>
      <c r="W589" s="1184">
        <v>162.5</v>
      </c>
      <c r="X589" s="1106">
        <v>0.45999999999999996</v>
      </c>
      <c r="Y589" s="584"/>
      <c r="Z589" s="582"/>
      <c r="AA589" s="583"/>
      <c r="AB589" s="584"/>
      <c r="AC589" s="685"/>
      <c r="AD589" s="582">
        <v>6516.725356227601</v>
      </c>
      <c r="AE589" s="686">
        <v>101969.77013022262</v>
      </c>
      <c r="AF589" s="686">
        <v>3189.3745432351698</v>
      </c>
      <c r="AG589" s="686">
        <v>0</v>
      </c>
      <c r="AH589" s="584">
        <v>0</v>
      </c>
      <c r="AI589" s="584">
        <v>-1.4551915228366852E-11</v>
      </c>
      <c r="AK589" s="370" t="e">
        <f>IF(F589="", " ", VLOOKUP(F589,#REF!, 1, FALSE))</f>
        <v>#REF!</v>
      </c>
    </row>
    <row r="590" spans="1:37" s="370" customFormat="1" ht="36" x14ac:dyDescent="0.25">
      <c r="A590" s="602" t="s">
        <v>2418</v>
      </c>
      <c r="B590" s="369" t="s">
        <v>23</v>
      </c>
      <c r="C590" s="603"/>
      <c r="D590" s="589" t="s">
        <v>2667</v>
      </c>
      <c r="E590" s="369" t="s">
        <v>27</v>
      </c>
      <c r="F590" s="214">
        <v>101463</v>
      </c>
      <c r="G590" s="602" t="s">
        <v>780</v>
      </c>
      <c r="H590" s="590" t="s">
        <v>55</v>
      </c>
      <c r="I590" s="605">
        <v>202.85999999999999</v>
      </c>
      <c r="J590" s="606">
        <v>30.23</v>
      </c>
      <c r="K590" s="607">
        <v>0.2033513845915047</v>
      </c>
      <c r="L590" s="606">
        <v>36.377312356201188</v>
      </c>
      <c r="M590" s="608">
        <v>7379.5015845789721</v>
      </c>
      <c r="N590" s="581"/>
      <c r="O590" s="683"/>
      <c r="P590" s="684"/>
      <c r="Q590" s="582"/>
      <c r="R590" s="583"/>
      <c r="S590" s="584"/>
      <c r="T590" s="582">
        <v>128.10999999999999</v>
      </c>
      <c r="U590" s="583"/>
      <c r="V590" s="584"/>
      <c r="W590" s="582">
        <v>74.75</v>
      </c>
      <c r="X590" s="583"/>
      <c r="Y590" s="584"/>
      <c r="Z590" s="582"/>
      <c r="AA590" s="583"/>
      <c r="AB590" s="584"/>
      <c r="AC590" s="685"/>
      <c r="AD590" s="582">
        <v>1574.5215091146003</v>
      </c>
      <c r="AE590" s="686">
        <v>4376.9256834767111</v>
      </c>
      <c r="AF590" s="686">
        <v>1428.0543919876607</v>
      </c>
      <c r="AG590" s="686">
        <v>0</v>
      </c>
      <c r="AH590" s="584">
        <v>0</v>
      </c>
      <c r="AI590" s="584">
        <v>0</v>
      </c>
      <c r="AK590" s="370" t="e">
        <f>IF(F590="", " ", VLOOKUP(F590,#REF!, 1, FALSE))</f>
        <v>#REF!</v>
      </c>
    </row>
    <row r="591" spans="1:37" s="370" customFormat="1" ht="48" x14ac:dyDescent="0.25">
      <c r="A591" s="602" t="s">
        <v>1851</v>
      </c>
      <c r="B591" s="369" t="s">
        <v>25</v>
      </c>
      <c r="C591" s="603"/>
      <c r="D591" s="589" t="s">
        <v>2668</v>
      </c>
      <c r="E591" s="369" t="s">
        <v>27</v>
      </c>
      <c r="F591" s="214">
        <v>100952</v>
      </c>
      <c r="G591" s="602" t="s">
        <v>797</v>
      </c>
      <c r="H591" s="590" t="s">
        <v>42</v>
      </c>
      <c r="I591" s="605">
        <v>1249.1299999999999</v>
      </c>
      <c r="J591" s="606">
        <v>1.81</v>
      </c>
      <c r="K591" s="607">
        <v>0.2033513845915047</v>
      </c>
      <c r="L591" s="606">
        <v>2.1780660061106234</v>
      </c>
      <c r="M591" s="608">
        <v>2720.6875902129627</v>
      </c>
      <c r="N591" s="581"/>
      <c r="O591" s="683"/>
      <c r="P591" s="684"/>
      <c r="Q591" s="582"/>
      <c r="R591" s="583"/>
      <c r="S591" s="584"/>
      <c r="T591" s="582">
        <v>1024.8799999999999</v>
      </c>
      <c r="U591" s="583"/>
      <c r="V591" s="584">
        <v>8</v>
      </c>
      <c r="W591" s="582">
        <v>224.25</v>
      </c>
      <c r="X591" s="583"/>
      <c r="Y591" s="584">
        <v>3</v>
      </c>
      <c r="Z591" s="582"/>
      <c r="AA591" s="583"/>
      <c r="AB591" s="584"/>
      <c r="AC591" s="685"/>
      <c r="AD591" s="582">
        <v>255.53419355591367</v>
      </c>
      <c r="AE591" s="686">
        <v>1863.8964706431348</v>
      </c>
      <c r="AF591" s="686">
        <v>601.25692601391449</v>
      </c>
      <c r="AG591" s="686">
        <v>0</v>
      </c>
      <c r="AH591" s="584">
        <v>0</v>
      </c>
      <c r="AI591" s="584">
        <v>0</v>
      </c>
      <c r="AK591" s="370" t="e">
        <f>IF(F591="", " ", VLOOKUP(F591,#REF!, 1, FALSE))</f>
        <v>#REF!</v>
      </c>
    </row>
    <row r="592" spans="1:37" s="370" customFormat="1" ht="48" hidden="1" x14ac:dyDescent="0.25">
      <c r="A592" s="602" t="s">
        <v>1976</v>
      </c>
      <c r="B592" s="369" t="s">
        <v>25</v>
      </c>
      <c r="C592" s="603"/>
      <c r="D592" s="589" t="s">
        <v>2669</v>
      </c>
      <c r="E592" s="369" t="s">
        <v>27</v>
      </c>
      <c r="F592" s="214">
        <v>100953</v>
      </c>
      <c r="G592" s="602" t="s">
        <v>796</v>
      </c>
      <c r="H592" s="590" t="s">
        <v>42</v>
      </c>
      <c r="I592" s="605">
        <f>IF($F592="","",IF('TRECHO(S) A IMPRIMIR'!$B$1= 1, SUM(Q592, T592, W592, Z592), IF('TRECHO(S) A IMPRIMIR'!$B$1= 2, T592, IF('TRECHO(S) A IMPRIMIR'!$B$1= 3, W592, 0))))</f>
        <v>0</v>
      </c>
      <c r="J592" s="606">
        <v>0.71</v>
      </c>
      <c r="K592" s="607">
        <f t="shared" si="94"/>
        <v>0.2033513845915047</v>
      </c>
      <c r="L592" s="606">
        <f>IF(J592="","",
  IF(AND(J592&lt;&gt;"",K592=""),J592,J592 * (1 + K592)))</f>
        <v>0.85437948305996825</v>
      </c>
      <c r="M592" s="608">
        <f>IF(OR(I592="",L592=""),"",I592*L592)</f>
        <v>0</v>
      </c>
      <c r="N592" s="581"/>
      <c r="O592" s="683"/>
      <c r="P592" s="684"/>
      <c r="Q592" s="582"/>
      <c r="R592" s="583"/>
      <c r="S592" s="584"/>
      <c r="T592" s="582">
        <f>T590 * V592</f>
        <v>0</v>
      </c>
      <c r="U592" s="583"/>
      <c r="V592" s="584">
        <f>IF('MLQ-DMT-TR1'!$E$11 &gt; 30, 'MLQ-DMT-TR1'!$E$11 - 30, 0)</f>
        <v>0</v>
      </c>
      <c r="W592" s="582">
        <f>W590 * Y592</f>
        <v>0</v>
      </c>
      <c r="X592" s="583"/>
      <c r="Y592" s="584">
        <f>IF('MLQ-DMT-TR3'!$E$11 &gt; 30, 'MLQ-DMT-TR3'!$E$11 - 30, 0)</f>
        <v>0</v>
      </c>
      <c r="Z592" s="582"/>
      <c r="AA592" s="583"/>
      <c r="AB592" s="584"/>
      <c r="AC592" s="685"/>
      <c r="AD592" s="582" t="s">
        <v>21</v>
      </c>
      <c r="AE592" s="686" t="s">
        <v>21</v>
      </c>
      <c r="AF592" s="686" t="s">
        <v>21</v>
      </c>
      <c r="AG592" s="686" t="s">
        <v>21</v>
      </c>
      <c r="AH592" s="584" t="s">
        <v>21</v>
      </c>
      <c r="AI592" s="584" t="str">
        <f>IF(SUM(AD592:AH592)=0,"",M592 - SUM(AD592:AH592))</f>
        <v/>
      </c>
      <c r="AK592" s="370" t="e">
        <f>IF(F592="", " ", VLOOKUP(F592,#REF!, 1, FALSE))</f>
        <v>#REF!</v>
      </c>
    </row>
    <row r="593" spans="1:37" s="370" customFormat="1" ht="48" x14ac:dyDescent="0.25">
      <c r="A593" s="602" t="s">
        <v>1917</v>
      </c>
      <c r="B593" s="369" t="s">
        <v>25</v>
      </c>
      <c r="C593" s="603"/>
      <c r="D593" s="589" t="s">
        <v>2670</v>
      </c>
      <c r="E593" s="369" t="s">
        <v>27</v>
      </c>
      <c r="F593" s="214">
        <v>100954</v>
      </c>
      <c r="G593" s="602" t="s">
        <v>794</v>
      </c>
      <c r="H593" s="590" t="s">
        <v>42</v>
      </c>
      <c r="I593" s="605">
        <v>172.95999999999998</v>
      </c>
      <c r="J593" s="606">
        <v>5.41</v>
      </c>
      <c r="K593" s="607">
        <v>0.2033513845915047</v>
      </c>
      <c r="L593" s="606">
        <v>6.5101309906400404</v>
      </c>
      <c r="M593" s="608">
        <v>1125.9922561411013</v>
      </c>
      <c r="N593" s="581"/>
      <c r="O593" s="683"/>
      <c r="P593" s="684"/>
      <c r="Q593" s="582"/>
      <c r="R593" s="583"/>
      <c r="S593" s="584"/>
      <c r="T593" s="582">
        <v>128.10999999999999</v>
      </c>
      <c r="U593" s="583"/>
      <c r="V593" s="584">
        <v>1</v>
      </c>
      <c r="W593" s="582">
        <v>44.85</v>
      </c>
      <c r="X593" s="583"/>
      <c r="Y593" s="584">
        <v>0.6</v>
      </c>
      <c r="Z593" s="582"/>
      <c r="AA593" s="583"/>
      <c r="AB593" s="584"/>
      <c r="AC593" s="685"/>
      <c r="AD593" s="582">
        <v>108.22846084905224</v>
      </c>
      <c r="AE593" s="686">
        <v>749.27395972420788</v>
      </c>
      <c r="AF593" s="686">
        <v>268.48983556784117</v>
      </c>
      <c r="AG593" s="686">
        <v>0</v>
      </c>
      <c r="AH593" s="584">
        <v>0</v>
      </c>
      <c r="AI593" s="584">
        <v>0</v>
      </c>
      <c r="AK593" s="370" t="e">
        <f>IF(F593="", " ", VLOOKUP(F593,#REF!, 1, FALSE))</f>
        <v>#REF!</v>
      </c>
    </row>
    <row r="594" spans="1:37" x14ac:dyDescent="0.25">
      <c r="A594" s="587"/>
      <c r="B594" s="369"/>
      <c r="C594" s="588"/>
      <c r="D594" s="589"/>
      <c r="E594" s="44"/>
      <c r="F594" s="214"/>
      <c r="G594" s="587" t="s">
        <v>21</v>
      </c>
      <c r="H594" s="590" t="s">
        <v>21</v>
      </c>
      <c r="I594" s="591" t="str">
        <f>IF($F594="","",IF('TRECHO(S) A IMPRIMIR'!$B$1= 1, SUM(Q594, T594, W594, Z594), IF('TRECHO(S) A IMPRIMIR'!$B$1= 2, T594, IF('TRECHO(S) A IMPRIMIR'!$B$1= 3, W594, 0))))</f>
        <v/>
      </c>
      <c r="J594" s="592" t="s">
        <v>21</v>
      </c>
      <c r="K594" s="593" t="str">
        <f t="shared" si="94"/>
        <v/>
      </c>
      <c r="L594" s="592" t="str">
        <f t="shared" ref="L589:L594" si="104">IF(J594="","",
  IF(AND(J594&lt;&gt;"",K594=""),J594,J594 * (1 + K594)))</f>
        <v/>
      </c>
      <c r="M594" s="594" t="str">
        <f t="shared" ref="M589:M594" si="105">IF(OR(I594="",L594=""),"",I594*L594)</f>
        <v/>
      </c>
      <c r="O594" s="673"/>
      <c r="P594" s="361"/>
      <c r="Q594" s="441"/>
      <c r="R594" s="485"/>
      <c r="S594" s="442"/>
      <c r="T594" s="441"/>
      <c r="U594" s="485"/>
      <c r="V594" s="442"/>
      <c r="W594" s="578"/>
      <c r="X594" s="485"/>
      <c r="Y594" s="442"/>
      <c r="Z594" s="441"/>
      <c r="AA594" s="485"/>
      <c r="AB594" s="442"/>
      <c r="AC594" s="672"/>
      <c r="AD594" s="441" t="s">
        <v>21</v>
      </c>
      <c r="AE594" s="674" t="s">
        <v>21</v>
      </c>
      <c r="AF594" s="674" t="s">
        <v>21</v>
      </c>
      <c r="AG594" s="674" t="s">
        <v>21</v>
      </c>
      <c r="AH594" s="442" t="s">
        <v>21</v>
      </c>
      <c r="AI594" s="442" t="s">
        <v>21</v>
      </c>
      <c r="AK594" s="3" t="str">
        <f>IF(F594="", " ", VLOOKUP(F594,#REF!, 1, FALSE))</f>
        <v xml:space="preserve"> </v>
      </c>
    </row>
    <row r="595" spans="1:37" s="370" customFormat="1" ht="24" x14ac:dyDescent="0.25">
      <c r="A595" s="1707" t="s">
        <v>3762</v>
      </c>
      <c r="B595" s="369"/>
      <c r="C595" s="603"/>
      <c r="D595" s="589" t="s">
        <v>2321</v>
      </c>
      <c r="E595" s="369"/>
      <c r="F595" s="214"/>
      <c r="G595" s="602" t="s">
        <v>3762</v>
      </c>
      <c r="H595" s="590" t="s">
        <v>21</v>
      </c>
      <c r="I595" s="605" t="str">
        <f>IF($F595="","",IF('TRECHO(S) A IMPRIMIR'!$B$1= 1, SUM(Q595, T595, W595, Z595), IF('TRECHO(S) A IMPRIMIR'!$B$1= 2, T595, IF('TRECHO(S) A IMPRIMIR'!$B$1= 3, W595, 0))))</f>
        <v/>
      </c>
      <c r="J595" s="606" t="s">
        <v>21</v>
      </c>
      <c r="K595" s="607" t="str">
        <f t="shared" si="94"/>
        <v/>
      </c>
      <c r="L595" s="606" t="str">
        <f>IF(J595="","",
  IF(AND(J595&lt;&gt;"",K595=""),J595,J595 * (1 + K595)))</f>
        <v/>
      </c>
      <c r="M595" s="608">
        <v>1834998.5760420384</v>
      </c>
      <c r="N595" s="581"/>
      <c r="O595" s="683"/>
      <c r="P595" s="684"/>
      <c r="Q595" s="582"/>
      <c r="R595" s="583"/>
      <c r="S595" s="584"/>
      <c r="T595" s="582"/>
      <c r="U595" s="583"/>
      <c r="V595" s="584"/>
      <c r="W595" s="1184"/>
      <c r="X595" s="583"/>
      <c r="Y595" s="584"/>
      <c r="Z595" s="582"/>
      <c r="AA595" s="583"/>
      <c r="AB595" s="584"/>
      <c r="AC595" s="685"/>
      <c r="AD595" s="582" t="s">
        <v>21</v>
      </c>
      <c r="AE595" s="686" t="s">
        <v>21</v>
      </c>
      <c r="AF595" s="686" t="s">
        <v>21</v>
      </c>
      <c r="AG595" s="686" t="s">
        <v>21</v>
      </c>
      <c r="AH595" s="584" t="s">
        <v>21</v>
      </c>
      <c r="AI595" s="584" t="s">
        <v>21</v>
      </c>
      <c r="AK595" s="370" t="str">
        <f>IF(F595="", " ", VLOOKUP(F595,#REF!, 1, FALSE))</f>
        <v xml:space="preserve"> </v>
      </c>
    </row>
    <row r="596" spans="1:37" s="370" customFormat="1" ht="48" x14ac:dyDescent="0.25">
      <c r="A596" s="602" t="s">
        <v>2560</v>
      </c>
      <c r="B596" s="369" t="s">
        <v>23</v>
      </c>
      <c r="C596" s="603"/>
      <c r="D596" s="589" t="s">
        <v>2671</v>
      </c>
      <c r="E596" s="369" t="s">
        <v>27</v>
      </c>
      <c r="F596" s="214">
        <v>100995</v>
      </c>
      <c r="G596" s="602" t="s">
        <v>773</v>
      </c>
      <c r="H596" s="590" t="s">
        <v>55</v>
      </c>
      <c r="I596" s="605">
        <v>80868.865268057823</v>
      </c>
      <c r="J596" s="606">
        <v>3.11</v>
      </c>
      <c r="K596" s="607">
        <v>0.2033513845915047</v>
      </c>
      <c r="L596" s="606">
        <v>3.7424228060795794</v>
      </c>
      <c r="M596" s="608">
        <v>302645.48568095639</v>
      </c>
      <c r="N596" s="581"/>
      <c r="O596" s="683"/>
      <c r="P596" s="684"/>
      <c r="Q596" s="582"/>
      <c r="R596" s="583"/>
      <c r="S596" s="584"/>
      <c r="T596" s="582">
        <v>47365.843569837023</v>
      </c>
      <c r="U596" s="583">
        <v>1.0923072445820432</v>
      </c>
      <c r="V596" s="584"/>
      <c r="W596" s="582">
        <v>33503.0216982208</v>
      </c>
      <c r="X596" s="583">
        <v>1.0923072445820432</v>
      </c>
      <c r="Y596" s="584"/>
      <c r="Z596" s="582"/>
      <c r="AA596" s="583"/>
      <c r="AB596" s="584"/>
      <c r="AC596" s="685"/>
      <c r="AD596" s="582">
        <v>30167.234907104979</v>
      </c>
      <c r="AE596" s="686">
        <v>142077.94504636538</v>
      </c>
      <c r="AF596" s="686">
        <v>130400.30572748606</v>
      </c>
      <c r="AG596" s="686">
        <v>0</v>
      </c>
      <c r="AH596" s="584">
        <v>0</v>
      </c>
      <c r="AI596" s="584">
        <v>0</v>
      </c>
      <c r="AK596" s="370" t="e">
        <f>IF(F596="", " ", VLOOKUP(F596,#REF!, 1, FALSE))</f>
        <v>#REF!</v>
      </c>
    </row>
    <row r="597" spans="1:37" s="370" customFormat="1" ht="48" x14ac:dyDescent="0.25">
      <c r="A597" s="602" t="s">
        <v>2561</v>
      </c>
      <c r="B597" s="369" t="s">
        <v>25</v>
      </c>
      <c r="C597" s="603"/>
      <c r="D597" s="589" t="s">
        <v>2672</v>
      </c>
      <c r="E597" s="369" t="s">
        <v>27</v>
      </c>
      <c r="F597" s="214">
        <v>100954</v>
      </c>
      <c r="G597" s="602" t="s">
        <v>794</v>
      </c>
      <c r="H597" s="590" t="s">
        <v>42</v>
      </c>
      <c r="I597" s="605">
        <v>67467.656588769503</v>
      </c>
      <c r="J597" s="606">
        <v>5.41</v>
      </c>
      <c r="K597" s="607">
        <v>0.2033513845915047</v>
      </c>
      <c r="L597" s="606">
        <v>6.5101309906400404</v>
      </c>
      <c r="M597" s="608">
        <v>439223.28202440805</v>
      </c>
      <c r="N597" s="581"/>
      <c r="O597" s="683"/>
      <c r="P597" s="684"/>
      <c r="Q597" s="582"/>
      <c r="R597" s="583"/>
      <c r="S597" s="584"/>
      <c r="T597" s="582">
        <v>47365.843569837023</v>
      </c>
      <c r="U597" s="583"/>
      <c r="V597" s="584">
        <v>1</v>
      </c>
      <c r="W597" s="582">
        <v>20101.81301893248</v>
      </c>
      <c r="X597" s="583"/>
      <c r="Y597" s="584">
        <v>0.6</v>
      </c>
      <c r="Z597" s="582"/>
      <c r="AA597" s="583"/>
      <c r="AB597" s="584"/>
      <c r="AC597" s="685"/>
      <c r="AD597" s="582">
        <v>42217.394945044762</v>
      </c>
      <c r="AE597" s="686">
        <v>292274.2726964638</v>
      </c>
      <c r="AF597" s="686">
        <v>104731.61438289951</v>
      </c>
      <c r="AG597" s="686">
        <v>0</v>
      </c>
      <c r="AH597" s="584">
        <v>0</v>
      </c>
      <c r="AI597" s="584">
        <v>-5.8207660913467407E-11</v>
      </c>
      <c r="AK597" s="370" t="e">
        <f>IF(F597="", " ", VLOOKUP(F597,#REF!, 1, FALSE))</f>
        <v>#REF!</v>
      </c>
    </row>
    <row r="598" spans="1:37" s="370" customFormat="1" ht="24" x14ac:dyDescent="0.25">
      <c r="A598" s="602" t="s">
        <v>2551</v>
      </c>
      <c r="B598" s="369" t="s">
        <v>28</v>
      </c>
      <c r="C598" s="603"/>
      <c r="D598" s="589" t="s">
        <v>2673</v>
      </c>
      <c r="E598" s="369" t="s">
        <v>27</v>
      </c>
      <c r="F598" s="214">
        <v>93382</v>
      </c>
      <c r="G598" s="602" t="s">
        <v>40</v>
      </c>
      <c r="H598" s="590" t="s">
        <v>44</v>
      </c>
      <c r="I598" s="605">
        <v>15032.906000000006</v>
      </c>
      <c r="J598" s="606">
        <v>25.09</v>
      </c>
      <c r="K598" s="607">
        <v>0.2033513845915047</v>
      </c>
      <c r="L598" s="606">
        <v>30.192086239400854</v>
      </c>
      <c r="M598" s="608">
        <v>453874.79438080674</v>
      </c>
      <c r="N598" s="581"/>
      <c r="O598" s="683"/>
      <c r="P598" s="684"/>
      <c r="Q598" s="582"/>
      <c r="R598" s="583"/>
      <c r="S598" s="584"/>
      <c r="T598" s="582">
        <v>8107.5210000000061</v>
      </c>
      <c r="U598" s="583"/>
      <c r="V598" s="584"/>
      <c r="W598" s="1184">
        <v>6925.3850000000002</v>
      </c>
      <c r="X598" s="583"/>
      <c r="Y598" s="584"/>
      <c r="Z598" s="582"/>
      <c r="AA598" s="583"/>
      <c r="AB598" s="584"/>
      <c r="AC598" s="685"/>
      <c r="AD598" s="582">
        <v>270624.42901302787</v>
      </c>
      <c r="AE598" s="686">
        <v>166245.88921321699</v>
      </c>
      <c r="AF598" s="686">
        <v>17004.476154561908</v>
      </c>
      <c r="AG598" s="686">
        <v>0</v>
      </c>
      <c r="AH598" s="584">
        <v>0</v>
      </c>
      <c r="AI598" s="584">
        <v>-5.8207660913467407E-11</v>
      </c>
      <c r="AK598" s="370" t="e">
        <f>IF(F598="", " ", VLOOKUP(F598,#REF!, 1, FALSE))</f>
        <v>#REF!</v>
      </c>
    </row>
    <row r="599" spans="1:37" s="370" customFormat="1" ht="60" hidden="1" x14ac:dyDescent="0.25">
      <c r="A599" s="602" t="s">
        <v>2552</v>
      </c>
      <c r="B599" s="369" t="s">
        <v>28</v>
      </c>
      <c r="C599" s="603"/>
      <c r="D599" s="589" t="s">
        <v>2674</v>
      </c>
      <c r="E599" s="369" t="s">
        <v>27</v>
      </c>
      <c r="F599" s="214">
        <v>93368</v>
      </c>
      <c r="G599" s="602" t="s">
        <v>61</v>
      </c>
      <c r="H599" s="590" t="s">
        <v>44</v>
      </c>
      <c r="I599" s="605">
        <f>IF($F599="","",IF('TRECHO(S) A IMPRIMIR'!$B$1= 1, SUM(Q599, T599, W599, Z599), IF('TRECHO(S) A IMPRIMIR'!$B$1= 2, T599, IF('TRECHO(S) A IMPRIMIR'!$B$1= 3, W599, 0))))</f>
        <v>0</v>
      </c>
      <c r="J599" s="606">
        <v>12.36</v>
      </c>
      <c r="K599" s="607">
        <f t="shared" si="94"/>
        <v>0.2033513845915047</v>
      </c>
      <c r="L599" s="606">
        <f>IF(J599="","",
  IF(AND(J599&lt;&gt;"",K599=""),J599,J599 * (1 + K599)))</f>
        <v>14.873423113550997</v>
      </c>
      <c r="M599" s="608">
        <f>IF(OR(I599="",L599=""),"",I599*L599)</f>
        <v>0</v>
      </c>
      <c r="N599" s="581"/>
      <c r="O599" s="683"/>
      <c r="P599" s="684"/>
      <c r="Q599" s="582"/>
      <c r="R599" s="583"/>
      <c r="S599" s="584"/>
      <c r="T599" s="582">
        <f>SUM('04-MLQ-DR-TR1'!CF327:CG327)</f>
        <v>0</v>
      </c>
      <c r="U599" s="583"/>
      <c r="V599" s="584"/>
      <c r="W599" s="1184">
        <f>SUM('04-MLQ-DR-TR3'!CF256:CG256)</f>
        <v>0</v>
      </c>
      <c r="X599" s="583"/>
      <c r="Y599" s="584"/>
      <c r="Z599" s="582"/>
      <c r="AA599" s="583"/>
      <c r="AB599" s="584"/>
      <c r="AC599" s="685"/>
      <c r="AD599" s="582" t="s">
        <v>21</v>
      </c>
      <c r="AE599" s="686" t="s">
        <v>21</v>
      </c>
      <c r="AF599" s="686" t="s">
        <v>21</v>
      </c>
      <c r="AG599" s="686" t="s">
        <v>21</v>
      </c>
      <c r="AH599" s="584" t="s">
        <v>21</v>
      </c>
      <c r="AI599" s="584" t="str">
        <f t="shared" si="101"/>
        <v/>
      </c>
      <c r="AK599" s="370" t="e">
        <f>IF(F599="", " ", VLOOKUP(F599,#REF!, 1, FALSE))</f>
        <v>#REF!</v>
      </c>
    </row>
    <row r="600" spans="1:37" s="370" customFormat="1" ht="60" hidden="1" x14ac:dyDescent="0.25">
      <c r="A600" s="602" t="s">
        <v>2553</v>
      </c>
      <c r="B600" s="369" t="s">
        <v>28</v>
      </c>
      <c r="C600" s="603"/>
      <c r="D600" s="589" t="s">
        <v>2675</v>
      </c>
      <c r="E600" s="369" t="s">
        <v>27</v>
      </c>
      <c r="F600" s="214">
        <v>93370</v>
      </c>
      <c r="G600" s="602" t="s">
        <v>59</v>
      </c>
      <c r="H600" s="590" t="s">
        <v>44</v>
      </c>
      <c r="I600" s="605">
        <f>IF($F600="","",IF('TRECHO(S) A IMPRIMIR'!$B$1= 1, SUM(Q600, T600, W600, Z600), IF('TRECHO(S) A IMPRIMIR'!$B$1= 2, T600, IF('TRECHO(S) A IMPRIMIR'!$B$1= 3, W600, 0))))</f>
        <v>0</v>
      </c>
      <c r="J600" s="606">
        <v>9.5500000000000007</v>
      </c>
      <c r="K600" s="607">
        <f t="shared" si="94"/>
        <v>0.2033513845915047</v>
      </c>
      <c r="L600" s="606">
        <f t="shared" ref="L600:L606" si="106">IF(J600="","",
  IF(AND(J600&lt;&gt;"",K600=""),J600,J600 * (1 + K600)))</f>
        <v>11.492005722848871</v>
      </c>
      <c r="M600" s="608">
        <f t="shared" ref="M600:M606" si="107">IF(OR(I600="",L600=""),"",I600*L600)</f>
        <v>0</v>
      </c>
      <c r="N600" s="581"/>
      <c r="O600" s="683"/>
      <c r="P600" s="684"/>
      <c r="Q600" s="582"/>
      <c r="R600" s="583"/>
      <c r="S600" s="584"/>
      <c r="T600" s="582">
        <f>'04-MLQ-DR-TR1'!CH327</f>
        <v>0</v>
      </c>
      <c r="U600" s="583"/>
      <c r="V600" s="584"/>
      <c r="W600" s="1184">
        <f>'04-MLQ-DR-TR3'!CH256</f>
        <v>0</v>
      </c>
      <c r="X600" s="583"/>
      <c r="Y600" s="584"/>
      <c r="Z600" s="582"/>
      <c r="AA600" s="583"/>
      <c r="AB600" s="584"/>
      <c r="AC600" s="685"/>
      <c r="AD600" s="582" t="s">
        <v>21</v>
      </c>
      <c r="AE600" s="686" t="s">
        <v>21</v>
      </c>
      <c r="AF600" s="686" t="s">
        <v>21</v>
      </c>
      <c r="AG600" s="686" t="s">
        <v>21</v>
      </c>
      <c r="AH600" s="584" t="s">
        <v>21</v>
      </c>
      <c r="AI600" s="584" t="str">
        <f t="shared" ref="AI600:AI606" si="108">IF(SUM(AD600:AH600)=0,"",M600 - SUM(AD600:AH600))</f>
        <v/>
      </c>
      <c r="AK600" s="370" t="e">
        <f>IF(F600="", " ", VLOOKUP(F600,#REF!, 1, FALSE))</f>
        <v>#REF!</v>
      </c>
    </row>
    <row r="601" spans="1:37" s="370" customFormat="1" ht="60" hidden="1" x14ac:dyDescent="0.25">
      <c r="A601" s="602" t="s">
        <v>2555</v>
      </c>
      <c r="B601" s="369" t="s">
        <v>28</v>
      </c>
      <c r="C601" s="603"/>
      <c r="D601" s="589" t="s">
        <v>2676</v>
      </c>
      <c r="E601" s="369" t="s">
        <v>27</v>
      </c>
      <c r="F601" s="214">
        <v>93372</v>
      </c>
      <c r="G601" s="602" t="s">
        <v>631</v>
      </c>
      <c r="H601" s="590" t="s">
        <v>44</v>
      </c>
      <c r="I601" s="605">
        <f>IF($F601="","",IF('TRECHO(S) A IMPRIMIR'!$B$1= 1, SUM(Q601, T601, W601, Z601), IF('TRECHO(S) A IMPRIMIR'!$B$1= 2, T601, IF('TRECHO(S) A IMPRIMIR'!$B$1= 3, W601, 0))))</f>
        <v>0</v>
      </c>
      <c r="J601" s="606">
        <v>8.33</v>
      </c>
      <c r="K601" s="607">
        <f t="shared" si="94"/>
        <v>0.2033513845915047</v>
      </c>
      <c r="L601" s="606">
        <f t="shared" si="106"/>
        <v>10.023917033647233</v>
      </c>
      <c r="M601" s="608">
        <f t="shared" si="107"/>
        <v>0</v>
      </c>
      <c r="N601" s="581"/>
      <c r="O601" s="683"/>
      <c r="P601" s="684"/>
      <c r="Q601" s="582"/>
      <c r="R601" s="583"/>
      <c r="S601" s="584"/>
      <c r="T601" s="582">
        <f>'04-MLQ-DR-TR1'!CI327</f>
        <v>0</v>
      </c>
      <c r="U601" s="583"/>
      <c r="V601" s="584"/>
      <c r="W601" s="1184">
        <f>'04-MLQ-DR-TR3'!CI256</f>
        <v>0</v>
      </c>
      <c r="X601" s="583"/>
      <c r="Y601" s="584"/>
      <c r="Z601" s="582"/>
      <c r="AA601" s="583"/>
      <c r="AB601" s="584"/>
      <c r="AC601" s="685"/>
      <c r="AD601" s="582" t="s">
        <v>21</v>
      </c>
      <c r="AE601" s="686" t="s">
        <v>21</v>
      </c>
      <c r="AF601" s="686" t="s">
        <v>21</v>
      </c>
      <c r="AG601" s="686" t="s">
        <v>21</v>
      </c>
      <c r="AH601" s="584" t="s">
        <v>21</v>
      </c>
      <c r="AI601" s="584" t="str">
        <f t="shared" si="108"/>
        <v/>
      </c>
      <c r="AK601" s="370" t="e">
        <f>IF(F601="", " ", VLOOKUP(F601,#REF!, 1, FALSE))</f>
        <v>#REF!</v>
      </c>
    </row>
    <row r="602" spans="1:37" s="370" customFormat="1" ht="72" x14ac:dyDescent="0.25">
      <c r="A602" s="602" t="s">
        <v>2557</v>
      </c>
      <c r="B602" s="369" t="s">
        <v>28</v>
      </c>
      <c r="C602" s="603"/>
      <c r="D602" s="589" t="s">
        <v>2677</v>
      </c>
      <c r="E602" s="369" t="s">
        <v>27</v>
      </c>
      <c r="F602" s="214">
        <v>93367</v>
      </c>
      <c r="G602" s="602" t="s">
        <v>62</v>
      </c>
      <c r="H602" s="590" t="s">
        <v>44</v>
      </c>
      <c r="I602" s="605">
        <v>62.275999999999996</v>
      </c>
      <c r="J602" s="606">
        <v>15.21</v>
      </c>
      <c r="K602" s="607">
        <v>0.2033513845915047</v>
      </c>
      <c r="L602" s="606">
        <v>18.302974559636787</v>
      </c>
      <c r="M602" s="608">
        <v>1139.8360436759406</v>
      </c>
      <c r="N602" s="581"/>
      <c r="O602" s="683"/>
      <c r="P602" s="684"/>
      <c r="Q602" s="582"/>
      <c r="R602" s="583"/>
      <c r="S602" s="584"/>
      <c r="T602" s="582">
        <v>50.763999999999996</v>
      </c>
      <c r="U602" s="583"/>
      <c r="V602" s="584"/>
      <c r="W602" s="1184">
        <v>11.512</v>
      </c>
      <c r="X602" s="583"/>
      <c r="Y602" s="584"/>
      <c r="Z602" s="582"/>
      <c r="AA602" s="583"/>
      <c r="AB602" s="584"/>
      <c r="AC602" s="685"/>
      <c r="AD602" s="582">
        <v>354.46577821086123</v>
      </c>
      <c r="AE602" s="686">
        <v>374.69955413410275</v>
      </c>
      <c r="AF602" s="686">
        <v>410.67071133097664</v>
      </c>
      <c r="AG602" s="686">
        <v>0</v>
      </c>
      <c r="AH602" s="584">
        <v>0</v>
      </c>
      <c r="AI602" s="584">
        <v>0</v>
      </c>
      <c r="AK602" s="370" t="e">
        <f>IF(F602="", " ", VLOOKUP(F602,#REF!, 1, FALSE))</f>
        <v>#REF!</v>
      </c>
    </row>
    <row r="603" spans="1:37" s="370" customFormat="1" ht="72" x14ac:dyDescent="0.25">
      <c r="A603" s="602" t="s">
        <v>2558</v>
      </c>
      <c r="B603" s="369" t="s">
        <v>28</v>
      </c>
      <c r="C603" s="603"/>
      <c r="D603" s="589" t="s">
        <v>2678</v>
      </c>
      <c r="E603" s="369" t="s">
        <v>27</v>
      </c>
      <c r="F603" s="214">
        <v>93369</v>
      </c>
      <c r="G603" s="602" t="s">
        <v>60</v>
      </c>
      <c r="H603" s="590" t="s">
        <v>44</v>
      </c>
      <c r="I603" s="605">
        <v>26222.62000000001</v>
      </c>
      <c r="J603" s="606">
        <v>8.7100000000000009</v>
      </c>
      <c r="K603" s="607">
        <v>0.2033513845915047</v>
      </c>
      <c r="L603" s="606">
        <v>10.481190559792006</v>
      </c>
      <c r="M603" s="608">
        <v>274844.27719701314</v>
      </c>
      <c r="N603" s="581"/>
      <c r="O603" s="683"/>
      <c r="P603" s="684"/>
      <c r="Q603" s="582"/>
      <c r="R603" s="583"/>
      <c r="S603" s="584"/>
      <c r="T603" s="582">
        <v>19758.436000000009</v>
      </c>
      <c r="U603" s="583"/>
      <c r="V603" s="584"/>
      <c r="W603" s="1184">
        <v>6464.1839999999993</v>
      </c>
      <c r="X603" s="583"/>
      <c r="Y603" s="584"/>
      <c r="Z603" s="582"/>
      <c r="AA603" s="583"/>
      <c r="AB603" s="584"/>
      <c r="AC603" s="685"/>
      <c r="AD603" s="582">
        <v>65634.45425600314</v>
      </c>
      <c r="AE603" s="686">
        <v>92456.226427927497</v>
      </c>
      <c r="AF603" s="686">
        <v>116753.59651308252</v>
      </c>
      <c r="AG603" s="686">
        <v>0</v>
      </c>
      <c r="AH603" s="584">
        <v>0</v>
      </c>
      <c r="AI603" s="584">
        <v>0</v>
      </c>
      <c r="AK603" s="370" t="e">
        <f>IF(F603="", " ", VLOOKUP(F603,#REF!, 1, FALSE))</f>
        <v>#REF!</v>
      </c>
    </row>
    <row r="604" spans="1:37" s="370" customFormat="1" ht="72" x14ac:dyDescent="0.25">
      <c r="A604" s="602" t="s">
        <v>2554</v>
      </c>
      <c r="B604" s="369" t="s">
        <v>28</v>
      </c>
      <c r="C604" s="603"/>
      <c r="D604" s="589" t="s">
        <v>2679</v>
      </c>
      <c r="E604" s="369" t="s">
        <v>27</v>
      </c>
      <c r="F604" s="214">
        <v>93371</v>
      </c>
      <c r="G604" s="602" t="s">
        <v>632</v>
      </c>
      <c r="H604" s="590" t="s">
        <v>44</v>
      </c>
      <c r="I604" s="605">
        <v>1437.9110000000001</v>
      </c>
      <c r="J604" s="606">
        <v>7.32</v>
      </c>
      <c r="K604" s="607">
        <v>0.2033513845915047</v>
      </c>
      <c r="L604" s="606">
        <v>8.8085321352098145</v>
      </c>
      <c r="M604" s="608">
        <v>12665.885251071681</v>
      </c>
      <c r="N604" s="581"/>
      <c r="O604" s="683"/>
      <c r="P604" s="684"/>
      <c r="Q604" s="582"/>
      <c r="R604" s="583"/>
      <c r="S604" s="584"/>
      <c r="T604" s="582">
        <v>680.14700000000005</v>
      </c>
      <c r="U604" s="583"/>
      <c r="V604" s="584"/>
      <c r="W604" s="1184">
        <v>757.76400000000001</v>
      </c>
      <c r="X604" s="583"/>
      <c r="Y604" s="584"/>
      <c r="Z604" s="582"/>
      <c r="AA604" s="583"/>
      <c r="AB604" s="584"/>
      <c r="AC604" s="685"/>
      <c r="AD604" s="582">
        <v>2803.1057522863557</v>
      </c>
      <c r="AE604" s="686">
        <v>4325.7804819233879</v>
      </c>
      <c r="AF604" s="686">
        <v>5536.9990168619361</v>
      </c>
      <c r="AG604" s="686">
        <v>0</v>
      </c>
      <c r="AH604" s="584">
        <v>0</v>
      </c>
      <c r="AI604" s="584">
        <v>1.8189894035458565E-12</v>
      </c>
      <c r="AK604" s="370" t="e">
        <f>IF(F604="", " ", VLOOKUP(F604,#REF!, 1, FALSE))</f>
        <v>#REF!</v>
      </c>
    </row>
    <row r="605" spans="1:37" s="370" customFormat="1" ht="72" hidden="1" x14ac:dyDescent="0.25">
      <c r="A605" s="602" t="s">
        <v>2556</v>
      </c>
      <c r="B605" s="369" t="s">
        <v>28</v>
      </c>
      <c r="C605" s="603"/>
      <c r="D605" s="589" t="s">
        <v>2680</v>
      </c>
      <c r="E605" s="369" t="s">
        <v>27</v>
      </c>
      <c r="F605" s="214">
        <v>93373</v>
      </c>
      <c r="G605" s="602" t="s">
        <v>633</v>
      </c>
      <c r="H605" s="590" t="s">
        <v>44</v>
      </c>
      <c r="I605" s="605">
        <f>IF($F605="","",IF('TRECHO(S) A IMPRIMIR'!$B$1= 1, SUM(Q605, T605, W605, Z605), IF('TRECHO(S) A IMPRIMIR'!$B$1= 2, T605, IF('TRECHO(S) A IMPRIMIR'!$B$1= 3, W605, 0))))</f>
        <v>0</v>
      </c>
      <c r="J605" s="606">
        <v>6.62</v>
      </c>
      <c r="K605" s="607">
        <f t="shared" ref="K605:K610" si="109">IF(AND(F605&lt;&gt;"", J605&lt;&gt;""),
  IF(OR(F605= "CP9001", F605= "CP9091", F605= "CP9092"), 0,
  IF(ISNA(VLOOKUP(F605, $M$626:$M$646, 1, FALSE)), $M$4, $M$5)), "")</f>
        <v>0.2033513845915047</v>
      </c>
      <c r="L605" s="606">
        <f t="shared" si="106"/>
        <v>7.9661861659957616</v>
      </c>
      <c r="M605" s="608">
        <f t="shared" si="107"/>
        <v>0</v>
      </c>
      <c r="N605" s="581"/>
      <c r="O605" s="683"/>
      <c r="P605" s="684"/>
      <c r="Q605" s="582"/>
      <c r="R605" s="583"/>
      <c r="S605" s="584"/>
      <c r="T605" s="582">
        <f>'04-MLQ-DR-TR1'!CM327</f>
        <v>0</v>
      </c>
      <c r="U605" s="583"/>
      <c r="V605" s="584"/>
      <c r="W605" s="1184">
        <f>'04-MLQ-DR-TR3'!CM256</f>
        <v>0</v>
      </c>
      <c r="X605" s="583"/>
      <c r="Y605" s="584"/>
      <c r="Z605" s="582"/>
      <c r="AA605" s="583"/>
      <c r="AB605" s="584"/>
      <c r="AC605" s="685"/>
      <c r="AD605" s="582" t="s">
        <v>21</v>
      </c>
      <c r="AE605" s="686" t="s">
        <v>21</v>
      </c>
      <c r="AF605" s="686" t="s">
        <v>21</v>
      </c>
      <c r="AG605" s="686" t="s">
        <v>21</v>
      </c>
      <c r="AH605" s="584" t="s">
        <v>21</v>
      </c>
      <c r="AI605" s="584" t="str">
        <f t="shared" si="108"/>
        <v/>
      </c>
      <c r="AK605" s="370" t="e">
        <f>IF(F605="", " ", VLOOKUP(F605,#REF!, 1, FALSE))</f>
        <v>#REF!</v>
      </c>
    </row>
    <row r="606" spans="1:37" s="370" customFormat="1" ht="36" x14ac:dyDescent="0.25">
      <c r="A606" s="602" t="s">
        <v>2559</v>
      </c>
      <c r="B606" s="369" t="s">
        <v>28</v>
      </c>
      <c r="C606" s="603"/>
      <c r="D606" s="589" t="s">
        <v>2681</v>
      </c>
      <c r="E606" s="369" t="s">
        <v>27</v>
      </c>
      <c r="F606" s="214">
        <v>96386</v>
      </c>
      <c r="G606" s="602" t="s">
        <v>575</v>
      </c>
      <c r="H606" s="590" t="s">
        <v>44</v>
      </c>
      <c r="I606" s="605">
        <v>23038.441999999999</v>
      </c>
      <c r="J606" s="606">
        <v>5.51</v>
      </c>
      <c r="K606" s="607">
        <v>0.2033513845915047</v>
      </c>
      <c r="L606" s="606">
        <v>6.6304661290991911</v>
      </c>
      <c r="M606" s="608">
        <v>152755.60934821621</v>
      </c>
      <c r="N606" s="581"/>
      <c r="O606" s="683"/>
      <c r="P606" s="684"/>
      <c r="Q606" s="582"/>
      <c r="R606" s="583"/>
      <c r="S606" s="584"/>
      <c r="T606" s="582">
        <v>10187.879999999999</v>
      </c>
      <c r="U606" s="583"/>
      <c r="V606" s="584"/>
      <c r="W606" s="1184">
        <v>12850.562</v>
      </c>
      <c r="X606" s="583"/>
      <c r="Y606" s="584"/>
      <c r="Z606" s="582"/>
      <c r="AA606" s="583"/>
      <c r="AB606" s="584"/>
      <c r="AC606" s="685"/>
      <c r="AD606" s="582">
        <v>36317.576814185704</v>
      </c>
      <c r="AE606" s="686">
        <v>41862.245030091915</v>
      </c>
      <c r="AF606" s="686">
        <v>74575.787503938584</v>
      </c>
      <c r="AG606" s="686">
        <v>0</v>
      </c>
      <c r="AH606" s="584">
        <v>0</v>
      </c>
      <c r="AI606" s="584">
        <v>0</v>
      </c>
      <c r="AK606" s="370" t="e">
        <f>IF(F606="", " ", VLOOKUP(F606,#REF!, 1, FALSE))</f>
        <v>#REF!</v>
      </c>
    </row>
    <row r="607" spans="1:37" s="370" customFormat="1" ht="36" x14ac:dyDescent="0.25">
      <c r="A607" s="602" t="s">
        <v>1851</v>
      </c>
      <c r="B607" s="369" t="s">
        <v>25</v>
      </c>
      <c r="C607" s="603"/>
      <c r="D607" s="589" t="s">
        <v>2682</v>
      </c>
      <c r="E607" s="369" t="s">
        <v>27</v>
      </c>
      <c r="F607" s="214">
        <v>95879</v>
      </c>
      <c r="G607" s="602" t="s">
        <v>789</v>
      </c>
      <c r="H607" s="590" t="s">
        <v>42</v>
      </c>
      <c r="I607" s="605">
        <v>158091.65635983492</v>
      </c>
      <c r="J607" s="606">
        <v>1.04</v>
      </c>
      <c r="K607" s="607">
        <v>0.2033513845915047</v>
      </c>
      <c r="L607" s="606">
        <v>1.2514854399751649</v>
      </c>
      <c r="M607" s="608">
        <v>197849.40611589057</v>
      </c>
      <c r="N607" s="581"/>
      <c r="O607" s="683"/>
      <c r="P607" s="684"/>
      <c r="Q607" s="582"/>
      <c r="R607" s="583"/>
      <c r="S607" s="584"/>
      <c r="T607" s="582">
        <v>85683.497599203998</v>
      </c>
      <c r="U607" s="583"/>
      <c r="V607" s="584">
        <v>17.133333333333333</v>
      </c>
      <c r="W607" s="582">
        <v>72408.158760630919</v>
      </c>
      <c r="X607" s="583"/>
      <c r="Y607" s="584">
        <v>18.100000000000001</v>
      </c>
      <c r="Z607" s="582"/>
      <c r="AA607" s="583"/>
      <c r="AB607" s="584"/>
      <c r="AC607" s="685"/>
      <c r="AD607" s="582">
        <v>13316.78695010802</v>
      </c>
      <c r="AE607" s="686">
        <v>114143.88814378303</v>
      </c>
      <c r="AF607" s="686">
        <v>70388.731021999542</v>
      </c>
      <c r="AG607" s="686">
        <v>0</v>
      </c>
      <c r="AH607" s="584">
        <v>0</v>
      </c>
      <c r="AI607" s="584">
        <v>-2.9103830456733704E-11</v>
      </c>
      <c r="AK607" s="370" t="e">
        <f>IF(F607="", " ", VLOOKUP(F607,#REF!, 1, FALSE))</f>
        <v>#REF!</v>
      </c>
    </row>
    <row r="608" spans="1:37" s="370" customFormat="1" ht="36" hidden="1" x14ac:dyDescent="0.25">
      <c r="A608" s="602" t="s">
        <v>1976</v>
      </c>
      <c r="B608" s="369" t="s">
        <v>25</v>
      </c>
      <c r="C608" s="603"/>
      <c r="D608" s="589" t="s">
        <v>2683</v>
      </c>
      <c r="E608" s="369" t="s">
        <v>27</v>
      </c>
      <c r="F608" s="214">
        <v>93599</v>
      </c>
      <c r="G608" s="602" t="s">
        <v>788</v>
      </c>
      <c r="H608" s="590" t="s">
        <v>42</v>
      </c>
      <c r="I608" s="605">
        <f>IF($F608="","",IF('TRECHO(S) A IMPRIMIR'!$B$1= 1, SUM(Q608, T608, W608, Z608), IF('TRECHO(S) A IMPRIMIR'!$B$1= 2, T608, IF('TRECHO(S) A IMPRIMIR'!$B$1= 3, W608, 0))))</f>
        <v>0</v>
      </c>
      <c r="J608" s="606">
        <v>0.41</v>
      </c>
      <c r="K608" s="607">
        <f t="shared" si="109"/>
        <v>0.2033513845915047</v>
      </c>
      <c r="L608" s="606">
        <f>IF(J608="","",
  IF(AND(J608&lt;&gt;"",K608=""),J608,J608 * (1 + K608)))</f>
        <v>0.4933740676825169</v>
      </c>
      <c r="M608" s="608">
        <f>IF(OR(I608="",L608=""),"",I608*L608)</f>
        <v>0</v>
      </c>
      <c r="N608" s="581"/>
      <c r="O608" s="683"/>
      <c r="P608" s="684"/>
      <c r="Q608" s="582"/>
      <c r="R608" s="583"/>
      <c r="S608" s="584"/>
      <c r="T608" s="582">
        <f>(T596 - (SUM(T598:T606) * U596)) * V608</f>
        <v>0</v>
      </c>
      <c r="U608" s="583"/>
      <c r="V608" s="584">
        <f>IF('MLQ-DMT-TR1'!$E$15 &gt; 30, 'MLQ-DMT-TR1'!$E$15 - 30, 0)</f>
        <v>0</v>
      </c>
      <c r="W608" s="582">
        <f>(W596 - (SUM(W598:W606) * X596)) * Y608</f>
        <v>0</v>
      </c>
      <c r="X608" s="583"/>
      <c r="Y608" s="584">
        <f>IF('MLQ-DMT-TR3'!$E$7 &gt; 30, 'MLQ-DMT-TR3'!$E$7 - 30, 0)</f>
        <v>0</v>
      </c>
      <c r="Z608" s="582"/>
      <c r="AA608" s="583"/>
      <c r="AB608" s="584"/>
      <c r="AC608" s="685"/>
      <c r="AD608" s="582" t="s">
        <v>21</v>
      </c>
      <c r="AE608" s="686" t="s">
        <v>21</v>
      </c>
      <c r="AF608" s="686" t="s">
        <v>21</v>
      </c>
      <c r="AG608" s="686" t="s">
        <v>21</v>
      </c>
      <c r="AH608" s="584" t="s">
        <v>21</v>
      </c>
      <c r="AI608" s="584" t="str">
        <f t="shared" si="101"/>
        <v/>
      </c>
      <c r="AK608" s="370" t="e">
        <f>IF(F608="", " ", VLOOKUP(F608,#REF!, 1, FALSE))</f>
        <v>#REF!</v>
      </c>
    </row>
    <row r="609" spans="1:37" x14ac:dyDescent="0.25">
      <c r="A609" s="587"/>
      <c r="B609" s="369"/>
      <c r="C609" s="588"/>
      <c r="D609" s="589"/>
      <c r="E609" s="44"/>
      <c r="F609" s="214"/>
      <c r="G609" s="587" t="s">
        <v>21</v>
      </c>
      <c r="H609" s="590" t="s">
        <v>21</v>
      </c>
      <c r="I609" s="591" t="str">
        <f>IF($F609="","",IF('TRECHO(S) A IMPRIMIR'!$B$1= 1, SUM(Q609, T609, W609, Z609), IF('TRECHO(S) A IMPRIMIR'!$B$1= 2, T609, IF('TRECHO(S) A IMPRIMIR'!$B$1= 3, W609, 0))))</f>
        <v/>
      </c>
      <c r="J609" s="592" t="s">
        <v>21</v>
      </c>
      <c r="K609" s="593" t="str">
        <f t="shared" si="109"/>
        <v/>
      </c>
      <c r="L609" s="592" t="str">
        <f>IF(J609="","",
  IF(AND(J609&lt;&gt;"",K609=""),J609,J609 * (1 + K609)))</f>
        <v/>
      </c>
      <c r="M609" s="594" t="str">
        <f>IF(OR(I609="",L609=""),"",I609*L609)</f>
        <v/>
      </c>
      <c r="O609" s="673"/>
      <c r="P609" s="361"/>
      <c r="Q609" s="441"/>
      <c r="R609" s="485"/>
      <c r="S609" s="442"/>
      <c r="T609" s="441"/>
      <c r="U609" s="485"/>
      <c r="V609" s="442"/>
      <c r="W609" s="1138"/>
      <c r="X609" s="485"/>
      <c r="Y609" s="442"/>
      <c r="Z609" s="441"/>
      <c r="AA609" s="485"/>
      <c r="AB609" s="442"/>
      <c r="AC609" s="672"/>
      <c r="AD609" s="441" t="s">
        <v>21</v>
      </c>
      <c r="AE609" s="674" t="s">
        <v>21</v>
      </c>
      <c r="AF609" s="674" t="s">
        <v>21</v>
      </c>
      <c r="AG609" s="674" t="s">
        <v>21</v>
      </c>
      <c r="AH609" s="442" t="s">
        <v>21</v>
      </c>
      <c r="AI609" s="442" t="s">
        <v>21</v>
      </c>
      <c r="AK609" s="3" t="str">
        <f>IF(F609="", " ", VLOOKUP(F609,#REF!, 1, FALSE))</f>
        <v xml:space="preserve"> </v>
      </c>
    </row>
    <row r="610" spans="1:37" ht="13.5" thickBot="1" x14ac:dyDescent="0.3">
      <c r="A610" s="587"/>
      <c r="B610" s="369"/>
      <c r="C610" s="588"/>
      <c r="D610" s="609" t="s">
        <v>21</v>
      </c>
      <c r="E610" s="483"/>
      <c r="F610" s="484"/>
      <c r="G610" s="610" t="s">
        <v>21</v>
      </c>
      <c r="H610" s="611" t="s">
        <v>21</v>
      </c>
      <c r="I610" s="612" t="str">
        <f>IF($F610="","",IF('TRECHO(S) A IMPRIMIR'!$B$1= 1, SUM(Q610, T610, W610, Z610), IF('TRECHO(S) A IMPRIMIR'!$B$1= 2, T610, IF('TRECHO(S) A IMPRIMIR'!$B$1= 3, W610, 0))))</f>
        <v/>
      </c>
      <c r="J610" s="613" t="s">
        <v>21</v>
      </c>
      <c r="K610" s="614" t="str">
        <f t="shared" si="109"/>
        <v/>
      </c>
      <c r="L610" s="613" t="str">
        <f>IF(J610="","",
  IF(AND(J610&lt;&gt;"",K610=""),J610,J610 * (1 + K610)))</f>
        <v/>
      </c>
      <c r="M610" s="615" t="str">
        <f>IF(OR(I610="",L610=""),"",I610*L610)</f>
        <v/>
      </c>
      <c r="O610" s="673"/>
      <c r="P610" s="361"/>
      <c r="Q610" s="443"/>
      <c r="R610" s="486"/>
      <c r="S610" s="444"/>
      <c r="T610" s="443"/>
      <c r="U610" s="486"/>
      <c r="V610" s="444"/>
      <c r="W610" s="1139"/>
      <c r="X610" s="486"/>
      <c r="Y610" s="444"/>
      <c r="Z610" s="443"/>
      <c r="AA610" s="486"/>
      <c r="AB610" s="444"/>
      <c r="AC610" s="672"/>
      <c r="AD610" s="443" t="s">
        <v>21</v>
      </c>
      <c r="AE610" s="687" t="s">
        <v>21</v>
      </c>
      <c r="AF610" s="687" t="s">
        <v>21</v>
      </c>
      <c r="AG610" s="687" t="s">
        <v>21</v>
      </c>
      <c r="AH610" s="444" t="s">
        <v>21</v>
      </c>
      <c r="AI610" s="444" t="s">
        <v>21</v>
      </c>
      <c r="AK610" s="3" t="str">
        <f>IF(F610="", " ", VLOOKUP(F610,#REF!, 1, FALSE))</f>
        <v xml:space="preserve"> </v>
      </c>
    </row>
    <row r="611" spans="1:37" x14ac:dyDescent="0.25">
      <c r="A611" s="616"/>
      <c r="B611" s="617"/>
      <c r="C611" s="588"/>
      <c r="D611" s="651" t="s">
        <v>1383</v>
      </c>
      <c r="E611" s="515" t="s">
        <v>1384</v>
      </c>
      <c r="F611" s="516"/>
      <c r="G611" s="652"/>
      <c r="H611" s="652"/>
      <c r="I611" s="653"/>
      <c r="J611" s="654"/>
      <c r="K611" s="655"/>
      <c r="L611" s="654"/>
      <c r="M611" s="656"/>
      <c r="O611" s="688"/>
      <c r="P611" s="361"/>
      <c r="Q611" s="1185">
        <v>0</v>
      </c>
      <c r="R611" s="1186"/>
      <c r="S611" s="1187"/>
      <c r="T611" s="1185">
        <v>11988503.719181031</v>
      </c>
      <c r="U611" s="1186"/>
      <c r="V611" s="1187"/>
      <c r="W611" s="1185">
        <v>8397371.067690026</v>
      </c>
      <c r="X611" s="1186"/>
      <c r="Y611" s="1187"/>
      <c r="Z611" s="1185">
        <v>0</v>
      </c>
      <c r="AA611" s="1186"/>
      <c r="AB611" s="1187"/>
      <c r="AC611" s="672"/>
      <c r="AD611" s="797">
        <v>3770965.0164101105</v>
      </c>
      <c r="AE611" s="798">
        <v>14011295.901398033</v>
      </c>
      <c r="AF611" s="798">
        <v>2380124.6947685629</v>
      </c>
      <c r="AG611" s="798">
        <v>221486.81872350004</v>
      </c>
      <c r="AH611" s="799">
        <v>2002.3555708489264</v>
      </c>
      <c r="AI611" s="800">
        <v>-5.1712767401568271E-10</v>
      </c>
    </row>
    <row r="612" spans="1:37" x14ac:dyDescent="0.25">
      <c r="A612" s="623"/>
      <c r="B612" s="624"/>
      <c r="C612" s="588"/>
      <c r="D612" s="625" t="s">
        <v>1385</v>
      </c>
      <c r="E612" s="519"/>
      <c r="F612" s="520"/>
      <c r="G612" s="657"/>
      <c r="H612" s="519"/>
      <c r="I612" s="658"/>
      <c r="J612" s="659"/>
      <c r="K612" s="660"/>
      <c r="L612" s="659"/>
      <c r="M612" s="661"/>
      <c r="O612" s="688"/>
      <c r="P612" s="361"/>
      <c r="AC612" s="672"/>
      <c r="AD612" s="440"/>
      <c r="AE612" s="440"/>
      <c r="AF612" s="440"/>
      <c r="AG612" s="440"/>
      <c r="AH612" s="440"/>
      <c r="AI612" s="440"/>
    </row>
    <row r="613" spans="1:37" x14ac:dyDescent="0.25">
      <c r="A613" s="623"/>
      <c r="B613" s="624"/>
      <c r="C613" s="588"/>
      <c r="D613" s="631" t="s">
        <v>1386</v>
      </c>
      <c r="E613" s="525"/>
      <c r="F613" s="526"/>
      <c r="G613" s="662"/>
      <c r="H613" s="525"/>
      <c r="I613" s="663"/>
      <c r="J613" s="664"/>
      <c r="K613" s="665"/>
      <c r="L613" s="664"/>
      <c r="M613" s="666"/>
      <c r="O613" s="688"/>
      <c r="P613" s="361"/>
      <c r="AC613" s="672"/>
      <c r="AD613" s="440"/>
      <c r="AE613" s="440"/>
      <c r="AF613" s="440"/>
      <c r="AG613" s="440"/>
      <c r="AH613" s="440"/>
      <c r="AI613" s="440"/>
    </row>
    <row r="614" spans="1:37" x14ac:dyDescent="0.25">
      <c r="A614" s="623"/>
      <c r="B614" s="624"/>
      <c r="C614" s="588"/>
      <c r="D614" s="631" t="s">
        <v>1535</v>
      </c>
      <c r="E614" s="525"/>
      <c r="F614" s="526"/>
      <c r="G614" s="662"/>
      <c r="H614" s="525"/>
      <c r="I614" s="663"/>
      <c r="J614" s="664"/>
      <c r="K614" s="665"/>
      <c r="L614" s="664"/>
      <c r="M614" s="666"/>
      <c r="O614" s="688"/>
      <c r="P614" s="361"/>
      <c r="AC614" s="672"/>
      <c r="AD614" s="440"/>
      <c r="AE614" s="440"/>
      <c r="AF614" s="440"/>
      <c r="AG614" s="440"/>
      <c r="AH614" s="440"/>
      <c r="AI614" s="440"/>
    </row>
    <row r="615" spans="1:37" x14ac:dyDescent="0.25">
      <c r="A615" s="623"/>
      <c r="B615" s="624"/>
      <c r="C615" s="588"/>
      <c r="D615" s="631"/>
      <c r="E615" s="525"/>
      <c r="F615" s="526"/>
      <c r="G615" s="662"/>
      <c r="H615" s="525"/>
      <c r="I615" s="663"/>
      <c r="J615" s="664"/>
      <c r="K615" s="665"/>
      <c r="L615" s="664"/>
      <c r="M615" s="666"/>
      <c r="O615" s="688"/>
      <c r="P615" s="361"/>
      <c r="AC615" s="672"/>
      <c r="AD615" s="440"/>
      <c r="AE615" s="440"/>
      <c r="AF615" s="440"/>
      <c r="AG615" s="440"/>
      <c r="AH615" s="440"/>
      <c r="AI615" s="440"/>
    </row>
    <row r="616" spans="1:37" ht="13.5" thickBot="1" x14ac:dyDescent="0.3">
      <c r="A616" s="623"/>
      <c r="B616" s="624"/>
      <c r="C616" s="588"/>
      <c r="D616" s="637"/>
      <c r="E616" s="527"/>
      <c r="F616" s="528"/>
      <c r="G616" s="667"/>
      <c r="H616" s="527"/>
      <c r="I616" s="668"/>
      <c r="J616" s="669"/>
      <c r="K616" s="670"/>
      <c r="L616" s="669"/>
      <c r="M616" s="671"/>
      <c r="O616" s="688"/>
      <c r="P616" s="361"/>
      <c r="AC616" s="672"/>
      <c r="AD616" s="440"/>
      <c r="AE616" s="440"/>
      <c r="AF616" s="440"/>
      <c r="AG616" s="440"/>
      <c r="AH616" s="440"/>
      <c r="AI616" s="440"/>
    </row>
    <row r="617" spans="1:37" x14ac:dyDescent="0.25">
      <c r="A617" s="643"/>
      <c r="B617" s="644"/>
      <c r="C617" s="588"/>
      <c r="D617" s="123" t="str">
        <f>'PSP-RESUMO'!$A$16</f>
        <v>RRT DO ORÇAMENTO: 0</v>
      </c>
      <c r="E617" s="588"/>
      <c r="F617" s="645"/>
      <c r="G617" s="588"/>
      <c r="H617" s="646"/>
      <c r="I617" s="647"/>
      <c r="J617" s="648"/>
      <c r="K617" s="649"/>
      <c r="L617" s="648"/>
      <c r="M617" s="650"/>
      <c r="O617" s="672"/>
      <c r="P617" s="361"/>
      <c r="AC617" s="672"/>
      <c r="AD617" s="440"/>
      <c r="AE617" s="440"/>
      <c r="AF617" s="440"/>
      <c r="AG617" s="440"/>
      <c r="AH617" s="440"/>
      <c r="AI617" s="440"/>
    </row>
    <row r="618" spans="1:37" x14ac:dyDescent="0.25">
      <c r="A618" s="643"/>
      <c r="B618" s="644"/>
      <c r="C618" s="588"/>
      <c r="D618" s="693"/>
      <c r="E618" s="588"/>
      <c r="F618" s="645"/>
      <c r="G618" s="588"/>
      <c r="H618" s="646"/>
      <c r="I618" s="647"/>
      <c r="J618" s="643"/>
      <c r="K618" s="694"/>
      <c r="L618" s="647"/>
      <c r="M618" s="647"/>
      <c r="O618" s="672"/>
      <c r="P618" s="361"/>
      <c r="AC618" s="672"/>
      <c r="AD618" s="440"/>
      <c r="AE618" s="440"/>
      <c r="AF618" s="440"/>
      <c r="AG618" s="440"/>
      <c r="AH618" s="440"/>
      <c r="AI618" s="440"/>
    </row>
    <row r="619" spans="1:37" x14ac:dyDescent="0.25">
      <c r="A619" s="492"/>
      <c r="B619" s="644"/>
      <c r="C619" s="588"/>
      <c r="D619" s="588"/>
      <c r="E619" s="588"/>
      <c r="F619" s="645"/>
      <c r="G619" s="588"/>
      <c r="H619" s="646"/>
      <c r="I619" s="647"/>
      <c r="J619" s="492"/>
      <c r="K619" s="354" t="s">
        <v>135</v>
      </c>
      <c r="L619" s="354"/>
      <c r="M619" s="355"/>
      <c r="O619" s="672"/>
      <c r="P619" s="361"/>
      <c r="AC619" s="672"/>
      <c r="AD619" s="440"/>
      <c r="AE619" s="440"/>
      <c r="AF619" s="440"/>
      <c r="AG619" s="440"/>
      <c r="AH619" s="440"/>
      <c r="AI619" s="440"/>
    </row>
    <row r="620" spans="1:37" x14ac:dyDescent="0.25">
      <c r="A620" s="492"/>
      <c r="B620" s="644"/>
      <c r="C620" s="588"/>
      <c r="D620" s="695"/>
      <c r="E620" s="695"/>
      <c r="F620" s="696"/>
      <c r="G620" s="695"/>
      <c r="H620" s="644"/>
      <c r="I620" s="643"/>
      <c r="J620" s="492"/>
      <c r="K620" s="492" t="s">
        <v>136</v>
      </c>
      <c r="L620" s="492"/>
      <c r="M620" s="383"/>
      <c r="O620" s="672"/>
      <c r="P620" s="361"/>
      <c r="AC620" s="672"/>
      <c r="AD620" s="440"/>
      <c r="AE620" s="440"/>
      <c r="AF620" s="440"/>
      <c r="AG620" s="440"/>
      <c r="AH620" s="440"/>
      <c r="AI620" s="440"/>
    </row>
    <row r="621" spans="1:37" s="40" customFormat="1" x14ac:dyDescent="0.25">
      <c r="A621" s="491"/>
      <c r="B621" s="284"/>
      <c r="C621" s="3"/>
      <c r="D621" s="493"/>
      <c r="E621" s="493"/>
      <c r="F621" s="494"/>
      <c r="G621" s="493"/>
      <c r="H621" s="495"/>
      <c r="I621" s="496"/>
      <c r="J621" s="496"/>
      <c r="K621" s="497"/>
      <c r="L621" s="496"/>
      <c r="M621" s="496"/>
      <c r="O621" s="3"/>
      <c r="Q621" s="440"/>
      <c r="R621" s="471"/>
      <c r="S621" s="440"/>
      <c r="T621" s="440"/>
      <c r="U621" s="471"/>
      <c r="V621" s="440"/>
      <c r="W621" s="440"/>
      <c r="X621" s="471"/>
      <c r="Y621" s="440"/>
      <c r="Z621" s="440"/>
      <c r="AA621" s="471"/>
      <c r="AB621" s="440"/>
      <c r="AD621" s="498"/>
      <c r="AE621" s="498"/>
      <c r="AF621" s="498"/>
      <c r="AG621" s="498"/>
      <c r="AH621" s="498"/>
      <c r="AI621" s="498"/>
    </row>
    <row r="622" spans="1:37" s="40" customFormat="1" x14ac:dyDescent="0.25">
      <c r="A622" s="491"/>
      <c r="B622" s="284"/>
      <c r="C622" s="3"/>
      <c r="D622" s="116"/>
      <c r="E622" s="118"/>
      <c r="F622" s="117"/>
      <c r="G622" s="118"/>
      <c r="H622" s="119"/>
      <c r="I622" s="120"/>
      <c r="J622" s="121" t="s">
        <v>417</v>
      </c>
      <c r="K622" s="407"/>
      <c r="L622" s="121"/>
      <c r="M622" s="128">
        <v>83776900.492956921</v>
      </c>
      <c r="O622" s="3"/>
      <c r="Q622" s="440"/>
      <c r="R622" s="471"/>
      <c r="S622" s="440"/>
      <c r="T622" s="440"/>
      <c r="U622" s="471"/>
      <c r="V622" s="440"/>
      <c r="W622" s="440"/>
      <c r="X622" s="471"/>
      <c r="Y622" s="440"/>
      <c r="Z622" s="440"/>
      <c r="AA622" s="471"/>
      <c r="AB622" s="440"/>
      <c r="AD622" s="498"/>
      <c r="AE622" s="498"/>
      <c r="AF622" s="498"/>
      <c r="AG622" s="498"/>
      <c r="AH622" s="498"/>
      <c r="AI622" s="498"/>
    </row>
    <row r="623" spans="1:37" s="40" customFormat="1" x14ac:dyDescent="0.25">
      <c r="A623" s="283"/>
      <c r="B623" s="284"/>
      <c r="C623" s="3"/>
      <c r="D623" s="3"/>
      <c r="E623" s="3"/>
      <c r="F623" s="115"/>
      <c r="G623" s="3"/>
      <c r="H623" s="4"/>
      <c r="I623" s="2"/>
      <c r="J623" s="279" t="s">
        <v>392</v>
      </c>
      <c r="K623" s="408"/>
      <c r="L623" s="279"/>
      <c r="M623" s="2">
        <v>20385874.786871046</v>
      </c>
      <c r="O623" s="141"/>
      <c r="Q623" s="440"/>
      <c r="R623" s="471"/>
      <c r="S623" s="440"/>
      <c r="T623" s="440"/>
      <c r="U623" s="471"/>
      <c r="V623" s="440"/>
      <c r="W623" s="440"/>
      <c r="X623" s="471"/>
      <c r="Y623" s="440"/>
      <c r="Z623" s="440"/>
      <c r="AA623" s="471"/>
      <c r="AB623" s="440"/>
      <c r="AD623" s="498"/>
      <c r="AE623" s="498"/>
      <c r="AF623" s="498"/>
      <c r="AG623" s="498"/>
      <c r="AH623" s="498"/>
      <c r="AI623" s="498"/>
    </row>
    <row r="624" spans="1:37" s="40" customFormat="1" x14ac:dyDescent="0.25">
      <c r="A624" s="3"/>
      <c r="B624" s="4"/>
      <c r="C624" s="3"/>
      <c r="D624" s="3"/>
      <c r="E624" s="3"/>
      <c r="F624" s="115"/>
      <c r="G624" s="3"/>
      <c r="H624" s="4"/>
      <c r="I624" s="2"/>
      <c r="J624" s="279" t="s">
        <v>393</v>
      </c>
      <c r="K624" s="408"/>
      <c r="L624" s="279"/>
      <c r="M624" s="2">
        <v>-63391025.706085876</v>
      </c>
      <c r="O624" s="141"/>
      <c r="Q624" s="440"/>
      <c r="R624" s="471"/>
      <c r="S624" s="440"/>
      <c r="T624" s="440"/>
      <c r="U624" s="471"/>
      <c r="V624" s="440"/>
      <c r="W624" s="440"/>
      <c r="X624" s="471"/>
      <c r="Y624" s="440"/>
      <c r="Z624" s="440"/>
      <c r="AA624" s="471"/>
      <c r="AB624" s="440"/>
      <c r="AD624" s="498"/>
      <c r="AE624" s="498"/>
      <c r="AF624" s="498"/>
      <c r="AG624" s="498"/>
      <c r="AH624" s="498"/>
      <c r="AI624" s="498"/>
    </row>
    <row r="625" spans="1:35" s="40" customFormat="1" x14ac:dyDescent="0.25">
      <c r="A625" s="3"/>
      <c r="B625" s="4"/>
      <c r="C625" s="3"/>
      <c r="D625" s="3"/>
      <c r="E625" s="3"/>
      <c r="F625" s="115"/>
      <c r="G625" s="3"/>
      <c r="H625" s="4"/>
      <c r="I625" s="2"/>
      <c r="J625" s="144"/>
      <c r="K625" s="409"/>
      <c r="L625" s="144"/>
      <c r="M625" s="144"/>
      <c r="O625" s="141"/>
      <c r="Q625" s="440"/>
      <c r="R625" s="471"/>
      <c r="S625" s="440"/>
      <c r="T625" s="440"/>
      <c r="U625" s="471"/>
      <c r="V625" s="440"/>
      <c r="W625" s="440"/>
      <c r="X625" s="471"/>
      <c r="Y625" s="440"/>
      <c r="Z625" s="440"/>
      <c r="AA625" s="471"/>
      <c r="AB625" s="440"/>
      <c r="AD625" s="498"/>
      <c r="AE625" s="498"/>
      <c r="AF625" s="498"/>
      <c r="AG625" s="498"/>
      <c r="AH625" s="498"/>
      <c r="AI625" s="498"/>
    </row>
    <row r="627" spans="1:35" x14ac:dyDescent="0.25">
      <c r="M627" s="1493" t="s">
        <v>2824</v>
      </c>
      <c r="N627" s="361"/>
      <c r="O627" s="361" t="str">
        <f>VLOOKUP(M627, $F$7:$G618, 2, FALSE)</f>
        <v>FORNECIMENTO DE TUBO DE CONCRETO Ø 300 MM - PA-2</v>
      </c>
    </row>
    <row r="628" spans="1:35" x14ac:dyDescent="0.25">
      <c r="M628" s="1493" t="s">
        <v>2333</v>
      </c>
      <c r="N628" s="361"/>
      <c r="O628" s="361" t="str">
        <f t="shared" ref="O628:O645" si="110">VLOOKUP(M628, $F$7:$G$618, 2, FALSE)</f>
        <v>FORNECIMENTO DE TUBO DE CONCRETO Ø 400 MM - PS</v>
      </c>
    </row>
    <row r="629" spans="1:35" x14ac:dyDescent="0.25">
      <c r="M629" s="1493" t="s">
        <v>2334</v>
      </c>
      <c r="N629" s="361"/>
      <c r="O629" s="361" t="str">
        <f t="shared" si="110"/>
        <v>FORNECIMENTO DE TUBO DE CONCRETO Ø 500 MM - PS</v>
      </c>
    </row>
    <row r="630" spans="1:35" x14ac:dyDescent="0.25">
      <c r="M630" s="1493" t="s">
        <v>2335</v>
      </c>
      <c r="N630" s="361"/>
      <c r="O630" s="361" t="str">
        <f t="shared" si="110"/>
        <v>FORNECIMENTO DE TUBO DE CONCRETO Ø 600 MM - PS</v>
      </c>
    </row>
    <row r="631" spans="1:35" x14ac:dyDescent="0.25">
      <c r="M631" s="1493" t="s">
        <v>2336</v>
      </c>
      <c r="N631" s="361"/>
      <c r="O631" s="361" t="str">
        <f t="shared" si="110"/>
        <v>FORNECIMENTO DE TUBO DE CONCRETO Ø 600 MM - PA-1</v>
      </c>
    </row>
    <row r="632" spans="1:35" x14ac:dyDescent="0.25">
      <c r="M632" s="1493" t="s">
        <v>2337</v>
      </c>
      <c r="N632" s="361"/>
      <c r="O632" s="361" t="str">
        <f t="shared" si="110"/>
        <v>FORNECIMENTO DE TUBO DE CONCRETO Ø 800 MM - PA-1</v>
      </c>
    </row>
    <row r="633" spans="1:35" x14ac:dyDescent="0.25">
      <c r="M633" s="1493" t="s">
        <v>2338</v>
      </c>
      <c r="N633" s="361"/>
      <c r="O633" s="361" t="str">
        <f t="shared" si="110"/>
        <v>FORNECIMENTO DE TUBO DE CONCRETO Ø 1000 MM - PA-1</v>
      </c>
    </row>
    <row r="634" spans="1:35" x14ac:dyDescent="0.25">
      <c r="M634" s="1493" t="s">
        <v>2339</v>
      </c>
      <c r="N634" s="361"/>
      <c r="O634" s="361" t="str">
        <f t="shared" si="110"/>
        <v>FORNECIMENTO DE TUBO DE CONCRETO Ø 1200 MM - PA-1</v>
      </c>
    </row>
    <row r="635" spans="1:35" x14ac:dyDescent="0.25">
      <c r="M635" s="1493" t="s">
        <v>2340</v>
      </c>
      <c r="N635" s="361"/>
      <c r="O635" s="361" t="str">
        <f t="shared" si="110"/>
        <v>FORNECIMENTO DE TUBO DE CONCRETO Ø 1500 MM - PA-1</v>
      </c>
    </row>
    <row r="636" spans="1:35" x14ac:dyDescent="0.25">
      <c r="M636" s="1493" t="s">
        <v>2341</v>
      </c>
      <c r="N636" s="361"/>
      <c r="O636" s="361" t="str">
        <f t="shared" si="110"/>
        <v>FORNECIMENTO DE TUBO DE CONCRETO Ø 600 MM - PA-2</v>
      </c>
    </row>
    <row r="637" spans="1:35" x14ac:dyDescent="0.25">
      <c r="M637" s="1493" t="s">
        <v>2342</v>
      </c>
      <c r="N637" s="361"/>
      <c r="O637" s="361" t="str">
        <f t="shared" si="110"/>
        <v>FORNECIMENTO DE TUBO DE CONCRETO Ø 800 MM - PA-2</v>
      </c>
    </row>
    <row r="638" spans="1:35" x14ac:dyDescent="0.25">
      <c r="M638" s="1493" t="s">
        <v>2343</v>
      </c>
      <c r="N638" s="361"/>
      <c r="O638" s="361" t="str">
        <f t="shared" si="110"/>
        <v>FORNECIMENTO DE TUBO DE CONCRETO Ø 1000 MM - PA-2</v>
      </c>
    </row>
    <row r="639" spans="1:35" x14ac:dyDescent="0.25">
      <c r="M639" s="1493" t="s">
        <v>2344</v>
      </c>
      <c r="N639" s="361"/>
      <c r="O639" s="361" t="str">
        <f t="shared" si="110"/>
        <v>FORNECIMENTO DE TUBO DE CONCRETO Ø 1200 MM - PA-2</v>
      </c>
    </row>
    <row r="640" spans="1:35" x14ac:dyDescent="0.25">
      <c r="M640" s="1493" t="s">
        <v>2345</v>
      </c>
      <c r="N640" s="361"/>
      <c r="O640" s="361" t="str">
        <f t="shared" si="110"/>
        <v>FORNECIMENTO DE TUBO DE CONCRETO Ø 1500 MM - PA-2</v>
      </c>
    </row>
    <row r="641" spans="13:15" x14ac:dyDescent="0.25">
      <c r="M641" s="1493" t="s">
        <v>2346</v>
      </c>
      <c r="N641" s="361"/>
      <c r="O641" s="361" t="str">
        <f t="shared" si="110"/>
        <v>FORNECIMENTO DE TUBO DE CONCRETO Ø 600 MM - PA-3</v>
      </c>
    </row>
    <row r="642" spans="13:15" x14ac:dyDescent="0.25">
      <c r="M642" s="1493" t="s">
        <v>2347</v>
      </c>
      <c r="N642" s="361"/>
      <c r="O642" s="361" t="str">
        <f t="shared" si="110"/>
        <v>FORNECIMENTO DE TUBO DE CONCRETO Ø 800 MM - PA-3</v>
      </c>
    </row>
    <row r="643" spans="13:15" x14ac:dyDescent="0.25">
      <c r="M643" s="1493" t="s">
        <v>2348</v>
      </c>
      <c r="N643" s="361"/>
      <c r="O643" s="361" t="str">
        <f t="shared" si="110"/>
        <v>FORNECIMENTO DE TUBO DE CONCRETO Ø 1000 MM - PA-3</v>
      </c>
    </row>
    <row r="644" spans="13:15" x14ac:dyDescent="0.25">
      <c r="M644" s="1493" t="s">
        <v>2349</v>
      </c>
      <c r="N644" s="361"/>
      <c r="O644" s="361" t="str">
        <f t="shared" si="110"/>
        <v>FORNECIMENTO DE TUBO DE CONCRETO Ø 1200 MM - PA-3</v>
      </c>
    </row>
    <row r="645" spans="13:15" x14ac:dyDescent="0.25">
      <c r="M645" s="1493" t="s">
        <v>2350</v>
      </c>
      <c r="N645" s="361"/>
      <c r="O645" s="361" t="str">
        <f t="shared" si="110"/>
        <v>FORNECIMENTO DE TUBO DE CONCRETO Ø 1500 MM - PA-3</v>
      </c>
    </row>
  </sheetData>
  <autoFilter ref="D7:P617" xr:uid="{AB4FC3FB-B14A-43FD-8944-1860AF2FC45B}">
    <filterColumn colId="5">
      <filters blank="1">
        <filter val="0,32"/>
        <filter val="0,40"/>
        <filter val="0,53"/>
        <filter val="0,90"/>
        <filter val="1,38"/>
        <filter val="1,61"/>
        <filter val="1,92"/>
        <filter val="1.001,58"/>
        <filter val="1.025,21"/>
        <filter val="1.045,45"/>
        <filter val="1.056,33"/>
        <filter val="1.118,82"/>
        <filter val="1.151,20"/>
        <filter val="1.164,98"/>
        <filter val="1.201,00"/>
        <filter val="1.249,13"/>
        <filter val="1.320,20"/>
        <filter val="1.370,34"/>
        <filter val="1.425,00"/>
        <filter val="1.437,91"/>
        <filter val="1.440,00"/>
        <filter val="1.490,00"/>
        <filter val="1.547,00"/>
        <filter val="1.566,80"/>
        <filter val="1.572,92"/>
        <filter val="1.578,98"/>
        <filter val="1.726,80"/>
        <filter val="1.743,40"/>
        <filter val="1.980,30"/>
        <filter val="1.989,00"/>
        <filter val="10,00"/>
        <filter val="10,60"/>
        <filter val="10,85"/>
        <filter val="10.068,17"/>
        <filter val="10.237,89"/>
        <filter val="10.799,40"/>
        <filter val="103,64"/>
        <filter val="107,05"/>
        <filter val="11,00"/>
        <filter val="11,04"/>
        <filter val="11.777,83"/>
        <filter val="11.979,14"/>
        <filter val="110,68"/>
        <filter val="119,00"/>
        <filter val="12,00"/>
        <filter val="12,50"/>
        <filter val="12,88"/>
        <filter val="12.081,41"/>
        <filter val="121,00"/>
        <filter val="121,46"/>
        <filter val="127,13"/>
        <filter val="13,00"/>
        <filter val="13,61"/>
        <filter val="13.310,15"/>
        <filter val="131,70"/>
        <filter val="141,26"/>
        <filter val="141,57"/>
        <filter val="144,87"/>
        <filter val="145,96"/>
        <filter val="146,25"/>
        <filter val="15,48"/>
        <filter val="15.032,91"/>
        <filter val="15.459,43"/>
        <filter val="15.843,00"/>
        <filter val="153,91"/>
        <filter val="158.091,66"/>
        <filter val="160,18"/>
        <filter val="162,50"/>
        <filter val="166,43"/>
        <filter val="167,60"/>
        <filter val="168,92"/>
        <filter val="169,75"/>
        <filter val="17,00"/>
        <filter val="172,96"/>
        <filter val="176,93"/>
        <filter val="18,84"/>
        <filter val="18.245,37"/>
        <filter val="180,42"/>
        <filter val="188,64"/>
        <filter val="19,20"/>
        <filter val="19,36"/>
        <filter val="194,11"/>
        <filter val="198,25"/>
        <filter val="199,82"/>
        <filter val="2,08"/>
        <filter val="2,71"/>
        <filter val="2,84"/>
        <filter val="2,85"/>
        <filter val="2,88"/>
        <filter val="2.006,31"/>
        <filter val="2.201,80"/>
        <filter val="2.206,83"/>
        <filter val="2.350,20"/>
        <filter val="2.375,00"/>
        <filter val="2.376,45"/>
        <filter val="2.410,51"/>
        <filter val="2.434,26"/>
        <filter val="2.446,45"/>
        <filter val="2.496,00"/>
        <filter val="2.543,81"/>
        <filter val="2.726,80"/>
        <filter val="2.816,14"/>
        <filter val="2.826,46"/>
        <filter val="2.878,00"/>
        <filter val="2.986,73"/>
        <filter val="20.111,00"/>
        <filter val="202,86"/>
        <filter val="203.235,14"/>
        <filter val="208,25"/>
        <filter val="209,10"/>
        <filter val="21,33"/>
        <filter val="21,69"/>
        <filter val="210,00"/>
        <filter val="211,75"/>
        <filter val="219,50"/>
        <filter val="22,39"/>
        <filter val="22,75"/>
        <filter val="221,34"/>
        <filter val="225,06"/>
        <filter val="23,58"/>
        <filter val="23,66"/>
        <filter val="23.038,44"/>
        <filter val="23.380,00"/>
        <filter val="24,02"/>
        <filter val="24,18"/>
        <filter val="246,00"/>
        <filter val="248,05"/>
        <filter val="25.280,88"/>
        <filter val="254,80"/>
        <filter val="26.222,62"/>
        <filter val="26.949,40"/>
        <filter val="27.303,73"/>
        <filter val="272,37"/>
        <filter val="277,14"/>
        <filter val="278,32"/>
        <filter val="28,54"/>
        <filter val="283,83"/>
        <filter val="289,00"/>
        <filter val="3,00"/>
        <filter val="3,50"/>
        <filter val="3.300,50"/>
        <filter val="3.412,42"/>
        <filter val="3.582,80"/>
        <filter val="3.917,00"/>
        <filter val="30.337,48"/>
        <filter val="30.744,17"/>
        <filter val="306,54"/>
        <filter val="306,75"/>
        <filter val="33.859,67"/>
        <filter val="332,61"/>
        <filter val="345,32"/>
        <filter val="35,41"/>
        <filter val="364,38"/>
        <filter val="369,92"/>
        <filter val="37,05"/>
        <filter val="37,50"/>
        <filter val="371,02"/>
        <filter val="372,47"/>
        <filter val="377,07"/>
        <filter val="378,73"/>
        <filter val="38.616,80"/>
        <filter val="380,00"/>
        <filter val="39.395,22"/>
        <filter val="39.676,28"/>
        <filter val="4,00"/>
        <filter val="4,39"/>
        <filter val="4.011,18"/>
        <filter val="4.111,16"/>
        <filter val="4.190,48"/>
        <filter val="4.641,00"/>
        <filter val="40,61"/>
        <filter val="40,80"/>
        <filter val="40,83"/>
        <filter val="402,87"/>
        <filter val="41,00"/>
        <filter val="41,40"/>
        <filter val="416,37"/>
        <filter val="418,06"/>
        <filter val="423,64"/>
        <filter val="426,19"/>
        <filter val="430,76"/>
        <filter val="44,20"/>
        <filter val="441,00"/>
        <filter val="442,45"/>
        <filter val="446,49"/>
        <filter val="45,00"/>
        <filter val="46,28"/>
        <filter val="464,51"/>
        <filter val="47,50"/>
        <filter val="48,77"/>
        <filter val="480,40"/>
        <filter val="487,70"/>
        <filter val="494,70"/>
        <filter val="497,33"/>
        <filter val="5,70"/>
        <filter val="5.553,71"/>
        <filter val="5.581,21"/>
        <filter val="506,57"/>
        <filter val="508,41"/>
        <filter val="51,30"/>
        <filter val="52.281,90"/>
        <filter val="57,56"/>
        <filter val="573,23"/>
        <filter val="58.647,05"/>
        <filter val="582,00"/>
        <filter val="582,87"/>
        <filter val="586,85"/>
        <filter val="594,00"/>
        <filter val="6,20"/>
        <filter val="6,78"/>
        <filter val="6,91"/>
        <filter val="6,97"/>
        <filter val="6.027,68"/>
        <filter val="6.460,08"/>
        <filter val="6.697,42"/>
        <filter val="60,00"/>
        <filter val="606,90"/>
        <filter val="61.586,41"/>
        <filter val="617,10"/>
        <filter val="617,18"/>
        <filter val="617.293,57"/>
        <filter val="62,28"/>
        <filter val="63,00"/>
        <filter val="63,39"/>
        <filter val="66,01"/>
        <filter val="66,30"/>
        <filter val="663,00"/>
        <filter val="666,93"/>
        <filter val="67.467,66"/>
        <filter val="68,70"/>
        <filter val="691,62"/>
        <filter val="7,92"/>
        <filter val="70,74"/>
        <filter val="71,75"/>
        <filter val="714,00"/>
        <filter val="719,44"/>
        <filter val="719,95"/>
        <filter val="720,60"/>
        <filter val="726,00"/>
        <filter val="732,05"/>
        <filter val="76,26"/>
        <filter val="78,00"/>
        <filter val="78,34"/>
        <filter val="786,41"/>
        <filter val="799,62"/>
        <filter val="8,34"/>
        <filter val="8,55"/>
        <filter val="8.392,63"/>
        <filter val="8.619,00"/>
        <filter val="8.628,69"/>
        <filter val="8.937,30"/>
        <filter val="80.868,87"/>
        <filter val="81,65"/>
        <filter val="82,08"/>
        <filter val="847,94"/>
        <filter val="848,00"/>
        <filter val="85,62"/>
        <filter val="87,80"/>
        <filter val="9,40"/>
        <filter val="9,99"/>
        <filter val="9.237,96"/>
        <filter val="938,28"/>
        <filter val="942,15"/>
        <filter val="95,90"/>
        <filter val="950,00"/>
        <filter val="96,46"/>
        <filter val="960,00"/>
        <filter val="97,00"/>
        <filter val="SERVIÇO"/>
      </filters>
    </filterColumn>
  </autoFilter>
  <sortState xmlns:xlrd2="http://schemas.microsoft.com/office/spreadsheetml/2017/richdata2" ref="M627:M646">
    <sortCondition ref="M627:M646"/>
  </sortState>
  <mergeCells count="14">
    <mergeCell ref="D5:D6"/>
    <mergeCell ref="E5:I6"/>
    <mergeCell ref="O7:O8"/>
    <mergeCell ref="D7:D8"/>
    <mergeCell ref="F7:F8"/>
    <mergeCell ref="E7:E8"/>
    <mergeCell ref="K7:K8"/>
    <mergeCell ref="L7:L8"/>
    <mergeCell ref="M7:M8"/>
    <mergeCell ref="A7:A8"/>
    <mergeCell ref="B7:B8"/>
    <mergeCell ref="G7:G8"/>
    <mergeCell ref="H7:H8"/>
    <mergeCell ref="J7:J8"/>
  </mergeCells>
  <phoneticPr fontId="45" type="noConversion"/>
  <conditionalFormatting sqref="A371:S378 A310:V311 A393:V393 Z385:AI387 Z309:AI311 Z371:AI378 A524:V526 A516:C516 E516:V516 E531:AI532 W524:AI530 E527:V530 A527:D532 D589:D593 A544:C560 E544:AI560 D544:D572 Z598:AI599 A598:C599 E598:V599 A595:AI595 A609:AI610 Z514:AI516 D516:D523 A279:AI279 A37:C37 E37:AI37 A35:C35 E35:AI35 D35:D37 A34:AI34 A82:AI82 A73:C79 A94:C96 W165:AI165 W169:AI169 A168:V168 A254:AI254 A196:AI196 A187:C187 E187:V187 A9:AI12 A16:C17 E17:AI17 A13:C14 E13:AI13 D13:D17 E16:S16 AA16:AI16 U16:V16 E14:S14 U14:V14 X14:Y14 X16 AA14:AI14 A18:AI18 E73:V76 X73:AI76 E77:AI79 E85:P86 A84:P84 AC84:AI86 E96:V96 E94:Q95 S94:V95 E87:AI91 X94:AI96 X168:AI168 X178:AI181 X170:AI175 A190:C195 X187:AI187 E190:AI195 A85:C91 A124:AI124 A122:Q122 A119:U121 W119:X121 Z119:AI121 A107:AI118 S122:AI122 D85:D96 W277:AI277 D123 A505:AI509 A510:V515 X510:AI513 A534:AI543 A573:V574 X573:AI574 A575:AI588 Z356:AI364 A356:V357 A309:S309 U309:V309 A358:S364 A385:S387 A29:AI31 A607:C608 E607:AI608 D597:D608 Z317:AI317 A317:V317 A312:C313 E312:Q313 D312:D316 S312:T313 V312:V313 Z312:Z313 AB312:AI313 Z393:AI393 A388:Q389 S388:S389 Z388:Z389 AB388:AI389 S401:T401 V401:W401 Y401:Z401 AB401:AI401 E401:Q401 E396:AI400 A394:AI395 A396:D401 A402:AI402 A405:AI462 A467:V468 Z467:AI468 A469:AI482 A20:T21 Z23:AI24 A24:Y24 V20:W21 Y20:AI21 D533 A503:AI503">
    <cfRule type="expression" dxfId="1974" priority="1153">
      <formula>LEN($D9)= 3</formula>
    </cfRule>
    <cfRule type="expression" dxfId="1973" priority="1154">
      <formula>AND(LEN($D9)=5,$H9="")</formula>
    </cfRule>
    <cfRule type="expression" dxfId="1972" priority="1155">
      <formula>AND($D9&lt;&gt;"",$H9="")</formula>
    </cfRule>
  </conditionalFormatting>
  <conditionalFormatting sqref="A280:V288 A295:V300 Z295:AI302 Z280:AI288 A301:S302 U301:V302">
    <cfRule type="expression" dxfId="1971" priority="1147">
      <formula>LEN($D280)= 3</formula>
    </cfRule>
    <cfRule type="expression" dxfId="1970" priority="1148">
      <formula>AND(LEN($D280)=5,$H280="")</formula>
    </cfRule>
    <cfRule type="expression" dxfId="1969" priority="1149">
      <formula>AND($D280&lt;&gt;"",$H280="")</formula>
    </cfRule>
  </conditionalFormatting>
  <conditionalFormatting sqref="A289:V294 Z289:AI294">
    <cfRule type="expression" dxfId="1968" priority="1144">
      <formula>LEN($D289)= 3</formula>
    </cfRule>
    <cfRule type="expression" dxfId="1967" priority="1145">
      <formula>AND(LEN($D289)=5,$H289="")</formula>
    </cfRule>
    <cfRule type="expression" dxfId="1966" priority="1146">
      <formula>AND($D289&lt;&gt;"",$H289="")</formula>
    </cfRule>
  </conditionalFormatting>
  <conditionalFormatting sqref="A303:S308 Z303:AI308 U303:V308">
    <cfRule type="expression" dxfId="1965" priority="1141">
      <formula>LEN($D303)= 3</formula>
    </cfRule>
    <cfRule type="expression" dxfId="1964" priority="1142">
      <formula>AND(LEN($D303)=5,$H303="")</formula>
    </cfRule>
    <cfRule type="expression" dxfId="1963" priority="1143">
      <formula>AND($D303&lt;&gt;"",$H303="")</formula>
    </cfRule>
  </conditionalFormatting>
  <conditionalFormatting sqref="A365:S370 Z365:AI370">
    <cfRule type="expression" dxfId="1962" priority="1138">
      <formula>LEN($D365)= 3</formula>
    </cfRule>
    <cfRule type="expression" dxfId="1961" priority="1139">
      <formula>AND(LEN($D365)=5,$H365="")</formula>
    </cfRule>
    <cfRule type="expression" dxfId="1960" priority="1140">
      <formula>AND($D365&lt;&gt;"",$H365="")</formula>
    </cfRule>
  </conditionalFormatting>
  <conditionalFormatting sqref="A379:S384 Z379:AI384">
    <cfRule type="expression" dxfId="1959" priority="1135">
      <formula>LEN($D379)= 3</formula>
    </cfRule>
    <cfRule type="expression" dxfId="1958" priority="1136">
      <formula>AND(LEN($D379)=5,$H379="")</formula>
    </cfRule>
    <cfRule type="expression" dxfId="1957" priority="1137">
      <formula>AND($D379&lt;&gt;"",$H379="")</formula>
    </cfRule>
  </conditionalFormatting>
  <conditionalFormatting sqref="A561:C561 A569:C569 A572:C572 E572:V572 E569:V569 E561:V561 Z561:AI561 Z569:AI569 Z572:AI572">
    <cfRule type="expression" dxfId="1956" priority="1132">
      <formula>LEN($D561)= 3</formula>
    </cfRule>
    <cfRule type="expression" dxfId="1955" priority="1133">
      <formula>AND(LEN($D561)=5,$H561="")</formula>
    </cfRule>
    <cfRule type="expression" dxfId="1954" priority="1134">
      <formula>AND($D561&lt;&gt;"",$H561="")</formula>
    </cfRule>
  </conditionalFormatting>
  <conditionalFormatting sqref="A562:C568 Z562:AI568 E562:V568">
    <cfRule type="expression" dxfId="1953" priority="1129">
      <formula>LEN($D562)= 3</formula>
    </cfRule>
    <cfRule type="expression" dxfId="1952" priority="1130">
      <formula>AND(LEN($D562)=5,$H562="")</formula>
    </cfRule>
    <cfRule type="expression" dxfId="1951" priority="1131">
      <formula>AND($D562&lt;&gt;"",$H562="")</formula>
    </cfRule>
  </conditionalFormatting>
  <conditionalFormatting sqref="A570:C570 E570:V570 Z570:AI570">
    <cfRule type="expression" dxfId="1950" priority="1126">
      <formula>LEN($D570)= 3</formula>
    </cfRule>
    <cfRule type="expression" dxfId="1949" priority="1127">
      <formula>AND(LEN($D570)=5,$H570="")</formula>
    </cfRule>
    <cfRule type="expression" dxfId="1948" priority="1128">
      <formula>AND($D570&lt;&gt;"",$H570="")</formula>
    </cfRule>
  </conditionalFormatting>
  <conditionalFormatting sqref="A571:C571 E571:V571 Z571:AI571">
    <cfRule type="expression" dxfId="1947" priority="1123">
      <formula>LEN($D571)= 3</formula>
    </cfRule>
    <cfRule type="expression" dxfId="1946" priority="1124">
      <formula>AND(LEN($D571)=5,$H571="")</formula>
    </cfRule>
    <cfRule type="expression" dxfId="1945" priority="1125">
      <formula>AND($D571&lt;&gt;"",$H571="")</formula>
    </cfRule>
  </conditionalFormatting>
  <conditionalFormatting sqref="X371:Y378 W317:Y317 W393:Y393 W598:Y599 W515:Y516 X514:Y514 W356:Y357 X309:Y311 X358:Y364 X385:Y387 Y312:Y313 Y388:Y389">
    <cfRule type="expression" dxfId="1944" priority="1120">
      <formula>LEN($D309)= 3</formula>
    </cfRule>
    <cfRule type="expression" dxfId="1943" priority="1121">
      <formula>AND(LEN($D309)=5,$H309="")</formula>
    </cfRule>
    <cfRule type="expression" dxfId="1942" priority="1122">
      <formula>AND($D309&lt;&gt;"",$H309="")</formula>
    </cfRule>
  </conditionalFormatting>
  <conditionalFormatting sqref="W280:Y281 X295:Y302 X282:Y288">
    <cfRule type="expression" dxfId="1941" priority="1117">
      <formula>LEN($D280)= 3</formula>
    </cfRule>
    <cfRule type="expression" dxfId="1940" priority="1118">
      <formula>AND(LEN($D280)=5,$H280="")</formula>
    </cfRule>
    <cfRule type="expression" dxfId="1939" priority="1119">
      <formula>AND($D280&lt;&gt;"",$H280="")</formula>
    </cfRule>
  </conditionalFormatting>
  <conditionalFormatting sqref="X289:Y294">
    <cfRule type="expression" dxfId="1938" priority="1114">
      <formula>LEN($D289)= 3</formula>
    </cfRule>
    <cfRule type="expression" dxfId="1937" priority="1115">
      <formula>AND(LEN($D289)=5,$H289="")</formula>
    </cfRule>
    <cfRule type="expression" dxfId="1936" priority="1116">
      <formula>AND($D289&lt;&gt;"",$H289="")</formula>
    </cfRule>
  </conditionalFormatting>
  <conditionalFormatting sqref="X303:Y308">
    <cfRule type="expression" dxfId="1935" priority="1111">
      <formula>LEN($D303)= 3</formula>
    </cfRule>
    <cfRule type="expression" dxfId="1934" priority="1112">
      <formula>AND(LEN($D303)=5,$H303="")</formula>
    </cfRule>
    <cfRule type="expression" dxfId="1933" priority="1113">
      <formula>AND($D303&lt;&gt;"",$H303="")</formula>
    </cfRule>
  </conditionalFormatting>
  <conditionalFormatting sqref="X365:Y370">
    <cfRule type="expression" dxfId="1932" priority="1108">
      <formula>LEN($D365)= 3</formula>
    </cfRule>
    <cfRule type="expression" dxfId="1931" priority="1109">
      <formula>AND(LEN($D365)=5,$H365="")</formula>
    </cfRule>
    <cfRule type="expression" dxfId="1930" priority="1110">
      <formula>AND($D365&lt;&gt;"",$H365="")</formula>
    </cfRule>
  </conditionalFormatting>
  <conditionalFormatting sqref="X379:Y384">
    <cfRule type="expression" dxfId="1929" priority="1105">
      <formula>LEN($D379)= 3</formula>
    </cfRule>
    <cfRule type="expression" dxfId="1928" priority="1106">
      <formula>AND(LEN($D379)=5,$H379="")</formula>
    </cfRule>
    <cfRule type="expression" dxfId="1927" priority="1107">
      <formula>AND($D379&lt;&gt;"",$H379="")</formula>
    </cfRule>
  </conditionalFormatting>
  <conditionalFormatting sqref="X569:Y569 W561:Y561">
    <cfRule type="expression" dxfId="1926" priority="1102">
      <formula>LEN($D561)= 3</formula>
    </cfRule>
    <cfRule type="expression" dxfId="1925" priority="1103">
      <formula>AND(LEN($D561)=5,$H561="")</formula>
    </cfRule>
    <cfRule type="expression" dxfId="1924" priority="1104">
      <formula>AND($D561&lt;&gt;"",$H561="")</formula>
    </cfRule>
  </conditionalFormatting>
  <conditionalFormatting sqref="W562:Y562 X563:Y568">
    <cfRule type="expression" dxfId="1923" priority="1099">
      <formula>LEN($D562)= 3</formula>
    </cfRule>
    <cfRule type="expression" dxfId="1922" priority="1100">
      <formula>AND(LEN($D562)=5,$H562="")</formula>
    </cfRule>
    <cfRule type="expression" dxfId="1921" priority="1101">
      <formula>AND($D562&lt;&gt;"",$H562="")</formula>
    </cfRule>
  </conditionalFormatting>
  <conditionalFormatting sqref="Z517:AI522 A517:C522 E517:V522">
    <cfRule type="expression" dxfId="1920" priority="1090">
      <formula>LEN($D517)= 3</formula>
    </cfRule>
    <cfRule type="expression" dxfId="1919" priority="1091">
      <formula>AND(LEN($D517)=5,$H517="")</formula>
    </cfRule>
    <cfRule type="expression" dxfId="1918" priority="1092">
      <formula>AND($D517&lt;&gt;"",$H517="")</formula>
    </cfRule>
  </conditionalFormatting>
  <conditionalFormatting sqref="W517:Y522">
    <cfRule type="expression" dxfId="1917" priority="1087">
      <formula>LEN($D517)= 3</formula>
    </cfRule>
    <cfRule type="expression" dxfId="1916" priority="1088">
      <formula>AND(LEN($D517)=5,$H517="")</formula>
    </cfRule>
    <cfRule type="expression" dxfId="1915" priority="1089">
      <formula>AND($D517&lt;&gt;"",$H517="")</formula>
    </cfRule>
  </conditionalFormatting>
  <conditionalFormatting sqref="Z523:AI523 A523:C523 E523:V523">
    <cfRule type="expression" dxfId="1914" priority="1084">
      <formula>LEN($D523)= 3</formula>
    </cfRule>
    <cfRule type="expression" dxfId="1913" priority="1085">
      <formula>AND(LEN($D523)=5,$H523="")</formula>
    </cfRule>
    <cfRule type="expression" dxfId="1912" priority="1086">
      <formula>AND($D523&lt;&gt;"",$H523="")</formula>
    </cfRule>
  </conditionalFormatting>
  <conditionalFormatting sqref="W523:Y523">
    <cfRule type="expression" dxfId="1911" priority="1081">
      <formula>LEN($D523)= 3</formula>
    </cfRule>
    <cfRule type="expression" dxfId="1910" priority="1082">
      <formula>AND(LEN($D523)=5,$H523="")</formula>
    </cfRule>
    <cfRule type="expression" dxfId="1909" priority="1083">
      <formula>AND($D523&lt;&gt;"",$H523="")</formula>
    </cfRule>
  </conditionalFormatting>
  <conditionalFormatting sqref="A589:C591 Z589:AI591 Z593:AI593 A593:C593 E593:V593 E589:V591">
    <cfRule type="expression" dxfId="1908" priority="1072">
      <formula>LEN($D589)= 3</formula>
    </cfRule>
    <cfRule type="expression" dxfId="1907" priority="1073">
      <formula>AND(LEN($D589)=5,$H589="")</formula>
    </cfRule>
    <cfRule type="expression" dxfId="1906" priority="1074">
      <formula>AND($D589&lt;&gt;"",$H589="")</formula>
    </cfRule>
  </conditionalFormatting>
  <conditionalFormatting sqref="W589">
    <cfRule type="expression" dxfId="1905" priority="1069">
      <formula>LEN($D589)= 3</formula>
    </cfRule>
    <cfRule type="expression" dxfId="1904" priority="1070">
      <formula>AND(LEN($D589)=5,$H589="")</formula>
    </cfRule>
    <cfRule type="expression" dxfId="1903" priority="1071">
      <formula>AND($D589&lt;&gt;"",$H589="")</formula>
    </cfRule>
  </conditionalFormatting>
  <conditionalFormatting sqref="Z592:AI592 A592:C592 E592:V592">
    <cfRule type="expression" dxfId="1902" priority="1066">
      <formula>LEN($D592)= 3</formula>
    </cfRule>
    <cfRule type="expression" dxfId="1901" priority="1067">
      <formula>AND(LEN($D592)=5,$H592="")</formula>
    </cfRule>
    <cfRule type="expression" dxfId="1900" priority="1068">
      <formula>AND($D592&lt;&gt;"",$H592="")</formula>
    </cfRule>
  </conditionalFormatting>
  <conditionalFormatting sqref="A600:C606 Z600:AI606 E600:V606">
    <cfRule type="expression" dxfId="1899" priority="1060">
      <formula>LEN($D600)= 3</formula>
    </cfRule>
    <cfRule type="expression" dxfId="1898" priority="1061">
      <formula>AND(LEN($D600)=5,$H600="")</formula>
    </cfRule>
    <cfRule type="expression" dxfId="1897" priority="1062">
      <formula>AND($D600&lt;&gt;"",$H600="")</formula>
    </cfRule>
  </conditionalFormatting>
  <conditionalFormatting sqref="W600:Y606">
    <cfRule type="expression" dxfId="1896" priority="1057">
      <formula>LEN($D600)= 3</formula>
    </cfRule>
    <cfRule type="expression" dxfId="1895" priority="1058">
      <formula>AND(LEN($D600)=5,$H600="")</formula>
    </cfRule>
    <cfRule type="expression" dxfId="1894" priority="1059">
      <formula>AND($D600&lt;&gt;"",$H600="")</formula>
    </cfRule>
  </conditionalFormatting>
  <conditionalFormatting sqref="Z596:AI596 A596:V596">
    <cfRule type="expression" dxfId="1893" priority="1054">
      <formula>LEN($D596)= 3</formula>
    </cfRule>
    <cfRule type="expression" dxfId="1892" priority="1055">
      <formula>AND(LEN($D596)=5,$H596="")</formula>
    </cfRule>
    <cfRule type="expression" dxfId="1891" priority="1056">
      <formula>AND($D596&lt;&gt;"",$H596="")</formula>
    </cfRule>
  </conditionalFormatting>
  <conditionalFormatting sqref="A597:C597 Z597:AI597 E597:V597">
    <cfRule type="expression" dxfId="1890" priority="1048">
      <formula>LEN($D597)= 3</formula>
    </cfRule>
    <cfRule type="expression" dxfId="1889" priority="1049">
      <formula>AND(LEN($D597)=5,$H597="")</formula>
    </cfRule>
    <cfRule type="expression" dxfId="1888" priority="1050">
      <formula>AND($D597&lt;&gt;"",$H597="")</formula>
    </cfRule>
  </conditionalFormatting>
  <conditionalFormatting sqref="A594:AI594">
    <cfRule type="expression" dxfId="1887" priority="1036">
      <formula>LEN($D594)= 3</formula>
    </cfRule>
    <cfRule type="expression" dxfId="1886" priority="1037">
      <formula>AND(LEN($D594)=5,$H594="")</formula>
    </cfRule>
    <cfRule type="expression" dxfId="1885" priority="1038">
      <formula>AND($D594&lt;&gt;"",$H594="")</formula>
    </cfRule>
  </conditionalFormatting>
  <conditionalFormatting sqref="A504:V504 Z504:AI504">
    <cfRule type="expression" dxfId="1884" priority="1033">
      <formula>LEN($D504)= 3</formula>
    </cfRule>
    <cfRule type="expression" dxfId="1883" priority="1034">
      <formula>AND(LEN($D504)=5,$H504="")</formula>
    </cfRule>
    <cfRule type="expression" dxfId="1882" priority="1035">
      <formula>AND($D504&lt;&gt;"",$H504="")</formula>
    </cfRule>
  </conditionalFormatting>
  <conditionalFormatting sqref="W504:Y504">
    <cfRule type="expression" dxfId="1881" priority="1030">
      <formula>LEN($D504)= 3</formula>
    </cfRule>
    <cfRule type="expression" dxfId="1880" priority="1031">
      <formula>AND(LEN($D504)=5,$H504="")</formula>
    </cfRule>
    <cfRule type="expression" dxfId="1879" priority="1032">
      <formula>AND($D504&lt;&gt;"",$H504="")</formula>
    </cfRule>
  </conditionalFormatting>
  <conditionalFormatting sqref="Z125:AI125 A125:V125 A185:V186 Z182:AI186 A182:C184 E182:V184 D187:D195 A277:C277 E277:V277">
    <cfRule type="expression" dxfId="1878" priority="1027">
      <formula>LEN($D125)= 3</formula>
    </cfRule>
    <cfRule type="expression" dxfId="1877" priority="1028">
      <formula>AND(LEN($D125)=5,$H125="")</formula>
    </cfRule>
    <cfRule type="expression" dxfId="1876" priority="1029">
      <formula>AND($D125&lt;&gt;"",$H125="")</formula>
    </cfRule>
  </conditionalFormatting>
  <conditionalFormatting sqref="W125:Y125 W185:Y185 X182:Y184 X186:Y186">
    <cfRule type="expression" dxfId="1875" priority="1024">
      <formula>LEN($D125)= 3</formula>
    </cfRule>
    <cfRule type="expression" dxfId="1874" priority="1025">
      <formula>AND(LEN($D125)=5,$H125="")</formula>
    </cfRule>
    <cfRule type="expression" dxfId="1873" priority="1026">
      <formula>AND($D125&lt;&gt;"",$H125="")</formula>
    </cfRule>
  </conditionalFormatting>
  <conditionalFormatting sqref="A403:V404 Z403:AI404">
    <cfRule type="expression" dxfId="1872" priority="1021">
      <formula>LEN($D403)= 3</formula>
    </cfRule>
    <cfRule type="expression" dxfId="1871" priority="1022">
      <formula>AND(LEN($D403)=5,$H403="")</formula>
    </cfRule>
    <cfRule type="expression" dxfId="1870" priority="1023">
      <formula>AND($D403&lt;&gt;"",$H403="")</formula>
    </cfRule>
  </conditionalFormatting>
  <conditionalFormatting sqref="W403:Y404">
    <cfRule type="expression" dxfId="1869" priority="1018">
      <formula>LEN($D403)= 3</formula>
    </cfRule>
    <cfRule type="expression" dxfId="1868" priority="1019">
      <formula>AND(LEN($D403)=5,$H403="")</formula>
    </cfRule>
    <cfRule type="expression" dxfId="1867" priority="1020">
      <formula>AND($D403&lt;&gt;"",$H403="")</formula>
    </cfRule>
  </conditionalFormatting>
  <conditionalFormatting sqref="A36:C36 E36:AI36">
    <cfRule type="expression" dxfId="1866" priority="997">
      <formula>LEN($D36)= 3</formula>
    </cfRule>
    <cfRule type="expression" dxfId="1865" priority="998">
      <formula>AND(LEN($D36)=5,$H36="")</formula>
    </cfRule>
    <cfRule type="expression" dxfId="1864" priority="999">
      <formula>AND($D36&lt;&gt;"",$H36="")</formula>
    </cfRule>
  </conditionalFormatting>
  <conditionalFormatting sqref="A33:AI33">
    <cfRule type="expression" dxfId="1863" priority="994">
      <formula>LEN($D33)= 3</formula>
    </cfRule>
    <cfRule type="expression" dxfId="1862" priority="995">
      <formula>AND(LEN($D33)=5,$H33="")</formula>
    </cfRule>
    <cfRule type="expression" dxfId="1861" priority="996">
      <formula>AND($D33&lt;&gt;"",$H33="")</formula>
    </cfRule>
  </conditionalFormatting>
  <conditionalFormatting sqref="A44:AI49 A51:C54 E51:V54 D51:D64 A50:V50 X50:AI54">
    <cfRule type="expression" dxfId="1860" priority="991">
      <formula>LEN($D44)= 3</formula>
    </cfRule>
    <cfRule type="expression" dxfId="1859" priority="992">
      <formula>AND(LEN($D44)=5,$H44="")</formula>
    </cfRule>
    <cfRule type="expression" dxfId="1858" priority="993">
      <formula>AND($D44&lt;&gt;"",$H44="")</formula>
    </cfRule>
  </conditionalFormatting>
  <conditionalFormatting sqref="A55:C55 A65:AI65 A62:C64 E62:V64 E55:V55 E58:V58 A58:C58 X55:AI55 X58:AI58 X62:AI64">
    <cfRule type="expression" dxfId="1857" priority="988">
      <formula>LEN($D55)= 3</formula>
    </cfRule>
    <cfRule type="expression" dxfId="1856" priority="989">
      <formula>AND(LEN($D55)=5,$H55="")</formula>
    </cfRule>
    <cfRule type="expression" dxfId="1855" priority="990">
      <formula>AND($D55&lt;&gt;"",$H55="")</formula>
    </cfRule>
  </conditionalFormatting>
  <conditionalFormatting sqref="A59:C61 E59:V61 X59:AI61">
    <cfRule type="expression" dxfId="1854" priority="985">
      <formula>LEN($D59)= 3</formula>
    </cfRule>
    <cfRule type="expression" dxfId="1853" priority="986">
      <formula>AND(LEN($D59)=5,$H59="")</formula>
    </cfRule>
    <cfRule type="expression" dxfId="1852" priority="987">
      <formula>AND($D59&lt;&gt;"",$H59="")</formula>
    </cfRule>
  </conditionalFormatting>
  <conditionalFormatting sqref="A67:C67 A81:C81 E81:V81 E67:V67 E70:V72 A70:C72 X67:AI67 X70:AI72 X81:AI81">
    <cfRule type="expression" dxfId="1851" priority="982">
      <formula>LEN($D67)= 3</formula>
    </cfRule>
    <cfRule type="expression" dxfId="1850" priority="983">
      <formula>AND(LEN($D67)=5,$H67="")</formula>
    </cfRule>
    <cfRule type="expression" dxfId="1849" priority="984">
      <formula>AND($D67&lt;&gt;"",$H67="")</formula>
    </cfRule>
  </conditionalFormatting>
  <conditionalFormatting sqref="A80:C80 E80:V80 X80:AI80">
    <cfRule type="expression" dxfId="1848" priority="976">
      <formula>LEN($D80)= 3</formula>
    </cfRule>
    <cfRule type="expression" dxfId="1847" priority="977">
      <formula>AND(LEN($D80)=5,$H80="")</formula>
    </cfRule>
    <cfRule type="expression" dxfId="1846" priority="978">
      <formula>AND($D80&lt;&gt;"",$H80="")</formula>
    </cfRule>
  </conditionalFormatting>
  <conditionalFormatting sqref="A93:C93 E93:V93 X93:AI93">
    <cfRule type="expression" dxfId="1845" priority="973">
      <formula>LEN($D93)= 3</formula>
    </cfRule>
    <cfRule type="expression" dxfId="1844" priority="974">
      <formula>AND(LEN($D93)=5,$H93="")</formula>
    </cfRule>
    <cfRule type="expression" dxfId="1843" priority="975">
      <formula>AND($D93&lt;&gt;"",$H93="")</formula>
    </cfRule>
  </conditionalFormatting>
  <conditionalFormatting sqref="Z126:AI135 A126:V130 A165:V165 Z147:AI147 A147:C147 E147:V147 A169:V170 A145:V145 Z138:AI145 A138:C144 E138:V144 A131:C135 E131:V135 D131:D144 E150:V155 A150:C155 Z150:AI155 A178:C181 E178:V181 A171:C175 E171:V175 D171:D184">
    <cfRule type="expression" dxfId="1842" priority="970">
      <formula>LEN($D126)= 3</formula>
    </cfRule>
    <cfRule type="expression" dxfId="1841" priority="971">
      <formula>AND(LEN($D126)=5,$H126="")</formula>
    </cfRule>
    <cfRule type="expression" dxfId="1840" priority="972">
      <formula>AND($D126&lt;&gt;"",$H126="")</formula>
    </cfRule>
  </conditionalFormatting>
  <conditionalFormatting sqref="W126:Y129 X147:Y147 W145:Y145 X130:Y135 X138:Y144 X150:Y155">
    <cfRule type="expression" dxfId="1839" priority="967">
      <formula>LEN($D126)= 3</formula>
    </cfRule>
    <cfRule type="expression" dxfId="1838" priority="968">
      <formula>AND(LEN($D126)=5,$H126="")</formula>
    </cfRule>
    <cfRule type="expression" dxfId="1837" priority="969">
      <formula>AND($D126&lt;&gt;"",$H126="")</formula>
    </cfRule>
  </conditionalFormatting>
  <conditionalFormatting sqref="A66:V66 D67:D81 X66:AI66">
    <cfRule type="expression" dxfId="1836" priority="964">
      <formula>LEN($D66)= 3</formula>
    </cfRule>
    <cfRule type="expression" dxfId="1835" priority="965">
      <formula>AND(LEN($D66)=5,$H66="")</formula>
    </cfRule>
    <cfRule type="expression" dxfId="1834" priority="966">
      <formula>AND($D66&lt;&gt;"",$H66="")</formula>
    </cfRule>
  </conditionalFormatting>
  <conditionalFormatting sqref="A146:V146 D147:D161 X146:AI146">
    <cfRule type="expression" dxfId="1833" priority="961">
      <formula>LEN($D146)= 3</formula>
    </cfRule>
    <cfRule type="expression" dxfId="1832" priority="962">
      <formula>AND(LEN($D146)=5,$H146="")</formula>
    </cfRule>
    <cfRule type="expression" dxfId="1831" priority="963">
      <formula>AND($D146&lt;&gt;"",$H146="")</formula>
    </cfRule>
  </conditionalFormatting>
  <conditionalFormatting sqref="A156:C156 E156:V156 E159:P161 A158:C161 E158:V158 X158:AI158 X156:AI156 AC159:AI161">
    <cfRule type="expression" dxfId="1830" priority="958">
      <formula>LEN($D156)= 3</formula>
    </cfRule>
    <cfRule type="expression" dxfId="1829" priority="959">
      <formula>AND(LEN($D156)=5,$H156="")</formula>
    </cfRule>
    <cfRule type="expression" dxfId="1828" priority="960">
      <formula>AND($D156&lt;&gt;"",$H156="")</formula>
    </cfRule>
  </conditionalFormatting>
  <conditionalFormatting sqref="W200:Y200">
    <cfRule type="expression" dxfId="1827" priority="928">
      <formula>LEN($D200)= 3</formula>
    </cfRule>
    <cfRule type="expression" dxfId="1826" priority="929">
      <formula>AND(LEN($D200)=5,$H200="")</formula>
    </cfRule>
    <cfRule type="expression" dxfId="1825" priority="930">
      <formula>AND($D200&lt;&gt;"",$H200="")</formula>
    </cfRule>
  </conditionalFormatting>
  <conditionalFormatting sqref="A157:C157 E157:V157 X157:AI157">
    <cfRule type="expression" dxfId="1824" priority="952">
      <formula>LEN($D157)= 3</formula>
    </cfRule>
    <cfRule type="expression" dxfId="1823" priority="953">
      <formula>AND(LEN($D157)=5,$H157="")</formula>
    </cfRule>
    <cfRule type="expression" dxfId="1822" priority="954">
      <formula>AND($D157&lt;&gt;"",$H157="")</formula>
    </cfRule>
  </conditionalFormatting>
  <conditionalFormatting sqref="Z262:AI262 A262:V262 Z268:AI268 A266:C267 E266:Q267 D263:D267 S266:T267 V266:V267 Z266:Z267 AB266:AI267 A268:V268 A273:C276 E273:V276 Z273:AI276">
    <cfRule type="expression" dxfId="1821" priority="949">
      <formula>LEN($D262)= 3</formula>
    </cfRule>
    <cfRule type="expression" dxfId="1820" priority="950">
      <formula>AND(LEN($D262)=5,$H262="")</formula>
    </cfRule>
    <cfRule type="expression" dxfId="1819" priority="951">
      <formula>AND($D262&lt;&gt;"",$H262="")</formula>
    </cfRule>
  </conditionalFormatting>
  <conditionalFormatting sqref="W262:Y262 W268:Y268 Y266:Y267 W275:Y276 W273:W274 Y273:Y274">
    <cfRule type="expression" dxfId="1818" priority="946">
      <formula>LEN($D262)= 3</formula>
    </cfRule>
    <cfRule type="expression" dxfId="1817" priority="947">
      <formula>AND(LEN($D262)=5,$H262="")</formula>
    </cfRule>
    <cfRule type="expression" dxfId="1816" priority="948">
      <formula>AND($D262&lt;&gt;"",$H262="")</formula>
    </cfRule>
  </conditionalFormatting>
  <conditionalFormatting sqref="A166:V167 Z166:AI167">
    <cfRule type="expression" dxfId="1815" priority="940">
      <formula>LEN($D166)= 3</formula>
    </cfRule>
    <cfRule type="expression" dxfId="1814" priority="941">
      <formula>AND(LEN($D166)=5,$H166="")</formula>
    </cfRule>
    <cfRule type="expression" dxfId="1813" priority="942">
      <formula>AND($D166&lt;&gt;"",$H166="")</formula>
    </cfRule>
  </conditionalFormatting>
  <conditionalFormatting sqref="W166:Y166 X167:Y167">
    <cfRule type="expression" dxfId="1812" priority="937">
      <formula>LEN($D166)= 3</formula>
    </cfRule>
    <cfRule type="expression" dxfId="1811" priority="938">
      <formula>AND(LEN($D166)=5,$H166="")</formula>
    </cfRule>
    <cfRule type="expression" dxfId="1810" priority="939">
      <formula>AND($D166&lt;&gt;"",$H166="")</formula>
    </cfRule>
  </conditionalFormatting>
  <conditionalFormatting sqref="W250:Y250">
    <cfRule type="expression" dxfId="1809" priority="904">
      <formula>LEN($D250)= 3</formula>
    </cfRule>
    <cfRule type="expression" dxfId="1808" priority="905">
      <formula>AND(LEN($D250)=5,$H250="")</formula>
    </cfRule>
    <cfRule type="expression" dxfId="1807" priority="906">
      <formula>AND($D250&lt;&gt;"",$H250="")</formula>
    </cfRule>
  </conditionalFormatting>
  <conditionalFormatting sqref="Z200:AI200 A200:V200">
    <cfRule type="expression" dxfId="1806" priority="931">
      <formula>LEN($D200)= 3</formula>
    </cfRule>
    <cfRule type="expression" dxfId="1805" priority="932">
      <formula>AND(LEN($D200)=5,$H200="")</formula>
    </cfRule>
    <cfRule type="expression" dxfId="1804" priority="933">
      <formula>AND($D200&lt;&gt;"",$H200="")</formula>
    </cfRule>
  </conditionalFormatting>
  <conditionalFormatting sqref="W201:Y201 X226:Y226 W203:Y204 W220:Y220 X205:Y210 X213:Y219 X229:Y234">
    <cfRule type="expression" dxfId="1803" priority="922">
      <formula>LEN($D201)= 3</formula>
    </cfRule>
    <cfRule type="expression" dxfId="1802" priority="923">
      <formula>AND(LEN($D201)=5,$H201="")</formula>
    </cfRule>
    <cfRule type="expression" dxfId="1801" priority="924">
      <formula>AND($D201&lt;&gt;"",$H201="")</formula>
    </cfRule>
  </conditionalFormatting>
  <conditionalFormatting sqref="Z201:AI201 A201:V201 Z226:AI226 A226:C226 E226:V226 A203:V205 A202:P202 Z203:AI210 AC202:AI202 Z213:AI220 A220:V220 A213:C219 E213:V219 A206:C210 E206:V210 D206:D219 E229:V234 A229:C234 Z229:AI234">
    <cfRule type="expression" dxfId="1800" priority="925">
      <formula>LEN($D201)= 3</formula>
    </cfRule>
    <cfRule type="expression" dxfId="1799" priority="926">
      <formula>AND(LEN($D201)=5,$H201="")</formula>
    </cfRule>
    <cfRule type="expression" dxfId="1798" priority="927">
      <formula>AND($D201&lt;&gt;"",$H201="")</formula>
    </cfRule>
  </conditionalFormatting>
  <conditionalFormatting sqref="E257:P259 A256:C259 E256:V256 X256:AI256 AC257:AI259">
    <cfRule type="expression" dxfId="1797" priority="916">
      <formula>LEN($D256)= 3</formula>
    </cfRule>
    <cfRule type="expression" dxfId="1796" priority="917">
      <formula>AND(LEN($D256)=5,$H256="")</formula>
    </cfRule>
    <cfRule type="expression" dxfId="1795" priority="918">
      <formula>AND($D256&lt;&gt;"",$H256="")</formula>
    </cfRule>
  </conditionalFormatting>
  <conditionalFormatting sqref="A225:C225 E225:V225 X225:AI225">
    <cfRule type="expression" dxfId="1794" priority="919">
      <formula>LEN($D225)= 3</formula>
    </cfRule>
    <cfRule type="expression" dxfId="1793" priority="920">
      <formula>AND(LEN($D225)=5,$H225="")</formula>
    </cfRule>
    <cfRule type="expression" dxfId="1792" priority="921">
      <formula>AND($D225&lt;&gt;"",$H225="")</formula>
    </cfRule>
  </conditionalFormatting>
  <conditionalFormatting sqref="Z250:AI250 A250:V250">
    <cfRule type="expression" dxfId="1791" priority="907">
      <formula>LEN($D250)= 3</formula>
    </cfRule>
    <cfRule type="expression" dxfId="1790" priority="908">
      <formula>AND(LEN($D250)=5,$H250="")</formula>
    </cfRule>
    <cfRule type="expression" dxfId="1789" priority="909">
      <formula>AND($D250&lt;&gt;"",$H250="")</formula>
    </cfRule>
  </conditionalFormatting>
  <conditionalFormatting sqref="D255:D260">
    <cfRule type="expression" dxfId="1788" priority="913">
      <formula>LEN($D255)= 3</formula>
    </cfRule>
    <cfRule type="expression" dxfId="1787" priority="914">
      <formula>AND(LEN($D255)=5,$H255="")</formula>
    </cfRule>
    <cfRule type="expression" dxfId="1786" priority="915">
      <formula>AND($D255&lt;&gt;"",$H255="")</formula>
    </cfRule>
  </conditionalFormatting>
  <conditionalFormatting sqref="A255:C255 E255:V255 X255:AI255">
    <cfRule type="expression" dxfId="1785" priority="910">
      <formula>LEN($D255)= 3</formula>
    </cfRule>
    <cfRule type="expression" dxfId="1784" priority="911">
      <formula>AND(LEN($D255)=5,$H255="")</formula>
    </cfRule>
    <cfRule type="expression" dxfId="1783" priority="912">
      <formula>AND($D255&lt;&gt;"",$H255="")</formula>
    </cfRule>
  </conditionalFormatting>
  <conditionalFormatting sqref="X224:Y224">
    <cfRule type="expression" dxfId="1782" priority="898">
      <formula>LEN($D224)= 3</formula>
    </cfRule>
    <cfRule type="expression" dxfId="1781" priority="899">
      <formula>AND(LEN($D224)=5,$H224="")</formula>
    </cfRule>
    <cfRule type="expression" dxfId="1780" priority="900">
      <formula>AND($D224&lt;&gt;"",$H224="")</formula>
    </cfRule>
  </conditionalFormatting>
  <conditionalFormatting sqref="A251:V252 Z251:AI252 D253">
    <cfRule type="expression" dxfId="1779" priority="871">
      <formula>LEN($D251)= 3</formula>
    </cfRule>
    <cfRule type="expression" dxfId="1778" priority="872">
      <formula>AND(LEN($D251)=5,$H251="")</formula>
    </cfRule>
    <cfRule type="expression" dxfId="1777" priority="873">
      <formula>AND($D251&lt;&gt;"",$H251="")</formula>
    </cfRule>
  </conditionalFormatting>
  <conditionalFormatting sqref="Z224:AI224 A221:C224 E224:V224 E221:P223 AC221:AI223">
    <cfRule type="expression" dxfId="1776" priority="901">
      <formula>LEN($D221)= 3</formula>
    </cfRule>
    <cfRule type="expression" dxfId="1775" priority="902">
      <formula>AND(LEN($D221)=5,$H221="")</formula>
    </cfRule>
    <cfRule type="expression" dxfId="1774" priority="903">
      <formula>AND($D221&lt;&gt;"",$H221="")</formula>
    </cfRule>
  </conditionalFormatting>
  <conditionalFormatting sqref="D221:D234">
    <cfRule type="expression" dxfId="1773" priority="895">
      <formula>LEN($D221)= 3</formula>
    </cfRule>
    <cfRule type="expression" dxfId="1772" priority="896">
      <formula>AND(LEN($D221)=5,$H221="")</formula>
    </cfRule>
    <cfRule type="expression" dxfId="1771" priority="897">
      <formula>AND($D221&lt;&gt;"",$H221="")</formula>
    </cfRule>
  </conditionalFormatting>
  <conditionalFormatting sqref="A199:V199 X199:AI199">
    <cfRule type="expression" dxfId="1770" priority="883">
      <formula>LEN($D199)= 3</formula>
    </cfRule>
    <cfRule type="expression" dxfId="1769" priority="884">
      <formula>AND(LEN($D199)=5,$H199="")</formula>
    </cfRule>
    <cfRule type="expression" dxfId="1768" priority="885">
      <formula>AND($D199&lt;&gt;"",$H199="")</formula>
    </cfRule>
  </conditionalFormatting>
  <conditionalFormatting sqref="A197:V198 Z197:AI198">
    <cfRule type="expression" dxfId="1767" priority="880">
      <formula>LEN($D197)= 3</formula>
    </cfRule>
    <cfRule type="expression" dxfId="1766" priority="881">
      <formula>AND(LEN($D197)=5,$H197="")</formula>
    </cfRule>
    <cfRule type="expression" dxfId="1765" priority="882">
      <formula>AND($D197&lt;&gt;"",$H197="")</formula>
    </cfRule>
  </conditionalFormatting>
  <conditionalFormatting sqref="W197:Y197 X198:Y198">
    <cfRule type="expression" dxfId="1764" priority="877">
      <formula>LEN($D197)= 3</formula>
    </cfRule>
    <cfRule type="expression" dxfId="1763" priority="878">
      <formula>AND(LEN($D197)=5,$H197="")</formula>
    </cfRule>
    <cfRule type="expression" dxfId="1762" priority="879">
      <formula>AND($D197&lt;&gt;"",$H197="")</formula>
    </cfRule>
  </conditionalFormatting>
  <conditionalFormatting sqref="A253:C253 E253:V253 X253:AI253">
    <cfRule type="expression" dxfId="1761" priority="874">
      <formula>LEN($D253)= 3</formula>
    </cfRule>
    <cfRule type="expression" dxfId="1760" priority="875">
      <formula>AND(LEN($D253)=5,$H253="")</formula>
    </cfRule>
    <cfRule type="expression" dxfId="1759" priority="876">
      <formula>AND($D253&lt;&gt;"",$H253="")</formula>
    </cfRule>
  </conditionalFormatting>
  <conditionalFormatting sqref="AC263:AI265 A263:C265 E263:P265">
    <cfRule type="expression" dxfId="1758" priority="859">
      <formula>LEN($D263)= 3</formula>
    </cfRule>
    <cfRule type="expression" dxfId="1757" priority="860">
      <formula>AND(LEN($D263)=5,$H263="")</formula>
    </cfRule>
    <cfRule type="expression" dxfId="1756" priority="861">
      <formula>AND($D263&lt;&gt;"",$H263="")</formula>
    </cfRule>
  </conditionalFormatting>
  <conditionalFormatting sqref="W251:Y251 X252:Y252">
    <cfRule type="expression" dxfId="1755" priority="868">
      <formula>LEN($D251)= 3</formula>
    </cfRule>
    <cfRule type="expression" dxfId="1754" priority="869">
      <formula>AND(LEN($D251)=5,$H251="")</formula>
    </cfRule>
    <cfRule type="expression" dxfId="1753" priority="870">
      <formula>AND($D251&lt;&gt;"",$H251="")</formula>
    </cfRule>
  </conditionalFormatting>
  <conditionalFormatting sqref="Z261:AI261 A261:V261">
    <cfRule type="expression" dxfId="1752" priority="865">
      <formula>LEN($D261)= 3</formula>
    </cfRule>
    <cfRule type="expression" dxfId="1751" priority="866">
      <formula>AND(LEN($D261)=5,$H261="")</formula>
    </cfRule>
    <cfRule type="expression" dxfId="1750" priority="867">
      <formula>AND($D261&lt;&gt;"",$H261="")</formula>
    </cfRule>
  </conditionalFormatting>
  <conditionalFormatting sqref="W261:Y261">
    <cfRule type="expression" dxfId="1749" priority="862">
      <formula>LEN($D261)= 3</formula>
    </cfRule>
    <cfRule type="expression" dxfId="1748" priority="863">
      <formula>AND(LEN($D261)=5,$H261="")</formula>
    </cfRule>
    <cfRule type="expression" dxfId="1747" priority="864">
      <formula>AND($D261&lt;&gt;"",$H261="")</formula>
    </cfRule>
  </conditionalFormatting>
  <conditionalFormatting sqref="Z15">
    <cfRule type="expression" dxfId="1746" priority="826">
      <formula>LEN($D15)= 3</formula>
    </cfRule>
    <cfRule type="expression" dxfId="1745" priority="827">
      <formula>AND(LEN($D15)=5,$H15="")</formula>
    </cfRule>
    <cfRule type="expression" dxfId="1744" priority="828">
      <formula>AND($D15&lt;&gt;"",$H15="")</formula>
    </cfRule>
  </conditionalFormatting>
  <conditionalFormatting sqref="A15:C15 E15:S15 AA15:AI15 U15:V15 X15">
    <cfRule type="expression" dxfId="1743" priority="850">
      <formula>LEN($D15)= 3</formula>
    </cfRule>
    <cfRule type="expression" dxfId="1742" priority="851">
      <formula>AND(LEN($D15)=5,$H15="")</formula>
    </cfRule>
    <cfRule type="expression" dxfId="1741" priority="852">
      <formula>AND($D15&lt;&gt;"",$H15="")</formula>
    </cfRule>
  </conditionalFormatting>
  <conditionalFormatting sqref="R94">
    <cfRule type="expression" dxfId="1740" priority="769">
      <formula>LEN($D94)= 3</formula>
    </cfRule>
    <cfRule type="expression" dxfId="1739" priority="770">
      <formula>AND(LEN($D94)=5,$H94="")</formula>
    </cfRule>
    <cfRule type="expression" dxfId="1738" priority="771">
      <formula>AND($D94&lt;&gt;"",$H94="")</formula>
    </cfRule>
  </conditionalFormatting>
  <conditionalFormatting sqref="Y16">
    <cfRule type="expression" dxfId="1737" priority="847">
      <formula>LEN($D16)= 3</formula>
    </cfRule>
    <cfRule type="expression" dxfId="1736" priority="848">
      <formula>AND(LEN($D16)=5,$H16="")</formula>
    </cfRule>
    <cfRule type="expression" dxfId="1735" priority="849">
      <formula>AND($D16&lt;&gt;"",$H16="")</formula>
    </cfRule>
  </conditionalFormatting>
  <conditionalFormatting sqref="Y15">
    <cfRule type="expression" dxfId="1734" priority="844">
      <formula>LEN($D15)= 3</formula>
    </cfRule>
    <cfRule type="expression" dxfId="1733" priority="845">
      <formula>AND(LEN($D15)=5,$H15="")</formula>
    </cfRule>
    <cfRule type="expression" dxfId="1732" priority="846">
      <formula>AND($D15&lt;&gt;"",$H15="")</formula>
    </cfRule>
  </conditionalFormatting>
  <conditionalFormatting sqref="T16 T14">
    <cfRule type="expression" dxfId="1731" priority="841">
      <formula>LEN($D14)= 3</formula>
    </cfRule>
    <cfRule type="expression" dxfId="1730" priority="842">
      <formula>AND(LEN($D14)=5,$H14="")</formula>
    </cfRule>
    <cfRule type="expression" dxfId="1729" priority="843">
      <formula>AND($D14&lt;&gt;"",$H14="")</formula>
    </cfRule>
  </conditionalFormatting>
  <conditionalFormatting sqref="T15">
    <cfRule type="expression" dxfId="1728" priority="838">
      <formula>LEN($D15)= 3</formula>
    </cfRule>
    <cfRule type="expression" dxfId="1727" priority="839">
      <formula>AND(LEN($D15)=5,$H15="")</formula>
    </cfRule>
    <cfRule type="expression" dxfId="1726" priority="840">
      <formula>AND($D15&lt;&gt;"",$H15="")</formula>
    </cfRule>
  </conditionalFormatting>
  <conditionalFormatting sqref="W16 W14">
    <cfRule type="expression" dxfId="1725" priority="835">
      <formula>LEN($D14)= 3</formula>
    </cfRule>
    <cfRule type="expression" dxfId="1724" priority="836">
      <formula>AND(LEN($D14)=5,$H14="")</formula>
    </cfRule>
    <cfRule type="expression" dxfId="1723" priority="837">
      <formula>AND($D14&lt;&gt;"",$H14="")</formula>
    </cfRule>
  </conditionalFormatting>
  <conditionalFormatting sqref="W15">
    <cfRule type="expression" dxfId="1722" priority="832">
      <formula>LEN($D15)= 3</formula>
    </cfRule>
    <cfRule type="expression" dxfId="1721" priority="833">
      <formula>AND(LEN($D15)=5,$H15="")</formula>
    </cfRule>
    <cfRule type="expression" dxfId="1720" priority="834">
      <formula>AND($D15&lt;&gt;"",$H15="")</formula>
    </cfRule>
  </conditionalFormatting>
  <conditionalFormatting sqref="Z16 Z14">
    <cfRule type="expression" dxfId="1719" priority="829">
      <formula>LEN($D14)= 3</formula>
    </cfRule>
    <cfRule type="expression" dxfId="1718" priority="830">
      <formula>AND(LEN($D14)=5,$H14="")</formula>
    </cfRule>
    <cfRule type="expression" dxfId="1717" priority="831">
      <formula>AND($D14&lt;&gt;"",$H14="")</formula>
    </cfRule>
  </conditionalFormatting>
  <conditionalFormatting sqref="W50:W54">
    <cfRule type="expression" dxfId="1716" priority="820">
      <formula>LEN($D50)= 3</formula>
    </cfRule>
    <cfRule type="expression" dxfId="1715" priority="821">
      <formula>AND(LEN($D50)=5,$H50="")</formula>
    </cfRule>
    <cfRule type="expression" dxfId="1714" priority="822">
      <formula>AND($D50&lt;&gt;"",$H50="")</formula>
    </cfRule>
  </conditionalFormatting>
  <conditionalFormatting sqref="A56:C57 E57:AI57 E56:V56 X56:AI56">
    <cfRule type="expression" dxfId="1713" priority="823">
      <formula>LEN($D56)= 3</formula>
    </cfRule>
    <cfRule type="expression" dxfId="1712" priority="824">
      <formula>AND(LEN($D56)=5,$H56="")</formula>
    </cfRule>
    <cfRule type="expression" dxfId="1711" priority="825">
      <formula>AND($D56&lt;&gt;"",$H56="")</formula>
    </cfRule>
  </conditionalFormatting>
  <conditionalFormatting sqref="W56">
    <cfRule type="expression" dxfId="1710" priority="814">
      <formula>LEN($D56)= 3</formula>
    </cfRule>
    <cfRule type="expression" dxfId="1709" priority="815">
      <formula>AND(LEN($D56)=5,$H56="")</formula>
    </cfRule>
    <cfRule type="expression" dxfId="1708" priority="816">
      <formula>AND($D56&lt;&gt;"",$H56="")</formula>
    </cfRule>
  </conditionalFormatting>
  <conditionalFormatting sqref="W55">
    <cfRule type="expression" dxfId="1707" priority="817">
      <formula>LEN($D55)= 3</formula>
    </cfRule>
    <cfRule type="expression" dxfId="1706" priority="818">
      <formula>AND(LEN($D55)=5,$H55="")</formula>
    </cfRule>
    <cfRule type="expression" dxfId="1705" priority="819">
      <formula>AND($D55&lt;&gt;"",$H55="")</formula>
    </cfRule>
  </conditionalFormatting>
  <conditionalFormatting sqref="W62:W64 W58">
    <cfRule type="expression" dxfId="1704" priority="811">
      <formula>LEN($D58)= 3</formula>
    </cfRule>
    <cfRule type="expression" dxfId="1703" priority="812">
      <formula>AND(LEN($D58)=5,$H58="")</formula>
    </cfRule>
    <cfRule type="expression" dxfId="1702" priority="813">
      <formula>AND($D58&lt;&gt;"",$H58="")</formula>
    </cfRule>
  </conditionalFormatting>
  <conditionalFormatting sqref="W59:W61">
    <cfRule type="expression" dxfId="1701" priority="808">
      <formula>LEN($D59)= 3</formula>
    </cfRule>
    <cfRule type="expression" dxfId="1700" priority="809">
      <formula>AND(LEN($D59)=5,$H59="")</formula>
    </cfRule>
    <cfRule type="expression" dxfId="1699" priority="810">
      <formula>AND($D59&lt;&gt;"",$H59="")</formula>
    </cfRule>
  </conditionalFormatting>
  <conditionalFormatting sqref="W93">
    <cfRule type="expression" dxfId="1698" priority="763">
      <formula>LEN($D93)= 3</formula>
    </cfRule>
    <cfRule type="expression" dxfId="1697" priority="764">
      <formula>AND(LEN($D93)=5,$H93="")</formula>
    </cfRule>
    <cfRule type="expression" dxfId="1696" priority="765">
      <formula>AND($D93&lt;&gt;"",$H93="")</formula>
    </cfRule>
  </conditionalFormatting>
  <conditionalFormatting sqref="A68:C69 E69:AI69 E68:V68 X68:AI68">
    <cfRule type="expression" dxfId="1695" priority="802">
      <formula>LEN($D68)= 3</formula>
    </cfRule>
    <cfRule type="expression" dxfId="1694" priority="803">
      <formula>AND(LEN($D68)=5,$H68="")</formula>
    </cfRule>
    <cfRule type="expression" dxfId="1693" priority="804">
      <formula>AND($D68&lt;&gt;"",$H68="")</formula>
    </cfRule>
  </conditionalFormatting>
  <conditionalFormatting sqref="W137:Y137 X136:Y136">
    <cfRule type="expression" dxfId="1692" priority="757">
      <formula>LEN($D136)= 3</formula>
    </cfRule>
    <cfRule type="expression" dxfId="1691" priority="758">
      <formula>AND(LEN($D136)=5,$H136="")</formula>
    </cfRule>
    <cfRule type="expression" dxfId="1690" priority="759">
      <formula>AND($D136&lt;&gt;"",$H136="")</formula>
    </cfRule>
  </conditionalFormatting>
  <conditionalFormatting sqref="W67">
    <cfRule type="expression" dxfId="1689" priority="796">
      <formula>LEN($D67)= 3</formula>
    </cfRule>
    <cfRule type="expression" dxfId="1688" priority="797">
      <formula>AND(LEN($D67)=5,$H67="")</formula>
    </cfRule>
    <cfRule type="expression" dxfId="1687" priority="798">
      <formula>AND($D67&lt;&gt;"",$H67="")</formula>
    </cfRule>
  </conditionalFormatting>
  <conditionalFormatting sqref="W66">
    <cfRule type="expression" dxfId="1686" priority="793">
      <formula>LEN($D66)= 3</formula>
    </cfRule>
    <cfRule type="expression" dxfId="1685" priority="794">
      <formula>AND(LEN($D66)=5,$H66="")</formula>
    </cfRule>
    <cfRule type="expression" dxfId="1684" priority="795">
      <formula>AND($D66&lt;&gt;"",$H66="")</formula>
    </cfRule>
  </conditionalFormatting>
  <conditionalFormatting sqref="W68">
    <cfRule type="expression" dxfId="1683" priority="790">
      <formula>LEN($D68)= 3</formula>
    </cfRule>
    <cfRule type="expression" dxfId="1682" priority="791">
      <formula>AND(LEN($D68)=5,$H68="")</formula>
    </cfRule>
    <cfRule type="expression" dxfId="1681" priority="792">
      <formula>AND($D68&lt;&gt;"",$H68="")</formula>
    </cfRule>
  </conditionalFormatting>
  <conditionalFormatting sqref="W73:W76">
    <cfRule type="expression" dxfId="1680" priority="787">
      <formula>LEN($D73)= 3</formula>
    </cfRule>
    <cfRule type="expression" dxfId="1679" priority="788">
      <formula>AND(LEN($D73)=5,$H73="")</formula>
    </cfRule>
    <cfRule type="expression" dxfId="1678" priority="789">
      <formula>AND($D73&lt;&gt;"",$H73="")</formula>
    </cfRule>
  </conditionalFormatting>
  <conditionalFormatting sqref="W70:W72">
    <cfRule type="expression" dxfId="1677" priority="784">
      <formula>LEN($D70)= 3</formula>
    </cfRule>
    <cfRule type="expression" dxfId="1676" priority="785">
      <formula>AND(LEN($D70)=5,$H70="")</formula>
    </cfRule>
    <cfRule type="expression" dxfId="1675" priority="786">
      <formula>AND($D70&lt;&gt;"",$H70="")</formula>
    </cfRule>
  </conditionalFormatting>
  <conditionalFormatting sqref="W81">
    <cfRule type="expression" dxfId="1674" priority="781">
      <formula>LEN($D81)= 3</formula>
    </cfRule>
    <cfRule type="expression" dxfId="1673" priority="782">
      <formula>AND(LEN($D81)=5,$H81="")</formula>
    </cfRule>
    <cfRule type="expression" dxfId="1672" priority="783">
      <formula>AND($D81&lt;&gt;"",$H81="")</formula>
    </cfRule>
  </conditionalFormatting>
  <conditionalFormatting sqref="W80">
    <cfRule type="expression" dxfId="1671" priority="778">
      <formula>LEN($D80)= 3</formula>
    </cfRule>
    <cfRule type="expression" dxfId="1670" priority="779">
      <formula>AND(LEN($D80)=5,$H80="")</formula>
    </cfRule>
    <cfRule type="expression" dxfId="1669" priority="780">
      <formula>AND($D80&lt;&gt;"",$H80="")</formula>
    </cfRule>
  </conditionalFormatting>
  <conditionalFormatting sqref="Q84:AB86">
    <cfRule type="expression" dxfId="1668" priority="775">
      <formula>LEN($D84)= 3</formula>
    </cfRule>
    <cfRule type="expression" dxfId="1667" priority="776">
      <formula>AND(LEN($D84)=5,$H84="")</formula>
    </cfRule>
    <cfRule type="expression" dxfId="1666" priority="777">
      <formula>AND($D84&lt;&gt;"",$H84="")</formula>
    </cfRule>
  </conditionalFormatting>
  <conditionalFormatting sqref="R95">
    <cfRule type="expression" dxfId="1665" priority="772">
      <formula>LEN($D95)= 3</formula>
    </cfRule>
    <cfRule type="expression" dxfId="1664" priority="773">
      <formula>AND(LEN($D95)=5,$H95="")</formula>
    </cfRule>
    <cfRule type="expression" dxfId="1663" priority="774">
      <formula>AND($D95&lt;&gt;"",$H95="")</formula>
    </cfRule>
  </conditionalFormatting>
  <conditionalFormatting sqref="W130:W135">
    <cfRule type="expression" dxfId="1662" priority="754">
      <formula>LEN($D130)= 3</formula>
    </cfRule>
    <cfRule type="expression" dxfId="1661" priority="755">
      <formula>AND(LEN($D130)=5,$H130="")</formula>
    </cfRule>
    <cfRule type="expression" dxfId="1660" priority="756">
      <formula>AND($D130&lt;&gt;"",$H130="")</formula>
    </cfRule>
  </conditionalFormatting>
  <conditionalFormatting sqref="W94:W96">
    <cfRule type="expression" dxfId="1659" priority="766">
      <formula>LEN($D94)= 3</formula>
    </cfRule>
    <cfRule type="expression" dxfId="1658" priority="767">
      <formula>AND(LEN($D94)=5,$H94="")</formula>
    </cfRule>
    <cfRule type="expression" dxfId="1657" priority="768">
      <formula>AND($D94&lt;&gt;"",$H94="")</formula>
    </cfRule>
  </conditionalFormatting>
  <conditionalFormatting sqref="W138:W144">
    <cfRule type="expression" dxfId="1656" priority="748">
      <formula>LEN($D138)= 3</formula>
    </cfRule>
    <cfRule type="expression" dxfId="1655" priority="749">
      <formula>AND(LEN($D138)=5,$H138="")</formula>
    </cfRule>
    <cfRule type="expression" dxfId="1654" priority="750">
      <formula>AND($D138&lt;&gt;"",$H138="")</formula>
    </cfRule>
  </conditionalFormatting>
  <conditionalFormatting sqref="Z136:AI137 A136:C137 E136:V137">
    <cfRule type="expression" dxfId="1653" priority="760">
      <formula>LEN($D136)= 3</formula>
    </cfRule>
    <cfRule type="expression" dxfId="1652" priority="761">
      <formula>AND(LEN($D136)=5,$H136="")</formula>
    </cfRule>
    <cfRule type="expression" dxfId="1651" priority="762">
      <formula>AND($D136&lt;&gt;"",$H136="")</formula>
    </cfRule>
  </conditionalFormatting>
  <conditionalFormatting sqref="Z148:AI149 A148:C149 E148:V149">
    <cfRule type="expression" dxfId="1650" priority="742">
      <formula>LEN($D148)= 3</formula>
    </cfRule>
    <cfRule type="expression" dxfId="1649" priority="743">
      <formula>AND(LEN($D148)=5,$H148="")</formula>
    </cfRule>
    <cfRule type="expression" dxfId="1648" priority="744">
      <formula>AND($D148&lt;&gt;"",$H148="")</formula>
    </cfRule>
  </conditionalFormatting>
  <conditionalFormatting sqref="W136">
    <cfRule type="expression" dxfId="1647" priority="751">
      <formula>LEN($D136)= 3</formula>
    </cfRule>
    <cfRule type="expression" dxfId="1646" priority="752">
      <formula>AND(LEN($D136)=5,$H136="")</formula>
    </cfRule>
    <cfRule type="expression" dxfId="1645" priority="753">
      <formula>AND($D136&lt;&gt;"",$H136="")</formula>
    </cfRule>
  </conditionalFormatting>
  <conditionalFormatting sqref="W167">
    <cfRule type="expression" dxfId="1644" priority="709">
      <formula>LEN($D167)= 3</formula>
    </cfRule>
    <cfRule type="expression" dxfId="1643" priority="710">
      <formula>AND(LEN($D167)=5,$H167="")</formula>
    </cfRule>
    <cfRule type="expression" dxfId="1642" priority="711">
      <formula>AND($D167&lt;&gt;"",$H167="")</formula>
    </cfRule>
  </conditionalFormatting>
  <conditionalFormatting sqref="W157">
    <cfRule type="expression" dxfId="1641" priority="718">
      <formula>LEN($D157)= 3</formula>
    </cfRule>
    <cfRule type="expression" dxfId="1640" priority="719">
      <formula>AND(LEN($D157)=5,$H157="")</formula>
    </cfRule>
    <cfRule type="expression" dxfId="1639" priority="720">
      <formula>AND($D157&lt;&gt;"",$H157="")</formula>
    </cfRule>
  </conditionalFormatting>
  <conditionalFormatting sqref="Q159:AB161">
    <cfRule type="expression" dxfId="1638" priority="715">
      <formula>LEN($D159)= 3</formula>
    </cfRule>
    <cfRule type="expression" dxfId="1637" priority="716">
      <formula>AND(LEN($D159)=5,$H159="")</formula>
    </cfRule>
    <cfRule type="expression" dxfId="1636" priority="717">
      <formula>AND($D159&lt;&gt;"",$H159="")</formula>
    </cfRule>
  </conditionalFormatting>
  <conditionalFormatting sqref="W149:Y149 X148:Y148">
    <cfRule type="expression" dxfId="1635" priority="739">
      <formula>LEN($D148)= 3</formula>
    </cfRule>
    <cfRule type="expression" dxfId="1634" priority="740">
      <formula>AND(LEN($D148)=5,$H148="")</formula>
    </cfRule>
    <cfRule type="expression" dxfId="1633" priority="741">
      <formula>AND($D148&lt;&gt;"",$H148="")</formula>
    </cfRule>
  </conditionalFormatting>
  <conditionalFormatting sqref="W178:W181">
    <cfRule type="expression" dxfId="1632" priority="685">
      <formula>LEN($D178)= 3</formula>
    </cfRule>
    <cfRule type="expression" dxfId="1631" priority="686">
      <formula>AND(LEN($D178)=5,$H178="")</formula>
    </cfRule>
    <cfRule type="expression" dxfId="1630" priority="687">
      <formula>AND($D178&lt;&gt;"",$H178="")</formula>
    </cfRule>
  </conditionalFormatting>
  <conditionalFormatting sqref="W147">
    <cfRule type="expression" dxfId="1629" priority="733">
      <formula>LEN($D147)= 3</formula>
    </cfRule>
    <cfRule type="expression" dxfId="1628" priority="734">
      <formula>AND(LEN($D147)=5,$H147="")</formula>
    </cfRule>
    <cfRule type="expression" dxfId="1627" priority="735">
      <formula>AND($D147&lt;&gt;"",$H147="")</formula>
    </cfRule>
  </conditionalFormatting>
  <conditionalFormatting sqref="W146">
    <cfRule type="expression" dxfId="1626" priority="730">
      <formula>LEN($D146)= 3</formula>
    </cfRule>
    <cfRule type="expression" dxfId="1625" priority="731">
      <formula>AND(LEN($D146)=5,$H146="")</formula>
    </cfRule>
    <cfRule type="expression" dxfId="1624" priority="732">
      <formula>AND($D146&lt;&gt;"",$H146="")</formula>
    </cfRule>
  </conditionalFormatting>
  <conditionalFormatting sqref="W148">
    <cfRule type="expression" dxfId="1623" priority="727">
      <formula>LEN($D148)= 3</formula>
    </cfRule>
    <cfRule type="expression" dxfId="1622" priority="728">
      <formula>AND(LEN($D148)=5,$H148="")</formula>
    </cfRule>
    <cfRule type="expression" dxfId="1621" priority="729">
      <formula>AND($D148&lt;&gt;"",$H148="")</formula>
    </cfRule>
  </conditionalFormatting>
  <conditionalFormatting sqref="W150:W155">
    <cfRule type="expression" dxfId="1620" priority="724">
      <formula>LEN($D150)= 3</formula>
    </cfRule>
    <cfRule type="expression" dxfId="1619" priority="725">
      <formula>AND(LEN($D150)=5,$H150="")</formula>
    </cfRule>
    <cfRule type="expression" dxfId="1618" priority="726">
      <formula>AND($D150&lt;&gt;"",$H150="")</formula>
    </cfRule>
  </conditionalFormatting>
  <conditionalFormatting sqref="W156 W158">
    <cfRule type="expression" dxfId="1617" priority="721">
      <formula>LEN($D156)= 3</formula>
    </cfRule>
    <cfRule type="expression" dxfId="1616" priority="722">
      <formula>AND(LEN($D156)=5,$H156="")</formula>
    </cfRule>
    <cfRule type="expression" dxfId="1615" priority="723">
      <formula>AND($D156&lt;&gt;"",$H156="")</formula>
    </cfRule>
  </conditionalFormatting>
  <conditionalFormatting sqref="W170:W175">
    <cfRule type="expression" dxfId="1614" priority="694">
      <formula>LEN($D170)= 3</formula>
    </cfRule>
    <cfRule type="expression" dxfId="1613" priority="695">
      <formula>AND(LEN($D170)=5,$H170="")</formula>
    </cfRule>
    <cfRule type="expression" dxfId="1612" priority="696">
      <formula>AND($D170&lt;&gt;"",$H170="")</formula>
    </cfRule>
  </conditionalFormatting>
  <conditionalFormatting sqref="W176">
    <cfRule type="expression" dxfId="1611" priority="691">
      <formula>LEN($D176)= 3</formula>
    </cfRule>
    <cfRule type="expression" dxfId="1610" priority="692">
      <formula>AND(LEN($D176)=5,$H176="")</formula>
    </cfRule>
    <cfRule type="expression" dxfId="1609" priority="693">
      <formula>AND($D176&lt;&gt;"",$H176="")</formula>
    </cfRule>
  </conditionalFormatting>
  <conditionalFormatting sqref="W168">
    <cfRule type="expression" dxfId="1608" priority="712">
      <formula>LEN($D168)= 3</formula>
    </cfRule>
    <cfRule type="expression" dxfId="1607" priority="713">
      <formula>AND(LEN($D168)=5,$H168="")</formula>
    </cfRule>
    <cfRule type="expression" dxfId="1606" priority="714">
      <formula>AND($D168&lt;&gt;"",$H168="")</formula>
    </cfRule>
  </conditionalFormatting>
  <conditionalFormatting sqref="W202:Y202">
    <cfRule type="expression" dxfId="1605" priority="652">
      <formula>LEN($D202)= 3</formula>
    </cfRule>
    <cfRule type="expression" dxfId="1604" priority="653">
      <formula>AND(LEN($D202)=5,$H202="")</formula>
    </cfRule>
    <cfRule type="expression" dxfId="1603" priority="654">
      <formula>AND($D202&lt;&gt;"",$H202="")</formula>
    </cfRule>
  </conditionalFormatting>
  <conditionalFormatting sqref="W199">
    <cfRule type="expression" dxfId="1602" priority="661">
      <formula>LEN($D199)= 3</formula>
    </cfRule>
    <cfRule type="expression" dxfId="1601" priority="662">
      <formula>AND(LEN($D199)=5,$H199="")</formula>
    </cfRule>
    <cfRule type="expression" dxfId="1600" priority="663">
      <formula>AND($D199&lt;&gt;"",$H199="")</formula>
    </cfRule>
  </conditionalFormatting>
  <conditionalFormatting sqref="Z176:AI177 A176:C177 E176:V177">
    <cfRule type="expression" dxfId="1599" priority="703">
      <formula>LEN($D176)= 3</formula>
    </cfRule>
    <cfRule type="expression" dxfId="1598" priority="704">
      <formula>AND(LEN($D176)=5,$H176="")</formula>
    </cfRule>
    <cfRule type="expression" dxfId="1597" priority="705">
      <formula>AND($D176&lt;&gt;"",$H176="")</formula>
    </cfRule>
  </conditionalFormatting>
  <conditionalFormatting sqref="W177:Y177 X176:Y176">
    <cfRule type="expression" dxfId="1596" priority="700">
      <formula>LEN($D176)= 3</formula>
    </cfRule>
    <cfRule type="expression" dxfId="1595" priority="701">
      <formula>AND(LEN($D176)=5,$H176="")</formula>
    </cfRule>
    <cfRule type="expression" dxfId="1594" priority="702">
      <formula>AND($D176&lt;&gt;"",$H176="")</formula>
    </cfRule>
  </conditionalFormatting>
  <conditionalFormatting sqref="W212:Y212">
    <cfRule type="expression" dxfId="1593" priority="640">
      <formula>LEN($D212)= 3</formula>
    </cfRule>
    <cfRule type="expression" dxfId="1592" priority="641">
      <formula>AND(LEN($D212)=5,$H212="")</formula>
    </cfRule>
    <cfRule type="expression" dxfId="1591" priority="642">
      <formula>AND($D212&lt;&gt;"",$H212="")</formula>
    </cfRule>
  </conditionalFormatting>
  <conditionalFormatting sqref="Z211:AI211 A211:C212 AC212:AI212 E212:P212 E211:V211">
    <cfRule type="expression" dxfId="1590" priority="649">
      <formula>LEN($D211)= 3</formula>
    </cfRule>
    <cfRule type="expression" dxfId="1589" priority="650">
      <formula>AND(LEN($D211)=5,$H211="")</formula>
    </cfRule>
    <cfRule type="expression" dxfId="1588" priority="651">
      <formula>AND($D211&lt;&gt;"",$H211="")</formula>
    </cfRule>
  </conditionalFormatting>
  <conditionalFormatting sqref="Z188:AI189 A188:C189 E188:V189">
    <cfRule type="expression" dxfId="1587" priority="679">
      <formula>LEN($D188)= 3</formula>
    </cfRule>
    <cfRule type="expression" dxfId="1586" priority="680">
      <formula>AND(LEN($D188)=5,$H188="")</formula>
    </cfRule>
    <cfRule type="expression" dxfId="1585" priority="681">
      <formula>AND($D188&lt;&gt;"",$H188="")</formula>
    </cfRule>
  </conditionalFormatting>
  <conditionalFormatting sqref="W182:W184">
    <cfRule type="expression" dxfId="1584" priority="688">
      <formula>LEN($D182)= 3</formula>
    </cfRule>
    <cfRule type="expression" dxfId="1583" priority="689">
      <formula>AND(LEN($D182)=5,$H182="")</formula>
    </cfRule>
    <cfRule type="expression" dxfId="1582" priority="690">
      <formula>AND($D182&lt;&gt;"",$H182="")</formula>
    </cfRule>
  </conditionalFormatting>
  <conditionalFormatting sqref="W213:W219">
    <cfRule type="expression" dxfId="1581" priority="631">
      <formula>LEN($D213)= 3</formula>
    </cfRule>
    <cfRule type="expression" dxfId="1580" priority="632">
      <formula>AND(LEN($D213)=5,$H213="")</formula>
    </cfRule>
    <cfRule type="expression" dxfId="1579" priority="633">
      <formula>AND($D213&lt;&gt;"",$H213="")</formula>
    </cfRule>
  </conditionalFormatting>
  <conditionalFormatting sqref="W104:Y106">
    <cfRule type="expression" dxfId="1578" priority="523">
      <formula>LEN($D104)= 3</formula>
    </cfRule>
    <cfRule type="expression" dxfId="1577" priority="524">
      <formula>AND(LEN($D104)=5,$H104="")</formula>
    </cfRule>
    <cfRule type="expression" dxfId="1576" priority="525">
      <formula>AND($D104&lt;&gt;"",$H104="")</formula>
    </cfRule>
  </conditionalFormatting>
  <conditionalFormatting sqref="W266:W267">
    <cfRule type="expression" dxfId="1575" priority="550">
      <formula>LEN($D266)= 3</formula>
    </cfRule>
    <cfRule type="expression" dxfId="1574" priority="551">
      <formula>AND(LEN($D266)=5,$H266="")</formula>
    </cfRule>
    <cfRule type="expression" dxfId="1573" priority="552">
      <formula>AND($D266&lt;&gt;"",$H266="")</formula>
    </cfRule>
  </conditionalFormatting>
  <conditionalFormatting sqref="W198">
    <cfRule type="expression" dxfId="1572" priority="658">
      <formula>LEN($D198)= 3</formula>
    </cfRule>
    <cfRule type="expression" dxfId="1571" priority="659">
      <formula>AND(LEN($D198)=5,$H198="")</formula>
    </cfRule>
    <cfRule type="expression" dxfId="1570" priority="660">
      <formula>AND($D198&lt;&gt;"",$H198="")</formula>
    </cfRule>
  </conditionalFormatting>
  <conditionalFormatting sqref="W189:Y189 X188:Y188">
    <cfRule type="expression" dxfId="1569" priority="676">
      <formula>LEN($D188)= 3</formula>
    </cfRule>
    <cfRule type="expression" dxfId="1568" priority="677">
      <formula>AND(LEN($D188)=5,$H188="")</formula>
    </cfRule>
    <cfRule type="expression" dxfId="1567" priority="678">
      <formula>AND($D188&lt;&gt;"",$H188="")</formula>
    </cfRule>
  </conditionalFormatting>
  <conditionalFormatting sqref="W187">
    <cfRule type="expression" dxfId="1566" priority="670">
      <formula>LEN($D187)= 3</formula>
    </cfRule>
    <cfRule type="expression" dxfId="1565" priority="671">
      <formula>AND(LEN($D187)=5,$H187="")</formula>
    </cfRule>
    <cfRule type="expression" dxfId="1564" priority="672">
      <formula>AND($D187&lt;&gt;"",$H187="")</formula>
    </cfRule>
  </conditionalFormatting>
  <conditionalFormatting sqref="W186">
    <cfRule type="expression" dxfId="1563" priority="667">
      <formula>LEN($D186)= 3</formula>
    </cfRule>
    <cfRule type="expression" dxfId="1562" priority="668">
      <formula>AND(LEN($D186)=5,$H186="")</formula>
    </cfRule>
    <cfRule type="expression" dxfId="1561" priority="669">
      <formula>AND($D186&lt;&gt;"",$H186="")</formula>
    </cfRule>
  </conditionalFormatting>
  <conditionalFormatting sqref="W188">
    <cfRule type="expression" dxfId="1560" priority="664">
      <formula>LEN($D188)= 3</formula>
    </cfRule>
    <cfRule type="expression" dxfId="1559" priority="665">
      <formula>AND(LEN($D188)=5,$H188="")</formula>
    </cfRule>
    <cfRule type="expression" dxfId="1558" priority="666">
      <formula>AND($D188&lt;&gt;"",$H188="")</formula>
    </cfRule>
  </conditionalFormatting>
  <conditionalFormatting sqref="W162:W163">
    <cfRule type="expression" dxfId="1557" priority="490">
      <formula>LEN($D162)= 3</formula>
    </cfRule>
    <cfRule type="expression" dxfId="1556" priority="491">
      <formula>AND(LEN($D162)=5,$H162="")</formula>
    </cfRule>
    <cfRule type="expression" dxfId="1555" priority="492">
      <formula>AND($D162&lt;&gt;"",$H162="")</formula>
    </cfRule>
  </conditionalFormatting>
  <conditionalFormatting sqref="X211:Y211">
    <cfRule type="expression" dxfId="1554" priority="646">
      <formula>LEN($D211)= 3</formula>
    </cfRule>
    <cfRule type="expression" dxfId="1553" priority="647">
      <formula>AND(LEN($D211)=5,$H211="")</formula>
    </cfRule>
    <cfRule type="expression" dxfId="1552" priority="648">
      <formula>AND($D211&lt;&gt;"",$H211="")</formula>
    </cfRule>
  </conditionalFormatting>
  <conditionalFormatting sqref="Z202:AB202 Q202:V202">
    <cfRule type="expression" dxfId="1551" priority="655">
      <formula>LEN($D202)= 3</formula>
    </cfRule>
    <cfRule type="expression" dxfId="1550" priority="656">
      <formula>AND(LEN($D202)=5,$H202="")</formula>
    </cfRule>
    <cfRule type="expression" dxfId="1549" priority="657">
      <formula>AND($D202&lt;&gt;"",$H202="")</formula>
    </cfRule>
  </conditionalFormatting>
  <conditionalFormatting sqref="W83:Y83">
    <cfRule type="expression" dxfId="1548" priority="544">
      <formula>LEN($D83)= 3</formula>
    </cfRule>
    <cfRule type="expression" dxfId="1547" priority="545">
      <formula>AND(LEN($D83)=5,$H83="")</formula>
    </cfRule>
    <cfRule type="expression" dxfId="1546" priority="546">
      <formula>AND($D83&lt;&gt;"",$H83="")</formula>
    </cfRule>
  </conditionalFormatting>
  <conditionalFormatting sqref="W205:W210">
    <cfRule type="expression" dxfId="1545" priority="637">
      <formula>LEN($D205)= 3</formula>
    </cfRule>
    <cfRule type="expression" dxfId="1544" priority="638">
      <formula>AND(LEN($D205)=5,$H205="")</formula>
    </cfRule>
    <cfRule type="expression" dxfId="1543" priority="639">
      <formula>AND($D205&lt;&gt;"",$H205="")</formula>
    </cfRule>
  </conditionalFormatting>
  <conditionalFormatting sqref="Z83:AI83 A83:V83">
    <cfRule type="expression" dxfId="1542" priority="547">
      <formula>LEN($D83)= 3</formula>
    </cfRule>
    <cfRule type="expression" dxfId="1541" priority="548">
      <formula>AND(LEN($D83)=5,$H83="")</formula>
    </cfRule>
    <cfRule type="expression" dxfId="1540" priority="549">
      <formula>AND($D83&lt;&gt;"",$H83="")</formula>
    </cfRule>
  </conditionalFormatting>
  <conditionalFormatting sqref="W97:Y98 X99:Y100">
    <cfRule type="expression" dxfId="1539" priority="538">
      <formula>LEN($D97)= 3</formula>
    </cfRule>
    <cfRule type="expression" dxfId="1538" priority="539">
      <formula>AND(LEN($D97)=5,$H97="")</formula>
    </cfRule>
    <cfRule type="expression" dxfId="1537" priority="540">
      <formula>AND($D97&lt;&gt;"",$H97="")</formula>
    </cfRule>
  </conditionalFormatting>
  <conditionalFormatting sqref="Z212:AB212 Q212:V212">
    <cfRule type="expression" dxfId="1536" priority="643">
      <formula>LEN($D212)= 3</formula>
    </cfRule>
    <cfRule type="expression" dxfId="1535" priority="644">
      <formula>AND(LEN($D212)=5,$H212="")</formula>
    </cfRule>
    <cfRule type="expression" dxfId="1534" priority="645">
      <formula>AND($D212&lt;&gt;"",$H212="")</formula>
    </cfRule>
  </conditionalFormatting>
  <conditionalFormatting sqref="Z104:AI106 A104:C106 E104:V106">
    <cfRule type="expression" dxfId="1533" priority="526">
      <formula>LEN($D104)= 3</formula>
    </cfRule>
    <cfRule type="expression" dxfId="1532" priority="527">
      <formula>AND(LEN($D104)=5,$H104="")</formula>
    </cfRule>
    <cfRule type="expression" dxfId="1531" priority="528">
      <formula>AND($D104&lt;&gt;"",$H104="")</formula>
    </cfRule>
  </conditionalFormatting>
  <conditionalFormatting sqref="W211">
    <cfRule type="expression" dxfId="1530" priority="634">
      <formula>LEN($D211)= 3</formula>
    </cfRule>
    <cfRule type="expression" dxfId="1529" priority="635">
      <formula>AND(LEN($D211)=5,$H211="")</formula>
    </cfRule>
    <cfRule type="expression" dxfId="1528" priority="636">
      <formula>AND($D211&lt;&gt;"",$H211="")</formula>
    </cfRule>
  </conditionalFormatting>
  <conditionalFormatting sqref="W510:W514">
    <cfRule type="expression" dxfId="1527" priority="445">
      <formula>LEN($D510)= 3</formula>
    </cfRule>
    <cfRule type="expression" dxfId="1526" priority="446">
      <formula>AND(LEN($D510)=5,$H510="")</formula>
    </cfRule>
    <cfRule type="expression" dxfId="1525" priority="447">
      <formula>AND($D510&lt;&gt;"",$H510="")</formula>
    </cfRule>
  </conditionalFormatting>
  <conditionalFormatting sqref="W228:Y228">
    <cfRule type="expression" dxfId="1524" priority="616">
      <formula>LEN($D228)= 3</formula>
    </cfRule>
    <cfRule type="expression" dxfId="1523" priority="617">
      <formula>AND(LEN($D228)=5,$H228="")</formula>
    </cfRule>
    <cfRule type="expression" dxfId="1522" priority="618">
      <formula>AND($D228&lt;&gt;"",$H228="")</formula>
    </cfRule>
  </conditionalFormatting>
  <conditionalFormatting sqref="Z227:AI227 A227:C228 AC228:AI228 E228:P228 E227:V227">
    <cfRule type="expression" dxfId="1521" priority="625">
      <formula>LEN($D227)= 3</formula>
    </cfRule>
    <cfRule type="expression" dxfId="1520" priority="626">
      <formula>AND(LEN($D227)=5,$H227="")</formula>
    </cfRule>
    <cfRule type="expression" dxfId="1519" priority="627">
      <formula>AND($D227&lt;&gt;"",$H227="")</formula>
    </cfRule>
  </conditionalFormatting>
  <conditionalFormatting sqref="X227:Y227">
    <cfRule type="expression" dxfId="1518" priority="622">
      <formula>LEN($D227)= 3</formula>
    </cfRule>
    <cfRule type="expression" dxfId="1517" priority="623">
      <formula>AND(LEN($D227)=5,$H227="")</formula>
    </cfRule>
    <cfRule type="expression" dxfId="1516" priority="624">
      <formula>AND($D227&lt;&gt;"",$H227="")</formula>
    </cfRule>
  </conditionalFormatting>
  <conditionalFormatting sqref="Z228:AB228 Q228:V228">
    <cfRule type="expression" dxfId="1515" priority="619">
      <formula>LEN($D228)= 3</formula>
    </cfRule>
    <cfRule type="expression" dxfId="1514" priority="620">
      <formula>AND(LEN($D228)=5,$H228="")</formula>
    </cfRule>
    <cfRule type="expression" dxfId="1513" priority="621">
      <formula>AND($D228&lt;&gt;"",$H228="")</formula>
    </cfRule>
  </conditionalFormatting>
  <conditionalFormatting sqref="Q221:AB223">
    <cfRule type="expression" dxfId="1512" priority="610">
      <formula>LEN($D221)= 3</formula>
    </cfRule>
    <cfRule type="expression" dxfId="1511" priority="611">
      <formula>AND(LEN($D221)=5,$H221="")</formula>
    </cfRule>
    <cfRule type="expression" dxfId="1510" priority="612">
      <formula>AND($D221&lt;&gt;"",$H221="")</formula>
    </cfRule>
  </conditionalFormatting>
  <conditionalFormatting sqref="W226">
    <cfRule type="expression" dxfId="1509" priority="607">
      <formula>LEN($D226)= 3</formula>
    </cfRule>
    <cfRule type="expression" dxfId="1508" priority="608">
      <formula>AND(LEN($D226)=5,$H226="")</formula>
    </cfRule>
    <cfRule type="expression" dxfId="1507" priority="609">
      <formula>AND($D226&lt;&gt;"",$H226="")</formula>
    </cfRule>
  </conditionalFormatting>
  <conditionalFormatting sqref="W225">
    <cfRule type="expression" dxfId="1506" priority="604">
      <formula>LEN($D225)= 3</formula>
    </cfRule>
    <cfRule type="expression" dxfId="1505" priority="605">
      <formula>AND(LEN($D225)=5,$H225="")</formula>
    </cfRule>
    <cfRule type="expression" dxfId="1504" priority="606">
      <formula>AND($D225&lt;&gt;"",$H225="")</formula>
    </cfRule>
  </conditionalFormatting>
  <conditionalFormatting sqref="W224">
    <cfRule type="expression" dxfId="1503" priority="601">
      <formula>LEN($D224)= 3</formula>
    </cfRule>
    <cfRule type="expression" dxfId="1502" priority="602">
      <formula>AND(LEN($D224)=5,$H224="")</formula>
    </cfRule>
    <cfRule type="expression" dxfId="1501" priority="603">
      <formula>AND($D224&lt;&gt;"",$H224="")</formula>
    </cfRule>
  </conditionalFormatting>
  <conditionalFormatting sqref="W227">
    <cfRule type="expression" dxfId="1500" priority="598">
      <formula>LEN($D227)= 3</formula>
    </cfRule>
    <cfRule type="expression" dxfId="1499" priority="599">
      <formula>AND(LEN($D227)=5,$H227="")</formula>
    </cfRule>
    <cfRule type="expression" dxfId="1498" priority="600">
      <formula>AND($D227&lt;&gt;"",$H227="")</formula>
    </cfRule>
  </conditionalFormatting>
  <conditionalFormatting sqref="W229:W234">
    <cfRule type="expression" dxfId="1497" priority="595">
      <formula>LEN($D229)= 3</formula>
    </cfRule>
    <cfRule type="expression" dxfId="1496" priority="596">
      <formula>AND(LEN($D229)=5,$H229="")</formula>
    </cfRule>
    <cfRule type="expression" dxfId="1495" priority="597">
      <formula>AND($D229&lt;&gt;"",$H229="")</formula>
    </cfRule>
  </conditionalFormatting>
  <conditionalFormatting sqref="W252">
    <cfRule type="expression" dxfId="1494" priority="589">
      <formula>LEN($D252)= 3</formula>
    </cfRule>
    <cfRule type="expression" dxfId="1493" priority="590">
      <formula>AND(LEN($D252)=5,$H252="")</formula>
    </cfRule>
    <cfRule type="expression" dxfId="1492" priority="591">
      <formula>AND($D252&lt;&gt;"",$H252="")</formula>
    </cfRule>
  </conditionalFormatting>
  <conditionalFormatting sqref="W253">
    <cfRule type="expression" dxfId="1491" priority="592">
      <formula>LEN($D253)= 3</formula>
    </cfRule>
    <cfRule type="expression" dxfId="1490" priority="593">
      <formula>AND(LEN($D253)=5,$H253="")</formula>
    </cfRule>
    <cfRule type="expression" dxfId="1489" priority="594">
      <formula>AND($D253&lt;&gt;"",$H253="")</formula>
    </cfRule>
  </conditionalFormatting>
  <conditionalFormatting sqref="W256">
    <cfRule type="expression" dxfId="1488" priority="586">
      <formula>LEN($D256)= 3</formula>
    </cfRule>
    <cfRule type="expression" dxfId="1487" priority="587">
      <formula>AND(LEN($D256)=5,$H256="")</formula>
    </cfRule>
    <cfRule type="expression" dxfId="1486" priority="588">
      <formula>AND($D256&lt;&gt;"",$H256="")</formula>
    </cfRule>
  </conditionalFormatting>
  <conditionalFormatting sqref="W255">
    <cfRule type="expression" dxfId="1485" priority="583">
      <formula>LEN($D255)= 3</formula>
    </cfRule>
    <cfRule type="expression" dxfId="1484" priority="584">
      <formula>AND(LEN($D255)=5,$H255="")</formula>
    </cfRule>
    <cfRule type="expression" dxfId="1483" priority="585">
      <formula>AND($D255&lt;&gt;"",$H255="")</formula>
    </cfRule>
  </conditionalFormatting>
  <conditionalFormatting sqref="Q257:AB259">
    <cfRule type="expression" dxfId="1482" priority="580">
      <formula>LEN($D257)= 3</formula>
    </cfRule>
    <cfRule type="expression" dxfId="1481" priority="581">
      <formula>AND(LEN($D257)=5,$H257="")</formula>
    </cfRule>
    <cfRule type="expression" dxfId="1480" priority="582">
      <formula>AND($D257&lt;&gt;"",$H257="")</formula>
    </cfRule>
  </conditionalFormatting>
  <conditionalFormatting sqref="Q263:AB264 Q265 S265:AB265">
    <cfRule type="expression" dxfId="1479" priority="577">
      <formula>LEN($D263)= 3</formula>
    </cfRule>
    <cfRule type="expression" dxfId="1478" priority="578">
      <formula>AND(LEN($D263)=5,$H263="")</formula>
    </cfRule>
    <cfRule type="expression" dxfId="1477" priority="579">
      <formula>AND($D263&lt;&gt;"",$H263="")</formula>
    </cfRule>
  </conditionalFormatting>
  <conditionalFormatting sqref="X101:Y103">
    <cfRule type="expression" dxfId="1476" priority="529">
      <formula>LEN($D101)= 3</formula>
    </cfRule>
    <cfRule type="expression" dxfId="1475" priority="530">
      <formula>AND(LEN($D101)=5,$H101="")</formula>
    </cfRule>
    <cfRule type="expression" dxfId="1474" priority="531">
      <formula>AND($D101&lt;&gt;"",$H101="")</formula>
    </cfRule>
  </conditionalFormatting>
  <conditionalFormatting sqref="X162:Y163">
    <cfRule type="expression" dxfId="1473" priority="493">
      <formula>LEN($D162)= 3</formula>
    </cfRule>
    <cfRule type="expression" dxfId="1472" priority="494">
      <formula>AND(LEN($D162)=5,$H162="")</formula>
    </cfRule>
    <cfRule type="expression" dxfId="1471" priority="495">
      <formula>AND($D162&lt;&gt;"",$H162="")</formula>
    </cfRule>
  </conditionalFormatting>
  <conditionalFormatting sqref="W164:Y164">
    <cfRule type="expression" dxfId="1470" priority="448">
      <formula>LEN($D164)= 3</formula>
    </cfRule>
    <cfRule type="expression" dxfId="1469" priority="449">
      <formula>AND(LEN($D164)=5,$H164="")</formula>
    </cfRule>
    <cfRule type="expression" dxfId="1468" priority="450">
      <formula>AND($D164&lt;&gt;"",$H164="")</formula>
    </cfRule>
  </conditionalFormatting>
  <conditionalFormatting sqref="Z97:AI100 A97:V98 A99:D99 G99:V99 A100:V100">
    <cfRule type="expression" dxfId="1467" priority="541">
      <formula>LEN($D97)= 3</formula>
    </cfRule>
    <cfRule type="expression" dxfId="1466" priority="542">
      <formula>AND(LEN($D97)=5,$H97="")</formula>
    </cfRule>
    <cfRule type="expression" dxfId="1465" priority="543">
      <formula>AND($D97&lt;&gt;"",$H97="")</formula>
    </cfRule>
  </conditionalFormatting>
  <conditionalFormatting sqref="E99:F99">
    <cfRule type="expression" dxfId="1464" priority="535">
      <formula>LEN($D99)= 3</formula>
    </cfRule>
    <cfRule type="expression" dxfId="1463" priority="536">
      <formula>AND(LEN($D99)=5,$H99="")</formula>
    </cfRule>
    <cfRule type="expression" dxfId="1462" priority="537">
      <formula>AND($D99&lt;&gt;"",$H99="")</formula>
    </cfRule>
  </conditionalFormatting>
  <conditionalFormatting sqref="A162:V163 Z162:AI163 D164">
    <cfRule type="expression" dxfId="1461" priority="496">
      <formula>LEN($D162)= 3</formula>
    </cfRule>
    <cfRule type="expression" dxfId="1460" priority="497">
      <formula>AND(LEN($D162)=5,$H162="")</formula>
    </cfRule>
    <cfRule type="expression" dxfId="1459" priority="498">
      <formula>AND($D162&lt;&gt;"",$H162="")</formula>
    </cfRule>
  </conditionalFormatting>
  <conditionalFormatting sqref="A101:V102 Z101:AI103 A103:C103 E103:V103 D103:D107">
    <cfRule type="expression" dxfId="1458" priority="532">
      <formula>LEN($D101)= 3</formula>
    </cfRule>
    <cfRule type="expression" dxfId="1457" priority="533">
      <formula>AND(LEN($D101)=5,$H101="")</formula>
    </cfRule>
    <cfRule type="expression" dxfId="1456" priority="534">
      <formula>AND($D101&lt;&gt;"",$H101="")</formula>
    </cfRule>
  </conditionalFormatting>
  <conditionalFormatting sqref="R122">
    <cfRule type="expression" dxfId="1455" priority="520">
      <formula>LEN($D122)= 3</formula>
    </cfRule>
    <cfRule type="expression" dxfId="1454" priority="521">
      <formula>AND(LEN($D122)=5,$H122="")</formula>
    </cfRule>
    <cfRule type="expression" dxfId="1453" priority="522">
      <formula>AND($D122&lt;&gt;"",$H122="")</formula>
    </cfRule>
  </conditionalFormatting>
  <conditionalFormatting sqref="V119:V121">
    <cfRule type="expression" dxfId="1452" priority="517">
      <formula>LEN($D119)= 3</formula>
    </cfRule>
    <cfRule type="expression" dxfId="1451" priority="518">
      <formula>AND(LEN($D119)=5,$H119="")</formula>
    </cfRule>
    <cfRule type="expression" dxfId="1450" priority="519">
      <formula>AND($D119&lt;&gt;"",$H119="")</formula>
    </cfRule>
  </conditionalFormatting>
  <conditionalFormatting sqref="Y119:Y121">
    <cfRule type="expression" dxfId="1449" priority="514">
      <formula>LEN($D119)= 3</formula>
    </cfRule>
    <cfRule type="expression" dxfId="1448" priority="515">
      <formula>AND(LEN($D119)=5,$H119="")</formula>
    </cfRule>
    <cfRule type="expression" dxfId="1447" priority="516">
      <formula>AND($D119&lt;&gt;"",$H119="")</formula>
    </cfRule>
  </conditionalFormatting>
  <conditionalFormatting sqref="W99:W100">
    <cfRule type="expression" dxfId="1446" priority="511">
      <formula>LEN($D99)= 3</formula>
    </cfRule>
    <cfRule type="expression" dxfId="1445" priority="512">
      <formula>AND(LEN($D99)=5,$H99="")</formula>
    </cfRule>
    <cfRule type="expression" dxfId="1444" priority="513">
      <formula>AND($D99&lt;&gt;"",$H99="")</formula>
    </cfRule>
  </conditionalFormatting>
  <conditionalFormatting sqref="W101:W103">
    <cfRule type="expression" dxfId="1443" priority="508">
      <formula>LEN($D101)= 3</formula>
    </cfRule>
    <cfRule type="expression" dxfId="1442" priority="509">
      <formula>AND(LEN($D101)=5,$H101="")</formula>
    </cfRule>
    <cfRule type="expression" dxfId="1441" priority="510">
      <formula>AND($D101&lt;&gt;"",$H101="")</formula>
    </cfRule>
  </conditionalFormatting>
  <conditionalFormatting sqref="Z92:AI92 A92:C92 E92:V92">
    <cfRule type="expression" dxfId="1440" priority="505">
      <formula>LEN($D92)= 3</formula>
    </cfRule>
    <cfRule type="expression" dxfId="1439" priority="506">
      <formula>AND(LEN($D92)=5,$H92="")</formula>
    </cfRule>
    <cfRule type="expression" dxfId="1438" priority="507">
      <formula>AND($D92&lt;&gt;"",$H92="")</formula>
    </cfRule>
  </conditionalFormatting>
  <conditionalFormatting sqref="X92:Y92">
    <cfRule type="expression" dxfId="1437" priority="502">
      <formula>LEN($D92)= 3</formula>
    </cfRule>
    <cfRule type="expression" dxfId="1436" priority="503">
      <formula>AND(LEN($D92)=5,$H92="")</formula>
    </cfRule>
    <cfRule type="expression" dxfId="1435" priority="504">
      <formula>AND($D92&lt;&gt;"",$H92="")</formula>
    </cfRule>
  </conditionalFormatting>
  <conditionalFormatting sqref="W92">
    <cfRule type="expression" dxfId="1434" priority="499">
      <formula>LEN($D92)= 3</formula>
    </cfRule>
    <cfRule type="expression" dxfId="1433" priority="500">
      <formula>AND(LEN($D92)=5,$H92="")</formula>
    </cfRule>
    <cfRule type="expression" dxfId="1432" priority="501">
      <formula>AND($D92&lt;&gt;"",$H92="")</formula>
    </cfRule>
  </conditionalFormatting>
  <conditionalFormatting sqref="A164:C164 Z164:AI164 E164:V164">
    <cfRule type="expression" dxfId="1431" priority="451">
      <formula>LEN($D164)= 3</formula>
    </cfRule>
    <cfRule type="expression" dxfId="1430" priority="452">
      <formula>AND(LEN($D164)=5,$H164="")</formula>
    </cfRule>
    <cfRule type="expression" dxfId="1429" priority="453">
      <formula>AND($D164&lt;&gt;"",$H164="")</formula>
    </cfRule>
  </conditionalFormatting>
  <conditionalFormatting sqref="A260:C260 Z260:AI260 E260:V260">
    <cfRule type="expression" dxfId="1428" priority="487">
      <formula>LEN($D260)= 3</formula>
    </cfRule>
    <cfRule type="expression" dxfId="1427" priority="488">
      <formula>AND(LEN($D260)=5,$H260="")</formula>
    </cfRule>
    <cfRule type="expression" dxfId="1426" priority="489">
      <formula>AND($D260&lt;&gt;"",$H260="")</formula>
    </cfRule>
  </conditionalFormatting>
  <conditionalFormatting sqref="W260:Y260">
    <cfRule type="expression" dxfId="1425" priority="484">
      <formula>LEN($D260)= 3</formula>
    </cfRule>
    <cfRule type="expression" dxfId="1424" priority="485">
      <formula>AND(LEN($D260)=5,$H260="")</formula>
    </cfRule>
    <cfRule type="expression" dxfId="1423" priority="486">
      <formula>AND($D260&lt;&gt;"",$H260="")</formula>
    </cfRule>
  </conditionalFormatting>
  <conditionalFormatting sqref="Z269:AI270 A269:V269 E272:V272 A272:C272 Z272:AI272 A270:C270 E270:V270 D270:D277">
    <cfRule type="expression" dxfId="1422" priority="481">
      <formula>LEN($D269)= 3</formula>
    </cfRule>
    <cfRule type="expression" dxfId="1421" priority="482">
      <formula>AND(LEN($D269)=5,$H269="")</formula>
    </cfRule>
    <cfRule type="expression" dxfId="1420" priority="483">
      <formula>AND($D269&lt;&gt;"",$H269="")</formula>
    </cfRule>
  </conditionalFormatting>
  <conditionalFormatting sqref="W269:Y270 W272:Y272">
    <cfRule type="expression" dxfId="1419" priority="478">
      <formula>LEN($D269)= 3</formula>
    </cfRule>
    <cfRule type="expression" dxfId="1418" priority="479">
      <formula>AND(LEN($D269)=5,$H269="")</formula>
    </cfRule>
    <cfRule type="expression" dxfId="1417" priority="480">
      <formula>AND($D269&lt;&gt;"",$H269="")</formula>
    </cfRule>
  </conditionalFormatting>
  <conditionalFormatting sqref="A271:C271 Z271:AI271 E271:V271">
    <cfRule type="expression" dxfId="1416" priority="475">
      <formula>LEN($D271)= 3</formula>
    </cfRule>
    <cfRule type="expression" dxfId="1415" priority="476">
      <formula>AND(LEN($D271)=5,$H271="")</formula>
    </cfRule>
    <cfRule type="expression" dxfId="1414" priority="477">
      <formula>AND($D271&lt;&gt;"",$H271="")</formula>
    </cfRule>
  </conditionalFormatting>
  <conditionalFormatting sqref="W271:Y271">
    <cfRule type="expression" dxfId="1413" priority="472">
      <formula>LEN($D271)= 3</formula>
    </cfRule>
    <cfRule type="expression" dxfId="1412" priority="473">
      <formula>AND(LEN($D271)=5,$H271="")</formula>
    </cfRule>
    <cfRule type="expression" dxfId="1411" priority="474">
      <formula>AND($D271&lt;&gt;"",$H271="")</formula>
    </cfRule>
  </conditionalFormatting>
  <conditionalFormatting sqref="X273:X274">
    <cfRule type="expression" dxfId="1410" priority="469">
      <formula>LEN($D273)= 3</formula>
    </cfRule>
    <cfRule type="expression" dxfId="1409" priority="470">
      <formula>AND(LEN($D273)=5,$H273="")</formula>
    </cfRule>
    <cfRule type="expression" dxfId="1408" priority="471">
      <formula>AND($D273&lt;&gt;"",$H273="")</formula>
    </cfRule>
  </conditionalFormatting>
  <conditionalFormatting sqref="A278:V278 Z278:AI278">
    <cfRule type="expression" dxfId="1407" priority="466">
      <formula>LEN($D278)= 3</formula>
    </cfRule>
    <cfRule type="expression" dxfId="1406" priority="467">
      <formula>AND(LEN($D278)=5,$H278="")</formula>
    </cfRule>
    <cfRule type="expression" dxfId="1405" priority="468">
      <formula>AND($D278&lt;&gt;"",$H278="")</formula>
    </cfRule>
  </conditionalFormatting>
  <conditionalFormatting sqref="W278:Y278">
    <cfRule type="expression" dxfId="1404" priority="463">
      <formula>LEN($D278)= 3</formula>
    </cfRule>
    <cfRule type="expression" dxfId="1403" priority="464">
      <formula>AND(LEN($D278)=5,$H278="")</formula>
    </cfRule>
    <cfRule type="expression" dxfId="1402" priority="465">
      <formula>AND($D278&lt;&gt;"",$H278="")</formula>
    </cfRule>
  </conditionalFormatting>
  <conditionalFormatting sqref="A123:C123 Z123:AI123 E123:V123">
    <cfRule type="expression" dxfId="1401" priority="460">
      <formula>LEN($D123)= 3</formula>
    </cfRule>
    <cfRule type="expression" dxfId="1400" priority="461">
      <formula>AND(LEN($D123)=5,$H123="")</formula>
    </cfRule>
    <cfRule type="expression" dxfId="1399" priority="462">
      <formula>AND($D123&lt;&gt;"",$H123="")</formula>
    </cfRule>
  </conditionalFormatting>
  <conditionalFormatting sqref="W123:Y123">
    <cfRule type="expression" dxfId="1398" priority="457">
      <formula>LEN($D123)= 3</formula>
    </cfRule>
    <cfRule type="expression" dxfId="1397" priority="458">
      <formula>AND(LEN($D123)=5,$H123="")</formula>
    </cfRule>
    <cfRule type="expression" dxfId="1396" priority="459">
      <formula>AND($D123&lt;&gt;"",$H123="")</formula>
    </cfRule>
  </conditionalFormatting>
  <conditionalFormatting sqref="W573:W574">
    <cfRule type="expression" dxfId="1395" priority="442">
      <formula>LEN($D573)= 3</formula>
    </cfRule>
    <cfRule type="expression" dxfId="1394" priority="443">
      <formula>AND(LEN($D573)=5,$H573="")</formula>
    </cfRule>
    <cfRule type="expression" dxfId="1393" priority="444">
      <formula>AND($D573&lt;&gt;"",$H573="")</formula>
    </cfRule>
  </conditionalFormatting>
  <conditionalFormatting sqref="W569">
    <cfRule type="expression" dxfId="1392" priority="439">
      <formula>LEN($D569)= 3</formula>
    </cfRule>
    <cfRule type="expression" dxfId="1391" priority="440">
      <formula>AND(LEN($D569)=5,$H569="")</formula>
    </cfRule>
    <cfRule type="expression" dxfId="1390" priority="441">
      <formula>AND($D569&lt;&gt;"",$H569="")</formula>
    </cfRule>
  </conditionalFormatting>
  <conditionalFormatting sqref="W563:W568">
    <cfRule type="expression" dxfId="1389" priority="436">
      <formula>LEN($D563)= 3</formula>
    </cfRule>
    <cfRule type="expression" dxfId="1388" priority="437">
      <formula>AND(LEN($D563)=5,$H563="")</formula>
    </cfRule>
    <cfRule type="expression" dxfId="1387" priority="438">
      <formula>AND($D563&lt;&gt;"",$H563="")</formula>
    </cfRule>
  </conditionalFormatting>
  <conditionalFormatting sqref="W572:Y572">
    <cfRule type="expression" dxfId="1386" priority="427">
      <formula>LEN($D572)= 3</formula>
    </cfRule>
    <cfRule type="expression" dxfId="1385" priority="428">
      <formula>AND(LEN($D572)=5,$H572="")</formula>
    </cfRule>
    <cfRule type="expression" dxfId="1384" priority="429">
      <formula>AND($D572&lt;&gt;"",$H572="")</formula>
    </cfRule>
  </conditionalFormatting>
  <conditionalFormatting sqref="W570:Y570">
    <cfRule type="expression" dxfId="1383" priority="424">
      <formula>LEN($D570)= 3</formula>
    </cfRule>
    <cfRule type="expression" dxfId="1382" priority="425">
      <formula>AND(LEN($D570)=5,$H570="")</formula>
    </cfRule>
    <cfRule type="expression" dxfId="1381" priority="426">
      <formula>AND($D570&lt;&gt;"",$H570="")</formula>
    </cfRule>
  </conditionalFormatting>
  <conditionalFormatting sqref="W571:Y571">
    <cfRule type="expression" dxfId="1380" priority="421">
      <formula>LEN($D571)= 3</formula>
    </cfRule>
    <cfRule type="expression" dxfId="1379" priority="422">
      <formula>AND(LEN($D571)=5,$H571="")</formula>
    </cfRule>
    <cfRule type="expression" dxfId="1378" priority="423">
      <formula>AND($D571&lt;&gt;"",$H571="")</formula>
    </cfRule>
  </conditionalFormatting>
  <conditionalFormatting sqref="X593:Y593 X589:Y591">
    <cfRule type="expression" dxfId="1377" priority="418">
      <formula>LEN($D589)= 3</formula>
    </cfRule>
    <cfRule type="expression" dxfId="1376" priority="419">
      <formula>AND(LEN($D589)=5,$H589="")</formula>
    </cfRule>
    <cfRule type="expression" dxfId="1375" priority="420">
      <formula>AND($D589&lt;&gt;"",$H589="")</formula>
    </cfRule>
  </conditionalFormatting>
  <conditionalFormatting sqref="X592:Y592">
    <cfRule type="expression" dxfId="1374" priority="415">
      <formula>LEN($D592)= 3</formula>
    </cfRule>
    <cfRule type="expression" dxfId="1373" priority="416">
      <formula>AND(LEN($D592)=5,$H592="")</formula>
    </cfRule>
    <cfRule type="expression" dxfId="1372" priority="417">
      <formula>AND($D592&lt;&gt;"",$H592="")</formula>
    </cfRule>
  </conditionalFormatting>
  <conditionalFormatting sqref="W593 W590:W591">
    <cfRule type="expression" dxfId="1371" priority="412">
      <formula>LEN($D590)= 3</formula>
    </cfRule>
    <cfRule type="expression" dxfId="1370" priority="413">
      <formula>AND(LEN($D590)=5,$H590="")</formula>
    </cfRule>
    <cfRule type="expression" dxfId="1369" priority="414">
      <formula>AND($D590&lt;&gt;"",$H590="")</formula>
    </cfRule>
  </conditionalFormatting>
  <conditionalFormatting sqref="W592">
    <cfRule type="expression" dxfId="1368" priority="409">
      <formula>LEN($D592)= 3</formula>
    </cfRule>
    <cfRule type="expression" dxfId="1367" priority="410">
      <formula>AND(LEN($D592)=5,$H592="")</formula>
    </cfRule>
    <cfRule type="expression" dxfId="1366" priority="411">
      <formula>AND($D592&lt;&gt;"",$H592="")</formula>
    </cfRule>
  </conditionalFormatting>
  <conditionalFormatting sqref="X596:Y596">
    <cfRule type="expression" dxfId="1365" priority="406">
      <formula>LEN($D596)= 3</formula>
    </cfRule>
    <cfRule type="expression" dxfId="1364" priority="407">
      <formula>AND(LEN($D596)=5,$H596="")</formula>
    </cfRule>
    <cfRule type="expression" dxfId="1363" priority="408">
      <formula>AND($D596&lt;&gt;"",$H596="")</formula>
    </cfRule>
  </conditionalFormatting>
  <conditionalFormatting sqref="X597:Y597">
    <cfRule type="expression" dxfId="1362" priority="403">
      <formula>LEN($D597)= 3</formula>
    </cfRule>
    <cfRule type="expression" dxfId="1361" priority="404">
      <formula>AND(LEN($D597)=5,$H597="")</formula>
    </cfRule>
    <cfRule type="expression" dxfId="1360" priority="405">
      <formula>AND($D597&lt;&gt;"",$H597="")</formula>
    </cfRule>
  </conditionalFormatting>
  <conditionalFormatting sqref="W596">
    <cfRule type="expression" dxfId="1359" priority="400">
      <formula>LEN($D596)= 3</formula>
    </cfRule>
    <cfRule type="expression" dxfId="1358" priority="401">
      <formula>AND(LEN($D596)=5,$H596="")</formula>
    </cfRule>
    <cfRule type="expression" dxfId="1357" priority="402">
      <formula>AND($D596&lt;&gt;"",$H596="")</formula>
    </cfRule>
  </conditionalFormatting>
  <conditionalFormatting sqref="W597">
    <cfRule type="expression" dxfId="1356" priority="397">
      <formula>LEN($D597)= 3</formula>
    </cfRule>
    <cfRule type="expression" dxfId="1355" priority="398">
      <formula>AND(LEN($D597)=5,$H597="")</formula>
    </cfRule>
    <cfRule type="expression" dxfId="1354" priority="399">
      <formula>AND($D597&lt;&gt;"",$H597="")</formula>
    </cfRule>
  </conditionalFormatting>
  <conditionalFormatting sqref="X241:Y241 W235:Y235 X244:Y249">
    <cfRule type="expression" dxfId="1353" priority="391">
      <formula>LEN($D235)= 3</formula>
    </cfRule>
    <cfRule type="expression" dxfId="1352" priority="392">
      <formula>AND(LEN($D235)=5,$H235="")</formula>
    </cfRule>
    <cfRule type="expression" dxfId="1351" priority="393">
      <formula>AND($D235&lt;&gt;"",$H235="")</formula>
    </cfRule>
  </conditionalFormatting>
  <conditionalFormatting sqref="Z241:AI241 A241:C241 E241:V241 Z235:AI235 A235:V235 E244:V249 A244:C249 Z244:AI249">
    <cfRule type="expression" dxfId="1350" priority="394">
      <formula>LEN($D235)= 3</formula>
    </cfRule>
    <cfRule type="expression" dxfId="1349" priority="395">
      <formula>AND(LEN($D235)=5,$H235="")</formula>
    </cfRule>
    <cfRule type="expression" dxfId="1348" priority="396">
      <formula>AND($D235&lt;&gt;"",$H235="")</formula>
    </cfRule>
  </conditionalFormatting>
  <conditionalFormatting sqref="A240:C240 E240:V240 X240:AI240">
    <cfRule type="expression" dxfId="1347" priority="388">
      <formula>LEN($D240)= 3</formula>
    </cfRule>
    <cfRule type="expression" dxfId="1346" priority="389">
      <formula>AND(LEN($D240)=5,$H240="")</formula>
    </cfRule>
    <cfRule type="expression" dxfId="1345" priority="390">
      <formula>AND($D240&lt;&gt;"",$H240="")</formula>
    </cfRule>
  </conditionalFormatting>
  <conditionalFormatting sqref="X239:Y239">
    <cfRule type="expression" dxfId="1344" priority="382">
      <formula>LEN($D239)= 3</formula>
    </cfRule>
    <cfRule type="expression" dxfId="1343" priority="383">
      <formula>AND(LEN($D239)=5,$H239="")</formula>
    </cfRule>
    <cfRule type="expression" dxfId="1342" priority="384">
      <formula>AND($D239&lt;&gt;"",$H239="")</formula>
    </cfRule>
  </conditionalFormatting>
  <conditionalFormatting sqref="Z239:AI239 A236:C239 E239:V239 E236:P238 AC236:AI238">
    <cfRule type="expression" dxfId="1341" priority="385">
      <formula>LEN($D236)= 3</formula>
    </cfRule>
    <cfRule type="expression" dxfId="1340" priority="386">
      <formula>AND(LEN($D236)=5,$H236="")</formula>
    </cfRule>
    <cfRule type="expression" dxfId="1339" priority="387">
      <formula>AND($D236&lt;&gt;"",$H236="")</formula>
    </cfRule>
  </conditionalFormatting>
  <conditionalFormatting sqref="D236:D249">
    <cfRule type="expression" dxfId="1338" priority="379">
      <formula>LEN($D236)= 3</formula>
    </cfRule>
    <cfRule type="expression" dxfId="1337" priority="380">
      <formula>AND(LEN($D236)=5,$H236="")</formula>
    </cfRule>
    <cfRule type="expression" dxfId="1336" priority="381">
      <formula>AND($D236&lt;&gt;"",$H236="")</formula>
    </cfRule>
  </conditionalFormatting>
  <conditionalFormatting sqref="W243:Y243">
    <cfRule type="expression" dxfId="1335" priority="367">
      <formula>LEN($D243)= 3</formula>
    </cfRule>
    <cfRule type="expression" dxfId="1334" priority="368">
      <formula>AND(LEN($D243)=5,$H243="")</formula>
    </cfRule>
    <cfRule type="expression" dxfId="1333" priority="369">
      <formula>AND($D243&lt;&gt;"",$H243="")</formula>
    </cfRule>
  </conditionalFormatting>
  <conditionalFormatting sqref="Z242:AI242 A242:C243 AC243:AI243 E243:P243 E242:V242">
    <cfRule type="expression" dxfId="1332" priority="376">
      <formula>LEN($D242)= 3</formula>
    </cfRule>
    <cfRule type="expression" dxfId="1331" priority="377">
      <formula>AND(LEN($D242)=5,$H242="")</formula>
    </cfRule>
    <cfRule type="expression" dxfId="1330" priority="378">
      <formula>AND($D242&lt;&gt;"",$H242="")</formula>
    </cfRule>
  </conditionalFormatting>
  <conditionalFormatting sqref="X242:Y242">
    <cfRule type="expression" dxfId="1329" priority="373">
      <formula>LEN($D242)= 3</formula>
    </cfRule>
    <cfRule type="expression" dxfId="1328" priority="374">
      <formula>AND(LEN($D242)=5,$H242="")</formula>
    </cfRule>
    <cfRule type="expression" dxfId="1327" priority="375">
      <formula>AND($D242&lt;&gt;"",$H242="")</formula>
    </cfRule>
  </conditionalFormatting>
  <conditionalFormatting sqref="Z243:AB243 Q243:V243">
    <cfRule type="expression" dxfId="1326" priority="370">
      <formula>LEN($D243)= 3</formula>
    </cfRule>
    <cfRule type="expression" dxfId="1325" priority="371">
      <formula>AND(LEN($D243)=5,$H243="")</formula>
    </cfRule>
    <cfRule type="expression" dxfId="1324" priority="372">
      <formula>AND($D243&lt;&gt;"",$H243="")</formula>
    </cfRule>
  </conditionalFormatting>
  <conditionalFormatting sqref="Q236:AB238">
    <cfRule type="expression" dxfId="1323" priority="364">
      <formula>LEN($D236)= 3</formula>
    </cfRule>
    <cfRule type="expression" dxfId="1322" priority="365">
      <formula>AND(LEN($D236)=5,$H236="")</formula>
    </cfRule>
    <cfRule type="expression" dxfId="1321" priority="366">
      <formula>AND($D236&lt;&gt;"",$H236="")</formula>
    </cfRule>
  </conditionalFormatting>
  <conditionalFormatting sqref="W241">
    <cfRule type="expression" dxfId="1320" priority="361">
      <formula>LEN($D241)= 3</formula>
    </cfRule>
    <cfRule type="expression" dxfId="1319" priority="362">
      <formula>AND(LEN($D241)=5,$H241="")</formula>
    </cfRule>
    <cfRule type="expression" dxfId="1318" priority="363">
      <formula>AND($D241&lt;&gt;"",$H241="")</formula>
    </cfRule>
  </conditionalFormatting>
  <conditionalFormatting sqref="W240">
    <cfRule type="expression" dxfId="1317" priority="358">
      <formula>LEN($D240)= 3</formula>
    </cfRule>
    <cfRule type="expression" dxfId="1316" priority="359">
      <formula>AND(LEN($D240)=5,$H240="")</formula>
    </cfRule>
    <cfRule type="expression" dxfId="1315" priority="360">
      <formula>AND($D240&lt;&gt;"",$H240="")</formula>
    </cfRule>
  </conditionalFormatting>
  <conditionalFormatting sqref="W239">
    <cfRule type="expression" dxfId="1314" priority="355">
      <formula>LEN($D239)= 3</formula>
    </cfRule>
    <cfRule type="expression" dxfId="1313" priority="356">
      <formula>AND(LEN($D239)=5,$H239="")</formula>
    </cfRule>
    <cfRule type="expression" dxfId="1312" priority="357">
      <formula>AND($D239&lt;&gt;"",$H239="")</formula>
    </cfRule>
  </conditionalFormatting>
  <conditionalFormatting sqref="W242">
    <cfRule type="expression" dxfId="1311" priority="352">
      <formula>LEN($D242)= 3</formula>
    </cfRule>
    <cfRule type="expression" dxfId="1310" priority="353">
      <formula>AND(LEN($D242)=5,$H242="")</formula>
    </cfRule>
    <cfRule type="expression" dxfId="1309" priority="354">
      <formula>AND($D242&lt;&gt;"",$H242="")</formula>
    </cfRule>
  </conditionalFormatting>
  <conditionalFormatting sqref="W244:W249">
    <cfRule type="expression" dxfId="1308" priority="349">
      <formula>LEN($D244)= 3</formula>
    </cfRule>
    <cfRule type="expression" dxfId="1307" priority="350">
      <formula>AND(LEN($D244)=5,$H244="")</formula>
    </cfRule>
    <cfRule type="expression" dxfId="1306" priority="351">
      <formula>AND($D244&lt;&gt;"",$H244="")</formula>
    </cfRule>
  </conditionalFormatting>
  <conditionalFormatting sqref="A32:V32 Z32:AI32">
    <cfRule type="expression" dxfId="1305" priority="346">
      <formula>LEN($D32)= 3</formula>
    </cfRule>
    <cfRule type="expression" dxfId="1304" priority="347">
      <formula>AND(LEN($D32)=5,$H32="")</formula>
    </cfRule>
    <cfRule type="expression" dxfId="1303" priority="348">
      <formula>AND($D32&lt;&gt;"",$H32="")</formula>
    </cfRule>
  </conditionalFormatting>
  <conditionalFormatting sqref="W32:Y32">
    <cfRule type="expression" dxfId="1302" priority="343">
      <formula>LEN($D32)= 3</formula>
    </cfRule>
    <cfRule type="expression" dxfId="1301" priority="344">
      <formula>AND(LEN($D32)=5,$H32="")</formula>
    </cfRule>
    <cfRule type="expression" dxfId="1300" priority="345">
      <formula>AND($D32&lt;&gt;"",$H32="")</formula>
    </cfRule>
  </conditionalFormatting>
  <conditionalFormatting sqref="Z38:AI43 A38:V43">
    <cfRule type="expression" dxfId="1299" priority="340">
      <formula>LEN($D38)= 3</formula>
    </cfRule>
    <cfRule type="expression" dxfId="1298" priority="341">
      <formula>AND(LEN($D38)=5,$H38="")</formula>
    </cfRule>
    <cfRule type="expression" dxfId="1297" priority="342">
      <formula>AND($D38&lt;&gt;"",$H38="")</formula>
    </cfRule>
  </conditionalFormatting>
  <conditionalFormatting sqref="W38:Y43">
    <cfRule type="expression" dxfId="1296" priority="337">
      <formula>LEN($D38)= 3</formula>
    </cfRule>
    <cfRule type="expression" dxfId="1295" priority="338">
      <formula>AND(LEN($D38)=5,$H38="")</formula>
    </cfRule>
    <cfRule type="expression" dxfId="1294" priority="339">
      <formula>AND($D38&lt;&gt;"",$H38="")</formula>
    </cfRule>
  </conditionalFormatting>
  <conditionalFormatting sqref="A333:S340 A318:V319 A355:V355 Z347:AI349 Z318:AI326 Z333:AI340 A347:S349 A320:S326 Z355:AI355 A350:Q351 S350:S351 Z350:Z351 AB350:AI351">
    <cfRule type="expression" dxfId="1293" priority="334">
      <formula>LEN($D318)= 3</formula>
    </cfRule>
    <cfRule type="expression" dxfId="1292" priority="335">
      <formula>AND(LEN($D318)=5,$H318="")</formula>
    </cfRule>
    <cfRule type="expression" dxfId="1291" priority="336">
      <formula>AND($D318&lt;&gt;"",$H318="")</formula>
    </cfRule>
  </conditionalFormatting>
  <conditionalFormatting sqref="A327:S332 Z327:AI332">
    <cfRule type="expression" dxfId="1290" priority="331">
      <formula>LEN($D327)= 3</formula>
    </cfRule>
    <cfRule type="expression" dxfId="1289" priority="332">
      <formula>AND(LEN($D327)=5,$H327="")</formula>
    </cfRule>
    <cfRule type="expression" dxfId="1288" priority="333">
      <formula>AND($D327&lt;&gt;"",$H327="")</formula>
    </cfRule>
  </conditionalFormatting>
  <conditionalFormatting sqref="A341:S346 Z341:AI346">
    <cfRule type="expression" dxfId="1287" priority="328">
      <formula>LEN($D341)= 3</formula>
    </cfRule>
    <cfRule type="expression" dxfId="1286" priority="329">
      <formula>AND(LEN($D341)=5,$H341="")</formula>
    </cfRule>
    <cfRule type="expression" dxfId="1285" priority="330">
      <formula>AND($D341&lt;&gt;"",$H341="")</formula>
    </cfRule>
  </conditionalFormatting>
  <conditionalFormatting sqref="X333:Y340 W318:Y319 W355:Y355 X347:Y349 X320:Y326 Y350:Y351">
    <cfRule type="expression" dxfId="1284" priority="325">
      <formula>LEN($D318)= 3</formula>
    </cfRule>
    <cfRule type="expression" dxfId="1283" priority="326">
      <formula>AND(LEN($D318)=5,$H318="")</formula>
    </cfRule>
    <cfRule type="expression" dxfId="1282" priority="327">
      <formula>AND($D318&lt;&gt;"",$H318="")</formula>
    </cfRule>
  </conditionalFormatting>
  <conditionalFormatting sqref="X327:Y332">
    <cfRule type="expression" dxfId="1281" priority="322">
      <formula>LEN($D327)= 3</formula>
    </cfRule>
    <cfRule type="expression" dxfId="1280" priority="323">
      <formula>AND(LEN($D327)=5,$H327="")</formula>
    </cfRule>
    <cfRule type="expression" dxfId="1279" priority="324">
      <formula>AND($D327&lt;&gt;"",$H327="")</formula>
    </cfRule>
  </conditionalFormatting>
  <conditionalFormatting sqref="X341:Y346">
    <cfRule type="expression" dxfId="1278" priority="319">
      <formula>LEN($D341)= 3</formula>
    </cfRule>
    <cfRule type="expression" dxfId="1277" priority="320">
      <formula>AND(LEN($D341)=5,$H341="")</formula>
    </cfRule>
    <cfRule type="expression" dxfId="1276" priority="321">
      <formula>AND($D341&lt;&gt;"",$H341="")</formula>
    </cfRule>
  </conditionalFormatting>
  <conditionalFormatting sqref="T301:T309">
    <cfRule type="expression" dxfId="1275" priority="316">
      <formula>LEN($D301)= 3</formula>
    </cfRule>
    <cfRule type="expression" dxfId="1274" priority="317">
      <formula>AND(LEN($D301)=5,$H301="")</formula>
    </cfRule>
    <cfRule type="expression" dxfId="1273" priority="318">
      <formula>AND($D301&lt;&gt;"",$H301="")</formula>
    </cfRule>
  </conditionalFormatting>
  <conditionalFormatting sqref="W310:W313">
    <cfRule type="expression" dxfId="1272" priority="313">
      <formula>LEN($D310)= 3</formula>
    </cfRule>
    <cfRule type="expression" dxfId="1271" priority="314">
      <formula>AND(LEN($D310)=5,$H310="")</formula>
    </cfRule>
    <cfRule type="expression" dxfId="1270" priority="315">
      <formula>AND($D310&lt;&gt;"",$H310="")</formula>
    </cfRule>
  </conditionalFormatting>
  <conditionalFormatting sqref="W282:W288 W295:W300">
    <cfRule type="expression" dxfId="1269" priority="310">
      <formula>LEN($D282)= 3</formula>
    </cfRule>
    <cfRule type="expression" dxfId="1268" priority="311">
      <formula>AND(LEN($D282)=5,$H282="")</formula>
    </cfRule>
    <cfRule type="expression" dxfId="1267" priority="312">
      <formula>AND($D282&lt;&gt;"",$H282="")</formula>
    </cfRule>
  </conditionalFormatting>
  <conditionalFormatting sqref="W289:W294">
    <cfRule type="expression" dxfId="1266" priority="307">
      <formula>LEN($D289)= 3</formula>
    </cfRule>
    <cfRule type="expression" dxfId="1265" priority="308">
      <formula>AND(LEN($D289)=5,$H289="")</formula>
    </cfRule>
    <cfRule type="expression" dxfId="1264" priority="309">
      <formula>AND($D289&lt;&gt;"",$H289="")</formula>
    </cfRule>
  </conditionalFormatting>
  <conditionalFormatting sqref="W301:W309">
    <cfRule type="expression" dxfId="1263" priority="304">
      <formula>LEN($D301)= 3</formula>
    </cfRule>
    <cfRule type="expression" dxfId="1262" priority="305">
      <formula>AND(LEN($D301)=5,$H301="")</formula>
    </cfRule>
    <cfRule type="expression" dxfId="1261" priority="306">
      <formula>AND($D301&lt;&gt;"",$H301="")</formula>
    </cfRule>
  </conditionalFormatting>
  <conditionalFormatting sqref="T348:V349 U347:V347 T350:T351 V350:V351">
    <cfRule type="expression" dxfId="1260" priority="301">
      <formula>LEN($D347)= 3</formula>
    </cfRule>
    <cfRule type="expression" dxfId="1259" priority="302">
      <formula>AND(LEN($D347)=5,$H347="")</formula>
    </cfRule>
    <cfRule type="expression" dxfId="1258" priority="303">
      <formula>AND($D347&lt;&gt;"",$H347="")</formula>
    </cfRule>
  </conditionalFormatting>
  <conditionalFormatting sqref="T320:V326 T333:V338 U339:V340">
    <cfRule type="expression" dxfId="1257" priority="298">
      <formula>LEN($D320)= 3</formula>
    </cfRule>
    <cfRule type="expression" dxfId="1256" priority="299">
      <formula>AND(LEN($D320)=5,$H320="")</formula>
    </cfRule>
    <cfRule type="expression" dxfId="1255" priority="300">
      <formula>AND($D320&lt;&gt;"",$H320="")</formula>
    </cfRule>
  </conditionalFormatting>
  <conditionalFormatting sqref="T327:V332">
    <cfRule type="expression" dxfId="1254" priority="295">
      <formula>LEN($D327)= 3</formula>
    </cfRule>
    <cfRule type="expression" dxfId="1253" priority="296">
      <formula>AND(LEN($D327)=5,$H327="")</formula>
    </cfRule>
    <cfRule type="expression" dxfId="1252" priority="297">
      <formula>AND($D327&lt;&gt;"",$H327="")</formula>
    </cfRule>
  </conditionalFormatting>
  <conditionalFormatting sqref="U341:V346">
    <cfRule type="expression" dxfId="1251" priority="292">
      <formula>LEN($D341)= 3</formula>
    </cfRule>
    <cfRule type="expression" dxfId="1250" priority="293">
      <formula>AND(LEN($D341)=5,$H341="")</formula>
    </cfRule>
    <cfRule type="expression" dxfId="1249" priority="294">
      <formula>AND($D341&lt;&gt;"",$H341="")</formula>
    </cfRule>
  </conditionalFormatting>
  <conditionalFormatting sqref="T339:T347">
    <cfRule type="expression" dxfId="1248" priority="289">
      <formula>LEN($D339)= 3</formula>
    </cfRule>
    <cfRule type="expression" dxfId="1247" priority="290">
      <formula>AND(LEN($D339)=5,$H339="")</formula>
    </cfRule>
    <cfRule type="expression" dxfId="1246" priority="291">
      <formula>AND($D339&lt;&gt;"",$H339="")</formula>
    </cfRule>
  </conditionalFormatting>
  <conditionalFormatting sqref="W348:W351">
    <cfRule type="expression" dxfId="1245" priority="286">
      <formula>LEN($D348)= 3</formula>
    </cfRule>
    <cfRule type="expression" dxfId="1244" priority="287">
      <formula>AND(LEN($D348)=5,$H348="")</formula>
    </cfRule>
    <cfRule type="expression" dxfId="1243" priority="288">
      <formula>AND($D348&lt;&gt;"",$H348="")</formula>
    </cfRule>
  </conditionalFormatting>
  <conditionalFormatting sqref="W320:W326 W333:W338">
    <cfRule type="expression" dxfId="1242" priority="283">
      <formula>LEN($D320)= 3</formula>
    </cfRule>
    <cfRule type="expression" dxfId="1241" priority="284">
      <formula>AND(LEN($D320)=5,$H320="")</formula>
    </cfRule>
    <cfRule type="expression" dxfId="1240" priority="285">
      <formula>AND($D320&lt;&gt;"",$H320="")</formula>
    </cfRule>
  </conditionalFormatting>
  <conditionalFormatting sqref="W327:W332">
    <cfRule type="expression" dxfId="1239" priority="280">
      <formula>LEN($D327)= 3</formula>
    </cfRule>
    <cfRule type="expression" dxfId="1238" priority="281">
      <formula>AND(LEN($D327)=5,$H327="")</formula>
    </cfRule>
    <cfRule type="expression" dxfId="1237" priority="282">
      <formula>AND($D327&lt;&gt;"",$H327="")</formula>
    </cfRule>
  </conditionalFormatting>
  <conditionalFormatting sqref="W339:W347">
    <cfRule type="expression" dxfId="1236" priority="277">
      <formula>LEN($D339)= 3</formula>
    </cfRule>
    <cfRule type="expression" dxfId="1235" priority="278">
      <formula>AND(LEN($D339)=5,$H339="")</formula>
    </cfRule>
    <cfRule type="expression" dxfId="1234" priority="279">
      <formula>AND($D339&lt;&gt;"",$H339="")</formula>
    </cfRule>
  </conditionalFormatting>
  <conditionalFormatting sqref="T386:V387 U385:V385 T388:T389 V388:V389">
    <cfRule type="expression" dxfId="1233" priority="274">
      <formula>LEN($D385)= 3</formula>
    </cfRule>
    <cfRule type="expression" dxfId="1232" priority="275">
      <formula>AND(LEN($D385)=5,$H385="")</formula>
    </cfRule>
    <cfRule type="expression" dxfId="1231" priority="276">
      <formula>AND($D385&lt;&gt;"",$H385="")</formula>
    </cfRule>
  </conditionalFormatting>
  <conditionalFormatting sqref="T358:V364 T371:V376 U377:V378">
    <cfRule type="expression" dxfId="1230" priority="271">
      <formula>LEN($D358)= 3</formula>
    </cfRule>
    <cfRule type="expression" dxfId="1229" priority="272">
      <formula>AND(LEN($D358)=5,$H358="")</formula>
    </cfRule>
    <cfRule type="expression" dxfId="1228" priority="273">
      <formula>AND($D358&lt;&gt;"",$H358="")</formula>
    </cfRule>
  </conditionalFormatting>
  <conditionalFormatting sqref="T365:V370">
    <cfRule type="expression" dxfId="1227" priority="268">
      <formula>LEN($D365)= 3</formula>
    </cfRule>
    <cfRule type="expression" dxfId="1226" priority="269">
      <formula>AND(LEN($D365)=5,$H365="")</formula>
    </cfRule>
    <cfRule type="expression" dxfId="1225" priority="270">
      <formula>AND($D365&lt;&gt;"",$H365="")</formula>
    </cfRule>
  </conditionalFormatting>
  <conditionalFormatting sqref="U379:V384">
    <cfRule type="expression" dxfId="1224" priority="265">
      <formula>LEN($D379)= 3</formula>
    </cfRule>
    <cfRule type="expression" dxfId="1223" priority="266">
      <formula>AND(LEN($D379)=5,$H379="")</formula>
    </cfRule>
    <cfRule type="expression" dxfId="1222" priority="267">
      <formula>AND($D379&lt;&gt;"",$H379="")</formula>
    </cfRule>
  </conditionalFormatting>
  <conditionalFormatting sqref="T377:T385">
    <cfRule type="expression" dxfId="1221" priority="262">
      <formula>LEN($D377)= 3</formula>
    </cfRule>
    <cfRule type="expression" dxfId="1220" priority="263">
      <formula>AND(LEN($D377)=5,$H377="")</formula>
    </cfRule>
    <cfRule type="expression" dxfId="1219" priority="264">
      <formula>AND($D377&lt;&gt;"",$H377="")</formula>
    </cfRule>
  </conditionalFormatting>
  <conditionalFormatting sqref="W386:W389">
    <cfRule type="expression" dxfId="1218" priority="259">
      <formula>LEN($D386)= 3</formula>
    </cfRule>
    <cfRule type="expression" dxfId="1217" priority="260">
      <formula>AND(LEN($D386)=5,$H386="")</formula>
    </cfRule>
    <cfRule type="expression" dxfId="1216" priority="261">
      <formula>AND($D386&lt;&gt;"",$H386="")</formula>
    </cfRule>
  </conditionalFormatting>
  <conditionalFormatting sqref="W358:W364 W371:W376">
    <cfRule type="expression" dxfId="1215" priority="256">
      <formula>LEN($D358)= 3</formula>
    </cfRule>
    <cfRule type="expression" dxfId="1214" priority="257">
      <formula>AND(LEN($D358)=5,$H358="")</formula>
    </cfRule>
    <cfRule type="expression" dxfId="1213" priority="258">
      <formula>AND($D358&lt;&gt;"",$H358="")</formula>
    </cfRule>
  </conditionalFormatting>
  <conditionalFormatting sqref="W365:W370">
    <cfRule type="expression" dxfId="1212" priority="253">
      <formula>LEN($D365)= 3</formula>
    </cfRule>
    <cfRule type="expression" dxfId="1211" priority="254">
      <formula>AND(LEN($D365)=5,$H365="")</formula>
    </cfRule>
    <cfRule type="expression" dxfId="1210" priority="255">
      <formula>AND($D365&lt;&gt;"",$H365="")</formula>
    </cfRule>
  </conditionalFormatting>
  <conditionalFormatting sqref="W377:W385">
    <cfRule type="expression" dxfId="1209" priority="250">
      <formula>LEN($D377)= 3</formula>
    </cfRule>
    <cfRule type="expression" dxfId="1208" priority="251">
      <formula>AND(LEN($D377)=5,$H377="")</formula>
    </cfRule>
    <cfRule type="expression" dxfId="1207" priority="252">
      <formula>AND($D377&lt;&gt;"",$H377="")</formula>
    </cfRule>
  </conditionalFormatting>
  <conditionalFormatting sqref="A23:S23 V23">
    <cfRule type="expression" dxfId="1206" priority="247">
      <formula>LEN($D23)= 3</formula>
    </cfRule>
    <cfRule type="expression" dxfId="1205" priority="248">
      <formula>AND(LEN($D23)=5,$H23="")</formula>
    </cfRule>
    <cfRule type="expression" dxfId="1204" priority="249">
      <formula>AND($D23&lt;&gt;"",$H23="")</formula>
    </cfRule>
  </conditionalFormatting>
  <conditionalFormatting sqref="Y23">
    <cfRule type="expression" dxfId="1203" priority="244">
      <formula>LEN($D23)= 3</formula>
    </cfRule>
    <cfRule type="expression" dxfId="1202" priority="245">
      <formula>AND(LEN($D23)=5,$H23="")</formula>
    </cfRule>
    <cfRule type="expression" dxfId="1201" priority="246">
      <formula>AND($D23&lt;&gt;"",$H23="")</formula>
    </cfRule>
  </conditionalFormatting>
  <conditionalFormatting sqref="U23">
    <cfRule type="expression" dxfId="1200" priority="241">
      <formula>LEN($D23)= 3</formula>
    </cfRule>
    <cfRule type="expression" dxfId="1199" priority="242">
      <formula>AND(LEN($D23)=5,$H23="")</formula>
    </cfRule>
    <cfRule type="expression" dxfId="1198" priority="243">
      <formula>AND($D23&lt;&gt;"",$H23="")</formula>
    </cfRule>
  </conditionalFormatting>
  <conditionalFormatting sqref="X23">
    <cfRule type="expression" dxfId="1197" priority="238">
      <formula>LEN($D23)= 3</formula>
    </cfRule>
    <cfRule type="expression" dxfId="1196" priority="239">
      <formula>AND(LEN($D23)=5,$H23="")</formula>
    </cfRule>
    <cfRule type="expression" dxfId="1195" priority="240">
      <formula>AND($D23&lt;&gt;"",$H23="")</formula>
    </cfRule>
  </conditionalFormatting>
  <conditionalFormatting sqref="AC314:AI316 A314:C316 E314:P316">
    <cfRule type="expression" dxfId="1194" priority="223">
      <formula>LEN($D314)= 3</formula>
    </cfRule>
    <cfRule type="expression" dxfId="1193" priority="224">
      <formula>AND(LEN($D314)=5,$H314="")</formula>
    </cfRule>
    <cfRule type="expression" dxfId="1192" priority="225">
      <formula>AND($D314&lt;&gt;"",$H314="")</formula>
    </cfRule>
  </conditionalFormatting>
  <conditionalFormatting sqref="X313">
    <cfRule type="expression" dxfId="1191" priority="175">
      <formula>LEN($D313)= 3</formula>
    </cfRule>
    <cfRule type="expression" dxfId="1190" priority="176">
      <formula>AND(LEN($D313)=5,$H313="")</formula>
    </cfRule>
    <cfRule type="expression" dxfId="1189" priority="177">
      <formula>AND($D313&lt;&gt;"",$H313="")</formula>
    </cfRule>
  </conditionalFormatting>
  <conditionalFormatting sqref="Q314:AB316">
    <cfRule type="expression" dxfId="1188" priority="220">
      <formula>LEN($D314)= 3</formula>
    </cfRule>
    <cfRule type="expression" dxfId="1187" priority="221">
      <formula>AND(LEN($D314)=5,$H314="")</formula>
    </cfRule>
    <cfRule type="expression" dxfId="1186" priority="222">
      <formula>AND($D314&lt;&gt;"",$H314="")</formula>
    </cfRule>
  </conditionalFormatting>
  <conditionalFormatting sqref="R265">
    <cfRule type="expression" dxfId="1185" priority="217">
      <formula>LEN($D265)= 3</formula>
    </cfRule>
    <cfRule type="expression" dxfId="1184" priority="218">
      <formula>AND(LEN($D265)=5,$H265="")</formula>
    </cfRule>
    <cfRule type="expression" dxfId="1183" priority="219">
      <formula>AND($D265&lt;&gt;"",$H265="")</formula>
    </cfRule>
  </conditionalFormatting>
  <conditionalFormatting sqref="R266">
    <cfRule type="expression" dxfId="1182" priority="214">
      <formula>LEN($D266)= 3</formula>
    </cfRule>
    <cfRule type="expression" dxfId="1181" priority="215">
      <formula>AND(LEN($D266)=5,$H266="")</formula>
    </cfRule>
    <cfRule type="expression" dxfId="1180" priority="216">
      <formula>AND($D266&lt;&gt;"",$H266="")</formula>
    </cfRule>
  </conditionalFormatting>
  <conditionalFormatting sqref="R267">
    <cfRule type="expression" dxfId="1179" priority="211">
      <formula>LEN($D267)= 3</formula>
    </cfRule>
    <cfRule type="expression" dxfId="1178" priority="212">
      <formula>AND(LEN($D267)=5,$H267="")</formula>
    </cfRule>
    <cfRule type="expression" dxfId="1177" priority="213">
      <formula>AND($D267&lt;&gt;"",$H267="")</formula>
    </cfRule>
  </conditionalFormatting>
  <conditionalFormatting sqref="U266">
    <cfRule type="expression" dxfId="1176" priority="208">
      <formula>LEN($D266)= 3</formula>
    </cfRule>
    <cfRule type="expression" dxfId="1175" priority="209">
      <formula>AND(LEN($D266)=5,$H266="")</formula>
    </cfRule>
    <cfRule type="expression" dxfId="1174" priority="210">
      <formula>AND($D266&lt;&gt;"",$H266="")</formula>
    </cfRule>
  </conditionalFormatting>
  <conditionalFormatting sqref="U267">
    <cfRule type="expression" dxfId="1173" priority="205">
      <formula>LEN($D267)= 3</formula>
    </cfRule>
    <cfRule type="expression" dxfId="1172" priority="206">
      <formula>AND(LEN($D267)=5,$H267="")</formula>
    </cfRule>
    <cfRule type="expression" dxfId="1171" priority="207">
      <formula>AND($D267&lt;&gt;"",$H267="")</formula>
    </cfRule>
  </conditionalFormatting>
  <conditionalFormatting sqref="X266">
    <cfRule type="expression" dxfId="1170" priority="202">
      <formula>LEN($D266)= 3</formula>
    </cfRule>
    <cfRule type="expression" dxfId="1169" priority="203">
      <formula>AND(LEN($D266)=5,$H266="")</formula>
    </cfRule>
    <cfRule type="expression" dxfId="1168" priority="204">
      <formula>AND($D266&lt;&gt;"",$H266="")</formula>
    </cfRule>
  </conditionalFormatting>
  <conditionalFormatting sqref="X267">
    <cfRule type="expression" dxfId="1167" priority="199">
      <formula>LEN($D267)= 3</formula>
    </cfRule>
    <cfRule type="expression" dxfId="1166" priority="200">
      <formula>AND(LEN($D267)=5,$H267="")</formula>
    </cfRule>
    <cfRule type="expression" dxfId="1165" priority="201">
      <formula>AND($D267&lt;&gt;"",$H267="")</formula>
    </cfRule>
  </conditionalFormatting>
  <conditionalFormatting sqref="AA266">
    <cfRule type="expression" dxfId="1164" priority="196">
      <formula>LEN($D266)= 3</formula>
    </cfRule>
    <cfRule type="expression" dxfId="1163" priority="197">
      <formula>AND(LEN($D266)=5,$H266="")</formula>
    </cfRule>
    <cfRule type="expression" dxfId="1162" priority="198">
      <formula>AND($D266&lt;&gt;"",$H266="")</formula>
    </cfRule>
  </conditionalFormatting>
  <conditionalFormatting sqref="AA267">
    <cfRule type="expression" dxfId="1161" priority="193">
      <formula>LEN($D267)= 3</formula>
    </cfRule>
    <cfRule type="expression" dxfId="1160" priority="194">
      <formula>AND(LEN($D267)=5,$H267="")</formula>
    </cfRule>
    <cfRule type="expression" dxfId="1159" priority="195">
      <formula>AND($D267&lt;&gt;"",$H267="")</formula>
    </cfRule>
  </conditionalFormatting>
  <conditionalFormatting sqref="R312">
    <cfRule type="expression" dxfId="1158" priority="190">
      <formula>LEN($D312)= 3</formula>
    </cfRule>
    <cfRule type="expression" dxfId="1157" priority="191">
      <formula>AND(LEN($D312)=5,$H312="")</formula>
    </cfRule>
    <cfRule type="expression" dxfId="1156" priority="192">
      <formula>AND($D312&lt;&gt;"",$H312="")</formula>
    </cfRule>
  </conditionalFormatting>
  <conditionalFormatting sqref="R313">
    <cfRule type="expression" dxfId="1155" priority="187">
      <formula>LEN($D313)= 3</formula>
    </cfRule>
    <cfRule type="expression" dxfId="1154" priority="188">
      <formula>AND(LEN($D313)=5,$H313="")</formula>
    </cfRule>
    <cfRule type="expression" dxfId="1153" priority="189">
      <formula>AND($D313&lt;&gt;"",$H313="")</formula>
    </cfRule>
  </conditionalFormatting>
  <conditionalFormatting sqref="U312">
    <cfRule type="expression" dxfId="1152" priority="184">
      <formula>LEN($D312)= 3</formula>
    </cfRule>
    <cfRule type="expression" dxfId="1151" priority="185">
      <formula>AND(LEN($D312)=5,$H312="")</formula>
    </cfRule>
    <cfRule type="expression" dxfId="1150" priority="186">
      <formula>AND($D312&lt;&gt;"",$H312="")</formula>
    </cfRule>
  </conditionalFormatting>
  <conditionalFormatting sqref="U313">
    <cfRule type="expression" dxfId="1149" priority="181">
      <formula>LEN($D313)= 3</formula>
    </cfRule>
    <cfRule type="expression" dxfId="1148" priority="182">
      <formula>AND(LEN($D313)=5,$H313="")</formula>
    </cfRule>
    <cfRule type="expression" dxfId="1147" priority="183">
      <formula>AND($D313&lt;&gt;"",$H313="")</formula>
    </cfRule>
  </conditionalFormatting>
  <conditionalFormatting sqref="X312">
    <cfRule type="expression" dxfId="1146" priority="178">
      <formula>LEN($D312)= 3</formula>
    </cfRule>
    <cfRule type="expression" dxfId="1145" priority="179">
      <formula>AND(LEN($D312)=5,$H312="")</formula>
    </cfRule>
    <cfRule type="expression" dxfId="1144" priority="180">
      <formula>AND($D312&lt;&gt;"",$H312="")</formula>
    </cfRule>
  </conditionalFormatting>
  <conditionalFormatting sqref="X351">
    <cfRule type="expression" dxfId="1143" priority="142">
      <formula>LEN($D351)= 3</formula>
    </cfRule>
    <cfRule type="expression" dxfId="1142" priority="143">
      <formula>AND(LEN($D351)=5,$H351="")</formula>
    </cfRule>
    <cfRule type="expression" dxfId="1141" priority="144">
      <formula>AND($D351&lt;&gt;"",$H351="")</formula>
    </cfRule>
  </conditionalFormatting>
  <conditionalFormatting sqref="AA312">
    <cfRule type="expression" dxfId="1140" priority="172">
      <formula>LEN($D312)= 3</formula>
    </cfRule>
    <cfRule type="expression" dxfId="1139" priority="173">
      <formula>AND(LEN($D312)=5,$H312="")</formula>
    </cfRule>
    <cfRule type="expression" dxfId="1138" priority="174">
      <formula>AND($D312&lt;&gt;"",$H312="")</formula>
    </cfRule>
  </conditionalFormatting>
  <conditionalFormatting sqref="AA313">
    <cfRule type="expression" dxfId="1137" priority="169">
      <formula>LEN($D313)= 3</formula>
    </cfRule>
    <cfRule type="expression" dxfId="1136" priority="170">
      <formula>AND(LEN($D313)=5,$H313="")</formula>
    </cfRule>
    <cfRule type="expression" dxfId="1135" priority="171">
      <formula>AND($D313&lt;&gt;"",$H313="")</formula>
    </cfRule>
  </conditionalFormatting>
  <conditionalFormatting sqref="D352:D354">
    <cfRule type="expression" dxfId="1134" priority="166">
      <formula>LEN($D352)= 3</formula>
    </cfRule>
    <cfRule type="expression" dxfId="1133" priority="167">
      <formula>AND(LEN($D352)=5,$H352="")</formula>
    </cfRule>
    <cfRule type="expression" dxfId="1132" priority="168">
      <formula>AND($D352&lt;&gt;"",$H352="")</formula>
    </cfRule>
  </conditionalFormatting>
  <conditionalFormatting sqref="AC352:AI354 A352:C354 E352:P354">
    <cfRule type="expression" dxfId="1131" priority="163">
      <formula>LEN($D352)= 3</formula>
    </cfRule>
    <cfRule type="expression" dxfId="1130" priority="164">
      <formula>AND(LEN($D352)=5,$H352="")</formula>
    </cfRule>
    <cfRule type="expression" dxfId="1129" priority="165">
      <formula>AND($D352&lt;&gt;"",$H352="")</formula>
    </cfRule>
  </conditionalFormatting>
  <conditionalFormatting sqref="Q352:AB354">
    <cfRule type="expression" dxfId="1128" priority="160">
      <formula>LEN($D352)= 3</formula>
    </cfRule>
    <cfRule type="expression" dxfId="1127" priority="161">
      <formula>AND(LEN($D352)=5,$H352="")</formula>
    </cfRule>
    <cfRule type="expression" dxfId="1126" priority="162">
      <formula>AND($D352&lt;&gt;"",$H352="")</formula>
    </cfRule>
  </conditionalFormatting>
  <conditionalFormatting sqref="U350">
    <cfRule type="expression" dxfId="1125" priority="157">
      <formula>LEN($D350)= 3</formula>
    </cfRule>
    <cfRule type="expression" dxfId="1124" priority="158">
      <formula>AND(LEN($D350)=5,$H350="")</formula>
    </cfRule>
    <cfRule type="expression" dxfId="1123" priority="159">
      <formula>AND($D350&lt;&gt;"",$H350="")</formula>
    </cfRule>
  </conditionalFormatting>
  <conditionalFormatting sqref="U351">
    <cfRule type="expression" dxfId="1122" priority="154">
      <formula>LEN($D351)= 3</formula>
    </cfRule>
    <cfRule type="expression" dxfId="1121" priority="155">
      <formula>AND(LEN($D351)=5,$H351="")</formula>
    </cfRule>
    <cfRule type="expression" dxfId="1120" priority="156">
      <formula>AND($D351&lt;&gt;"",$H351="")</formula>
    </cfRule>
  </conditionalFormatting>
  <conditionalFormatting sqref="R350">
    <cfRule type="expression" dxfId="1119" priority="151">
      <formula>LEN($D350)= 3</formula>
    </cfRule>
    <cfRule type="expression" dxfId="1118" priority="152">
      <formula>AND(LEN($D350)=5,$H350="")</formula>
    </cfRule>
    <cfRule type="expression" dxfId="1117" priority="153">
      <formula>AND($D350&lt;&gt;"",$H350="")</formula>
    </cfRule>
  </conditionalFormatting>
  <conditionalFormatting sqref="R351">
    <cfRule type="expression" dxfId="1116" priority="148">
      <formula>LEN($D351)= 3</formula>
    </cfRule>
    <cfRule type="expression" dxfId="1115" priority="149">
      <formula>AND(LEN($D351)=5,$H351="")</formula>
    </cfRule>
    <cfRule type="expression" dxfId="1114" priority="150">
      <formula>AND($D351&lt;&gt;"",$H351="")</formula>
    </cfRule>
  </conditionalFormatting>
  <conditionalFormatting sqref="X350">
    <cfRule type="expression" dxfId="1113" priority="145">
      <formula>LEN($D350)= 3</formula>
    </cfRule>
    <cfRule type="expression" dxfId="1112" priority="146">
      <formula>AND(LEN($D350)=5,$H350="")</formula>
    </cfRule>
    <cfRule type="expression" dxfId="1111" priority="147">
      <formula>AND($D350&lt;&gt;"",$H350="")</formula>
    </cfRule>
  </conditionalFormatting>
  <conditionalFormatting sqref="U401">
    <cfRule type="expression" dxfId="1110" priority="97">
      <formula>LEN($D401)= 3</formula>
    </cfRule>
    <cfRule type="expression" dxfId="1109" priority="98">
      <formula>AND(LEN($D401)=5,$H401="")</formula>
    </cfRule>
    <cfRule type="expression" dxfId="1108" priority="99">
      <formula>AND($D401&lt;&gt;"",$H401="")</formula>
    </cfRule>
  </conditionalFormatting>
  <conditionalFormatting sqref="AA350">
    <cfRule type="expression" dxfId="1107" priority="139">
      <formula>LEN($D350)= 3</formula>
    </cfRule>
    <cfRule type="expression" dxfId="1106" priority="140">
      <formula>AND(LEN($D350)=5,$H350="")</formula>
    </cfRule>
    <cfRule type="expression" dxfId="1105" priority="141">
      <formula>AND($D350&lt;&gt;"",$H350="")</formula>
    </cfRule>
  </conditionalFormatting>
  <conditionalFormatting sqref="AA351">
    <cfRule type="expression" dxfId="1104" priority="136">
      <formula>LEN($D351)= 3</formula>
    </cfRule>
    <cfRule type="expression" dxfId="1103" priority="137">
      <formula>AND(LEN($D351)=5,$H351="")</formula>
    </cfRule>
    <cfRule type="expression" dxfId="1102" priority="138">
      <formula>AND($D351&lt;&gt;"",$H351="")</formula>
    </cfRule>
  </conditionalFormatting>
  <conditionalFormatting sqref="D390:D392">
    <cfRule type="expression" dxfId="1101" priority="133">
      <formula>LEN($D390)= 3</formula>
    </cfRule>
    <cfRule type="expression" dxfId="1100" priority="134">
      <formula>AND(LEN($D390)=5,$H390="")</formula>
    </cfRule>
    <cfRule type="expression" dxfId="1099" priority="135">
      <formula>AND($D390&lt;&gt;"",$H390="")</formula>
    </cfRule>
  </conditionalFormatting>
  <conditionalFormatting sqref="AC390:AI392 A390:C392 E390:P392">
    <cfRule type="expression" dxfId="1098" priority="130">
      <formula>LEN($D390)= 3</formula>
    </cfRule>
    <cfRule type="expression" dxfId="1097" priority="131">
      <formula>AND(LEN($D390)=5,$H390="")</formula>
    </cfRule>
    <cfRule type="expression" dxfId="1096" priority="132">
      <formula>AND($D390&lt;&gt;"",$H390="")</formula>
    </cfRule>
  </conditionalFormatting>
  <conditionalFormatting sqref="Q390:AB392">
    <cfRule type="expression" dxfId="1095" priority="127">
      <formula>LEN($D390)= 3</formula>
    </cfRule>
    <cfRule type="expression" dxfId="1094" priority="128">
      <formula>AND(LEN($D390)=5,$H390="")</formula>
    </cfRule>
    <cfRule type="expression" dxfId="1093" priority="129">
      <formula>AND($D390&lt;&gt;"",$H390="")</formula>
    </cfRule>
  </conditionalFormatting>
  <conditionalFormatting sqref="R388">
    <cfRule type="expression" dxfId="1092" priority="124">
      <formula>LEN($D388)= 3</formula>
    </cfRule>
    <cfRule type="expression" dxfId="1091" priority="125">
      <formula>AND(LEN($D388)=5,$H388="")</formula>
    </cfRule>
    <cfRule type="expression" dxfId="1090" priority="126">
      <formula>AND($D388&lt;&gt;"",$H388="")</formula>
    </cfRule>
  </conditionalFormatting>
  <conditionalFormatting sqref="R389">
    <cfRule type="expression" dxfId="1089" priority="121">
      <formula>LEN($D389)= 3</formula>
    </cfRule>
    <cfRule type="expression" dxfId="1088" priority="122">
      <formula>AND(LEN($D389)=5,$H389="")</formula>
    </cfRule>
    <cfRule type="expression" dxfId="1087" priority="123">
      <formula>AND($D389&lt;&gt;"",$H389="")</formula>
    </cfRule>
  </conditionalFormatting>
  <conditionalFormatting sqref="U388">
    <cfRule type="expression" dxfId="1086" priority="118">
      <formula>LEN($D388)= 3</formula>
    </cfRule>
    <cfRule type="expression" dxfId="1085" priority="119">
      <formula>AND(LEN($D388)=5,$H388="")</formula>
    </cfRule>
    <cfRule type="expression" dxfId="1084" priority="120">
      <formula>AND($D388&lt;&gt;"",$H388="")</formula>
    </cfRule>
  </conditionalFormatting>
  <conditionalFormatting sqref="U389">
    <cfRule type="expression" dxfId="1083" priority="115">
      <formula>LEN($D389)= 3</formula>
    </cfRule>
    <cfRule type="expression" dxfId="1082" priority="116">
      <formula>AND(LEN($D389)=5,$H389="")</formula>
    </cfRule>
    <cfRule type="expression" dxfId="1081" priority="117">
      <formula>AND($D389&lt;&gt;"",$H389="")</formula>
    </cfRule>
  </conditionalFormatting>
  <conditionalFormatting sqref="X388">
    <cfRule type="expression" dxfId="1080" priority="112">
      <formula>LEN($D388)= 3</formula>
    </cfRule>
    <cfRule type="expression" dxfId="1079" priority="113">
      <formula>AND(LEN($D388)=5,$H388="")</formula>
    </cfRule>
    <cfRule type="expression" dxfId="1078" priority="114">
      <formula>AND($D388&lt;&gt;"",$H388="")</formula>
    </cfRule>
  </conditionalFormatting>
  <conditionalFormatting sqref="X389">
    <cfRule type="expression" dxfId="1077" priority="109">
      <formula>LEN($D389)= 3</formula>
    </cfRule>
    <cfRule type="expression" dxfId="1076" priority="110">
      <formula>AND(LEN($D389)=5,$H389="")</formula>
    </cfRule>
    <cfRule type="expression" dxfId="1075" priority="111">
      <formula>AND($D389&lt;&gt;"",$H389="")</formula>
    </cfRule>
  </conditionalFormatting>
  <conditionalFormatting sqref="AA388">
    <cfRule type="expression" dxfId="1074" priority="106">
      <formula>LEN($D388)= 3</formula>
    </cfRule>
    <cfRule type="expression" dxfId="1073" priority="107">
      <formula>AND(LEN($D388)=5,$H388="")</formula>
    </cfRule>
    <cfRule type="expression" dxfId="1072" priority="108">
      <formula>AND($D388&lt;&gt;"",$H388="")</formula>
    </cfRule>
  </conditionalFormatting>
  <conditionalFormatting sqref="AA389">
    <cfRule type="expression" dxfId="1071" priority="103">
      <formula>LEN($D389)= 3</formula>
    </cfRule>
    <cfRule type="expression" dxfId="1070" priority="104">
      <formula>AND(LEN($D389)=5,$H389="")</formula>
    </cfRule>
    <cfRule type="expression" dxfId="1069" priority="105">
      <formula>AND($D389&lt;&gt;"",$H389="")</formula>
    </cfRule>
  </conditionalFormatting>
  <conditionalFormatting sqref="AA401">
    <cfRule type="expression" dxfId="1068" priority="91">
      <formula>LEN($D401)= 3</formula>
    </cfRule>
    <cfRule type="expression" dxfId="1067" priority="92">
      <formula>AND(LEN($D401)=5,$H401="")</formula>
    </cfRule>
    <cfRule type="expression" dxfId="1066" priority="93">
      <formula>AND($D401&lt;&gt;"",$H401="")</formula>
    </cfRule>
  </conditionalFormatting>
  <conditionalFormatting sqref="R401">
    <cfRule type="expression" dxfId="1065" priority="100">
      <formula>LEN($D401)= 3</formula>
    </cfRule>
    <cfRule type="expression" dxfId="1064" priority="101">
      <formula>AND(LEN($D401)=5,$H401="")</formula>
    </cfRule>
    <cfRule type="expression" dxfId="1063" priority="102">
      <formula>AND($D401&lt;&gt;"",$H401="")</formula>
    </cfRule>
  </conditionalFormatting>
  <conditionalFormatting sqref="X401">
    <cfRule type="expression" dxfId="1062" priority="94">
      <formula>LEN($D401)= 3</formula>
    </cfRule>
    <cfRule type="expression" dxfId="1061" priority="95">
      <formula>AND(LEN($D401)=5,$H401="")</formula>
    </cfRule>
    <cfRule type="expression" dxfId="1060" priority="96">
      <formula>AND($D401&lt;&gt;"",$H401="")</formula>
    </cfRule>
  </conditionalFormatting>
  <conditionalFormatting sqref="A463:AI465 A466:V466 Z466:AI466">
    <cfRule type="expression" dxfId="1059" priority="88">
      <formula>LEN($D463)= 3</formula>
    </cfRule>
    <cfRule type="expression" dxfId="1058" priority="89">
      <formula>AND(LEN($D463)=5,$H463="")</formula>
    </cfRule>
    <cfRule type="expression" dxfId="1057" priority="90">
      <formula>AND($D463&lt;&gt;"",$H463="")</formula>
    </cfRule>
  </conditionalFormatting>
  <conditionalFormatting sqref="W467:Y468">
    <cfRule type="expression" dxfId="1056" priority="82">
      <formula>LEN($D467)= 3</formula>
    </cfRule>
    <cfRule type="expression" dxfId="1055" priority="83">
      <formula>AND(LEN($D467)=5,$H467="")</formula>
    </cfRule>
    <cfRule type="expression" dxfId="1054" priority="84">
      <formula>AND($D467&lt;&gt;"",$H467="")</formula>
    </cfRule>
  </conditionalFormatting>
  <conditionalFormatting sqref="W466:Y466">
    <cfRule type="expression" dxfId="1053" priority="79">
      <formula>LEN($D466)= 3</formula>
    </cfRule>
    <cfRule type="expression" dxfId="1052" priority="80">
      <formula>AND(LEN($D466)=5,$H466="")</formula>
    </cfRule>
    <cfRule type="expression" dxfId="1051" priority="81">
      <formula>AND($D466&lt;&gt;"",$H466="")</formula>
    </cfRule>
  </conditionalFormatting>
  <conditionalFormatting sqref="A22:V22 Z22:AI22">
    <cfRule type="expression" dxfId="1050" priority="76">
      <formula>LEN($D22)= 3</formula>
    </cfRule>
    <cfRule type="expression" dxfId="1049" priority="77">
      <formula>AND(LEN($D22)=5,$H22="")</formula>
    </cfRule>
    <cfRule type="expression" dxfId="1048" priority="78">
      <formula>AND($D22&lt;&gt;"",$H22="")</formula>
    </cfRule>
  </conditionalFormatting>
  <conditionalFormatting sqref="W22:Y22">
    <cfRule type="expression" dxfId="1047" priority="73">
      <formula>LEN($D22)= 3</formula>
    </cfRule>
    <cfRule type="expression" dxfId="1046" priority="74">
      <formula>AND(LEN($D22)=5,$H22="")</formula>
    </cfRule>
    <cfRule type="expression" dxfId="1045" priority="75">
      <formula>AND($D22&lt;&gt;"",$H22="")</formula>
    </cfRule>
  </conditionalFormatting>
  <conditionalFormatting sqref="A19:V19 Z19:AI19">
    <cfRule type="expression" dxfId="1044" priority="70">
      <formula>LEN($D19)= 3</formula>
    </cfRule>
    <cfRule type="expression" dxfId="1043" priority="71">
      <formula>AND(LEN($D19)=5,$H19="")</formula>
    </cfRule>
    <cfRule type="expression" dxfId="1042" priority="72">
      <formula>AND($D19&lt;&gt;"",$H19="")</formula>
    </cfRule>
  </conditionalFormatting>
  <conditionalFormatting sqref="W19:Y19">
    <cfRule type="expression" dxfId="1041" priority="67">
      <formula>LEN($D19)= 3</formula>
    </cfRule>
    <cfRule type="expression" dxfId="1040" priority="68">
      <formula>AND(LEN($D19)=5,$H19="")</formula>
    </cfRule>
    <cfRule type="expression" dxfId="1039" priority="69">
      <formula>AND($D19&lt;&gt;"",$H19="")</formula>
    </cfRule>
  </conditionalFormatting>
  <conditionalFormatting sqref="Z26:AI28 A26:T26 V26 A27:V28">
    <cfRule type="expression" dxfId="1038" priority="64">
      <formula>LEN($D26)= 3</formula>
    </cfRule>
    <cfRule type="expression" dxfId="1037" priority="65">
      <formula>AND(LEN($D26)=5,$H26="")</formula>
    </cfRule>
    <cfRule type="expression" dxfId="1036" priority="66">
      <formula>AND($D26&lt;&gt;"",$H26="")</formula>
    </cfRule>
  </conditionalFormatting>
  <conditionalFormatting sqref="W27:Y28 Y26">
    <cfRule type="expression" dxfId="1035" priority="61">
      <formula>LEN($D26)= 3</formula>
    </cfRule>
    <cfRule type="expression" dxfId="1034" priority="62">
      <formula>AND(LEN($D26)=5,$H26="")</formula>
    </cfRule>
    <cfRule type="expression" dxfId="1033" priority="63">
      <formula>AND($D26&lt;&gt;"",$H26="")</formula>
    </cfRule>
  </conditionalFormatting>
  <conditionalFormatting sqref="U26">
    <cfRule type="expression" dxfId="1032" priority="58">
      <formula>LEN($D26)= 3</formula>
    </cfRule>
    <cfRule type="expression" dxfId="1031" priority="59">
      <formula>AND(LEN($D26)=5,$H26="")</formula>
    </cfRule>
    <cfRule type="expression" dxfId="1030" priority="60">
      <formula>AND($D26&lt;&gt;"",$H26="")</formula>
    </cfRule>
  </conditionalFormatting>
  <conditionalFormatting sqref="X26">
    <cfRule type="expression" dxfId="1029" priority="55">
      <formula>LEN($D26)= 3</formula>
    </cfRule>
    <cfRule type="expression" dxfId="1028" priority="56">
      <formula>AND(LEN($D26)=5,$H26="")</formula>
    </cfRule>
    <cfRule type="expression" dxfId="1027" priority="57">
      <formula>AND($D26&lt;&gt;"",$H26="")</formula>
    </cfRule>
  </conditionalFormatting>
  <conditionalFormatting sqref="W26">
    <cfRule type="expression" dxfId="1026" priority="52">
      <formula>LEN($D26)= 3</formula>
    </cfRule>
    <cfRule type="expression" dxfId="1025" priority="53">
      <formula>AND(LEN($D26)=5,$H26="")</formula>
    </cfRule>
    <cfRule type="expression" dxfId="1024" priority="54">
      <formula>AND($D26&lt;&gt;"",$H26="")</formula>
    </cfRule>
  </conditionalFormatting>
  <conditionalFormatting sqref="A25:V25 Z25:AI25">
    <cfRule type="expression" dxfId="1023" priority="49">
      <formula>LEN($D25)= 3</formula>
    </cfRule>
    <cfRule type="expression" dxfId="1022" priority="50">
      <formula>AND(LEN($D25)=5,$H25="")</formula>
    </cfRule>
    <cfRule type="expression" dxfId="1021" priority="51">
      <formula>AND($D25&lt;&gt;"",$H25="")</formula>
    </cfRule>
  </conditionalFormatting>
  <conditionalFormatting sqref="W25:Y25">
    <cfRule type="expression" dxfId="1020" priority="46">
      <formula>LEN($D25)= 3</formula>
    </cfRule>
    <cfRule type="expression" dxfId="1019" priority="47">
      <formula>AND(LEN($D25)=5,$H25="")</formula>
    </cfRule>
    <cfRule type="expression" dxfId="1018" priority="48">
      <formula>AND($D25&lt;&gt;"",$H25="")</formula>
    </cfRule>
  </conditionalFormatting>
  <conditionalFormatting sqref="W23">
    <cfRule type="expression" dxfId="1017" priority="22">
      <formula>LEN($D23)= 3</formula>
    </cfRule>
    <cfRule type="expression" dxfId="1016" priority="23">
      <formula>AND(LEN($D23)=5,$H23="")</formula>
    </cfRule>
    <cfRule type="expression" dxfId="1015" priority="24">
      <formula>AND($D23&lt;&gt;"",$H23="")</formula>
    </cfRule>
  </conditionalFormatting>
  <conditionalFormatting sqref="T23">
    <cfRule type="expression" dxfId="1014" priority="19">
      <formula>LEN($D23)= 3</formula>
    </cfRule>
    <cfRule type="expression" dxfId="1013" priority="20">
      <formula>AND(LEN($D23)=5,$H23="")</formula>
    </cfRule>
    <cfRule type="expression" dxfId="1012" priority="21">
      <formula>AND($D23&lt;&gt;"",$H23="")</formula>
    </cfRule>
  </conditionalFormatting>
  <conditionalFormatting sqref="U20:U21">
    <cfRule type="expression" dxfId="1011" priority="16">
      <formula>LEN($D20)= 3</formula>
    </cfRule>
    <cfRule type="expression" dxfId="1010" priority="17">
      <formula>AND(LEN($D20)=5,$H20="")</formula>
    </cfRule>
    <cfRule type="expression" dxfId="1009" priority="18">
      <formula>AND($D20&lt;&gt;"",$H20="")</formula>
    </cfRule>
  </conditionalFormatting>
  <conditionalFormatting sqref="X20:X21">
    <cfRule type="expression" dxfId="1008" priority="13">
      <formula>LEN($D20)= 3</formula>
    </cfRule>
    <cfRule type="expression" dxfId="1007" priority="14">
      <formula>AND(LEN($D20)=5,$H20="")</formula>
    </cfRule>
    <cfRule type="expression" dxfId="1006" priority="15">
      <formula>AND($D20&lt;&gt;"",$H20="")</formula>
    </cfRule>
  </conditionalFormatting>
  <conditionalFormatting sqref="A533:C533 E533:AI533">
    <cfRule type="expression" dxfId="1005" priority="10">
      <formula>LEN($D533)= 3</formula>
    </cfRule>
    <cfRule type="expression" dxfId="1004" priority="11">
      <formula>AND(LEN($D533)=5,$H533="")</formula>
    </cfRule>
    <cfRule type="expression" dxfId="1003" priority="12">
      <formula>AND($D533&lt;&gt;"",$H533="")</formula>
    </cfRule>
  </conditionalFormatting>
  <conditionalFormatting sqref="A484:AI502">
    <cfRule type="expression" dxfId="1002" priority="7">
      <formula>LEN($D484)= 3</formula>
    </cfRule>
    <cfRule type="expression" dxfId="1001" priority="8">
      <formula>AND(LEN($D484)=5,$H484="")</formula>
    </cfRule>
    <cfRule type="expression" dxfId="1000" priority="9">
      <formula>AND($D484&lt;&gt;"",$H484="")</formula>
    </cfRule>
  </conditionalFormatting>
  <conditionalFormatting sqref="A483:V483 Z483:AI483">
    <cfRule type="expression" dxfId="999" priority="4">
      <formula>LEN($D483)= 3</formula>
    </cfRule>
    <cfRule type="expression" dxfId="998" priority="5">
      <formula>AND(LEN($D483)=5,$H483="")</formula>
    </cfRule>
    <cfRule type="expression" dxfId="997" priority="6">
      <formula>AND($D483&lt;&gt;"",$H483="")</formula>
    </cfRule>
  </conditionalFormatting>
  <conditionalFormatting sqref="W483:Y483">
    <cfRule type="expression" dxfId="996" priority="1">
      <formula>LEN($D483)= 3</formula>
    </cfRule>
    <cfRule type="expression" dxfId="995" priority="2">
      <formula>AND(LEN($D483)=5,$H483="")</formula>
    </cfRule>
    <cfRule type="expression" dxfId="994" priority="3">
      <formula>AND($D483&lt;&gt;"",$H483="")</formula>
    </cfRule>
  </conditionalFormatting>
  <pageMargins left="0.511811024" right="0.511811024" top="0.78740157499999996" bottom="0.78740157499999996" header="0.31496062000000002" footer="0.31496062000000002"/>
  <pageSetup paperSize="9" scale="77" fitToHeight="0"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68E17-47C2-4D16-94F8-9E9513CB663F}">
  <sheetPr filterMode="1">
    <tabColor rgb="FF002060"/>
    <outlinePr summaryBelow="0" summaryRight="0"/>
    <pageSetUpPr fitToPage="1"/>
  </sheetPr>
  <dimension ref="A1:AI63"/>
  <sheetViews>
    <sheetView showGridLines="0" zoomScale="70" zoomScaleNormal="70" workbookViewId="0">
      <pane xSplit="9" ySplit="9" topLeftCell="R10" activePane="bottomRight" state="frozen"/>
      <selection activeCell="P26" sqref="P26"/>
      <selection pane="topRight" activeCell="P26" sqref="P26"/>
      <selection pane="bottomLeft" activeCell="P26" sqref="P26"/>
      <selection pane="bottomRight" activeCell="AG33" sqref="AG33"/>
    </sheetView>
  </sheetViews>
  <sheetFormatPr defaultColWidth="9.140625" defaultRowHeight="12.75" x14ac:dyDescent="0.25"/>
  <cols>
    <col min="1" max="1" width="50.7109375" style="3" customWidth="1"/>
    <col min="2" max="2" width="9.7109375" style="4" customWidth="1"/>
    <col min="3" max="3" width="1.7109375" style="3" customWidth="1"/>
    <col min="4" max="4" width="17.7109375" style="3" customWidth="1"/>
    <col min="5" max="5" width="15.7109375" style="3" customWidth="1"/>
    <col min="6" max="6" width="12.7109375" style="115" customWidth="1"/>
    <col min="7" max="7" width="50.7109375" style="3" customWidth="1"/>
    <col min="8" max="8" width="9.7109375" style="4" customWidth="1"/>
    <col min="9" max="9" width="12.7109375" style="2" customWidth="1"/>
    <col min="10" max="10" width="14.7109375" style="2" customWidth="1"/>
    <col min="11" max="11" width="14.7109375" style="410" customWidth="1"/>
    <col min="12" max="13" width="14.7109375" style="2" customWidth="1"/>
    <col min="14" max="14" width="1.7109375" style="40" customWidth="1"/>
    <col min="15" max="15" width="50.7109375" style="3" customWidth="1"/>
    <col min="16" max="16" width="1.7109375" style="40" customWidth="1"/>
    <col min="17" max="17" width="10.7109375" style="440" customWidth="1"/>
    <col min="18" max="18" width="10.7109375" style="471" customWidth="1"/>
    <col min="19" max="20" width="10.7109375" style="440" customWidth="1"/>
    <col min="21" max="21" width="10.7109375" style="471" customWidth="1"/>
    <col min="22" max="23" width="10.7109375" style="440" customWidth="1"/>
    <col min="24" max="24" width="10.7109375" style="471" customWidth="1"/>
    <col min="25" max="26" width="10.7109375" style="440" customWidth="1"/>
    <col min="27" max="27" width="10.7109375" style="471" customWidth="1"/>
    <col min="28" max="28" width="10.7109375" style="440" customWidth="1"/>
    <col min="29" max="29" width="1.7109375" style="3" customWidth="1"/>
    <col min="30" max="35" width="11.7109375" style="499" customWidth="1"/>
    <col min="36" max="16384" width="9.140625" style="3"/>
  </cols>
  <sheetData>
    <row r="1" spans="1:35" s="41" customFormat="1" ht="15" x14ac:dyDescent="0.25">
      <c r="A1" s="487"/>
      <c r="B1" s="487"/>
      <c r="D1" s="726" t="s">
        <v>1531</v>
      </c>
      <c r="E1" s="726"/>
      <c r="F1" s="726"/>
      <c r="G1" s="726"/>
      <c r="H1" s="726"/>
      <c r="I1" s="726"/>
      <c r="K1" s="727"/>
      <c r="L1" s="728"/>
      <c r="M1" s="757" t="str">
        <f>'PSP-RESUMO'!$C$3</f>
        <v>ENCARGOS SOCIAIS SEM DESONERAÇÃO</v>
      </c>
      <c r="O1" s="488"/>
      <c r="Q1" s="394"/>
      <c r="R1" s="489"/>
      <c r="S1" s="394"/>
      <c r="T1" s="394"/>
      <c r="U1" s="489"/>
      <c r="V1" s="394"/>
      <c r="W1" s="394"/>
      <c r="X1" s="489"/>
      <c r="Y1" s="394"/>
      <c r="Z1" s="394"/>
      <c r="AA1" s="489"/>
      <c r="AB1" s="394"/>
      <c r="AD1" s="498"/>
      <c r="AE1" s="498"/>
      <c r="AF1" s="498"/>
      <c r="AG1" s="498"/>
      <c r="AH1" s="498"/>
      <c r="AI1" s="498"/>
    </row>
    <row r="2" spans="1:35" s="41" customFormat="1" ht="15" x14ac:dyDescent="0.25">
      <c r="A2" s="487"/>
      <c r="B2" s="487"/>
      <c r="D2" s="729" t="s">
        <v>1147</v>
      </c>
      <c r="E2" s="744" t="str">
        <f>IF('TRECHO(S) A IMPRIMIR'!$B$1= 1, 'PSP-RESUMO'!$B$2, IF('TRECHO(S) A IMPRIMIR'!$B$1= 2,#REF!,#REF!))</f>
        <v>URBANIZAÇÃO DO SETOR SOL NASCENTE - TRECHOS 1 e 3</v>
      </c>
      <c r="F2" s="730"/>
      <c r="G2" s="730"/>
      <c r="H2" s="730"/>
      <c r="I2" s="730"/>
      <c r="J2" s="730"/>
      <c r="K2" s="731"/>
      <c r="L2" s="807" t="s">
        <v>156</v>
      </c>
      <c r="M2" s="808" t="str">
        <f>'PSP-RESUMO'!$D$4</f>
        <v>28/JAN/2022</v>
      </c>
      <c r="O2" s="488"/>
      <c r="Q2" s="394"/>
      <c r="R2" s="489"/>
      <c r="S2" s="394"/>
      <c r="T2" s="394"/>
      <c r="U2" s="489"/>
      <c r="V2" s="394"/>
      <c r="W2" s="394"/>
      <c r="X2" s="489"/>
      <c r="Y2" s="394"/>
      <c r="Z2" s="394"/>
      <c r="AA2" s="489"/>
      <c r="AB2" s="394"/>
      <c r="AD2" s="498"/>
      <c r="AE2" s="498"/>
      <c r="AF2" s="498"/>
      <c r="AG2" s="498"/>
      <c r="AH2" s="498"/>
      <c r="AI2" s="498"/>
    </row>
    <row r="3" spans="1:35" s="41" customFormat="1" ht="15" x14ac:dyDescent="0.25">
      <c r="A3" s="487"/>
      <c r="B3" s="487"/>
      <c r="D3" s="741" t="s">
        <v>34</v>
      </c>
      <c r="E3" s="742" t="str">
        <f>'PSP-RESUMO'!B3</f>
        <v>SETOR SOL NASCENTE, CEILÂNDIA/DF</v>
      </c>
      <c r="F3" s="742"/>
      <c r="G3" s="742"/>
      <c r="H3" s="742"/>
      <c r="I3" s="734"/>
      <c r="J3" s="734"/>
      <c r="K3" s="735"/>
      <c r="L3" s="807" t="s">
        <v>1978</v>
      </c>
      <c r="M3" s="809" t="str">
        <f>'PSP-RESUMO'!$D$18</f>
        <v>JUNHO/2021</v>
      </c>
      <c r="O3" s="488"/>
      <c r="Q3" s="394"/>
      <c r="R3" s="489"/>
      <c r="S3" s="394"/>
      <c r="T3" s="394"/>
      <c r="U3" s="489"/>
      <c r="V3" s="394"/>
      <c r="W3" s="394"/>
      <c r="X3" s="489"/>
      <c r="Y3" s="394"/>
      <c r="Z3" s="394"/>
      <c r="AA3" s="489"/>
      <c r="AB3" s="394"/>
      <c r="AD3" s="498"/>
      <c r="AE3" s="498"/>
      <c r="AF3" s="498"/>
      <c r="AG3" s="498"/>
      <c r="AH3" s="498"/>
      <c r="AI3" s="498"/>
    </row>
    <row r="4" spans="1:35" s="41" customFormat="1" ht="15" x14ac:dyDescent="0.25">
      <c r="A4" s="487"/>
      <c r="B4" s="487"/>
      <c r="D4" s="732" t="s">
        <v>33</v>
      </c>
      <c r="E4" s="742" t="str">
        <f>'PSP-RESUMO'!B4</f>
        <v>ARIA</v>
      </c>
      <c r="F4" s="737"/>
      <c r="G4" s="736"/>
      <c r="H4" s="734"/>
      <c r="I4" s="736"/>
      <c r="J4" s="736"/>
      <c r="K4" s="738"/>
      <c r="L4" s="807" t="s">
        <v>1979</v>
      </c>
      <c r="M4" s="810">
        <f>IF('PSP-RESUMO'!$C$3 = "ENCARGOS SOCIAIS SEM DESONERAÇÃO", 'BDI obras SD'!$H$23, 'BDI obras CD'!$H$23)</f>
        <v>0.2033513845915047</v>
      </c>
      <c r="O4" s="488"/>
      <c r="Q4" s="394"/>
      <c r="R4" s="489"/>
      <c r="S4" s="394"/>
      <c r="T4" s="394"/>
      <c r="U4" s="489"/>
      <c r="V4" s="394"/>
      <c r="W4" s="394"/>
      <c r="X4" s="489"/>
      <c r="Y4" s="394"/>
      <c r="Z4" s="394"/>
      <c r="AA4" s="489"/>
      <c r="AB4" s="394"/>
      <c r="AD4" s="498"/>
      <c r="AE4" s="498"/>
      <c r="AF4" s="498"/>
      <c r="AG4" s="498"/>
      <c r="AH4" s="498"/>
      <c r="AI4" s="498"/>
    </row>
    <row r="5" spans="1:35" s="41" customFormat="1" ht="15" customHeight="1" x14ac:dyDescent="0.25">
      <c r="A5" s="487"/>
      <c r="B5" s="487"/>
      <c r="D5" s="1946" t="s">
        <v>1284</v>
      </c>
      <c r="E5" s="1938" t="str">
        <f>$G$9</f>
        <v>TERRAPLENAGEM - TRECHOS 1 e 3</v>
      </c>
      <c r="F5" s="1938"/>
      <c r="G5" s="1938"/>
      <c r="H5" s="1938"/>
      <c r="I5" s="1938"/>
      <c r="J5" s="734"/>
      <c r="K5" s="803"/>
      <c r="L5" s="807" t="s">
        <v>1980</v>
      </c>
      <c r="M5" s="811">
        <f>IF('PSP-RESUMO'!$C$3 = "ENCARGOS SOCIAIS SEM DESONERAÇÃO", 'BDI-Difer SD'!$H$23, 'BDI-Difer CD'!$H$23)</f>
        <v>0.11096635744680849</v>
      </c>
      <c r="O5" s="488"/>
      <c r="Q5" s="394"/>
      <c r="R5" s="489"/>
      <c r="S5" s="394"/>
      <c r="T5" s="394"/>
      <c r="U5" s="489"/>
      <c r="V5" s="394"/>
      <c r="W5" s="394"/>
      <c r="X5" s="489"/>
      <c r="Y5" s="394"/>
      <c r="Z5" s="394"/>
      <c r="AA5" s="489"/>
      <c r="AB5" s="394"/>
      <c r="AD5" s="498"/>
      <c r="AE5" s="498"/>
      <c r="AF5" s="498"/>
      <c r="AG5" s="498"/>
      <c r="AH5" s="498"/>
      <c r="AI5" s="498"/>
    </row>
    <row r="6" spans="1:35" s="41" customFormat="1" ht="15" customHeight="1" thickBot="1" x14ac:dyDescent="0.3">
      <c r="A6" s="487"/>
      <c r="B6" s="487"/>
      <c r="D6" s="1947"/>
      <c r="E6" s="1939"/>
      <c r="F6" s="1939"/>
      <c r="G6" s="1939"/>
      <c r="H6" s="1939"/>
      <c r="I6" s="1939"/>
      <c r="J6" s="739"/>
      <c r="K6" s="743"/>
      <c r="L6" s="813" t="s">
        <v>1339</v>
      </c>
      <c r="M6" s="802">
        <f>'01-CO'!M6</f>
        <v>18</v>
      </c>
      <c r="O6" s="488"/>
      <c r="Q6" s="394"/>
      <c r="R6" s="489"/>
      <c r="S6" s="394"/>
      <c r="T6" s="394"/>
      <c r="U6" s="489"/>
      <c r="V6" s="394"/>
      <c r="W6" s="394"/>
      <c r="X6" s="489"/>
      <c r="Y6" s="394"/>
      <c r="Z6" s="394"/>
      <c r="AA6" s="489"/>
      <c r="AB6" s="394"/>
      <c r="AD6" s="498"/>
      <c r="AE6" s="498"/>
      <c r="AF6" s="498"/>
      <c r="AG6" s="498"/>
      <c r="AH6" s="498"/>
      <c r="AI6" s="498"/>
    </row>
    <row r="7" spans="1:35" ht="27" customHeight="1" x14ac:dyDescent="0.25">
      <c r="A7" s="1924" t="s">
        <v>31</v>
      </c>
      <c r="B7" s="1922" t="s">
        <v>1322</v>
      </c>
      <c r="D7" s="1934" t="s">
        <v>0</v>
      </c>
      <c r="E7" s="1924" t="s">
        <v>32</v>
      </c>
      <c r="F7" s="1932" t="s">
        <v>1206</v>
      </c>
      <c r="G7" s="1924" t="s">
        <v>30</v>
      </c>
      <c r="H7" s="1944" t="s">
        <v>1</v>
      </c>
      <c r="I7" s="472" t="s">
        <v>29</v>
      </c>
      <c r="J7" s="1930" t="s">
        <v>1204</v>
      </c>
      <c r="K7" s="1926" t="s">
        <v>1202</v>
      </c>
      <c r="L7" s="1928" t="s">
        <v>1203</v>
      </c>
      <c r="M7" s="1942" t="s">
        <v>1205</v>
      </c>
      <c r="N7" s="215"/>
      <c r="O7" s="1940" t="s">
        <v>160</v>
      </c>
      <c r="P7" s="215"/>
      <c r="Q7" s="465" t="s">
        <v>1283</v>
      </c>
      <c r="R7" s="469"/>
      <c r="S7" s="466"/>
      <c r="T7" s="465" t="s">
        <v>1717</v>
      </c>
      <c r="U7" s="469"/>
      <c r="V7" s="466"/>
      <c r="W7" s="467" t="s">
        <v>1804</v>
      </c>
      <c r="X7" s="469"/>
      <c r="Y7" s="468"/>
      <c r="Z7" s="467" t="s">
        <v>147</v>
      </c>
      <c r="AA7" s="469"/>
      <c r="AB7" s="468"/>
    </row>
    <row r="8" spans="1:35" ht="27" customHeight="1" thickBot="1" x14ac:dyDescent="0.3">
      <c r="A8" s="1925"/>
      <c r="B8" s="1923"/>
      <c r="D8" s="1935"/>
      <c r="E8" s="1925"/>
      <c r="F8" s="1933"/>
      <c r="G8" s="1925"/>
      <c r="H8" s="1945"/>
      <c r="I8" s="473" t="s">
        <v>8</v>
      </c>
      <c r="J8" s="1931"/>
      <c r="K8" s="1927"/>
      <c r="L8" s="1929"/>
      <c r="M8" s="1943"/>
      <c r="N8" s="215"/>
      <c r="O8" s="1941"/>
      <c r="P8" s="215"/>
      <c r="Q8" s="445" t="s">
        <v>1053</v>
      </c>
      <c r="R8" s="470" t="s">
        <v>1054</v>
      </c>
      <c r="S8" s="446" t="s">
        <v>288</v>
      </c>
      <c r="T8" s="445" t="s">
        <v>1053</v>
      </c>
      <c r="U8" s="470" t="s">
        <v>1054</v>
      </c>
      <c r="V8" s="446" t="s">
        <v>288</v>
      </c>
      <c r="W8" s="445" t="s">
        <v>1053</v>
      </c>
      <c r="X8" s="470" t="s">
        <v>1054</v>
      </c>
      <c r="Y8" s="446" t="s">
        <v>288</v>
      </c>
      <c r="Z8" s="445" t="s">
        <v>1053</v>
      </c>
      <c r="AA8" s="470" t="s">
        <v>1054</v>
      </c>
      <c r="AB8" s="446" t="s">
        <v>288</v>
      </c>
      <c r="AD8" s="503" t="s">
        <v>1340</v>
      </c>
      <c r="AE8" s="504" t="s">
        <v>1341</v>
      </c>
      <c r="AF8" s="504" t="s">
        <v>1342</v>
      </c>
      <c r="AG8" s="504" t="s">
        <v>1343</v>
      </c>
      <c r="AH8" s="505" t="s">
        <v>997</v>
      </c>
      <c r="AI8" s="505" t="s">
        <v>1381</v>
      </c>
    </row>
    <row r="9" spans="1:35" ht="33.75" x14ac:dyDescent="0.25">
      <c r="A9" s="587" t="str">
        <f>IF('TRECHO(S) A IMPRIMIR'!$B$1= 1, "TERRAPLENAGEM - TRECHOS 1 e 3", IF('TRECHO(S) A IMPRIMIR'!$B$1= 2, "TERRAPLENAGEM - TRECHO 1", "TERRAPLENAGEM - TRECHO 3"))</f>
        <v>TERRAPLENAGEM - TRECHOS 1 e 3</v>
      </c>
      <c r="B9" s="369"/>
      <c r="C9" s="588"/>
      <c r="D9" s="589" t="s">
        <v>177</v>
      </c>
      <c r="E9" s="44"/>
      <c r="F9" s="214"/>
      <c r="G9" s="587" t="s">
        <v>4150</v>
      </c>
      <c r="H9" s="590" t="s">
        <v>21</v>
      </c>
      <c r="I9" s="591" t="s">
        <v>21</v>
      </c>
      <c r="J9" s="592" t="s">
        <v>21</v>
      </c>
      <c r="K9" s="593" t="s">
        <v>21</v>
      </c>
      <c r="L9" s="592" t="s">
        <v>21</v>
      </c>
      <c r="M9" s="594">
        <v>2325856.9174799626</v>
      </c>
      <c r="O9" s="673" t="s">
        <v>3214</v>
      </c>
      <c r="P9" s="361"/>
      <c r="Q9" s="441"/>
      <c r="R9" s="485"/>
      <c r="S9" s="442"/>
      <c r="T9" s="441"/>
      <c r="U9" s="485"/>
      <c r="V9" s="442"/>
      <c r="W9" s="441"/>
      <c r="X9" s="485"/>
      <c r="Y9" s="442"/>
      <c r="Z9" s="441"/>
      <c r="AA9" s="485"/>
      <c r="AB9" s="442"/>
      <c r="AC9" s="672"/>
      <c r="AD9" s="814" t="s">
        <v>21</v>
      </c>
      <c r="AE9" s="815" t="s">
        <v>21</v>
      </c>
      <c r="AF9" s="815" t="s">
        <v>21</v>
      </c>
      <c r="AG9" s="815" t="s">
        <v>21</v>
      </c>
      <c r="AH9" s="816" t="s">
        <v>21</v>
      </c>
      <c r="AI9" s="816" t="str">
        <f>IF(SUM(AD9:AH9)=0,"",M9 - SUM(AD9:AH9))</f>
        <v/>
      </c>
    </row>
    <row r="10" spans="1:35" x14ac:dyDescent="0.25">
      <c r="A10" s="587" t="s">
        <v>1721</v>
      </c>
      <c r="B10" s="369"/>
      <c r="C10" s="588"/>
      <c r="D10" s="589" t="s">
        <v>178</v>
      </c>
      <c r="E10" s="44"/>
      <c r="F10" s="214"/>
      <c r="G10" s="587" t="s">
        <v>1721</v>
      </c>
      <c r="H10" s="590" t="s">
        <v>21</v>
      </c>
      <c r="I10" s="591" t="s">
        <v>21</v>
      </c>
      <c r="J10" s="592" t="s">
        <v>21</v>
      </c>
      <c r="K10" s="593" t="s">
        <v>21</v>
      </c>
      <c r="L10" s="592" t="s">
        <v>21</v>
      </c>
      <c r="M10" s="594">
        <v>1011016.2513656591</v>
      </c>
      <c r="O10" s="673"/>
      <c r="P10" s="361"/>
      <c r="Q10" s="441"/>
      <c r="R10" s="485"/>
      <c r="S10" s="442"/>
      <c r="T10" s="441"/>
      <c r="U10" s="485"/>
      <c r="V10" s="442"/>
      <c r="W10" s="441"/>
      <c r="X10" s="485"/>
      <c r="Y10" s="442"/>
      <c r="Z10" s="441"/>
      <c r="AA10" s="485"/>
      <c r="AB10" s="442"/>
      <c r="AC10" s="672"/>
      <c r="AD10" s="441" t="s">
        <v>21</v>
      </c>
      <c r="AE10" s="674" t="s">
        <v>21</v>
      </c>
      <c r="AF10" s="674" t="s">
        <v>21</v>
      </c>
      <c r="AG10" s="674" t="s">
        <v>21</v>
      </c>
      <c r="AH10" s="442" t="s">
        <v>21</v>
      </c>
      <c r="AI10" s="442" t="str">
        <f t="shared" ref="AI10:AI29" si="0">IF(SUM(AD10:AH10)=0,"",M10 - SUM(AD10:AH10))</f>
        <v/>
      </c>
    </row>
    <row r="11" spans="1:35" ht="36" x14ac:dyDescent="0.25">
      <c r="A11" s="587" t="s">
        <v>1542</v>
      </c>
      <c r="B11" s="369" t="s">
        <v>20</v>
      </c>
      <c r="C11" s="588"/>
      <c r="D11" s="589" t="s">
        <v>1536</v>
      </c>
      <c r="E11" s="44" t="s">
        <v>27</v>
      </c>
      <c r="F11" s="214">
        <v>98525</v>
      </c>
      <c r="G11" s="587" t="s">
        <v>597</v>
      </c>
      <c r="H11" s="590" t="s">
        <v>51</v>
      </c>
      <c r="I11" s="591">
        <v>142582.63814999996</v>
      </c>
      <c r="J11" s="592">
        <v>0.3</v>
      </c>
      <c r="K11" s="593">
        <v>0.2033513845915047</v>
      </c>
      <c r="L11" s="592">
        <v>0.3610054153774514</v>
      </c>
      <c r="M11" s="594">
        <v>51473.104510953584</v>
      </c>
      <c r="N11" s="439"/>
      <c r="O11" s="675">
        <v>0.1</v>
      </c>
      <c r="P11" s="361"/>
      <c r="Q11" s="441"/>
      <c r="R11" s="485"/>
      <c r="S11" s="442"/>
      <c r="T11" s="441">
        <v>94578.264449999973</v>
      </c>
      <c r="U11" s="485"/>
      <c r="V11" s="442"/>
      <c r="W11" s="441">
        <v>48004.373699999996</v>
      </c>
      <c r="X11" s="485"/>
      <c r="Y11" s="442"/>
      <c r="Z11" s="441"/>
      <c r="AA11" s="485"/>
      <c r="AB11" s="442"/>
      <c r="AC11" s="672"/>
      <c r="AD11" s="441">
        <v>27452.322405841911</v>
      </c>
      <c r="AE11" s="674">
        <v>3431.5403007302389</v>
      </c>
      <c r="AF11" s="674">
        <v>20589.241804381432</v>
      </c>
      <c r="AG11" s="674">
        <v>0</v>
      </c>
      <c r="AH11" s="442">
        <v>0</v>
      </c>
      <c r="AI11" s="442">
        <v>7.2759576141834259E-12</v>
      </c>
    </row>
    <row r="12" spans="1:35" ht="48" x14ac:dyDescent="0.25">
      <c r="A12" s="587" t="s">
        <v>1052</v>
      </c>
      <c r="B12" s="369" t="s">
        <v>23</v>
      </c>
      <c r="C12" s="588"/>
      <c r="D12" s="589" t="s">
        <v>1537</v>
      </c>
      <c r="E12" s="44" t="s">
        <v>27</v>
      </c>
      <c r="F12" s="214">
        <v>100999</v>
      </c>
      <c r="G12" s="587" t="s">
        <v>769</v>
      </c>
      <c r="H12" s="590" t="s">
        <v>55</v>
      </c>
      <c r="I12" s="591">
        <v>21387.395722499994</v>
      </c>
      <c r="J12" s="592">
        <v>4.24</v>
      </c>
      <c r="K12" s="593">
        <v>0.2033513845915047</v>
      </c>
      <c r="L12" s="592">
        <v>5.1022098706679806</v>
      </c>
      <c r="M12" s="594">
        <v>109122.98156322162</v>
      </c>
      <c r="N12" s="439"/>
      <c r="O12" s="673"/>
      <c r="P12" s="361"/>
      <c r="Q12" s="441">
        <v>0</v>
      </c>
      <c r="R12" s="485">
        <v>1.5</v>
      </c>
      <c r="S12" s="442"/>
      <c r="T12" s="441">
        <v>14186.739667499995</v>
      </c>
      <c r="U12" s="485">
        <v>1.5</v>
      </c>
      <c r="V12" s="442"/>
      <c r="W12" s="441">
        <v>7200.6560549999995</v>
      </c>
      <c r="X12" s="485">
        <v>1.5</v>
      </c>
      <c r="Y12" s="442"/>
      <c r="Z12" s="441">
        <v>0</v>
      </c>
      <c r="AA12" s="485">
        <v>1.5</v>
      </c>
      <c r="AB12" s="442"/>
      <c r="AC12" s="672"/>
      <c r="AD12" s="441">
        <v>11581.448514964557</v>
      </c>
      <c r="AE12" s="674">
        <v>49928.911375624979</v>
      </c>
      <c r="AF12" s="674">
        <v>47612.621672632071</v>
      </c>
      <c r="AG12" s="674">
        <v>0</v>
      </c>
      <c r="AH12" s="442">
        <v>0</v>
      </c>
      <c r="AI12" s="442">
        <v>1.4551915228366852E-11</v>
      </c>
    </row>
    <row r="13" spans="1:35" ht="36" x14ac:dyDescent="0.25">
      <c r="A13" s="587" t="s">
        <v>1543</v>
      </c>
      <c r="B13" s="369" t="s">
        <v>25</v>
      </c>
      <c r="C13" s="588"/>
      <c r="D13" s="589" t="s">
        <v>1538</v>
      </c>
      <c r="E13" s="44" t="s">
        <v>27</v>
      </c>
      <c r="F13" s="214">
        <v>95879</v>
      </c>
      <c r="G13" s="587" t="s">
        <v>789</v>
      </c>
      <c r="H13" s="590" t="s">
        <v>42</v>
      </c>
      <c r="I13" s="591">
        <v>470522.70589499985</v>
      </c>
      <c r="J13" s="592">
        <v>1.04</v>
      </c>
      <c r="K13" s="593">
        <v>0.2033513845915047</v>
      </c>
      <c r="L13" s="592">
        <v>1.2514854399751649</v>
      </c>
      <c r="M13" s="594">
        <v>588852.31560530898</v>
      </c>
      <c r="N13" s="439"/>
      <c r="O13" s="673"/>
      <c r="P13" s="361"/>
      <c r="Q13" s="441">
        <v>0</v>
      </c>
      <c r="R13" s="485"/>
      <c r="S13" s="442">
        <v>0</v>
      </c>
      <c r="T13" s="441">
        <v>312108.27268499986</v>
      </c>
      <c r="U13" s="485"/>
      <c r="V13" s="442">
        <v>22</v>
      </c>
      <c r="W13" s="441">
        <v>158414.43320999999</v>
      </c>
      <c r="X13" s="485"/>
      <c r="Y13" s="442">
        <v>22</v>
      </c>
      <c r="Z13" s="441">
        <v>0</v>
      </c>
      <c r="AA13" s="485"/>
      <c r="AB13" s="442">
        <v>0</v>
      </c>
      <c r="AC13" s="672"/>
      <c r="AD13" s="441">
        <v>39634.290473434259</v>
      </c>
      <c r="AE13" s="674">
        <v>339722.48977229366</v>
      </c>
      <c r="AF13" s="674">
        <v>209495.53535958109</v>
      </c>
      <c r="AG13" s="674">
        <v>0</v>
      </c>
      <c r="AH13" s="442">
        <v>0</v>
      </c>
      <c r="AI13" s="442">
        <v>0</v>
      </c>
    </row>
    <row r="14" spans="1:35" ht="36" hidden="1" x14ac:dyDescent="0.25">
      <c r="A14" s="587" t="s">
        <v>1544</v>
      </c>
      <c r="B14" s="369" t="s">
        <v>25</v>
      </c>
      <c r="C14" s="588"/>
      <c r="D14" s="589" t="s">
        <v>1539</v>
      </c>
      <c r="E14" s="44" t="s">
        <v>27</v>
      </c>
      <c r="F14" s="214">
        <v>93599</v>
      </c>
      <c r="G14" s="587" t="s">
        <v>788</v>
      </c>
      <c r="H14" s="590" t="s">
        <v>42</v>
      </c>
      <c r="I14" s="591">
        <f>IF($F14="","",IF('TRECHO(S) A IMPRIMIR'!$B$1= 1, SUM(Q14, T14, W14, Z14), IF('TRECHO(S) A IMPRIMIR'!$B$1= 2, T14, IF('TRECHO(S) A IMPRIMIR'!$B$1= 3, W14, 0))))</f>
        <v>0</v>
      </c>
      <c r="J14" s="592">
        <v>0.41</v>
      </c>
      <c r="K14" s="593">
        <f>IF(AND(F14&lt;&gt;"",J14&lt;&gt;""),
  IF(OR(F14= "CP9001", F14= "CP9091", F14= "CP9092"), 0,
  IF($M$1 = "ENCARGOS SOCIAIS SEM DESONERAÇÃO",'BDI obras SD'!$H$23,'BDI obras CD'!$H$23)),"")</f>
        <v>0.2033513845915047</v>
      </c>
      <c r="L14" s="592">
        <f t="shared" ref="L9:L16" si="1">IF(J14="","",
  IF(AND(J14&lt;&gt;"",K14=""),J14,J14 * (1 + K14)))</f>
        <v>0.4933740676825169</v>
      </c>
      <c r="M14" s="594">
        <f t="shared" ref="M11:M16" si="2">IF(OR(I14="",L14=""),"",I14*L14)</f>
        <v>0</v>
      </c>
      <c r="N14" s="439"/>
      <c r="O14" s="673"/>
      <c r="P14" s="361"/>
      <c r="Q14" s="441">
        <f>Q12 * S14</f>
        <v>0</v>
      </c>
      <c r="R14" s="485"/>
      <c r="S14" s="442">
        <v>0</v>
      </c>
      <c r="T14" s="441">
        <f>T12 * V14</f>
        <v>0</v>
      </c>
      <c r="U14" s="485"/>
      <c r="V14" s="442">
        <f>IF('MLQ-DMT-TR1'!$E$7 &gt; 30, 'MLQ-DMT-TR1'!$E$7 - 30, 0)</f>
        <v>0</v>
      </c>
      <c r="W14" s="441">
        <f>W12 * Y14</f>
        <v>0</v>
      </c>
      <c r="X14" s="485"/>
      <c r="Y14" s="442">
        <f>IF('MLQ-DMT-TR3'!$E$7 &gt; 30, 'MLQ-DMT-TR3'!$E$7 - 30, 0)</f>
        <v>0</v>
      </c>
      <c r="Z14" s="441">
        <f>Z12 * AB14</f>
        <v>0</v>
      </c>
      <c r="AA14" s="485"/>
      <c r="AB14" s="442">
        <v>0</v>
      </c>
      <c r="AC14" s="672"/>
      <c r="AD14" s="441" t="s">
        <v>21</v>
      </c>
      <c r="AE14" s="674" t="s">
        <v>21</v>
      </c>
      <c r="AF14" s="674" t="s">
        <v>21</v>
      </c>
      <c r="AG14" s="674" t="s">
        <v>21</v>
      </c>
      <c r="AH14" s="442" t="s">
        <v>21</v>
      </c>
      <c r="AI14" s="442" t="str">
        <f t="shared" si="0"/>
        <v/>
      </c>
    </row>
    <row r="15" spans="1:35" ht="24" x14ac:dyDescent="0.25">
      <c r="A15" s="587" t="s">
        <v>1545</v>
      </c>
      <c r="B15" s="369" t="s">
        <v>23</v>
      </c>
      <c r="C15" s="588"/>
      <c r="D15" s="589" t="s">
        <v>1540</v>
      </c>
      <c r="E15" s="44" t="s">
        <v>138</v>
      </c>
      <c r="F15" s="214" t="s">
        <v>164</v>
      </c>
      <c r="G15" s="587" t="s">
        <v>3638</v>
      </c>
      <c r="H15" s="590" t="s">
        <v>55</v>
      </c>
      <c r="I15" s="591">
        <v>21387.395722499994</v>
      </c>
      <c r="J15" s="592">
        <v>12.23</v>
      </c>
      <c r="K15" s="593">
        <v>0</v>
      </c>
      <c r="L15" s="592">
        <v>12.23</v>
      </c>
      <c r="M15" s="594">
        <v>261567.84968617494</v>
      </c>
      <c r="N15" s="439"/>
      <c r="O15" s="673"/>
      <c r="P15" s="361"/>
      <c r="Q15" s="441">
        <v>0</v>
      </c>
      <c r="R15" s="485"/>
      <c r="S15" s="442"/>
      <c r="T15" s="441">
        <v>14186.739667499995</v>
      </c>
      <c r="U15" s="485"/>
      <c r="V15" s="442"/>
      <c r="W15" s="441">
        <v>7200.6560549999995</v>
      </c>
      <c r="X15" s="485"/>
      <c r="Y15" s="442"/>
      <c r="Z15" s="441">
        <v>0</v>
      </c>
      <c r="AA15" s="485"/>
      <c r="AB15" s="442"/>
      <c r="AC15" s="672"/>
      <c r="AD15" s="441">
        <v>0</v>
      </c>
      <c r="AE15" s="674">
        <v>0</v>
      </c>
      <c r="AF15" s="674">
        <v>0</v>
      </c>
      <c r="AG15" s="674">
        <v>261567.84968617494</v>
      </c>
      <c r="AH15" s="442">
        <v>0</v>
      </c>
      <c r="AI15" s="442">
        <v>0</v>
      </c>
    </row>
    <row r="16" spans="1:35" x14ac:dyDescent="0.25">
      <c r="A16" s="587"/>
      <c r="B16" s="369"/>
      <c r="C16" s="588"/>
      <c r="D16" s="589"/>
      <c r="E16" s="44"/>
      <c r="F16" s="214"/>
      <c r="G16" s="587" t="s">
        <v>21</v>
      </c>
      <c r="H16" s="590" t="s">
        <v>21</v>
      </c>
      <c r="I16" s="591" t="s">
        <v>21</v>
      </c>
      <c r="J16" s="592" t="s">
        <v>21</v>
      </c>
      <c r="K16" s="593" t="s">
        <v>21</v>
      </c>
      <c r="L16" s="592" t="s">
        <v>21</v>
      </c>
      <c r="M16" s="594" t="s">
        <v>21</v>
      </c>
      <c r="O16" s="673"/>
      <c r="P16" s="361"/>
      <c r="Q16" s="441"/>
      <c r="R16" s="485"/>
      <c r="S16" s="442"/>
      <c r="T16" s="441"/>
      <c r="U16" s="485"/>
      <c r="V16" s="442"/>
      <c r="W16" s="441"/>
      <c r="X16" s="485"/>
      <c r="Y16" s="442"/>
      <c r="Z16" s="441"/>
      <c r="AA16" s="485"/>
      <c r="AB16" s="442"/>
      <c r="AC16" s="672"/>
      <c r="AD16" s="441" t="s">
        <v>21</v>
      </c>
      <c r="AE16" s="674" t="s">
        <v>21</v>
      </c>
      <c r="AF16" s="674" t="s">
        <v>21</v>
      </c>
      <c r="AG16" s="674" t="s">
        <v>21</v>
      </c>
      <c r="AH16" s="442" t="s">
        <v>21</v>
      </c>
      <c r="AI16" s="442" t="s">
        <v>21</v>
      </c>
    </row>
    <row r="17" spans="1:35" ht="60" x14ac:dyDescent="0.25">
      <c r="A17" s="587" t="s">
        <v>1541</v>
      </c>
      <c r="B17" s="369"/>
      <c r="C17" s="588"/>
      <c r="D17" s="589" t="s">
        <v>179</v>
      </c>
      <c r="E17" s="44"/>
      <c r="F17" s="214"/>
      <c r="G17" s="587" t="s">
        <v>1541</v>
      </c>
      <c r="H17" s="590" t="s">
        <v>21</v>
      </c>
      <c r="I17" s="591" t="s">
        <v>21</v>
      </c>
      <c r="J17" s="592" t="s">
        <v>21</v>
      </c>
      <c r="K17" s="593" t="s">
        <v>21</v>
      </c>
      <c r="L17" s="592" t="s">
        <v>21</v>
      </c>
      <c r="M17" s="594">
        <v>594201.4779652257</v>
      </c>
      <c r="O17" s="673"/>
      <c r="P17" s="361"/>
      <c r="Q17" s="441"/>
      <c r="R17" s="485"/>
      <c r="S17" s="442"/>
      <c r="T17" s="441"/>
      <c r="U17" s="485"/>
      <c r="V17" s="442"/>
      <c r="W17" s="441"/>
      <c r="X17" s="485"/>
      <c r="Y17" s="442"/>
      <c r="Z17" s="441"/>
      <c r="AA17" s="485"/>
      <c r="AB17" s="442"/>
      <c r="AC17" s="672"/>
      <c r="AD17" s="441" t="s">
        <v>21</v>
      </c>
      <c r="AE17" s="674" t="s">
        <v>21</v>
      </c>
      <c r="AF17" s="674" t="s">
        <v>21</v>
      </c>
      <c r="AG17" s="674" t="s">
        <v>21</v>
      </c>
      <c r="AH17" s="442" t="s">
        <v>21</v>
      </c>
      <c r="AI17" s="442" t="s">
        <v>21</v>
      </c>
    </row>
    <row r="18" spans="1:35" ht="36" x14ac:dyDescent="0.25">
      <c r="A18" s="587" t="s">
        <v>1282</v>
      </c>
      <c r="B18" s="369" t="s">
        <v>28</v>
      </c>
      <c r="C18" s="588"/>
      <c r="D18" s="589" t="s">
        <v>1712</v>
      </c>
      <c r="E18" s="44" t="s">
        <v>27</v>
      </c>
      <c r="F18" s="214">
        <v>101125</v>
      </c>
      <c r="G18" s="587" t="s">
        <v>1080</v>
      </c>
      <c r="H18" s="590" t="s">
        <v>44</v>
      </c>
      <c r="I18" s="591">
        <v>43925.829999999994</v>
      </c>
      <c r="J18" s="592">
        <v>9.99</v>
      </c>
      <c r="K18" s="593">
        <v>0.2033513845915047</v>
      </c>
      <c r="L18" s="592">
        <v>12.021480332069132</v>
      </c>
      <c r="M18" s="594">
        <v>528053.50141481217</v>
      </c>
      <c r="N18" s="439"/>
      <c r="O18" s="673"/>
      <c r="P18" s="361"/>
      <c r="Q18" s="441"/>
      <c r="R18" s="485">
        <v>1.0923072445820432</v>
      </c>
      <c r="S18" s="442"/>
      <c r="T18" s="441">
        <v>27824.71999999999</v>
      </c>
      <c r="U18" s="485">
        <v>1.0923072445820432</v>
      </c>
      <c r="V18" s="442"/>
      <c r="W18" s="441">
        <v>16101.110000000002</v>
      </c>
      <c r="X18" s="485">
        <v>1.0923072445820432</v>
      </c>
      <c r="Y18" s="442"/>
      <c r="Z18" s="441"/>
      <c r="AA18" s="485">
        <v>1.0923072445820432</v>
      </c>
      <c r="AB18" s="442"/>
      <c r="AC18" s="672"/>
      <c r="AD18" s="441">
        <v>76644.402107255009</v>
      </c>
      <c r="AE18" s="674">
        <v>235219.0271567482</v>
      </c>
      <c r="AF18" s="674">
        <v>216190.07215080899</v>
      </c>
      <c r="AG18" s="674">
        <v>0</v>
      </c>
      <c r="AH18" s="442">
        <v>0</v>
      </c>
      <c r="AI18" s="442">
        <v>0</v>
      </c>
    </row>
    <row r="19" spans="1:35" ht="24" x14ac:dyDescent="0.25">
      <c r="A19" s="587" t="s">
        <v>824</v>
      </c>
      <c r="B19" s="369" t="s">
        <v>28</v>
      </c>
      <c r="C19" s="588"/>
      <c r="D19" s="589" t="s">
        <v>1713</v>
      </c>
      <c r="E19" s="44" t="s">
        <v>27</v>
      </c>
      <c r="F19" s="214">
        <v>100574</v>
      </c>
      <c r="G19" s="587" t="s">
        <v>563</v>
      </c>
      <c r="H19" s="590" t="s">
        <v>44</v>
      </c>
      <c r="I19" s="591">
        <v>4726.7750000000005</v>
      </c>
      <c r="J19" s="592">
        <v>1.04</v>
      </c>
      <c r="K19" s="593">
        <v>0.2033513845915047</v>
      </c>
      <c r="L19" s="592">
        <v>1.2514854399751649</v>
      </c>
      <c r="M19" s="594">
        <v>5915.4900905386112</v>
      </c>
      <c r="N19" s="439"/>
      <c r="O19" s="673"/>
      <c r="P19" s="361"/>
      <c r="Q19" s="441"/>
      <c r="R19" s="485"/>
      <c r="S19" s="442"/>
      <c r="T19" s="441">
        <v>2626.7</v>
      </c>
      <c r="U19" s="485"/>
      <c r="V19" s="442"/>
      <c r="W19" s="441">
        <v>2100.0750000000007</v>
      </c>
      <c r="X19" s="485"/>
      <c r="Y19" s="442"/>
      <c r="Z19" s="441"/>
      <c r="AA19" s="485"/>
      <c r="AB19" s="442"/>
      <c r="AC19" s="672"/>
      <c r="AD19" s="441">
        <v>1251.3536729985524</v>
      </c>
      <c r="AE19" s="674">
        <v>1535.752235043678</v>
      </c>
      <c r="AF19" s="674">
        <v>3128.3841824963811</v>
      </c>
      <c r="AG19" s="674">
        <v>0</v>
      </c>
      <c r="AH19" s="442">
        <v>0</v>
      </c>
      <c r="AI19" s="442">
        <v>0</v>
      </c>
    </row>
    <row r="20" spans="1:35" ht="36" x14ac:dyDescent="0.25">
      <c r="A20" s="587" t="s">
        <v>1005</v>
      </c>
      <c r="B20" s="369" t="s">
        <v>28</v>
      </c>
      <c r="C20" s="588"/>
      <c r="D20" s="589" t="s">
        <v>1714</v>
      </c>
      <c r="E20" s="44" t="s">
        <v>27</v>
      </c>
      <c r="F20" s="214">
        <v>96386</v>
      </c>
      <c r="G20" s="587" t="s">
        <v>575</v>
      </c>
      <c r="H20" s="590" t="s">
        <v>44</v>
      </c>
      <c r="I20" s="591">
        <v>3781.42</v>
      </c>
      <c r="J20" s="592">
        <v>5.51</v>
      </c>
      <c r="K20" s="593">
        <v>0.2033513845915047</v>
      </c>
      <c r="L20" s="592">
        <v>6.6304661290991911</v>
      </c>
      <c r="M20" s="594">
        <v>25072.577229898263</v>
      </c>
      <c r="N20" s="439"/>
      <c r="O20" s="673"/>
      <c r="P20" s="361"/>
      <c r="Q20" s="441">
        <v>0</v>
      </c>
      <c r="R20" s="485">
        <v>1.3653840557275541</v>
      </c>
      <c r="S20" s="442"/>
      <c r="T20" s="441">
        <v>2101.3599999999997</v>
      </c>
      <c r="U20" s="485">
        <v>1.3653840557275541</v>
      </c>
      <c r="V20" s="442"/>
      <c r="W20" s="441">
        <v>1680.0600000000004</v>
      </c>
      <c r="X20" s="485">
        <v>1.3653840557275541</v>
      </c>
      <c r="Y20" s="442"/>
      <c r="Z20" s="441">
        <v>0</v>
      </c>
      <c r="AA20" s="485">
        <v>1.3653840557275541</v>
      </c>
      <c r="AB20" s="442"/>
      <c r="AC20" s="672"/>
      <c r="AD20" s="441">
        <v>5960.99386046583</v>
      </c>
      <c r="AE20" s="674">
        <v>6871.0692590102317</v>
      </c>
      <c r="AF20" s="674">
        <v>12240.5141104222</v>
      </c>
      <c r="AG20" s="674">
        <v>0</v>
      </c>
      <c r="AH20" s="442">
        <v>0</v>
      </c>
      <c r="AI20" s="442">
        <v>0</v>
      </c>
    </row>
    <row r="21" spans="1:35" ht="48" x14ac:dyDescent="0.25">
      <c r="A21" s="587" t="s">
        <v>1079</v>
      </c>
      <c r="B21" s="369" t="s">
        <v>23</v>
      </c>
      <c r="C21" s="588"/>
      <c r="D21" s="589" t="s">
        <v>1715</v>
      </c>
      <c r="E21" s="44" t="s">
        <v>27</v>
      </c>
      <c r="F21" s="214">
        <v>100995</v>
      </c>
      <c r="G21" s="587" t="s">
        <v>773</v>
      </c>
      <c r="H21" s="590" t="s">
        <v>55</v>
      </c>
      <c r="I21" s="591">
        <v>5163.0905760092883</v>
      </c>
      <c r="J21" s="592">
        <v>3.11</v>
      </c>
      <c r="K21" s="593">
        <v>0.2033513845915047</v>
      </c>
      <c r="L21" s="592">
        <v>3.7424228060795794</v>
      </c>
      <c r="M21" s="594">
        <v>19322.467921511714</v>
      </c>
      <c r="N21" s="439"/>
      <c r="O21" s="673"/>
      <c r="P21" s="361"/>
      <c r="Q21" s="441">
        <v>0</v>
      </c>
      <c r="R21" s="485"/>
      <c r="S21" s="442"/>
      <c r="T21" s="441">
        <v>2869.1634393436525</v>
      </c>
      <c r="U21" s="485"/>
      <c r="V21" s="442"/>
      <c r="W21" s="441">
        <v>2293.9271366656353</v>
      </c>
      <c r="X21" s="485"/>
      <c r="Y21" s="442"/>
      <c r="Z21" s="441">
        <v>0</v>
      </c>
      <c r="AA21" s="485"/>
      <c r="AB21" s="442"/>
      <c r="AC21" s="672"/>
      <c r="AD21" s="441">
        <v>1926.0337799577592</v>
      </c>
      <c r="AE21" s="674">
        <v>9070.9978023817039</v>
      </c>
      <c r="AF21" s="674">
        <v>8325.4363391722509</v>
      </c>
      <c r="AG21" s="674">
        <v>0</v>
      </c>
      <c r="AH21" s="442">
        <v>0</v>
      </c>
      <c r="AI21" s="442">
        <v>0</v>
      </c>
    </row>
    <row r="22" spans="1:35" ht="36" x14ac:dyDescent="0.25">
      <c r="A22" s="587" t="s">
        <v>957</v>
      </c>
      <c r="B22" s="369" t="s">
        <v>25</v>
      </c>
      <c r="C22" s="588"/>
      <c r="D22" s="589" t="s">
        <v>1716</v>
      </c>
      <c r="E22" s="44" t="s">
        <v>27</v>
      </c>
      <c r="F22" s="214">
        <v>100943</v>
      </c>
      <c r="G22" s="587" t="s">
        <v>786</v>
      </c>
      <c r="H22" s="590" t="s">
        <v>42</v>
      </c>
      <c r="I22" s="591">
        <v>4245.5197213430338</v>
      </c>
      <c r="J22" s="592">
        <v>3.1</v>
      </c>
      <c r="K22" s="593">
        <v>0.2033513845915047</v>
      </c>
      <c r="L22" s="592">
        <v>3.7303892922336646</v>
      </c>
      <c r="M22" s="594">
        <v>15837.441308464904</v>
      </c>
      <c r="N22" s="439"/>
      <c r="O22" s="673"/>
      <c r="P22" s="361"/>
      <c r="Q22" s="441">
        <v>0</v>
      </c>
      <c r="R22" s="485"/>
      <c r="S22" s="442">
        <v>0</v>
      </c>
      <c r="T22" s="441">
        <v>2869.1634393436525</v>
      </c>
      <c r="U22" s="485"/>
      <c r="V22" s="442">
        <v>1</v>
      </c>
      <c r="W22" s="441">
        <v>1376.3562819993811</v>
      </c>
      <c r="X22" s="485"/>
      <c r="Y22" s="442">
        <v>0.6</v>
      </c>
      <c r="Z22" s="441">
        <v>0</v>
      </c>
      <c r="AA22" s="485"/>
      <c r="AB22" s="442">
        <v>0</v>
      </c>
      <c r="AC22" s="672"/>
      <c r="AD22" s="441">
        <v>1123.9474476975095</v>
      </c>
      <c r="AE22" s="674">
        <v>8838.3140205304153</v>
      </c>
      <c r="AF22" s="674">
        <v>5875.1798402369805</v>
      </c>
      <c r="AG22" s="674">
        <v>0</v>
      </c>
      <c r="AH22" s="442">
        <v>0</v>
      </c>
      <c r="AI22" s="442">
        <v>-1.8189894035458565E-12</v>
      </c>
    </row>
    <row r="23" spans="1:35" x14ac:dyDescent="0.25">
      <c r="A23" s="587"/>
      <c r="B23" s="369"/>
      <c r="C23" s="588"/>
      <c r="D23" s="589"/>
      <c r="E23" s="44"/>
      <c r="F23" s="214"/>
      <c r="G23" s="587" t="s">
        <v>21</v>
      </c>
      <c r="H23" s="590" t="s">
        <v>21</v>
      </c>
      <c r="I23" s="591" t="s">
        <v>21</v>
      </c>
      <c r="J23" s="592" t="s">
        <v>21</v>
      </c>
      <c r="K23" s="593" t="s">
        <v>21</v>
      </c>
      <c r="L23" s="592" t="s">
        <v>21</v>
      </c>
      <c r="M23" s="594" t="s">
        <v>21</v>
      </c>
      <c r="O23" s="673"/>
      <c r="P23" s="361"/>
      <c r="Q23" s="441"/>
      <c r="R23" s="485"/>
      <c r="S23" s="442"/>
      <c r="T23" s="441"/>
      <c r="U23" s="485"/>
      <c r="V23" s="442"/>
      <c r="W23" s="441"/>
      <c r="X23" s="485"/>
      <c r="Y23" s="442"/>
      <c r="Z23" s="441"/>
      <c r="AA23" s="485"/>
      <c r="AB23" s="442"/>
      <c r="AC23" s="672"/>
      <c r="AD23" s="441" t="s">
        <v>21</v>
      </c>
      <c r="AE23" s="674" t="s">
        <v>21</v>
      </c>
      <c r="AF23" s="674" t="s">
        <v>21</v>
      </c>
      <c r="AG23" s="674" t="s">
        <v>21</v>
      </c>
      <c r="AH23" s="442" t="s">
        <v>21</v>
      </c>
      <c r="AI23" s="442" t="s">
        <v>21</v>
      </c>
    </row>
    <row r="24" spans="1:35" ht="36" x14ac:dyDescent="0.25">
      <c r="A24" s="1771" t="s">
        <v>4006</v>
      </c>
      <c r="B24" s="369"/>
      <c r="C24" s="588"/>
      <c r="D24" s="589" t="s">
        <v>915</v>
      </c>
      <c r="E24" s="44"/>
      <c r="F24" s="214"/>
      <c r="G24" s="587" t="s">
        <v>4006</v>
      </c>
      <c r="H24" s="590" t="s">
        <v>21</v>
      </c>
      <c r="I24" s="591" t="s">
        <v>21</v>
      </c>
      <c r="J24" s="592" t="s">
        <v>21</v>
      </c>
      <c r="K24" s="593" t="s">
        <v>21</v>
      </c>
      <c r="L24" s="592" t="s">
        <v>21</v>
      </c>
      <c r="M24" s="594">
        <v>720639.18814907782</v>
      </c>
      <c r="O24" s="673"/>
      <c r="P24" s="361"/>
      <c r="Q24" s="441"/>
      <c r="R24" s="485"/>
      <c r="S24" s="442"/>
      <c r="T24" s="441"/>
      <c r="U24" s="485"/>
      <c r="V24" s="442"/>
      <c r="W24" s="441"/>
      <c r="X24" s="485"/>
      <c r="Y24" s="442"/>
      <c r="Z24" s="441"/>
      <c r="AA24" s="485"/>
      <c r="AB24" s="442"/>
      <c r="AC24" s="672"/>
      <c r="AD24" s="441" t="s">
        <v>21</v>
      </c>
      <c r="AE24" s="674" t="s">
        <v>21</v>
      </c>
      <c r="AF24" s="674" t="s">
        <v>21</v>
      </c>
      <c r="AG24" s="674" t="s">
        <v>21</v>
      </c>
      <c r="AH24" s="442" t="s">
        <v>21</v>
      </c>
      <c r="AI24" s="442" t="s">
        <v>21</v>
      </c>
    </row>
    <row r="25" spans="1:35" ht="48" x14ac:dyDescent="0.25">
      <c r="A25" s="587" t="s">
        <v>1079</v>
      </c>
      <c r="B25" s="369" t="s">
        <v>28</v>
      </c>
      <c r="C25" s="588"/>
      <c r="D25" s="589" t="s">
        <v>1718</v>
      </c>
      <c r="E25" s="44" t="s">
        <v>27</v>
      </c>
      <c r="F25" s="214">
        <v>100995</v>
      </c>
      <c r="G25" s="587" t="s">
        <v>773</v>
      </c>
      <c r="H25" s="590" t="s">
        <v>55</v>
      </c>
      <c r="I25" s="591">
        <v>27907.257572636918</v>
      </c>
      <c r="J25" s="592">
        <v>3.11</v>
      </c>
      <c r="K25" s="593">
        <v>0.2033513845915047</v>
      </c>
      <c r="L25" s="592">
        <v>3.7424228060795794</v>
      </c>
      <c r="M25" s="594">
        <v>104440.75719497344</v>
      </c>
      <c r="N25" s="439"/>
      <c r="O25" s="673"/>
      <c r="P25" s="361"/>
      <c r="Q25" s="441">
        <v>0</v>
      </c>
      <c r="R25" s="485"/>
      <c r="S25" s="442"/>
      <c r="T25" s="582">
        <v>13187.307394656578</v>
      </c>
      <c r="U25" s="485"/>
      <c r="V25" s="442"/>
      <c r="W25" s="582">
        <v>14719.95017798034</v>
      </c>
      <c r="X25" s="485"/>
      <c r="Y25" s="442"/>
      <c r="Z25" s="441">
        <v>0</v>
      </c>
      <c r="AA25" s="485"/>
      <c r="AB25" s="442"/>
      <c r="AC25" s="672"/>
      <c r="AD25" s="441">
        <v>10410.493482457161</v>
      </c>
      <c r="AE25" s="674">
        <v>49030.06607866921</v>
      </c>
      <c r="AF25" s="674">
        <v>45000.197633847078</v>
      </c>
      <c r="AG25" s="674">
        <v>0</v>
      </c>
      <c r="AH25" s="442">
        <v>0</v>
      </c>
      <c r="AI25" s="442">
        <v>0</v>
      </c>
    </row>
    <row r="26" spans="1:35" ht="36" x14ac:dyDescent="0.25">
      <c r="A26" s="587" t="s">
        <v>1274</v>
      </c>
      <c r="B26" s="369" t="s">
        <v>28</v>
      </c>
      <c r="C26" s="588"/>
      <c r="D26" s="589" t="s">
        <v>1719</v>
      </c>
      <c r="E26" s="44" t="s">
        <v>27</v>
      </c>
      <c r="F26" s="214">
        <v>95879</v>
      </c>
      <c r="G26" s="587" t="s">
        <v>789</v>
      </c>
      <c r="H26" s="590" t="s">
        <v>42</v>
      </c>
      <c r="I26" s="591">
        <v>492373.63158322684</v>
      </c>
      <c r="J26" s="592">
        <v>1.04</v>
      </c>
      <c r="K26" s="593">
        <v>0.2033513845915047</v>
      </c>
      <c r="L26" s="592">
        <v>1.2514854399751649</v>
      </c>
      <c r="M26" s="594">
        <v>616198.43095410441</v>
      </c>
      <c r="N26" s="439"/>
      <c r="O26" s="673"/>
      <c r="P26" s="361"/>
      <c r="Q26" s="441">
        <v>0</v>
      </c>
      <c r="R26" s="485"/>
      <c r="S26" s="442">
        <v>0</v>
      </c>
      <c r="T26" s="441">
        <v>225942.5333617827</v>
      </c>
      <c r="U26" s="485"/>
      <c r="V26" s="442">
        <v>17.133333333333333</v>
      </c>
      <c r="W26" s="441">
        <v>266431.09822144418</v>
      </c>
      <c r="X26" s="485"/>
      <c r="Y26" s="442">
        <v>18.100000000000001</v>
      </c>
      <c r="Z26" s="441">
        <v>0</v>
      </c>
      <c r="AA26" s="485"/>
      <c r="AB26" s="442">
        <v>0</v>
      </c>
      <c r="AC26" s="672"/>
      <c r="AD26" s="441">
        <v>41474.894391141643</v>
      </c>
      <c r="AE26" s="674">
        <v>355499.09478121408</v>
      </c>
      <c r="AF26" s="674">
        <v>219224.44178174867</v>
      </c>
      <c r="AG26" s="674">
        <v>0</v>
      </c>
      <c r="AH26" s="442">
        <v>0</v>
      </c>
      <c r="AI26" s="442">
        <v>0</v>
      </c>
    </row>
    <row r="27" spans="1:35" ht="36" hidden="1" x14ac:dyDescent="0.25">
      <c r="A27" s="587" t="s">
        <v>1275</v>
      </c>
      <c r="B27" s="369" t="s">
        <v>28</v>
      </c>
      <c r="C27" s="588"/>
      <c r="D27" s="589" t="s">
        <v>1720</v>
      </c>
      <c r="E27" s="44" t="s">
        <v>27</v>
      </c>
      <c r="F27" s="214">
        <v>93599</v>
      </c>
      <c r="G27" s="587" t="s">
        <v>788</v>
      </c>
      <c r="H27" s="590" t="s">
        <v>42</v>
      </c>
      <c r="I27" s="591">
        <f>IF($F27="","",IF('TRECHO(S) A IMPRIMIR'!$B$1= 1, SUM(Q27, T27, W27, Z27), IF('TRECHO(S) A IMPRIMIR'!$B$1= 2, T27, IF('TRECHO(S) A IMPRIMIR'!$B$1= 3, W27, 0))))</f>
        <v>0</v>
      </c>
      <c r="J27" s="592">
        <v>0.41</v>
      </c>
      <c r="K27" s="593">
        <f>IF(AND(F27&lt;&gt;"",J27&lt;&gt;""),
  IF(OR(F27= "CP9001", F27= "CP9091", F27= "CP9092"), 0,
  IF($M$1 = "ENCARGOS SOCIAIS SEM DESONERAÇÃO",'BDI obras SD'!$H$23,'BDI obras CD'!$H$23)),"")</f>
        <v>0.2033513845915047</v>
      </c>
      <c r="L27" s="592">
        <f t="shared" ref="L24:L28" si="3">IF(J27="","",
  IF(AND(J27&lt;&gt;"",K27=""),J27,J27 * (1 + K27)))</f>
        <v>0.4933740676825169</v>
      </c>
      <c r="M27" s="594">
        <f t="shared" ref="M25:M29" si="4">IF(OR(I27="",L27=""),"",I27*L27)</f>
        <v>0</v>
      </c>
      <c r="N27" s="439"/>
      <c r="O27" s="673"/>
      <c r="P27" s="361"/>
      <c r="Q27" s="441">
        <f>Q25 * S27</f>
        <v>0</v>
      </c>
      <c r="R27" s="485"/>
      <c r="S27" s="442">
        <v>0</v>
      </c>
      <c r="T27" s="441">
        <f>T25 * V27</f>
        <v>0</v>
      </c>
      <c r="U27" s="485"/>
      <c r="V27" s="442">
        <f>IF('MLQ-DMT-TR1'!$E$15 &gt; 30, 'MLQ-DMT-TR1'!$E$15 - 30, 0)</f>
        <v>0</v>
      </c>
      <c r="W27" s="441">
        <f>W25 * Y27</f>
        <v>0</v>
      </c>
      <c r="X27" s="485"/>
      <c r="Y27" s="442">
        <f>IF('MLQ-DMT-TR3'!$E$7 &gt; 30, 'MLQ-DMT-TR3'!$E$7 - 30, 0)</f>
        <v>0</v>
      </c>
      <c r="Z27" s="441">
        <f>Z25 * AB27</f>
        <v>0</v>
      </c>
      <c r="AA27" s="485"/>
      <c r="AB27" s="442">
        <v>0</v>
      </c>
      <c r="AC27" s="672"/>
      <c r="AD27" s="441" t="s">
        <v>21</v>
      </c>
      <c r="AE27" s="674" t="s">
        <v>21</v>
      </c>
      <c r="AF27" s="674" t="s">
        <v>21</v>
      </c>
      <c r="AG27" s="674" t="s">
        <v>21</v>
      </c>
      <c r="AH27" s="442" t="s">
        <v>21</v>
      </c>
      <c r="AI27" s="442" t="str">
        <f t="shared" si="0"/>
        <v/>
      </c>
    </row>
    <row r="28" spans="1:35" x14ac:dyDescent="0.25">
      <c r="A28" s="587"/>
      <c r="B28" s="369"/>
      <c r="C28" s="588"/>
      <c r="D28" s="589"/>
      <c r="E28" s="44"/>
      <c r="F28" s="214"/>
      <c r="G28" s="587" t="s">
        <v>21</v>
      </c>
      <c r="H28" s="590" t="s">
        <v>21</v>
      </c>
      <c r="I28" s="591" t="str">
        <f>IF($F28="","",IF('TRECHO(S) A IMPRIMIR'!$B$1= 1, SUM(Q28, T28, W28, Z28), IF('TRECHO(S) A IMPRIMIR'!$B$1= 2, T28, IF('TRECHO(S) A IMPRIMIR'!$B$1= 3, W28, 0))))</f>
        <v/>
      </c>
      <c r="J28" s="592" t="s">
        <v>21</v>
      </c>
      <c r="K28" s="593" t="str">
        <f>IF(AND(F28&lt;&gt;"",J28&lt;&gt;""),
  IF(OR(F28= "CP9001", F28= "CP9091", F28= "CP9092"), 0,
  IF($M$1 = "ENCARGOS SOCIAIS SEM DESONERAÇÃO",'BDI obras SD'!$H$23,'BDI obras CD'!$H$23)),"")</f>
        <v/>
      </c>
      <c r="L28" s="592" t="str">
        <f t="shared" si="3"/>
        <v/>
      </c>
      <c r="M28" s="594" t="str">
        <f t="shared" si="4"/>
        <v/>
      </c>
      <c r="O28" s="673"/>
      <c r="P28" s="361"/>
      <c r="Q28" s="441"/>
      <c r="R28" s="485"/>
      <c r="S28" s="442"/>
      <c r="T28" s="441"/>
      <c r="U28" s="485"/>
      <c r="V28" s="442"/>
      <c r="W28" s="441"/>
      <c r="X28" s="485"/>
      <c r="Y28" s="442"/>
      <c r="Z28" s="441"/>
      <c r="AA28" s="485"/>
      <c r="AB28" s="442"/>
      <c r="AC28" s="672"/>
      <c r="AD28" s="441" t="s">
        <v>21</v>
      </c>
      <c r="AE28" s="674" t="s">
        <v>21</v>
      </c>
      <c r="AF28" s="674" t="s">
        <v>21</v>
      </c>
      <c r="AG28" s="674" t="s">
        <v>21</v>
      </c>
      <c r="AH28" s="442" t="s">
        <v>21</v>
      </c>
      <c r="AI28" s="442" t="s">
        <v>21</v>
      </c>
    </row>
    <row r="29" spans="1:35" ht="13.5" thickBot="1" x14ac:dyDescent="0.3">
      <c r="A29" s="587"/>
      <c r="B29" s="369"/>
      <c r="C29" s="588"/>
      <c r="D29" s="609" t="s">
        <v>21</v>
      </c>
      <c r="E29" s="483"/>
      <c r="F29" s="484"/>
      <c r="G29" s="610" t="s">
        <v>21</v>
      </c>
      <c r="H29" s="611" t="s">
        <v>21</v>
      </c>
      <c r="I29" s="612" t="str">
        <f>IF($F29="","",IF('TRECHO(S) A IMPRIMIR'!$B$1= 1, SUM(Q29, T29, W29, Z29), IF('TRECHO(S) A IMPRIMIR'!$B$1= 2, T29, IF('TRECHO(S) A IMPRIMIR'!$B$1= 3, W29, 0))))</f>
        <v/>
      </c>
      <c r="J29" s="613" t="s">
        <v>21</v>
      </c>
      <c r="K29" s="614" t="str">
        <f>IF(AND(F29&lt;&gt;"",J29&lt;&gt;""),
  IF(OR(F29= "CP9001", F29= "CP9091", F29= "CP9092"), 0,
  IF($M$1 = "ENCARGOS SOCIAIS SEM DESONERAÇÃO",'BDI obras SD'!$H$23,'BDI obras CD'!$H$23)),"")</f>
        <v/>
      </c>
      <c r="L29" s="613" t="str">
        <f>IF(J29="","",
  IF(AND(J29&lt;&gt;"",K29=""),J29,J29 * (1 + K29)))</f>
        <v/>
      </c>
      <c r="M29" s="615" t="str">
        <f t="shared" si="4"/>
        <v/>
      </c>
      <c r="O29" s="673"/>
      <c r="P29" s="361"/>
      <c r="Q29" s="443"/>
      <c r="R29" s="486"/>
      <c r="S29" s="444"/>
      <c r="T29" s="443"/>
      <c r="U29" s="486"/>
      <c r="V29" s="444"/>
      <c r="W29" s="443"/>
      <c r="X29" s="486"/>
      <c r="Y29" s="444"/>
      <c r="Z29" s="443"/>
      <c r="AA29" s="486"/>
      <c r="AB29" s="444"/>
      <c r="AC29" s="672"/>
      <c r="AD29" s="443" t="s">
        <v>21</v>
      </c>
      <c r="AE29" s="687" t="s">
        <v>21</v>
      </c>
      <c r="AF29" s="687" t="s">
        <v>21</v>
      </c>
      <c r="AG29" s="687" t="s">
        <v>21</v>
      </c>
      <c r="AH29" s="444" t="s">
        <v>21</v>
      </c>
      <c r="AI29" s="444" t="s">
        <v>21</v>
      </c>
    </row>
    <row r="30" spans="1:35" x14ac:dyDescent="0.25">
      <c r="A30" s="616"/>
      <c r="B30" s="617"/>
      <c r="C30" s="588"/>
      <c r="D30" s="651" t="s">
        <v>1383</v>
      </c>
      <c r="E30" s="515" t="s">
        <v>1384</v>
      </c>
      <c r="F30" s="516"/>
      <c r="G30" s="652"/>
      <c r="H30" s="652"/>
      <c r="I30" s="653"/>
      <c r="J30" s="654"/>
      <c r="K30" s="655"/>
      <c r="L30" s="654"/>
      <c r="M30" s="656"/>
      <c r="O30" s="688"/>
      <c r="P30" s="361"/>
      <c r="AC30" s="672"/>
      <c r="AD30" s="797">
        <v>217460.18013621419</v>
      </c>
      <c r="AE30" s="798">
        <v>1059147.2627822463</v>
      </c>
      <c r="AF30" s="798">
        <v>787681.62487532722</v>
      </c>
      <c r="AG30" s="798">
        <v>261567.84968617494</v>
      </c>
      <c r="AH30" s="799">
        <v>0</v>
      </c>
      <c r="AI30" s="800">
        <v>2.0008883439004421E-11</v>
      </c>
    </row>
    <row r="31" spans="1:35" x14ac:dyDescent="0.25">
      <c r="A31" s="623"/>
      <c r="B31" s="624"/>
      <c r="C31" s="588"/>
      <c r="D31" s="625" t="s">
        <v>1385</v>
      </c>
      <c r="E31" s="519"/>
      <c r="F31" s="520"/>
      <c r="G31" s="657"/>
      <c r="H31" s="519"/>
      <c r="I31" s="658"/>
      <c r="J31" s="659"/>
      <c r="K31" s="660"/>
      <c r="L31" s="659"/>
      <c r="M31" s="661"/>
      <c r="O31" s="688"/>
      <c r="P31" s="361"/>
      <c r="AC31" s="672"/>
      <c r="AD31" s="440"/>
      <c r="AE31" s="440"/>
      <c r="AF31" s="440"/>
      <c r="AG31" s="440"/>
      <c r="AH31" s="440"/>
      <c r="AI31" s="440"/>
    </row>
    <row r="32" spans="1:35" x14ac:dyDescent="0.25">
      <c r="A32" s="623"/>
      <c r="B32" s="624"/>
      <c r="C32" s="588"/>
      <c r="D32" s="631" t="s">
        <v>1386</v>
      </c>
      <c r="E32" s="525"/>
      <c r="F32" s="526"/>
      <c r="G32" s="662"/>
      <c r="H32" s="525"/>
      <c r="I32" s="663"/>
      <c r="J32" s="664"/>
      <c r="K32" s="665"/>
      <c r="L32" s="664"/>
      <c r="M32" s="666"/>
      <c r="O32" s="688"/>
      <c r="P32" s="361"/>
      <c r="AC32" s="672"/>
      <c r="AD32" s="440"/>
      <c r="AE32" s="440"/>
      <c r="AF32" s="440"/>
      <c r="AG32" s="440"/>
      <c r="AH32" s="440"/>
      <c r="AI32" s="440"/>
    </row>
    <row r="33" spans="1:35" x14ac:dyDescent="0.25">
      <c r="A33" s="623"/>
      <c r="B33" s="624"/>
      <c r="C33" s="588"/>
      <c r="D33" s="631" t="s">
        <v>1535</v>
      </c>
      <c r="E33" s="525"/>
      <c r="F33" s="526"/>
      <c r="G33" s="662"/>
      <c r="H33" s="525"/>
      <c r="I33" s="663"/>
      <c r="J33" s="664"/>
      <c r="K33" s="665"/>
      <c r="L33" s="664"/>
      <c r="M33" s="666"/>
      <c r="O33" s="688"/>
      <c r="P33" s="361"/>
      <c r="AC33" s="672"/>
      <c r="AD33" s="440"/>
      <c r="AE33" s="440"/>
      <c r="AF33" s="440"/>
      <c r="AG33" s="440"/>
      <c r="AH33" s="440"/>
      <c r="AI33" s="440"/>
    </row>
    <row r="34" spans="1:35" x14ac:dyDescent="0.25">
      <c r="A34" s="623"/>
      <c r="B34" s="624"/>
      <c r="C34" s="588"/>
      <c r="D34" s="631"/>
      <c r="E34" s="525"/>
      <c r="F34" s="526"/>
      <c r="G34" s="662"/>
      <c r="H34" s="525"/>
      <c r="I34" s="663"/>
      <c r="J34" s="664"/>
      <c r="K34" s="665"/>
      <c r="L34" s="664"/>
      <c r="M34" s="666"/>
      <c r="O34" s="688"/>
      <c r="P34" s="361"/>
      <c r="AC34" s="672"/>
      <c r="AD34" s="440"/>
      <c r="AE34" s="440"/>
      <c r="AF34" s="440"/>
      <c r="AG34" s="440"/>
      <c r="AH34" s="440"/>
      <c r="AI34" s="440"/>
    </row>
    <row r="35" spans="1:35" ht="13.5" thickBot="1" x14ac:dyDescent="0.3">
      <c r="A35" s="623"/>
      <c r="B35" s="624"/>
      <c r="C35" s="588"/>
      <c r="D35" s="637"/>
      <c r="E35" s="527"/>
      <c r="F35" s="528"/>
      <c r="G35" s="667"/>
      <c r="H35" s="527"/>
      <c r="I35" s="668"/>
      <c r="J35" s="669"/>
      <c r="K35" s="670"/>
      <c r="L35" s="669"/>
      <c r="M35" s="671"/>
      <c r="O35" s="688"/>
      <c r="P35" s="361"/>
      <c r="AC35" s="672"/>
      <c r="AD35" s="440"/>
      <c r="AE35" s="440"/>
      <c r="AF35" s="440"/>
      <c r="AG35" s="440"/>
      <c r="AH35" s="440"/>
      <c r="AI35" s="440"/>
    </row>
    <row r="36" spans="1:35" x14ac:dyDescent="0.25">
      <c r="A36" s="643"/>
      <c r="B36" s="644"/>
      <c r="C36" s="588"/>
      <c r="D36" s="123" t="str">
        <f>'PSP-RESUMO'!$A$16</f>
        <v>RRT DO ORÇAMENTO: 0</v>
      </c>
      <c r="E36" s="588"/>
      <c r="F36" s="645"/>
      <c r="G36" s="588"/>
      <c r="H36" s="646"/>
      <c r="I36" s="647"/>
      <c r="J36" s="648"/>
      <c r="K36" s="649"/>
      <c r="L36" s="648"/>
      <c r="M36" s="650"/>
      <c r="O36" s="672"/>
      <c r="P36" s="361"/>
      <c r="AC36" s="672"/>
      <c r="AD36" s="440"/>
      <c r="AE36" s="440"/>
      <c r="AF36" s="440"/>
      <c r="AG36" s="440"/>
      <c r="AH36" s="440"/>
      <c r="AI36" s="440"/>
    </row>
    <row r="37" spans="1:35" x14ac:dyDescent="0.25">
      <c r="A37" s="643"/>
      <c r="B37" s="644"/>
      <c r="C37" s="588"/>
      <c r="D37" s="693"/>
      <c r="E37" s="588"/>
      <c r="F37" s="645"/>
      <c r="G37" s="588"/>
      <c r="H37" s="646"/>
      <c r="I37" s="647"/>
      <c r="J37" s="643"/>
      <c r="K37" s="694"/>
      <c r="L37" s="647"/>
      <c r="M37" s="647"/>
      <c r="O37" s="672"/>
      <c r="P37" s="361"/>
      <c r="AC37" s="672"/>
      <c r="AD37" s="440"/>
      <c r="AE37" s="440"/>
      <c r="AF37" s="440"/>
      <c r="AG37" s="440"/>
      <c r="AH37" s="440"/>
      <c r="AI37" s="440"/>
    </row>
    <row r="38" spans="1:35" x14ac:dyDescent="0.25">
      <c r="A38" s="492"/>
      <c r="B38" s="644"/>
      <c r="C38" s="588"/>
      <c r="D38" s="588"/>
      <c r="E38" s="588"/>
      <c r="F38" s="645"/>
      <c r="G38" s="588"/>
      <c r="H38" s="646"/>
      <c r="I38" s="647"/>
      <c r="J38" s="492"/>
      <c r="K38" s="354" t="s">
        <v>135</v>
      </c>
      <c r="L38" s="354"/>
      <c r="M38" s="355"/>
      <c r="O38" s="672"/>
      <c r="P38" s="361"/>
      <c r="AC38" s="672"/>
      <c r="AD38" s="440"/>
      <c r="AE38" s="440"/>
      <c r="AF38" s="440"/>
      <c r="AG38" s="440"/>
      <c r="AH38" s="440"/>
      <c r="AI38" s="440"/>
    </row>
    <row r="39" spans="1:35" x14ac:dyDescent="0.25">
      <c r="A39" s="492"/>
      <c r="B39" s="644"/>
      <c r="C39" s="588"/>
      <c r="D39" s="695"/>
      <c r="E39" s="695"/>
      <c r="F39" s="696"/>
      <c r="G39" s="695"/>
      <c r="H39" s="644"/>
      <c r="I39" s="643"/>
      <c r="J39" s="492"/>
      <c r="K39" s="492" t="s">
        <v>136</v>
      </c>
      <c r="L39" s="492"/>
      <c r="M39" s="383"/>
      <c r="O39" s="672"/>
      <c r="P39" s="361"/>
      <c r="AC39" s="672"/>
      <c r="AD39" s="440"/>
      <c r="AE39" s="440"/>
      <c r="AF39" s="440"/>
      <c r="AG39" s="440"/>
      <c r="AH39" s="440"/>
      <c r="AI39" s="440"/>
    </row>
    <row r="40" spans="1:35" s="40" customFormat="1" x14ac:dyDescent="0.25">
      <c r="A40" s="491"/>
      <c r="B40" s="284"/>
      <c r="C40" s="3"/>
      <c r="D40" s="493"/>
      <c r="E40" s="493"/>
      <c r="F40" s="494"/>
      <c r="G40" s="493"/>
      <c r="H40" s="495"/>
      <c r="I40" s="496"/>
      <c r="J40" s="496"/>
      <c r="K40" s="497"/>
      <c r="L40" s="496"/>
      <c r="M40" s="496"/>
      <c r="O40" s="3"/>
      <c r="Q40" s="440"/>
      <c r="R40" s="471"/>
      <c r="S40" s="440"/>
      <c r="T40" s="440"/>
      <c r="U40" s="471"/>
      <c r="V40" s="440"/>
      <c r="W40" s="440"/>
      <c r="X40" s="471"/>
      <c r="Y40" s="440"/>
      <c r="Z40" s="440"/>
      <c r="AA40" s="471"/>
      <c r="AB40" s="440"/>
      <c r="AD40" s="498"/>
      <c r="AE40" s="498"/>
      <c r="AF40" s="498"/>
      <c r="AG40" s="498"/>
      <c r="AH40" s="498"/>
      <c r="AI40" s="498"/>
    </row>
    <row r="41" spans="1:35" s="40" customFormat="1" x14ac:dyDescent="0.25">
      <c r="A41" s="491"/>
      <c r="B41" s="284"/>
      <c r="C41" s="3"/>
      <c r="D41" s="116"/>
      <c r="E41" s="118"/>
      <c r="F41" s="117"/>
      <c r="G41" s="118"/>
      <c r="H41" s="119"/>
      <c r="I41" s="120"/>
      <c r="J41" s="121" t="s">
        <v>417</v>
      </c>
      <c r="K41" s="407"/>
      <c r="L41" s="121"/>
      <c r="M41" s="128">
        <v>6977570.7524398873</v>
      </c>
      <c r="O41" s="3"/>
      <c r="Q41" s="440"/>
      <c r="R41" s="471"/>
      <c r="S41" s="440"/>
      <c r="T41" s="440"/>
      <c r="U41" s="471"/>
      <c r="V41" s="440"/>
      <c r="W41" s="440"/>
      <c r="X41" s="471"/>
      <c r="Y41" s="440"/>
      <c r="Z41" s="440"/>
      <c r="AA41" s="471"/>
      <c r="AB41" s="440"/>
      <c r="AD41" s="498"/>
      <c r="AE41" s="498"/>
      <c r="AF41" s="498"/>
      <c r="AG41" s="498"/>
      <c r="AH41" s="498"/>
      <c r="AI41" s="498"/>
    </row>
    <row r="42" spans="1:35" s="40" customFormat="1" x14ac:dyDescent="0.25">
      <c r="A42" s="283"/>
      <c r="B42" s="284"/>
      <c r="C42" s="3"/>
      <c r="D42" s="3"/>
      <c r="E42" s="3"/>
      <c r="F42" s="115"/>
      <c r="G42" s="3"/>
      <c r="H42" s="4"/>
      <c r="I42" s="2"/>
      <c r="J42" s="279" t="s">
        <v>392</v>
      </c>
      <c r="K42" s="408"/>
      <c r="L42" s="279"/>
      <c r="M42" s="2">
        <v>2325856.9174799626</v>
      </c>
      <c r="O42" s="141"/>
      <c r="Q42" s="440"/>
      <c r="R42" s="471"/>
      <c r="S42" s="440"/>
      <c r="T42" s="440"/>
      <c r="U42" s="471"/>
      <c r="V42" s="440"/>
      <c r="W42" s="440"/>
      <c r="X42" s="471"/>
      <c r="Y42" s="440"/>
      <c r="Z42" s="440"/>
      <c r="AA42" s="471"/>
      <c r="AB42" s="440"/>
      <c r="AD42" s="498"/>
      <c r="AE42" s="498"/>
      <c r="AF42" s="498"/>
      <c r="AG42" s="498"/>
      <c r="AH42" s="498"/>
      <c r="AI42" s="498"/>
    </row>
    <row r="43" spans="1:35" s="40" customFormat="1" x14ac:dyDescent="0.25">
      <c r="A43" s="3"/>
      <c r="B43" s="4"/>
      <c r="C43" s="3"/>
      <c r="D43" s="3"/>
      <c r="E43" s="3"/>
      <c r="F43" s="115"/>
      <c r="G43" s="3"/>
      <c r="H43" s="4"/>
      <c r="I43" s="2"/>
      <c r="J43" s="279" t="s">
        <v>393</v>
      </c>
      <c r="K43" s="408"/>
      <c r="L43" s="279"/>
      <c r="M43" s="2">
        <v>-4651713.8349599242</v>
      </c>
      <c r="O43" s="141"/>
      <c r="Q43" s="440"/>
      <c r="R43" s="471"/>
      <c r="S43" s="440"/>
      <c r="T43" s="440"/>
      <c r="U43" s="471"/>
      <c r="V43" s="440"/>
      <c r="W43" s="440"/>
      <c r="X43" s="471"/>
      <c r="Y43" s="440"/>
      <c r="Z43" s="440"/>
      <c r="AA43" s="471"/>
      <c r="AB43" s="440"/>
      <c r="AD43" s="498"/>
      <c r="AE43" s="498"/>
      <c r="AF43" s="498"/>
      <c r="AG43" s="498"/>
      <c r="AH43" s="498"/>
      <c r="AI43" s="498"/>
    </row>
    <row r="44" spans="1:35" s="40" customFormat="1" x14ac:dyDescent="0.25">
      <c r="A44" s="3"/>
      <c r="B44" s="4"/>
      <c r="C44" s="3"/>
      <c r="D44" s="3"/>
      <c r="E44" s="3"/>
      <c r="F44" s="115"/>
      <c r="G44" s="3"/>
      <c r="H44" s="4"/>
      <c r="I44" s="2"/>
      <c r="J44" s="144"/>
      <c r="K44" s="409"/>
      <c r="L44" s="144"/>
      <c r="M44" s="144"/>
      <c r="O44" s="141"/>
      <c r="Q44" s="440"/>
      <c r="R44" s="471"/>
      <c r="S44" s="440"/>
      <c r="T44" s="440"/>
      <c r="U44" s="471"/>
      <c r="V44" s="440"/>
      <c r="W44" s="440"/>
      <c r="X44" s="471"/>
      <c r="Y44" s="440"/>
      <c r="Z44" s="440"/>
      <c r="AA44" s="471"/>
      <c r="AB44" s="440"/>
      <c r="AD44" s="498"/>
      <c r="AE44" s="498"/>
      <c r="AF44" s="498"/>
      <c r="AG44" s="498"/>
      <c r="AH44" s="498"/>
      <c r="AI44" s="498"/>
    </row>
    <row r="46" spans="1:35" x14ac:dyDescent="0.25">
      <c r="T46" s="440" t="s">
        <v>1717</v>
      </c>
      <c r="W46" s="440" t="s">
        <v>1804</v>
      </c>
    </row>
    <row r="47" spans="1:35" x14ac:dyDescent="0.25">
      <c r="O47" s="1610" t="s">
        <v>3618</v>
      </c>
      <c r="P47" s="1611"/>
      <c r="Q47" s="1612"/>
      <c r="R47" s="1613"/>
      <c r="S47" s="1612"/>
      <c r="T47" s="1612">
        <f>'04-DR'!T20</f>
        <v>10945.869999999999</v>
      </c>
      <c r="U47" s="1613"/>
      <c r="V47" s="1612"/>
      <c r="W47" s="1612">
        <f>'04-DR'!W20</f>
        <v>47701.18</v>
      </c>
      <c r="X47" s="1613"/>
      <c r="Y47" s="1612"/>
      <c r="Z47" s="1612"/>
      <c r="AA47" s="1613"/>
      <c r="AB47" s="1612"/>
    </row>
    <row r="48" spans="1:35" x14ac:dyDescent="0.25">
      <c r="O48" s="1772" t="s">
        <v>3617</v>
      </c>
      <c r="P48" s="1611"/>
      <c r="Q48" s="1612"/>
      <c r="R48" s="1613"/>
      <c r="S48" s="1612"/>
      <c r="T48" s="1612">
        <f>T18</f>
        <v>27824.71999999999</v>
      </c>
      <c r="U48" s="1613"/>
      <c r="V48" s="1612"/>
      <c r="W48" s="1612">
        <f>W18</f>
        <v>16101.110000000002</v>
      </c>
      <c r="X48" s="1613"/>
      <c r="Y48" s="1612"/>
      <c r="Z48" s="1612"/>
      <c r="AA48" s="1613"/>
      <c r="AB48" s="1612"/>
    </row>
    <row r="49" spans="15:28" x14ac:dyDescent="0.25">
      <c r="O49" s="1772" t="s">
        <v>3620</v>
      </c>
      <c r="P49" s="1611"/>
      <c r="Q49" s="1612"/>
      <c r="R49" s="1613"/>
      <c r="S49" s="1612"/>
      <c r="T49" s="1612">
        <f>SUM('04-DR'!T515:T523)</f>
        <v>43363.114000000001</v>
      </c>
      <c r="U49" s="1613"/>
      <c r="V49" s="1612"/>
      <c r="W49" s="1612">
        <f>SUM('04-DR'!W515:W523)</f>
        <v>30671.793000000001</v>
      </c>
      <c r="X49" s="1613"/>
      <c r="Y49" s="1612"/>
      <c r="Z49" s="1612"/>
      <c r="AA49" s="1613"/>
      <c r="AB49" s="1612"/>
    </row>
    <row r="50" spans="15:28" x14ac:dyDescent="0.25">
      <c r="O50" s="1629" t="s">
        <v>3621</v>
      </c>
      <c r="P50" s="1630"/>
      <c r="Q50" s="1631"/>
      <c r="R50" s="1632"/>
      <c r="S50" s="1631"/>
      <c r="T50" s="1631">
        <f>SUM(T47:T49)</f>
        <v>82133.703999999998</v>
      </c>
      <c r="U50" s="1632">
        <f>'MLQ-PESP'!$C$4</f>
        <v>1.0923072445820432</v>
      </c>
      <c r="V50" s="1631"/>
      <c r="W50" s="1631">
        <f>SUM(W47:W49)</f>
        <v>94474.082999999999</v>
      </c>
      <c r="X50" s="1632">
        <f>'MLQ-PESP'!$C$4</f>
        <v>1.0923072445820432</v>
      </c>
      <c r="Y50" s="1631"/>
      <c r="Z50" s="1631"/>
      <c r="AA50" s="1632"/>
      <c r="AB50" s="1631"/>
    </row>
    <row r="51" spans="15:28" x14ac:dyDescent="0.25">
      <c r="O51" s="1773" t="s">
        <v>3613</v>
      </c>
      <c r="P51" s="1618"/>
      <c r="Q51" s="1619"/>
      <c r="R51" s="1620"/>
      <c r="S51" s="1619"/>
      <c r="T51" s="1619">
        <f>T19</f>
        <v>2626.7</v>
      </c>
      <c r="U51" s="1620">
        <f>'MLQ-PESP'!$C$4</f>
        <v>1.0923072445820432</v>
      </c>
      <c r="V51" s="1619"/>
      <c r="W51" s="1619">
        <f>W19</f>
        <v>2100.0750000000007</v>
      </c>
      <c r="X51" s="1620">
        <f>'MLQ-PESP'!$C$4</f>
        <v>1.0923072445820432</v>
      </c>
      <c r="Y51" s="1619"/>
      <c r="Z51" s="1619"/>
      <c r="AA51" s="1620"/>
      <c r="AB51" s="1619"/>
    </row>
    <row r="52" spans="15:28" x14ac:dyDescent="0.25">
      <c r="O52" s="1773" t="s">
        <v>3619</v>
      </c>
      <c r="P52" s="1618"/>
      <c r="Q52" s="1619"/>
      <c r="R52" s="1620"/>
      <c r="S52" s="1619"/>
      <c r="T52" s="1619">
        <f>SUM('04-DR'!T598:T605)</f>
        <v>28596.868000000017</v>
      </c>
      <c r="U52" s="1620">
        <f>'MLQ-PESP'!$C$4</f>
        <v>1.0923072445820432</v>
      </c>
      <c r="V52" s="1619"/>
      <c r="W52" s="1619">
        <f>SUM('04-DR'!W598:W605)</f>
        <v>14158.844999999998</v>
      </c>
      <c r="X52" s="1620">
        <f>'MLQ-PESP'!$C$4</f>
        <v>1.0923072445820432</v>
      </c>
      <c r="Y52" s="1619"/>
      <c r="Z52" s="1619"/>
      <c r="AA52" s="1620"/>
      <c r="AB52" s="1619"/>
    </row>
    <row r="53" spans="15:28" x14ac:dyDescent="0.25">
      <c r="O53" s="1621" t="s">
        <v>4007</v>
      </c>
      <c r="P53" s="1622"/>
      <c r="Q53" s="1623"/>
      <c r="R53" s="1624"/>
      <c r="S53" s="1623"/>
      <c r="T53" s="1623">
        <f>'06-PAV'!T116</f>
        <v>9974.7624000000014</v>
      </c>
      <c r="U53" s="1624"/>
      <c r="V53" s="1623"/>
      <c r="W53" s="1623">
        <f>'06-PAV'!W116</f>
        <v>0</v>
      </c>
      <c r="X53" s="1624"/>
      <c r="Y53" s="1623"/>
      <c r="Z53" s="1623"/>
      <c r="AA53" s="1624"/>
      <c r="AB53" s="1623"/>
    </row>
    <row r="54" spans="15:28" x14ac:dyDescent="0.25">
      <c r="O54" s="1621" t="s">
        <v>3614</v>
      </c>
      <c r="P54" s="1622"/>
      <c r="Q54" s="1623"/>
      <c r="R54" s="1624"/>
      <c r="S54" s="1623"/>
      <c r="T54" s="1623">
        <f>'06-PAV'!T23
+'06-PAV'!T71</f>
        <v>2826.7080000000001</v>
      </c>
      <c r="U54" s="1624"/>
      <c r="V54" s="1623"/>
      <c r="W54" s="1623">
        <f>'06-PAV'!W23
+'06-PAV'!W71</f>
        <v>2599.7284000000004</v>
      </c>
      <c r="X54" s="1624"/>
      <c r="Y54" s="1623"/>
      <c r="Z54" s="1623"/>
      <c r="AA54" s="1624"/>
      <c r="AB54" s="1623"/>
    </row>
    <row r="55" spans="15:28" x14ac:dyDescent="0.25">
      <c r="O55" s="1621" t="s">
        <v>3615</v>
      </c>
      <c r="P55" s="1622"/>
      <c r="Q55" s="1623"/>
      <c r="R55" s="1624"/>
      <c r="S55" s="1623"/>
      <c r="T55" s="1623">
        <f>'06-PAV'!T26
+'06-PAV'!T74
+'06-PAV'!T119</f>
        <v>9686.9452599999986</v>
      </c>
      <c r="U55" s="1624"/>
      <c r="V55" s="1623"/>
      <c r="W55" s="1623">
        <f>'06-PAV'!W26
+'06-PAV'!W74
+'06-PAV'!W119</f>
        <v>7403.481600000001</v>
      </c>
      <c r="X55" s="1624"/>
      <c r="Y55" s="1623"/>
      <c r="Z55" s="1623"/>
      <c r="AA55" s="1624"/>
      <c r="AB55" s="1623"/>
    </row>
    <row r="56" spans="15:28" x14ac:dyDescent="0.25">
      <c r="O56" s="1625" t="s">
        <v>3616</v>
      </c>
      <c r="P56" s="1626"/>
      <c r="Q56" s="1627"/>
      <c r="R56" s="1628"/>
      <c r="S56" s="1627"/>
      <c r="T56" s="1627">
        <f>SUM(T54:T55)</f>
        <v>12513.653259999999</v>
      </c>
      <c r="U56" s="1628">
        <f>'MLQ-PESP'!$C$6</f>
        <v>1.3653840557275541</v>
      </c>
      <c r="V56" s="1627"/>
      <c r="W56" s="1627">
        <f>SUM(W54:W55)</f>
        <v>10003.210000000001</v>
      </c>
      <c r="X56" s="1628">
        <f>'MLQ-PESP'!$C$6</f>
        <v>1.3653840557275541</v>
      </c>
      <c r="Y56" s="1627"/>
      <c r="Z56" s="1627"/>
      <c r="AA56" s="1628"/>
      <c r="AB56" s="1627"/>
    </row>
    <row r="57" spans="15:28" x14ac:dyDescent="0.25">
      <c r="O57" s="1614" t="s">
        <v>4008</v>
      </c>
      <c r="P57" s="1615"/>
      <c r="Q57" s="1616"/>
      <c r="R57" s="1617"/>
      <c r="S57" s="1616"/>
      <c r="T57" s="1616">
        <f>(SUMPRODUCT(T50:T52,U50:U52) - (T56 * U56)) / U50</f>
        <v>97715.205425000036</v>
      </c>
      <c r="U57" s="1617"/>
      <c r="V57" s="1616"/>
      <c r="W57" s="1616">
        <f>(SUMPRODUCT(W50:W52,X50:X52) - (W56 * X56)) / X50</f>
        <v>98228.990499999985</v>
      </c>
      <c r="X57" s="1617"/>
      <c r="Y57" s="1616"/>
      <c r="Z57" s="1616"/>
      <c r="AA57" s="1617"/>
      <c r="AB57" s="1616"/>
    </row>
    <row r="58" spans="15:28" x14ac:dyDescent="0.25">
      <c r="O58" s="1614"/>
      <c r="P58" s="1615"/>
      <c r="Q58" s="1616"/>
      <c r="R58" s="1617"/>
      <c r="S58" s="1616"/>
      <c r="T58" s="1616"/>
      <c r="U58" s="1617"/>
      <c r="V58" s="1616"/>
      <c r="W58" s="1616"/>
      <c r="X58" s="1617"/>
      <c r="Y58" s="1616"/>
      <c r="Z58" s="1616"/>
      <c r="AA58" s="1617"/>
      <c r="AB58" s="1616"/>
    </row>
    <row r="59" spans="15:28" x14ac:dyDescent="0.25">
      <c r="O59" s="1614"/>
      <c r="P59" s="1615"/>
      <c r="Q59" s="1616"/>
      <c r="R59" s="1617"/>
      <c r="S59" s="1616"/>
      <c r="T59" s="1616"/>
      <c r="U59" s="1617"/>
      <c r="V59" s="1616"/>
      <c r="W59" s="1616"/>
      <c r="X59" s="1617"/>
      <c r="Y59" s="1616"/>
      <c r="Z59" s="1616"/>
      <c r="AA59" s="1617"/>
      <c r="AB59" s="1616"/>
    </row>
    <row r="63" spans="15:28" x14ac:dyDescent="0.25">
      <c r="Q63" s="440">
        <f>(Q62*98%)</f>
        <v>0</v>
      </c>
    </row>
  </sheetData>
  <autoFilter ref="D7:P36" xr:uid="{AB4FC3FB-B14A-43FD-8944-1860AF2FC45B}">
    <filterColumn colId="5">
      <filters blank="1">
        <filter val="142.582,64"/>
        <filter val="21.387,40"/>
        <filter val="27.907,26"/>
        <filter val="3.781,42"/>
        <filter val="4.245,52"/>
        <filter val="4.726,78"/>
        <filter val="43.925,83"/>
        <filter val="470.522,71"/>
        <filter val="492.373,63"/>
        <filter val="5.163,09"/>
        <filter val="SERVIÇO"/>
      </filters>
    </filterColumn>
  </autoFilter>
  <mergeCells count="14">
    <mergeCell ref="D5:D6"/>
    <mergeCell ref="E5:I6"/>
    <mergeCell ref="O7:O8"/>
    <mergeCell ref="A7:A8"/>
    <mergeCell ref="B7:B8"/>
    <mergeCell ref="D7:D8"/>
    <mergeCell ref="E7:E8"/>
    <mergeCell ref="F7:F8"/>
    <mergeCell ref="G7:G8"/>
    <mergeCell ref="H7:H8"/>
    <mergeCell ref="J7:J8"/>
    <mergeCell ref="K7:K8"/>
    <mergeCell ref="L7:L8"/>
    <mergeCell ref="M7:M8"/>
  </mergeCells>
  <phoneticPr fontId="45" type="noConversion"/>
  <conditionalFormatting sqref="A9:V10 A24:V25 A11:N11 P11:V11 A12:V16 Z24:AI25 Z10:AI16 Z28:AI29 A28:V29 Z9:AC9 R26:V27 AA26:AI27 A26:P27">
    <cfRule type="expression" dxfId="993" priority="40">
      <formula>LEN($D9)= 3</formula>
    </cfRule>
    <cfRule type="expression" dxfId="992" priority="41">
      <formula>AND(LEN($D9)=5,$H9="")</formula>
    </cfRule>
    <cfRule type="expression" dxfId="991" priority="42">
      <formula>AND($D9&lt;&gt;"",$H9="")</formula>
    </cfRule>
  </conditionalFormatting>
  <conditionalFormatting sqref="Z17:AI23 A17:V23">
    <cfRule type="expression" dxfId="990" priority="34">
      <formula>LEN($D17)= 3</formula>
    </cfRule>
    <cfRule type="expression" dxfId="989" priority="35">
      <formula>AND(LEN($D17)=5,$H17="")</formula>
    </cfRule>
    <cfRule type="expression" dxfId="988" priority="36">
      <formula>AND($D17&lt;&gt;"",$H17="")</formula>
    </cfRule>
  </conditionalFormatting>
  <conditionalFormatting sqref="O11">
    <cfRule type="expression" dxfId="987" priority="31">
      <formula>LEN($D11)= 3</formula>
    </cfRule>
    <cfRule type="expression" dxfId="986" priority="32">
      <formula>AND(LEN($D11)=5,$H11="")</formula>
    </cfRule>
    <cfRule type="expression" dxfId="985" priority="33">
      <formula>AND($D11&lt;&gt;"",$H11="")</formula>
    </cfRule>
  </conditionalFormatting>
  <conditionalFormatting sqref="W9:Y16 W24:Y24 W26:Y29 X25:Y25">
    <cfRule type="expression" dxfId="984" priority="28">
      <formula>LEN($D9)= 3</formula>
    </cfRule>
    <cfRule type="expression" dxfId="983" priority="29">
      <formula>AND(LEN($D9)=5,$H9="")</formula>
    </cfRule>
    <cfRule type="expression" dxfId="982" priority="30">
      <formula>AND($D9&lt;&gt;"",$H9="")</formula>
    </cfRule>
  </conditionalFormatting>
  <conditionalFormatting sqref="W17:Y18 W20:Y23 X19:Y19">
    <cfRule type="expression" dxfId="981" priority="25">
      <formula>LEN($D17)= 3</formula>
    </cfRule>
    <cfRule type="expression" dxfId="980" priority="26">
      <formula>AND(LEN($D17)=5,$H17="")</formula>
    </cfRule>
    <cfRule type="expression" dxfId="979" priority="27">
      <formula>AND($D17&lt;&gt;"",$H17="")</formula>
    </cfRule>
  </conditionalFormatting>
  <conditionalFormatting sqref="AD9:AI9">
    <cfRule type="expression" dxfId="978" priority="16">
      <formula>LEN($D9)= 3</formula>
    </cfRule>
    <cfRule type="expression" dxfId="977" priority="17">
      <formula>AND(LEN($D9)=5,$H9="")</formula>
    </cfRule>
    <cfRule type="expression" dxfId="976" priority="18">
      <formula>AND($D9&lt;&gt;"",$H9="")</formula>
    </cfRule>
  </conditionalFormatting>
  <conditionalFormatting sqref="W19">
    <cfRule type="expression" dxfId="975" priority="13">
      <formula>LEN($D19)= 3</formula>
    </cfRule>
    <cfRule type="expression" dxfId="974" priority="14">
      <formula>AND(LEN($D19)=5,$H19="")</formula>
    </cfRule>
    <cfRule type="expression" dxfId="973" priority="15">
      <formula>AND($D19&lt;&gt;"",$H19="")</formula>
    </cfRule>
  </conditionalFormatting>
  <conditionalFormatting sqref="Z26:Z27">
    <cfRule type="expression" dxfId="972" priority="7">
      <formula>LEN($D26)= 3</formula>
    </cfRule>
    <cfRule type="expression" dxfId="971" priority="8">
      <formula>AND(LEN($D26)=5,$H26="")</formula>
    </cfRule>
    <cfRule type="expression" dxfId="970" priority="9">
      <formula>AND($D26&lt;&gt;"",$H26="")</formula>
    </cfRule>
  </conditionalFormatting>
  <conditionalFormatting sqref="Q26:Q27">
    <cfRule type="expression" dxfId="969" priority="10">
      <formula>LEN($D26)= 3</formula>
    </cfRule>
    <cfRule type="expression" dxfId="968" priority="11">
      <formula>AND(LEN($D26)=5,$H26="")</formula>
    </cfRule>
    <cfRule type="expression" dxfId="967" priority="12">
      <formula>AND($D26&lt;&gt;"",$H26="")</formula>
    </cfRule>
  </conditionalFormatting>
  <conditionalFormatting sqref="W25">
    <cfRule type="expression" dxfId="966" priority="1">
      <formula>LEN($D25)= 3</formula>
    </cfRule>
    <cfRule type="expression" dxfId="965" priority="2">
      <formula>AND(LEN($D25)=5,$H25="")</formula>
    </cfRule>
    <cfRule type="expression" dxfId="964" priority="3">
      <formula>AND($D25&lt;&gt;"",$H25="")</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7133E-4795-47E4-B648-1A2E187817ED}">
  <sheetPr filterMode="1">
    <tabColor rgb="FF002060"/>
    <outlinePr summaryBelow="0" summaryRight="0"/>
    <pageSetUpPr fitToPage="1"/>
  </sheetPr>
  <dimension ref="A1:AI178"/>
  <sheetViews>
    <sheetView showGridLines="0" zoomScale="70" zoomScaleNormal="70" workbookViewId="0">
      <pane xSplit="9" ySplit="9" topLeftCell="J10" activePane="bottomRight" state="frozen"/>
      <selection activeCell="P26" sqref="P26"/>
      <selection pane="topRight" activeCell="P26" sqref="P26"/>
      <selection pane="bottomLeft" activeCell="P26" sqref="P26"/>
      <selection pane="bottomRight" activeCell="AF146" sqref="AF146"/>
    </sheetView>
  </sheetViews>
  <sheetFormatPr defaultColWidth="9.140625" defaultRowHeight="12.75" x14ac:dyDescent="0.25"/>
  <cols>
    <col min="1" max="1" width="50.7109375" style="141" customWidth="1"/>
    <col min="2" max="2" width="9.7109375" style="140" customWidth="1"/>
    <col min="3" max="3" width="1.7109375" style="142" customWidth="1"/>
    <col min="4" max="4" width="17.7109375" style="141" customWidth="1"/>
    <col min="5" max="5" width="15.7109375" style="143" customWidth="1"/>
    <col min="6" max="6" width="12.7109375" style="141" customWidth="1"/>
    <col min="7" max="7" width="50.7109375" style="141" customWidth="1"/>
    <col min="8" max="8" width="9.7109375" style="140" customWidth="1"/>
    <col min="9" max="9" width="12.7109375" style="144" customWidth="1"/>
    <col min="10" max="10" width="14.7109375" style="144" customWidth="1"/>
    <col min="11" max="11" width="14.7109375" style="409" customWidth="1"/>
    <col min="12" max="13" width="14.7109375" style="144" customWidth="1"/>
    <col min="14" max="14" width="1.7109375" style="142" customWidth="1"/>
    <col min="15" max="15" width="50.7109375" style="141" customWidth="1"/>
    <col min="16" max="16" width="1.7109375" style="142" customWidth="1"/>
    <col min="17" max="28" width="14.7109375" style="144" customWidth="1"/>
    <col min="29" max="29" width="9.5703125" style="142" bestFit="1" customWidth="1"/>
    <col min="30" max="35" width="12.7109375" style="141" customWidth="1"/>
    <col min="36" max="16384" width="9.140625" style="141"/>
  </cols>
  <sheetData>
    <row r="1" spans="1:35" s="137" customFormat="1" ht="18" x14ac:dyDescent="0.25">
      <c r="A1" s="230"/>
      <c r="B1" s="230"/>
      <c r="D1" s="726" t="s">
        <v>1531</v>
      </c>
      <c r="E1" s="726"/>
      <c r="F1" s="726"/>
      <c r="G1" s="726"/>
      <c r="H1" s="726"/>
      <c r="I1" s="726"/>
      <c r="J1" s="231"/>
      <c r="K1" s="727"/>
      <c r="L1" s="728"/>
      <c r="M1" s="757" t="str">
        <f>'PSP-RESUMO'!$C$3</f>
        <v>ENCARGOS SOCIAIS SEM DESONERAÇÃO</v>
      </c>
      <c r="O1" s="290"/>
      <c r="Q1" s="136"/>
      <c r="R1" s="136"/>
      <c r="S1" s="136"/>
      <c r="T1" s="136"/>
      <c r="U1" s="136"/>
      <c r="V1" s="136"/>
      <c r="W1" s="136"/>
      <c r="X1" s="136"/>
      <c r="Y1" s="136"/>
      <c r="Z1" s="136"/>
      <c r="AA1" s="136"/>
      <c r="AB1" s="136"/>
    </row>
    <row r="2" spans="1:35" s="137" customFormat="1" ht="15" x14ac:dyDescent="0.25">
      <c r="A2" s="129"/>
      <c r="D2" s="729" t="s">
        <v>1147</v>
      </c>
      <c r="E2" s="744" t="str">
        <f>IF('TRECHO(S) A IMPRIMIR'!$B$1= 1, 'PSP-RESUMO'!$B$2, IF('TRECHO(S) A IMPRIMIR'!$B$1= 2,#REF!,#REF!))</f>
        <v>URBANIZAÇÃO DO SETOR SOL NASCENTE - TRECHOS 1 e 3</v>
      </c>
      <c r="F2" s="730"/>
      <c r="G2" s="730"/>
      <c r="H2" s="730"/>
      <c r="I2" s="730"/>
      <c r="J2" s="126"/>
      <c r="K2" s="731"/>
      <c r="L2" s="807" t="s">
        <v>156</v>
      </c>
      <c r="M2" s="808" t="str">
        <f>'PSP-RESUMO'!$D$4</f>
        <v>28/JAN/2022</v>
      </c>
      <c r="O2" s="291"/>
    </row>
    <row r="3" spans="1:35" s="137" customFormat="1" ht="18" x14ac:dyDescent="0.25">
      <c r="A3" s="130"/>
      <c r="D3" s="1408" t="s">
        <v>34</v>
      </c>
      <c r="E3" s="742" t="str">
        <f>'PSP-RESUMO'!B3</f>
        <v>SETOR SOL NASCENTE, CEILÂNDIA/DF</v>
      </c>
      <c r="F3" s="733"/>
      <c r="G3" s="733"/>
      <c r="H3" s="733"/>
      <c r="I3" s="734"/>
      <c r="J3" s="126"/>
      <c r="K3" s="735"/>
      <c r="L3" s="807" t="s">
        <v>1978</v>
      </c>
      <c r="M3" s="809" t="str">
        <f>'PSP-RESUMO'!$D$18</f>
        <v>JUNHO/2021</v>
      </c>
      <c r="Q3" s="138"/>
      <c r="R3" s="138"/>
      <c r="S3" s="138"/>
      <c r="T3" s="138"/>
      <c r="U3" s="138"/>
      <c r="V3" s="138"/>
      <c r="W3" s="138"/>
      <c r="X3" s="138"/>
      <c r="Y3" s="138"/>
      <c r="Z3" s="138"/>
      <c r="AA3" s="138"/>
      <c r="AB3" s="138"/>
    </row>
    <row r="4" spans="1:35" s="137" customFormat="1" ht="15" x14ac:dyDescent="0.25">
      <c r="A4" s="129"/>
      <c r="D4" s="1408" t="s">
        <v>33</v>
      </c>
      <c r="E4" s="742" t="str">
        <f>'PSP-RESUMO'!B4</f>
        <v>ARIA</v>
      </c>
      <c r="F4" s="737"/>
      <c r="G4" s="736"/>
      <c r="H4" s="734"/>
      <c r="I4" s="736"/>
      <c r="J4" s="282"/>
      <c r="K4" s="738"/>
      <c r="L4" s="807" t="s">
        <v>1979</v>
      </c>
      <c r="M4" s="810">
        <f>IF('PSP-RESUMO'!$C$3 = "ENCARGOS SOCIAIS SEM DESONERAÇÃO", 'BDI obras SD'!$H$23, 'BDI obras CD'!$H$23)</f>
        <v>0.2033513845915047</v>
      </c>
      <c r="Q4" s="227"/>
      <c r="R4" s="138"/>
      <c r="S4" s="138"/>
      <c r="T4" s="138"/>
      <c r="U4" s="138"/>
      <c r="V4" s="138"/>
      <c r="W4" s="138"/>
      <c r="X4" s="138"/>
      <c r="Y4" s="138"/>
      <c r="Z4" s="138"/>
      <c r="AA4" s="138"/>
      <c r="AB4" s="138"/>
    </row>
    <row r="5" spans="1:35" s="137" customFormat="1" ht="15" customHeight="1" x14ac:dyDescent="0.25">
      <c r="A5" s="129"/>
      <c r="B5" s="139"/>
      <c r="D5" s="1936" t="s">
        <v>1284</v>
      </c>
      <c r="E5" s="1938" t="str">
        <f>$G$9</f>
        <v>PAVIMENTAÇÕES - TRECHOS 1 e 3</v>
      </c>
      <c r="F5" s="1938"/>
      <c r="G5" s="1938"/>
      <c r="H5" s="1938"/>
      <c r="I5" s="1938"/>
      <c r="J5" s="805"/>
      <c r="K5" s="803"/>
      <c r="L5" s="807" t="s">
        <v>1980</v>
      </c>
      <c r="M5" s="811">
        <f>IF('PSP-RESUMO'!$C$3 = "ENCARGOS SOCIAIS SEM DESONERAÇÃO", 'BDI-Difer SD'!$H$23, 'BDI-Difer CD'!$H$23)</f>
        <v>0.11096635744680849</v>
      </c>
      <c r="Q5" s="228"/>
      <c r="R5" s="228"/>
      <c r="S5" s="228"/>
      <c r="T5" s="228"/>
      <c r="U5" s="228"/>
      <c r="V5" s="228"/>
      <c r="W5" s="228"/>
      <c r="X5" s="228"/>
      <c r="Y5" s="228"/>
      <c r="Z5" s="228"/>
      <c r="AA5" s="228"/>
      <c r="AB5" s="228"/>
    </row>
    <row r="6" spans="1:35" s="137" customFormat="1" ht="15" customHeight="1" thickBot="1" x14ac:dyDescent="0.3">
      <c r="A6" s="129"/>
      <c r="B6" s="139"/>
      <c r="D6" s="1937"/>
      <c r="E6" s="1939"/>
      <c r="F6" s="1939"/>
      <c r="G6" s="1939"/>
      <c r="H6" s="1939"/>
      <c r="I6" s="1939"/>
      <c r="J6" s="806"/>
      <c r="K6" s="743"/>
      <c r="L6" s="813" t="s">
        <v>1339</v>
      </c>
      <c r="M6" s="802">
        <f>'01-CO'!M6</f>
        <v>18</v>
      </c>
      <c r="Q6" s="228"/>
      <c r="R6" s="228"/>
      <c r="S6" s="228"/>
      <c r="T6" s="228"/>
      <c r="U6" s="228"/>
      <c r="V6" s="228"/>
      <c r="W6" s="228"/>
      <c r="X6" s="228"/>
      <c r="Y6" s="228"/>
      <c r="Z6" s="228"/>
      <c r="AA6" s="228"/>
      <c r="AB6" s="228"/>
    </row>
    <row r="7" spans="1:35" ht="27" customHeight="1" x14ac:dyDescent="0.25">
      <c r="A7" s="1962" t="s">
        <v>31</v>
      </c>
      <c r="B7" s="1962" t="s">
        <v>1</v>
      </c>
      <c r="D7" s="1964" t="s">
        <v>0</v>
      </c>
      <c r="E7" s="1958" t="s">
        <v>32</v>
      </c>
      <c r="F7" s="1962" t="s">
        <v>1206</v>
      </c>
      <c r="G7" s="1962" t="s">
        <v>30</v>
      </c>
      <c r="H7" s="1962" t="s">
        <v>1</v>
      </c>
      <c r="I7" s="753" t="s">
        <v>29</v>
      </c>
      <c r="J7" s="1954" t="s">
        <v>1204</v>
      </c>
      <c r="K7" s="1950" t="s">
        <v>1202</v>
      </c>
      <c r="L7" s="1952" t="s">
        <v>1203</v>
      </c>
      <c r="M7" s="1960" t="s">
        <v>1205</v>
      </c>
      <c r="O7" s="1956" t="s">
        <v>160</v>
      </c>
      <c r="Q7" s="755" t="s">
        <v>418</v>
      </c>
      <c r="R7" s="750"/>
      <c r="S7" s="751"/>
      <c r="T7" s="752" t="s">
        <v>1717</v>
      </c>
      <c r="U7" s="750"/>
      <c r="V7" s="751"/>
      <c r="W7" s="752" t="s">
        <v>1804</v>
      </c>
      <c r="X7" s="750"/>
      <c r="Y7" s="751"/>
      <c r="Z7" s="750" t="s">
        <v>147</v>
      </c>
      <c r="AA7" s="750"/>
      <c r="AB7" s="751"/>
      <c r="AC7" s="224"/>
    </row>
    <row r="8" spans="1:35" ht="27" customHeight="1" thickBot="1" x14ac:dyDescent="0.3">
      <c r="A8" s="1963"/>
      <c r="B8" s="1963"/>
      <c r="D8" s="1965"/>
      <c r="E8" s="1959"/>
      <c r="F8" s="1963"/>
      <c r="G8" s="1963"/>
      <c r="H8" s="1963"/>
      <c r="I8" s="754" t="s">
        <v>8</v>
      </c>
      <c r="J8" s="1955"/>
      <c r="K8" s="1951"/>
      <c r="L8" s="1953"/>
      <c r="M8" s="1961"/>
      <c r="O8" s="1957"/>
      <c r="Q8" s="747" t="s">
        <v>1053</v>
      </c>
      <c r="R8" s="745" t="s">
        <v>1054</v>
      </c>
      <c r="S8" s="746" t="s">
        <v>288</v>
      </c>
      <c r="T8" s="749" t="s">
        <v>1053</v>
      </c>
      <c r="U8" s="745" t="s">
        <v>1054</v>
      </c>
      <c r="V8" s="746" t="s">
        <v>288</v>
      </c>
      <c r="W8" s="749" t="s">
        <v>1053</v>
      </c>
      <c r="X8" s="745" t="s">
        <v>1054</v>
      </c>
      <c r="Y8" s="746" t="s">
        <v>288</v>
      </c>
      <c r="Z8" s="748" t="s">
        <v>1053</v>
      </c>
      <c r="AA8" s="745" t="s">
        <v>1054</v>
      </c>
      <c r="AB8" s="746" t="s">
        <v>288</v>
      </c>
      <c r="AC8" s="224"/>
      <c r="AD8" s="503" t="s">
        <v>1340</v>
      </c>
      <c r="AE8" s="504" t="s">
        <v>1341</v>
      </c>
      <c r="AF8" s="504" t="s">
        <v>1342</v>
      </c>
      <c r="AG8" s="504" t="s">
        <v>1343</v>
      </c>
      <c r="AH8" s="505" t="s">
        <v>997</v>
      </c>
      <c r="AI8" s="505" t="s">
        <v>1381</v>
      </c>
    </row>
    <row r="9" spans="1:35" s="588" customFormat="1" ht="36" x14ac:dyDescent="0.25">
      <c r="A9" s="587" t="str">
        <f>IF('TRECHO(S) A IMPRIMIR'!$B$1= 1, "PAVIMENTAÇÕES - TRECHOS 1 e 3", IF('TRECHO(S) A IMPRIMIR'!$B$1= 2, "PAVIMENTAÇÕES - TRECHO 1", "PAVIMENTAÇÕES - TRECHO 3"))</f>
        <v>PAVIMENTAÇÕES - TRECHOS 1 e 3</v>
      </c>
      <c r="B9" s="369"/>
      <c r="C9" s="123"/>
      <c r="D9" s="589" t="s">
        <v>766</v>
      </c>
      <c r="E9" s="44"/>
      <c r="F9" s="214" t="s">
        <v>21</v>
      </c>
      <c r="G9" s="587" t="s">
        <v>4149</v>
      </c>
      <c r="H9" s="590" t="s">
        <v>21</v>
      </c>
      <c r="I9" s="591" t="s">
        <v>21</v>
      </c>
      <c r="J9" s="592" t="s">
        <v>21</v>
      </c>
      <c r="K9" s="593" t="s">
        <v>21</v>
      </c>
      <c r="L9" s="592" t="s">
        <v>21</v>
      </c>
      <c r="M9" s="594">
        <v>14898899.148945386</v>
      </c>
      <c r="N9" s="123"/>
      <c r="O9" s="587" t="s">
        <v>3214</v>
      </c>
      <c r="P9" s="123"/>
      <c r="Q9" s="1870"/>
      <c r="R9" s="1871"/>
      <c r="S9" s="594"/>
      <c r="T9" s="1872"/>
      <c r="U9" s="1873"/>
      <c r="V9" s="608"/>
      <c r="W9" s="1872"/>
      <c r="X9" s="1871"/>
      <c r="Y9" s="594"/>
      <c r="Z9" s="1870"/>
      <c r="AA9" s="1871"/>
      <c r="AB9" s="594"/>
      <c r="AD9" s="1874" t="s">
        <v>21</v>
      </c>
      <c r="AE9" s="1875" t="s">
        <v>21</v>
      </c>
      <c r="AF9" s="1875" t="s">
        <v>21</v>
      </c>
      <c r="AG9" s="1875" t="s">
        <v>21</v>
      </c>
      <c r="AH9" s="1876" t="s">
        <v>21</v>
      </c>
      <c r="AI9" s="1876" t="str">
        <f t="shared" ref="AI9:AI44" si="0">IF(SUM(AD9:AH9)=0,"",M9 - SUM(AD9:AH9))</f>
        <v/>
      </c>
    </row>
    <row r="10" spans="1:35" s="588" customFormat="1" ht="12" x14ac:dyDescent="0.25">
      <c r="A10" s="587" t="s">
        <v>2018</v>
      </c>
      <c r="B10" s="369"/>
      <c r="C10" s="123"/>
      <c r="D10" s="589" t="s">
        <v>1142</v>
      </c>
      <c r="E10" s="44"/>
      <c r="F10" s="214"/>
      <c r="G10" s="587" t="s">
        <v>2018</v>
      </c>
      <c r="H10" s="590" t="s">
        <v>21</v>
      </c>
      <c r="I10" s="591" t="s">
        <v>21</v>
      </c>
      <c r="J10" s="592" t="s">
        <v>21</v>
      </c>
      <c r="K10" s="593" t="s">
        <v>21</v>
      </c>
      <c r="L10" s="592" t="s">
        <v>21</v>
      </c>
      <c r="M10" s="594">
        <v>820793.05280664703</v>
      </c>
      <c r="N10" s="123"/>
      <c r="O10" s="587"/>
      <c r="P10" s="123"/>
      <c r="Q10" s="1870"/>
      <c r="R10" s="1871"/>
      <c r="S10" s="594"/>
      <c r="T10" s="1872"/>
      <c r="U10" s="1873"/>
      <c r="V10" s="608"/>
      <c r="W10" s="1872"/>
      <c r="X10" s="1871"/>
      <c r="Y10" s="594"/>
      <c r="Z10" s="1870"/>
      <c r="AA10" s="1871"/>
      <c r="AB10" s="594"/>
      <c r="AD10" s="1874" t="s">
        <v>21</v>
      </c>
      <c r="AE10" s="1875" t="s">
        <v>21</v>
      </c>
      <c r="AF10" s="1875" t="s">
        <v>21</v>
      </c>
      <c r="AG10" s="1875" t="s">
        <v>21</v>
      </c>
      <c r="AH10" s="1876" t="s">
        <v>21</v>
      </c>
      <c r="AI10" s="1876" t="str">
        <f t="shared" si="0"/>
        <v/>
      </c>
    </row>
    <row r="11" spans="1:35" s="588" customFormat="1" ht="12" x14ac:dyDescent="0.25">
      <c r="A11" s="587" t="s">
        <v>1808</v>
      </c>
      <c r="B11" s="369"/>
      <c r="C11" s="123"/>
      <c r="D11" s="589" t="s">
        <v>1143</v>
      </c>
      <c r="E11" s="44"/>
      <c r="F11" s="214"/>
      <c r="G11" s="587" t="s">
        <v>1808</v>
      </c>
      <c r="H11" s="590" t="s">
        <v>21</v>
      </c>
      <c r="I11" s="591" t="s">
        <v>21</v>
      </c>
      <c r="J11" s="592" t="s">
        <v>21</v>
      </c>
      <c r="K11" s="593" t="s">
        <v>21</v>
      </c>
      <c r="L11" s="592" t="s">
        <v>21</v>
      </c>
      <c r="M11" s="594">
        <v>0</v>
      </c>
      <c r="N11" s="123"/>
      <c r="O11" s="587"/>
      <c r="P11" s="123"/>
      <c r="Q11" s="1870"/>
      <c r="R11" s="1871"/>
      <c r="S11" s="594"/>
      <c r="T11" s="1872"/>
      <c r="U11" s="1873"/>
      <c r="V11" s="608"/>
      <c r="W11" s="1872"/>
      <c r="X11" s="1871"/>
      <c r="Y11" s="594"/>
      <c r="Z11" s="1870"/>
      <c r="AA11" s="1871"/>
      <c r="AB11" s="594"/>
      <c r="AD11" s="1874" t="s">
        <v>21</v>
      </c>
      <c r="AE11" s="1875" t="s">
        <v>21</v>
      </c>
      <c r="AF11" s="1875" t="s">
        <v>21</v>
      </c>
      <c r="AG11" s="1875" t="s">
        <v>21</v>
      </c>
      <c r="AH11" s="1876" t="s">
        <v>21</v>
      </c>
      <c r="AI11" s="1876" t="str">
        <f t="shared" si="0"/>
        <v/>
      </c>
    </row>
    <row r="12" spans="1:35" s="588" customFormat="1" ht="36" hidden="1" x14ac:dyDescent="0.25">
      <c r="A12" s="587" t="s">
        <v>1088</v>
      </c>
      <c r="B12" s="369" t="s">
        <v>28</v>
      </c>
      <c r="C12" s="123"/>
      <c r="D12" s="589" t="s">
        <v>1809</v>
      </c>
      <c r="E12" s="44" t="s">
        <v>27</v>
      </c>
      <c r="F12" s="214">
        <v>101125</v>
      </c>
      <c r="G12" s="587" t="s">
        <v>1080</v>
      </c>
      <c r="H12" s="590" t="s">
        <v>44</v>
      </c>
      <c r="I12" s="591">
        <f>IF($F12="","",IF('TRECHO(S) A IMPRIMIR'!$B$1= 1, SUM(Q12, T12, W12, Z12), IF('TRECHO(S) A IMPRIMIR'!$B$1= 2, T12, IF('TRECHO(S) A IMPRIMIR'!$B$1= 3, W12, 0))))</f>
        <v>0</v>
      </c>
      <c r="J12" s="592">
        <v>9.99</v>
      </c>
      <c r="K12" s="593">
        <f t="shared" ref="K9:K40" si="1">IF(AND(F12&lt;&gt;"", J12&lt;&gt;""),
  IF(OR(F12= "CP9001", F12= "CP9091", F12= "CP9092"), 0,
  IF(ISNA(VLOOKUP(F12, $M$175:$M$179, 1, FALSE)), $M$4, $M$5)), "")</f>
        <v>0.2033513845915047</v>
      </c>
      <c r="L12" s="592">
        <f t="shared" ref="L9:L54" si="2">IF(J12="","",
  IF(AND(J12&lt;&gt;"",K12=""),J12,J12 * (1 + K12)))</f>
        <v>12.021480332069132</v>
      </c>
      <c r="M12" s="594">
        <f t="shared" ref="M12:M18" si="3">IF(OR(I12="",L12=""),"",I12*L12)</f>
        <v>0</v>
      </c>
      <c r="N12" s="123"/>
      <c r="O12" s="587" t="s">
        <v>1832</v>
      </c>
      <c r="P12" s="123"/>
      <c r="Q12" s="1870"/>
      <c r="R12" s="1871">
        <f>'MLQ-PESP'!$C$4</f>
        <v>1.0923072445820432</v>
      </c>
      <c r="S12" s="594"/>
      <c r="T12" s="1872"/>
      <c r="U12" s="1873">
        <f>'MLQ-PESP'!$C$4</f>
        <v>1.0923072445820432</v>
      </c>
      <c r="V12" s="608"/>
      <c r="W12" s="1872"/>
      <c r="X12" s="1871">
        <f>'MLQ-PESP'!$C$4</f>
        <v>1.0923072445820432</v>
      </c>
      <c r="Y12" s="594"/>
      <c r="Z12" s="1870"/>
      <c r="AA12" s="1871">
        <f>'MLQ-PESP'!$C$4</f>
        <v>1.0923072445820432</v>
      </c>
      <c r="AB12" s="594"/>
      <c r="AD12" s="1874" t="s">
        <v>21</v>
      </c>
      <c r="AE12" s="1875" t="s">
        <v>21</v>
      </c>
      <c r="AF12" s="1875" t="s">
        <v>21</v>
      </c>
      <c r="AG12" s="1875" t="s">
        <v>21</v>
      </c>
      <c r="AH12" s="1876" t="s">
        <v>21</v>
      </c>
      <c r="AI12" s="1876" t="str">
        <f t="shared" si="0"/>
        <v/>
      </c>
    </row>
    <row r="13" spans="1:35" s="588" customFormat="1" ht="24" hidden="1" x14ac:dyDescent="0.25">
      <c r="A13" s="587" t="s">
        <v>1982</v>
      </c>
      <c r="B13" s="369" t="s">
        <v>28</v>
      </c>
      <c r="C13" s="123"/>
      <c r="D13" s="589" t="s">
        <v>1810</v>
      </c>
      <c r="E13" s="44" t="s">
        <v>27</v>
      </c>
      <c r="F13" s="214">
        <v>100574</v>
      </c>
      <c r="G13" s="587" t="s">
        <v>563</v>
      </c>
      <c r="H13" s="590" t="s">
        <v>44</v>
      </c>
      <c r="I13" s="591">
        <f>IF($F13="","",IF('TRECHO(S) A IMPRIMIR'!$B$1= 1, SUM(Q13, T13, W13, Z13), IF('TRECHO(S) A IMPRIMIR'!$B$1= 2, T13, IF('TRECHO(S) A IMPRIMIR'!$B$1= 3, W13, 0))))</f>
        <v>0</v>
      </c>
      <c r="J13" s="592">
        <v>1.04</v>
      </c>
      <c r="K13" s="593">
        <f t="shared" si="1"/>
        <v>0.2033513845915047</v>
      </c>
      <c r="L13" s="592">
        <f>IF(J13="","",
  IF(AND(J13&lt;&gt;"",K13=""),J13,J13 * (1 + K13)))</f>
        <v>1.2514854399751649</v>
      </c>
      <c r="M13" s="594">
        <f t="shared" si="3"/>
        <v>0</v>
      </c>
      <c r="N13" s="123"/>
      <c r="O13" s="587"/>
      <c r="P13" s="123"/>
      <c r="Q13" s="1870"/>
      <c r="R13" s="1871">
        <f>'MLQ-PESP'!$C$6</f>
        <v>1.3653840557275541</v>
      </c>
      <c r="S13" s="594"/>
      <c r="T13" s="1872"/>
      <c r="U13" s="1873">
        <f>'MLQ-PESP'!$C$6</f>
        <v>1.3653840557275541</v>
      </c>
      <c r="V13" s="608"/>
      <c r="W13" s="1872"/>
      <c r="X13" s="1871">
        <f>'MLQ-PESP'!$C$6</f>
        <v>1.3653840557275541</v>
      </c>
      <c r="Y13" s="594"/>
      <c r="Z13" s="1870"/>
      <c r="AA13" s="1871">
        <f>'MLQ-PESP'!$C$6</f>
        <v>1.3653840557275541</v>
      </c>
      <c r="AB13" s="594"/>
      <c r="AD13" s="1874" t="s">
        <v>21</v>
      </c>
      <c r="AE13" s="1875" t="s">
        <v>21</v>
      </c>
      <c r="AF13" s="1875" t="s">
        <v>21</v>
      </c>
      <c r="AG13" s="1875" t="s">
        <v>21</v>
      </c>
      <c r="AH13" s="1876" t="s">
        <v>21</v>
      </c>
      <c r="AI13" s="1876" t="str">
        <f t="shared" si="0"/>
        <v/>
      </c>
    </row>
    <row r="14" spans="1:35" s="588" customFormat="1" ht="48" hidden="1" x14ac:dyDescent="0.25">
      <c r="A14" s="587" t="s">
        <v>968</v>
      </c>
      <c r="B14" s="369" t="s">
        <v>23</v>
      </c>
      <c r="C14" s="123"/>
      <c r="D14" s="589" t="s">
        <v>1811</v>
      </c>
      <c r="E14" s="44" t="s">
        <v>27</v>
      </c>
      <c r="F14" s="214">
        <v>100995</v>
      </c>
      <c r="G14" s="587" t="s">
        <v>773</v>
      </c>
      <c r="H14" s="590" t="s">
        <v>55</v>
      </c>
      <c r="I14" s="591">
        <f>IF($F14="","",IF('TRECHO(S) A IMPRIMIR'!$B$1= 1, SUM(Q14, T14, W14, Z14), IF('TRECHO(S) A IMPRIMIR'!$B$1= 2, T14, IF('TRECHO(S) A IMPRIMIR'!$B$1= 3, W14, 0))))</f>
        <v>0</v>
      </c>
      <c r="J14" s="592">
        <v>3.11</v>
      </c>
      <c r="K14" s="593">
        <f t="shared" si="1"/>
        <v>0.2033513845915047</v>
      </c>
      <c r="L14" s="592">
        <f t="shared" si="2"/>
        <v>3.7424228060795794</v>
      </c>
      <c r="M14" s="594">
        <f t="shared" si="3"/>
        <v>0</v>
      </c>
      <c r="N14" s="123"/>
      <c r="O14" s="587"/>
      <c r="P14" s="123"/>
      <c r="Q14" s="1870">
        <f>(Q12 * R12) - (Q13 * R13)</f>
        <v>0</v>
      </c>
      <c r="R14" s="1871"/>
      <c r="S14" s="594"/>
      <c r="T14" s="1872">
        <f>(T12 * U12) - (T13 * U13)</f>
        <v>0</v>
      </c>
      <c r="U14" s="1873"/>
      <c r="V14" s="608"/>
      <c r="W14" s="1872">
        <f>(W12 * X12) - (W13 * X13)</f>
        <v>0</v>
      </c>
      <c r="X14" s="1871"/>
      <c r="Y14" s="594"/>
      <c r="Z14" s="1870">
        <f>(Z12 * AA12) - (Z13 * AA13)</f>
        <v>0</v>
      </c>
      <c r="AA14" s="1871"/>
      <c r="AB14" s="594"/>
      <c r="AD14" s="1874" t="s">
        <v>21</v>
      </c>
      <c r="AE14" s="1875" t="s">
        <v>21</v>
      </c>
      <c r="AF14" s="1875" t="s">
        <v>21</v>
      </c>
      <c r="AG14" s="1875" t="s">
        <v>21</v>
      </c>
      <c r="AH14" s="1876" t="s">
        <v>21</v>
      </c>
      <c r="AI14" s="1876" t="str">
        <f t="shared" si="0"/>
        <v/>
      </c>
    </row>
    <row r="15" spans="1:35" s="588" customFormat="1" ht="36" hidden="1" x14ac:dyDescent="0.25">
      <c r="A15" s="587" t="s">
        <v>1543</v>
      </c>
      <c r="B15" s="369" t="s">
        <v>25</v>
      </c>
      <c r="C15" s="123"/>
      <c r="D15" s="589" t="s">
        <v>1812</v>
      </c>
      <c r="E15" s="44" t="s">
        <v>27</v>
      </c>
      <c r="F15" s="214">
        <v>95879</v>
      </c>
      <c r="G15" s="587" t="s">
        <v>789</v>
      </c>
      <c r="H15" s="590" t="s">
        <v>42</v>
      </c>
      <c r="I15" s="591">
        <f>IF($F15="","",IF('TRECHO(S) A IMPRIMIR'!$B$1= 1, SUM(Q15, T15, W15, Z15), IF('TRECHO(S) A IMPRIMIR'!$B$1= 2, T15, IF('TRECHO(S) A IMPRIMIR'!$B$1= 3, W15, 0))))</f>
        <v>0</v>
      </c>
      <c r="J15" s="592">
        <v>1.04</v>
      </c>
      <c r="K15" s="593">
        <f t="shared" si="1"/>
        <v>0.2033513845915047</v>
      </c>
      <c r="L15" s="592">
        <f t="shared" si="2"/>
        <v>1.2514854399751649</v>
      </c>
      <c r="M15" s="594">
        <f t="shared" si="3"/>
        <v>0</v>
      </c>
      <c r="N15" s="123"/>
      <c r="O15" s="587"/>
      <c r="P15" s="123"/>
      <c r="Q15" s="1870">
        <f>Q14 * S15</f>
        <v>0</v>
      </c>
      <c r="R15" s="1871"/>
      <c r="S15" s="594">
        <f>IF('MLQ-DMT-TR1'!$E$7 &gt; 30, 30, 'MLQ-DMT-TR1'!$E$7)</f>
        <v>22</v>
      </c>
      <c r="T15" s="1872">
        <f>T14 * V15</f>
        <v>0</v>
      </c>
      <c r="U15" s="1873"/>
      <c r="V15" s="608">
        <f>IF('MLQ-DMT-TR1'!$E$7 &gt; 30, 30, 'MLQ-DMT-TR1'!$E$7)</f>
        <v>22</v>
      </c>
      <c r="W15" s="1872">
        <f>W14 * Y15</f>
        <v>0</v>
      </c>
      <c r="X15" s="1871"/>
      <c r="Y15" s="594">
        <f>IF('MLQ-DMT-TR1'!$E$7 &gt; 30, 30, 'MLQ-DMT-TR1'!$E$7)</f>
        <v>22</v>
      </c>
      <c r="Z15" s="1870">
        <f>Z14 * AB15</f>
        <v>0</v>
      </c>
      <c r="AA15" s="1871"/>
      <c r="AB15" s="594">
        <f>IF('MLQ-DMT-TR1'!$E$7 &gt; 30, 30, 'MLQ-DMT-TR1'!$E$7)</f>
        <v>22</v>
      </c>
      <c r="AD15" s="1874" t="s">
        <v>21</v>
      </c>
      <c r="AE15" s="1875" t="s">
        <v>21</v>
      </c>
      <c r="AF15" s="1875" t="s">
        <v>21</v>
      </c>
      <c r="AG15" s="1875" t="s">
        <v>21</v>
      </c>
      <c r="AH15" s="1876" t="s">
        <v>21</v>
      </c>
      <c r="AI15" s="1876" t="str">
        <f t="shared" si="0"/>
        <v/>
      </c>
    </row>
    <row r="16" spans="1:35" s="588" customFormat="1" ht="36" hidden="1" x14ac:dyDescent="0.25">
      <c r="A16" s="587" t="s">
        <v>1544</v>
      </c>
      <c r="B16" s="369" t="s">
        <v>25</v>
      </c>
      <c r="C16" s="123"/>
      <c r="D16" s="589" t="s">
        <v>1817</v>
      </c>
      <c r="E16" s="44" t="s">
        <v>27</v>
      </c>
      <c r="F16" s="214">
        <v>93599</v>
      </c>
      <c r="G16" s="587" t="s">
        <v>788</v>
      </c>
      <c r="H16" s="590" t="s">
        <v>42</v>
      </c>
      <c r="I16" s="591">
        <f>IF($F16="","",IF('TRECHO(S) A IMPRIMIR'!$B$1= 1, SUM(Q16, T16, W16, Z16), IF('TRECHO(S) A IMPRIMIR'!$B$1= 2, T16, IF('TRECHO(S) A IMPRIMIR'!$B$1= 3, W16, 0))))</f>
        <v>0</v>
      </c>
      <c r="J16" s="592">
        <v>0.41</v>
      </c>
      <c r="K16" s="593">
        <f t="shared" si="1"/>
        <v>0.2033513845915047</v>
      </c>
      <c r="L16" s="592">
        <f t="shared" si="2"/>
        <v>0.4933740676825169</v>
      </c>
      <c r="M16" s="594">
        <f t="shared" si="3"/>
        <v>0</v>
      </c>
      <c r="N16" s="123"/>
      <c r="O16" s="587"/>
      <c r="P16" s="123"/>
      <c r="Q16" s="1870">
        <f>Q14 * S16</f>
        <v>0</v>
      </c>
      <c r="R16" s="1871"/>
      <c r="S16" s="594">
        <f>IF('MLQ-DMT-TR1'!$E$7 &gt; 30, 'MLQ-DMT-TR1'!$E$7 - 30, 0)</f>
        <v>0</v>
      </c>
      <c r="T16" s="1872">
        <f>T14 * V16</f>
        <v>0</v>
      </c>
      <c r="U16" s="1873"/>
      <c r="V16" s="608">
        <f>IF('MLQ-DMT-TR1'!$E$7 &gt; 30, 'MLQ-DMT-TR1'!$E$7 - 30, 0)</f>
        <v>0</v>
      </c>
      <c r="W16" s="1872">
        <f>W14 * Y16</f>
        <v>0</v>
      </c>
      <c r="X16" s="1871"/>
      <c r="Y16" s="594">
        <f>IF('MLQ-DMT-TR1'!$E$7 &gt; 30, 'MLQ-DMT-TR1'!$E$7 - 30, 0)</f>
        <v>0</v>
      </c>
      <c r="Z16" s="1870">
        <f>Z14 * AB16</f>
        <v>0</v>
      </c>
      <c r="AA16" s="1871"/>
      <c r="AB16" s="594">
        <f>IF('MLQ-DMT-TR1'!$E$7 &gt; 30, 'MLQ-DMT-TR1'!$E$7 - 30, 0)</f>
        <v>0</v>
      </c>
      <c r="AD16" s="1874" t="s">
        <v>21</v>
      </c>
      <c r="AE16" s="1875" t="s">
        <v>21</v>
      </c>
      <c r="AF16" s="1875" t="s">
        <v>21</v>
      </c>
      <c r="AG16" s="1875" t="s">
        <v>21</v>
      </c>
      <c r="AH16" s="1876" t="s">
        <v>21</v>
      </c>
      <c r="AI16" s="1876" t="str">
        <f t="shared" si="0"/>
        <v/>
      </c>
    </row>
    <row r="17" spans="1:35" s="588" customFormat="1" ht="24" hidden="1" x14ac:dyDescent="0.25">
      <c r="A17" s="587" t="s">
        <v>1545</v>
      </c>
      <c r="B17" s="369" t="s">
        <v>23</v>
      </c>
      <c r="C17" s="123"/>
      <c r="D17" s="589" t="s">
        <v>1981</v>
      </c>
      <c r="E17" s="44" t="s">
        <v>138</v>
      </c>
      <c r="F17" s="214" t="s">
        <v>164</v>
      </c>
      <c r="G17" s="587" t="s">
        <v>3638</v>
      </c>
      <c r="H17" s="590" t="s">
        <v>55</v>
      </c>
      <c r="I17" s="591">
        <f>IF($F17="","",IF('TRECHO(S) A IMPRIMIR'!$B$1= 1, SUM(Q17, T17, W17, Z17), IF('TRECHO(S) A IMPRIMIR'!$B$1= 2, T17, IF('TRECHO(S) A IMPRIMIR'!$B$1= 3, W17, 0))))</f>
        <v>0</v>
      </c>
      <c r="J17" s="592">
        <v>12.23</v>
      </c>
      <c r="K17" s="593">
        <f t="shared" si="1"/>
        <v>0</v>
      </c>
      <c r="L17" s="592">
        <f t="shared" si="2"/>
        <v>12.23</v>
      </c>
      <c r="M17" s="594">
        <f t="shared" si="3"/>
        <v>0</v>
      </c>
      <c r="N17" s="123"/>
      <c r="O17" s="587"/>
      <c r="P17" s="123"/>
      <c r="Q17" s="1870">
        <f>Q14</f>
        <v>0</v>
      </c>
      <c r="R17" s="1871"/>
      <c r="S17" s="594"/>
      <c r="T17" s="1872">
        <f>T14</f>
        <v>0</v>
      </c>
      <c r="U17" s="1873"/>
      <c r="V17" s="608"/>
      <c r="W17" s="1872">
        <f>W14</f>
        <v>0</v>
      </c>
      <c r="X17" s="1871"/>
      <c r="Y17" s="594"/>
      <c r="Z17" s="1870">
        <f>Z14</f>
        <v>0</v>
      </c>
      <c r="AA17" s="1871"/>
      <c r="AB17" s="594"/>
      <c r="AD17" s="1874" t="s">
        <v>21</v>
      </c>
      <c r="AE17" s="1875" t="s">
        <v>21</v>
      </c>
      <c r="AF17" s="1875" t="s">
        <v>21</v>
      </c>
      <c r="AG17" s="1875" t="s">
        <v>21</v>
      </c>
      <c r="AH17" s="1876" t="s">
        <v>21</v>
      </c>
      <c r="AI17" s="1876" t="str">
        <f t="shared" si="0"/>
        <v/>
      </c>
    </row>
    <row r="18" spans="1:35" s="588" customFormat="1" ht="12" x14ac:dyDescent="0.25">
      <c r="A18" s="587"/>
      <c r="B18" s="369"/>
      <c r="C18" s="123"/>
      <c r="D18" s="589"/>
      <c r="E18" s="44"/>
      <c r="F18" s="214"/>
      <c r="G18" s="587" t="s">
        <v>21</v>
      </c>
      <c r="H18" s="590" t="s">
        <v>21</v>
      </c>
      <c r="I18" s="591" t="s">
        <v>21</v>
      </c>
      <c r="J18" s="592" t="s">
        <v>21</v>
      </c>
      <c r="K18" s="593" t="s">
        <v>21</v>
      </c>
      <c r="L18" s="592" t="s">
        <v>21</v>
      </c>
      <c r="M18" s="594" t="s">
        <v>21</v>
      </c>
      <c r="N18" s="123"/>
      <c r="O18" s="587"/>
      <c r="P18" s="123"/>
      <c r="Q18" s="1870"/>
      <c r="R18" s="1871"/>
      <c r="S18" s="594"/>
      <c r="T18" s="1872"/>
      <c r="U18" s="1873"/>
      <c r="V18" s="608"/>
      <c r="W18" s="1872"/>
      <c r="X18" s="1871"/>
      <c r="Y18" s="594"/>
      <c r="Z18" s="1870"/>
      <c r="AA18" s="1871"/>
      <c r="AB18" s="594"/>
      <c r="AD18" s="1874" t="s">
        <v>21</v>
      </c>
      <c r="AE18" s="1875" t="s">
        <v>21</v>
      </c>
      <c r="AF18" s="1875" t="s">
        <v>21</v>
      </c>
      <c r="AG18" s="1875" t="s">
        <v>21</v>
      </c>
      <c r="AH18" s="1876" t="s">
        <v>21</v>
      </c>
      <c r="AI18" s="1876" t="s">
        <v>21</v>
      </c>
    </row>
    <row r="19" spans="1:35" s="588" customFormat="1" ht="12" x14ac:dyDescent="0.25">
      <c r="A19" s="587" t="s">
        <v>1813</v>
      </c>
      <c r="B19" s="369"/>
      <c r="C19" s="123"/>
      <c r="D19" s="589" t="s">
        <v>1188</v>
      </c>
      <c r="E19" s="44"/>
      <c r="F19" s="214"/>
      <c r="G19" s="587" t="s">
        <v>1813</v>
      </c>
      <c r="H19" s="590" t="s">
        <v>21</v>
      </c>
      <c r="I19" s="591" t="s">
        <v>21</v>
      </c>
      <c r="J19" s="592" t="s">
        <v>21</v>
      </c>
      <c r="K19" s="593" t="s">
        <v>21</v>
      </c>
      <c r="L19" s="592" t="s">
        <v>21</v>
      </c>
      <c r="M19" s="594">
        <v>5557.5839066521739</v>
      </c>
      <c r="N19" s="123"/>
      <c r="O19" s="587"/>
      <c r="P19" s="123"/>
      <c r="Q19" s="1870"/>
      <c r="R19" s="1871"/>
      <c r="S19" s="594"/>
      <c r="T19" s="1872"/>
      <c r="U19" s="1873"/>
      <c r="V19" s="608"/>
      <c r="W19" s="1872"/>
      <c r="X19" s="1871"/>
      <c r="Y19" s="594"/>
      <c r="Z19" s="1870"/>
      <c r="AA19" s="1871"/>
      <c r="AB19" s="594"/>
      <c r="AD19" s="1874" t="s">
        <v>21</v>
      </c>
      <c r="AE19" s="1875" t="s">
        <v>21</v>
      </c>
      <c r="AF19" s="1875" t="s">
        <v>21</v>
      </c>
      <c r="AG19" s="1875" t="s">
        <v>21</v>
      </c>
      <c r="AH19" s="1876" t="s">
        <v>21</v>
      </c>
      <c r="AI19" s="1876" t="s">
        <v>21</v>
      </c>
    </row>
    <row r="20" spans="1:35" s="588" customFormat="1" ht="24" x14ac:dyDescent="0.25">
      <c r="A20" s="587" t="s">
        <v>420</v>
      </c>
      <c r="B20" s="369" t="s">
        <v>20</v>
      </c>
      <c r="C20" s="123"/>
      <c r="D20" s="589" t="s">
        <v>1189</v>
      </c>
      <c r="E20" s="44" t="s">
        <v>27</v>
      </c>
      <c r="F20" s="214">
        <v>100577</v>
      </c>
      <c r="G20" s="587" t="s">
        <v>635</v>
      </c>
      <c r="H20" s="590" t="s">
        <v>51</v>
      </c>
      <c r="I20" s="591">
        <v>5997.95</v>
      </c>
      <c r="J20" s="592">
        <v>0.77</v>
      </c>
      <c r="K20" s="593">
        <v>0.2033513845915047</v>
      </c>
      <c r="L20" s="592">
        <v>0.92658056613545869</v>
      </c>
      <c r="M20" s="594">
        <v>5557.5839066521739</v>
      </c>
      <c r="N20" s="123"/>
      <c r="O20" s="1877"/>
      <c r="P20" s="123"/>
      <c r="Q20" s="1870"/>
      <c r="R20" s="1871"/>
      <c r="S20" s="594"/>
      <c r="T20" s="1872">
        <v>5997.95</v>
      </c>
      <c r="U20" s="1873"/>
      <c r="V20" s="608"/>
      <c r="W20" s="1872">
        <v>0</v>
      </c>
      <c r="X20" s="1871"/>
      <c r="Y20" s="594"/>
      <c r="Z20" s="1870"/>
      <c r="AA20" s="1871"/>
      <c r="AB20" s="594"/>
      <c r="AD20" s="1874">
        <v>1299.1754586979107</v>
      </c>
      <c r="AE20" s="1875">
        <v>1660.0575305584418</v>
      </c>
      <c r="AF20" s="1875">
        <v>2598.3509173958214</v>
      </c>
      <c r="AG20" s="1875">
        <v>0</v>
      </c>
      <c r="AH20" s="1876">
        <v>0</v>
      </c>
      <c r="AI20" s="1876">
        <v>0</v>
      </c>
    </row>
    <row r="21" spans="1:35" s="588" customFormat="1" ht="12" x14ac:dyDescent="0.25">
      <c r="A21" s="587"/>
      <c r="B21" s="369"/>
      <c r="C21" s="123"/>
      <c r="D21" s="589"/>
      <c r="E21" s="44"/>
      <c r="F21" s="214"/>
      <c r="G21" s="587" t="s">
        <v>21</v>
      </c>
      <c r="H21" s="590" t="s">
        <v>21</v>
      </c>
      <c r="I21" s="591" t="s">
        <v>21</v>
      </c>
      <c r="J21" s="592" t="s">
        <v>21</v>
      </c>
      <c r="K21" s="593" t="s">
        <v>21</v>
      </c>
      <c r="L21" s="592" t="s">
        <v>21</v>
      </c>
      <c r="M21" s="594" t="s">
        <v>21</v>
      </c>
      <c r="N21" s="123"/>
      <c r="O21" s="587"/>
      <c r="P21" s="123"/>
      <c r="Q21" s="1870"/>
      <c r="R21" s="1871"/>
      <c r="S21" s="594"/>
      <c r="T21" s="1872"/>
      <c r="U21" s="1873"/>
      <c r="V21" s="608"/>
      <c r="W21" s="1872"/>
      <c r="X21" s="1871"/>
      <c r="Y21" s="594"/>
      <c r="Z21" s="1870"/>
      <c r="AA21" s="1871"/>
      <c r="AB21" s="594"/>
      <c r="AD21" s="1874" t="s">
        <v>21</v>
      </c>
      <c r="AE21" s="1875" t="s">
        <v>21</v>
      </c>
      <c r="AF21" s="1875" t="s">
        <v>21</v>
      </c>
      <c r="AG21" s="1875" t="s">
        <v>21</v>
      </c>
      <c r="AH21" s="1876" t="s">
        <v>21</v>
      </c>
      <c r="AI21" s="1876" t="s">
        <v>21</v>
      </c>
    </row>
    <row r="22" spans="1:35" s="588" customFormat="1" ht="36" x14ac:dyDescent="0.25">
      <c r="A22" s="587" t="s">
        <v>4010</v>
      </c>
      <c r="B22" s="369"/>
      <c r="C22" s="123"/>
      <c r="D22" s="589" t="s">
        <v>1692</v>
      </c>
      <c r="E22" s="44"/>
      <c r="F22" s="214"/>
      <c r="G22" s="587" t="s">
        <v>4010</v>
      </c>
      <c r="H22" s="590" t="s">
        <v>21</v>
      </c>
      <c r="I22" s="591" t="s">
        <v>21</v>
      </c>
      <c r="J22" s="592" t="s">
        <v>21</v>
      </c>
      <c r="K22" s="593" t="s">
        <v>21</v>
      </c>
      <c r="L22" s="592" t="s">
        <v>21</v>
      </c>
      <c r="M22" s="594">
        <v>11245.08535917414</v>
      </c>
      <c r="N22" s="123"/>
      <c r="O22" s="587"/>
      <c r="P22" s="123"/>
      <c r="Q22" s="1870"/>
      <c r="R22" s="1871"/>
      <c r="S22" s="594"/>
      <c r="T22" s="1872"/>
      <c r="U22" s="1873"/>
      <c r="V22" s="608"/>
      <c r="W22" s="1872"/>
      <c r="X22" s="1871"/>
      <c r="Y22" s="594"/>
      <c r="Z22" s="1870"/>
      <c r="AA22" s="1871"/>
      <c r="AB22" s="594"/>
      <c r="AD22" s="1874" t="s">
        <v>21</v>
      </c>
      <c r="AE22" s="1875" t="s">
        <v>21</v>
      </c>
      <c r="AF22" s="1875" t="s">
        <v>21</v>
      </c>
      <c r="AG22" s="1875" t="s">
        <v>21</v>
      </c>
      <c r="AH22" s="1876" t="s">
        <v>21</v>
      </c>
      <c r="AI22" s="1876" t="s">
        <v>21</v>
      </c>
    </row>
    <row r="23" spans="1:35" s="588" customFormat="1" ht="48" x14ac:dyDescent="0.25">
      <c r="A23" s="587" t="s">
        <v>1816</v>
      </c>
      <c r="B23" s="369" t="s">
        <v>28</v>
      </c>
      <c r="C23" s="123"/>
      <c r="D23" s="589" t="s">
        <v>1815</v>
      </c>
      <c r="E23" s="44" t="s">
        <v>27</v>
      </c>
      <c r="F23" s="214">
        <v>96388</v>
      </c>
      <c r="G23" s="587" t="s">
        <v>580</v>
      </c>
      <c r="H23" s="590" t="s">
        <v>44</v>
      </c>
      <c r="I23" s="591">
        <v>1199.5899999999999</v>
      </c>
      <c r="J23" s="592">
        <v>7.79</v>
      </c>
      <c r="K23" s="593">
        <v>0.2033513845915047</v>
      </c>
      <c r="L23" s="592">
        <v>9.3741072859678223</v>
      </c>
      <c r="M23" s="594">
        <v>11245.08535917414</v>
      </c>
      <c r="N23" s="123"/>
      <c r="O23" s="1877"/>
      <c r="P23" s="123"/>
      <c r="Q23" s="1870">
        <v>0</v>
      </c>
      <c r="R23" s="1871">
        <v>1.3653840557275541</v>
      </c>
      <c r="S23" s="594"/>
      <c r="T23" s="1872">
        <v>1199.5899999999999</v>
      </c>
      <c r="U23" s="1873">
        <v>1.3653840557275541</v>
      </c>
      <c r="V23" s="608"/>
      <c r="W23" s="1872">
        <v>0</v>
      </c>
      <c r="X23" s="1871">
        <v>1.3653840557275541</v>
      </c>
      <c r="Y23" s="594"/>
      <c r="Z23" s="1870"/>
      <c r="AA23" s="1871">
        <v>1.3653840557275541</v>
      </c>
      <c r="AB23" s="594"/>
      <c r="AD23" s="1874">
        <v>2771.5743118888763</v>
      </c>
      <c r="AE23" s="1875">
        <v>2944.7977063819312</v>
      </c>
      <c r="AF23" s="1875">
        <v>5528.7133409033313</v>
      </c>
      <c r="AG23" s="1875">
        <v>0</v>
      </c>
      <c r="AH23" s="1876">
        <v>0</v>
      </c>
      <c r="AI23" s="1876">
        <v>0</v>
      </c>
    </row>
    <row r="24" spans="1:35" s="588" customFormat="1" ht="12" x14ac:dyDescent="0.25">
      <c r="A24" s="587"/>
      <c r="B24" s="369"/>
      <c r="C24" s="123"/>
      <c r="D24" s="589"/>
      <c r="E24" s="44"/>
      <c r="F24" s="214"/>
      <c r="G24" s="587" t="s">
        <v>21</v>
      </c>
      <c r="H24" s="590" t="s">
        <v>21</v>
      </c>
      <c r="I24" s="591" t="s">
        <v>21</v>
      </c>
      <c r="J24" s="592" t="s">
        <v>21</v>
      </c>
      <c r="K24" s="593" t="s">
        <v>21</v>
      </c>
      <c r="L24" s="592" t="s">
        <v>21</v>
      </c>
      <c r="M24" s="594" t="s">
        <v>21</v>
      </c>
      <c r="N24" s="123"/>
      <c r="O24" s="587"/>
      <c r="P24" s="123"/>
      <c r="Q24" s="1870"/>
      <c r="R24" s="1871"/>
      <c r="S24" s="594"/>
      <c r="T24" s="1872"/>
      <c r="U24" s="1873"/>
      <c r="V24" s="608"/>
      <c r="W24" s="1872"/>
      <c r="X24" s="1871"/>
      <c r="Y24" s="594"/>
      <c r="Z24" s="1870"/>
      <c r="AA24" s="1871"/>
      <c r="AB24" s="594"/>
      <c r="AD24" s="1874" t="s">
        <v>21</v>
      </c>
      <c r="AE24" s="1875" t="s">
        <v>21</v>
      </c>
      <c r="AF24" s="1875" t="s">
        <v>21</v>
      </c>
      <c r="AG24" s="1875" t="s">
        <v>21</v>
      </c>
      <c r="AH24" s="1876" t="s">
        <v>21</v>
      </c>
      <c r="AI24" s="1876" t="s">
        <v>21</v>
      </c>
    </row>
    <row r="25" spans="1:35" s="588" customFormat="1" ht="36" x14ac:dyDescent="0.25">
      <c r="A25" s="587" t="s">
        <v>4009</v>
      </c>
      <c r="B25" s="369"/>
      <c r="C25" s="123"/>
      <c r="D25" s="589" t="s">
        <v>1693</v>
      </c>
      <c r="E25" s="44"/>
      <c r="F25" s="214"/>
      <c r="G25" s="587" t="s">
        <v>4009</v>
      </c>
      <c r="H25" s="590" t="s">
        <v>21</v>
      </c>
      <c r="I25" s="591" t="s">
        <v>21</v>
      </c>
      <c r="J25" s="592" t="s">
        <v>21</v>
      </c>
      <c r="K25" s="593" t="s">
        <v>21</v>
      </c>
      <c r="L25" s="592" t="s">
        <v>21</v>
      </c>
      <c r="M25" s="594">
        <v>46257.863971082836</v>
      </c>
      <c r="N25" s="123"/>
      <c r="O25" s="587"/>
      <c r="P25" s="123"/>
      <c r="Q25" s="1870"/>
      <c r="R25" s="1871"/>
      <c r="S25" s="594"/>
      <c r="T25" s="1872"/>
      <c r="U25" s="1873"/>
      <c r="V25" s="608"/>
      <c r="W25" s="1872"/>
      <c r="X25" s="1871"/>
      <c r="Y25" s="594"/>
      <c r="Z25" s="1870"/>
      <c r="AA25" s="1871"/>
      <c r="AB25" s="594"/>
      <c r="AD25" s="1874" t="s">
        <v>21</v>
      </c>
      <c r="AE25" s="1875" t="s">
        <v>21</v>
      </c>
      <c r="AF25" s="1875" t="s">
        <v>21</v>
      </c>
      <c r="AG25" s="1875" t="s">
        <v>21</v>
      </c>
      <c r="AH25" s="1876" t="s">
        <v>21</v>
      </c>
      <c r="AI25" s="1876" t="s">
        <v>21</v>
      </c>
    </row>
    <row r="26" spans="1:35" s="588" customFormat="1" ht="48" x14ac:dyDescent="0.25">
      <c r="A26" s="587" t="s">
        <v>3676</v>
      </c>
      <c r="B26" s="369" t="s">
        <v>28</v>
      </c>
      <c r="C26" s="123"/>
      <c r="D26" s="589" t="s">
        <v>1818</v>
      </c>
      <c r="E26" s="44" t="s">
        <v>27</v>
      </c>
      <c r="F26" s="214">
        <v>96389</v>
      </c>
      <c r="G26" s="587" t="s">
        <v>578</v>
      </c>
      <c r="H26" s="590" t="s">
        <v>44</v>
      </c>
      <c r="I26" s="591">
        <v>1019.6515000000001</v>
      </c>
      <c r="J26" s="592">
        <v>37.700000000000003</v>
      </c>
      <c r="K26" s="593">
        <v>0.2033513845915047</v>
      </c>
      <c r="L26" s="592">
        <v>45.366347199099728</v>
      </c>
      <c r="M26" s="594">
        <v>46257.863971082836</v>
      </c>
      <c r="N26" s="123"/>
      <c r="O26" s="1877"/>
      <c r="P26" s="123"/>
      <c r="Q26" s="1870">
        <v>0</v>
      </c>
      <c r="R26" s="1873">
        <v>1.3653840557275541</v>
      </c>
      <c r="S26" s="594"/>
      <c r="T26" s="1872">
        <v>1019.6515000000001</v>
      </c>
      <c r="U26" s="1873">
        <v>1.3653840557275541</v>
      </c>
      <c r="V26" s="608"/>
      <c r="W26" s="1872">
        <v>0</v>
      </c>
      <c r="X26" s="1873">
        <v>1.3653840557275541</v>
      </c>
      <c r="Y26" s="594"/>
      <c r="Z26" s="1870"/>
      <c r="AA26" s="1873">
        <v>1.3653840557275541</v>
      </c>
      <c r="AB26" s="594"/>
      <c r="AD26" s="1874">
        <v>3656.457152090898</v>
      </c>
      <c r="AE26" s="1875">
        <v>37128.991081298853</v>
      </c>
      <c r="AF26" s="1875">
        <v>5472.4157376930889</v>
      </c>
      <c r="AG26" s="1875">
        <v>0</v>
      </c>
      <c r="AH26" s="1876">
        <v>0</v>
      </c>
      <c r="AI26" s="1876">
        <v>-7.2759576141834259E-12</v>
      </c>
    </row>
    <row r="27" spans="1:35" s="588" customFormat="1" ht="12" x14ac:dyDescent="0.25">
      <c r="A27" s="587"/>
      <c r="B27" s="369"/>
      <c r="C27" s="123"/>
      <c r="D27" s="589"/>
      <c r="E27" s="44"/>
      <c r="F27" s="214"/>
      <c r="G27" s="587" t="s">
        <v>21</v>
      </c>
      <c r="H27" s="590" t="s">
        <v>21</v>
      </c>
      <c r="I27" s="591" t="s">
        <v>21</v>
      </c>
      <c r="J27" s="592" t="s">
        <v>21</v>
      </c>
      <c r="K27" s="593" t="s">
        <v>21</v>
      </c>
      <c r="L27" s="592" t="s">
        <v>21</v>
      </c>
      <c r="M27" s="594" t="s">
        <v>21</v>
      </c>
      <c r="N27" s="123"/>
      <c r="O27" s="587"/>
      <c r="P27" s="123"/>
      <c r="Q27" s="1870"/>
      <c r="R27" s="1871"/>
      <c r="S27" s="594"/>
      <c r="T27" s="1872"/>
      <c r="U27" s="1873"/>
      <c r="V27" s="608"/>
      <c r="W27" s="1872"/>
      <c r="X27" s="1871"/>
      <c r="Y27" s="594"/>
      <c r="Z27" s="1870"/>
      <c r="AA27" s="1871"/>
      <c r="AB27" s="594"/>
      <c r="AD27" s="1874" t="s">
        <v>21</v>
      </c>
      <c r="AE27" s="1875" t="s">
        <v>21</v>
      </c>
      <c r="AF27" s="1875" t="s">
        <v>21</v>
      </c>
      <c r="AG27" s="1875" t="s">
        <v>21</v>
      </c>
      <c r="AH27" s="1876" t="s">
        <v>21</v>
      </c>
      <c r="AI27" s="1876" t="s">
        <v>21</v>
      </c>
    </row>
    <row r="28" spans="1:35" s="588" customFormat="1" ht="12" x14ac:dyDescent="0.25">
      <c r="A28" s="587" t="s">
        <v>1685</v>
      </c>
      <c r="B28" s="369"/>
      <c r="C28" s="123"/>
      <c r="D28" s="589" t="s">
        <v>1694</v>
      </c>
      <c r="E28" s="44"/>
      <c r="F28" s="214"/>
      <c r="G28" s="587" t="s">
        <v>1685</v>
      </c>
      <c r="H28" s="590" t="s">
        <v>21</v>
      </c>
      <c r="I28" s="591" t="s">
        <v>21</v>
      </c>
      <c r="J28" s="592" t="s">
        <v>21</v>
      </c>
      <c r="K28" s="593" t="s">
        <v>21</v>
      </c>
      <c r="L28" s="592" t="s">
        <v>21</v>
      </c>
      <c r="M28" s="594">
        <v>30689.558896413713</v>
      </c>
      <c r="N28" s="123"/>
      <c r="O28" s="587"/>
      <c r="P28" s="123"/>
      <c r="Q28" s="1870"/>
      <c r="R28" s="1871"/>
      <c r="S28" s="594"/>
      <c r="T28" s="1872"/>
      <c r="U28" s="1873"/>
      <c r="V28" s="608"/>
      <c r="W28" s="1872"/>
      <c r="X28" s="1871"/>
      <c r="Y28" s="594"/>
      <c r="Z28" s="1870"/>
      <c r="AA28" s="1871"/>
      <c r="AB28" s="594"/>
      <c r="AD28" s="1874" t="s">
        <v>21</v>
      </c>
      <c r="AE28" s="1875" t="s">
        <v>21</v>
      </c>
      <c r="AF28" s="1875" t="s">
        <v>21</v>
      </c>
      <c r="AG28" s="1875" t="s">
        <v>21</v>
      </c>
      <c r="AH28" s="1876" t="s">
        <v>21</v>
      </c>
      <c r="AI28" s="1876" t="s">
        <v>21</v>
      </c>
    </row>
    <row r="29" spans="1:35" s="588" customFormat="1" ht="36" x14ac:dyDescent="0.25">
      <c r="A29" s="587" t="s">
        <v>3327</v>
      </c>
      <c r="B29" s="369" t="s">
        <v>23</v>
      </c>
      <c r="C29" s="123"/>
      <c r="D29" s="589" t="s">
        <v>1819</v>
      </c>
      <c r="E29" s="44" t="s">
        <v>138</v>
      </c>
      <c r="F29" s="214" t="s">
        <v>3325</v>
      </c>
      <c r="G29" s="587" t="s">
        <v>3326</v>
      </c>
      <c r="H29" s="590" t="s">
        <v>55</v>
      </c>
      <c r="I29" s="591">
        <v>7.1975399999999992</v>
      </c>
      <c r="J29" s="592">
        <v>2973.15</v>
      </c>
      <c r="K29" s="593">
        <v>0.11096635744680849</v>
      </c>
      <c r="L29" s="592">
        <v>3303.0696256429787</v>
      </c>
      <c r="M29" s="594">
        <v>23773.975753350362</v>
      </c>
      <c r="N29" s="123"/>
      <c r="O29" s="587" t="s">
        <v>1822</v>
      </c>
      <c r="P29" s="123"/>
      <c r="Q29" s="1870">
        <v>0</v>
      </c>
      <c r="R29" s="1871"/>
      <c r="S29" s="594"/>
      <c r="T29" s="1872">
        <v>7.1975399999999992</v>
      </c>
      <c r="U29" s="1873"/>
      <c r="V29" s="608"/>
      <c r="W29" s="1872">
        <v>0</v>
      </c>
      <c r="X29" s="1871"/>
      <c r="Y29" s="594"/>
      <c r="Z29" s="1870">
        <v>0</v>
      </c>
      <c r="AA29" s="1871"/>
      <c r="AB29" s="594"/>
      <c r="AD29" s="1874">
        <v>0</v>
      </c>
      <c r="AE29" s="1875">
        <v>23773.975753350362</v>
      </c>
      <c r="AF29" s="1875">
        <v>0</v>
      </c>
      <c r="AG29" s="1875">
        <v>0</v>
      </c>
      <c r="AH29" s="1876">
        <v>0</v>
      </c>
      <c r="AI29" s="1876">
        <v>0</v>
      </c>
    </row>
    <row r="30" spans="1:35" s="588" customFormat="1" ht="36" x14ac:dyDescent="0.25">
      <c r="A30" s="587" t="s">
        <v>972</v>
      </c>
      <c r="B30" s="369" t="s">
        <v>25</v>
      </c>
      <c r="C30" s="123"/>
      <c r="D30" s="589" t="s">
        <v>1830</v>
      </c>
      <c r="E30" s="44" t="s">
        <v>27</v>
      </c>
      <c r="F30" s="214">
        <v>100969</v>
      </c>
      <c r="G30" s="587" t="s">
        <v>798</v>
      </c>
      <c r="H30" s="590" t="s">
        <v>42</v>
      </c>
      <c r="I30" s="591">
        <v>7.1975399999999992</v>
      </c>
      <c r="J30" s="592">
        <v>1.7</v>
      </c>
      <c r="K30" s="593">
        <v>0.2033513845915047</v>
      </c>
      <c r="L30" s="592">
        <v>2.0456973538055578</v>
      </c>
      <c r="M30" s="594">
        <v>14.723988531909653</v>
      </c>
      <c r="N30" s="123"/>
      <c r="O30" s="587" t="s">
        <v>1821</v>
      </c>
      <c r="P30" s="123"/>
      <c r="Q30" s="1870">
        <v>0</v>
      </c>
      <c r="R30" s="1871"/>
      <c r="S30" s="594">
        <v>1</v>
      </c>
      <c r="T30" s="1872">
        <v>7.1975399999999992</v>
      </c>
      <c r="U30" s="1873"/>
      <c r="V30" s="608">
        <v>1</v>
      </c>
      <c r="W30" s="1872">
        <v>0</v>
      </c>
      <c r="X30" s="1871"/>
      <c r="Y30" s="594">
        <v>1</v>
      </c>
      <c r="Z30" s="1870">
        <v>0</v>
      </c>
      <c r="AA30" s="1871"/>
      <c r="AB30" s="594">
        <v>1</v>
      </c>
      <c r="AD30" s="1874">
        <v>1.2991754586979105</v>
      </c>
      <c r="AE30" s="1875">
        <v>10.480015366829813</v>
      </c>
      <c r="AF30" s="1875">
        <v>2.9447977063819315</v>
      </c>
      <c r="AG30" s="1875">
        <v>0</v>
      </c>
      <c r="AH30" s="1876">
        <v>0</v>
      </c>
      <c r="AI30" s="1876">
        <v>-1.7763568394002505E-15</v>
      </c>
    </row>
    <row r="31" spans="1:35" s="588" customFormat="1" ht="24" x14ac:dyDescent="0.25">
      <c r="A31" s="587" t="s">
        <v>975</v>
      </c>
      <c r="B31" s="369" t="s">
        <v>20</v>
      </c>
      <c r="C31" s="123"/>
      <c r="D31" s="589" t="s">
        <v>1831</v>
      </c>
      <c r="E31" s="44" t="s">
        <v>138</v>
      </c>
      <c r="F31" s="214" t="s">
        <v>949</v>
      </c>
      <c r="G31" s="587" t="s">
        <v>3346</v>
      </c>
      <c r="H31" s="590" t="s">
        <v>51</v>
      </c>
      <c r="I31" s="591">
        <v>5997.95</v>
      </c>
      <c r="J31" s="592">
        <v>0.95611000000000002</v>
      </c>
      <c r="K31" s="593">
        <v>0.2033513845915047</v>
      </c>
      <c r="L31" s="592">
        <v>1.1505362923217837</v>
      </c>
      <c r="M31" s="594">
        <v>6900.8591545314421</v>
      </c>
      <c r="N31" s="123"/>
      <c r="O31" s="587" t="s">
        <v>1832</v>
      </c>
      <c r="P31" s="123"/>
      <c r="Q31" s="1870">
        <v>0</v>
      </c>
      <c r="R31" s="1907">
        <v>1.1999999999999999E-3</v>
      </c>
      <c r="S31" s="594"/>
      <c r="T31" s="1872">
        <v>5997.95</v>
      </c>
      <c r="U31" s="1907">
        <v>1.1999999999999999E-3</v>
      </c>
      <c r="V31" s="608"/>
      <c r="W31" s="1872">
        <v>0</v>
      </c>
      <c r="X31" s="1907">
        <v>1.1999999999999999E-3</v>
      </c>
      <c r="Y31" s="594"/>
      <c r="Z31" s="1870"/>
      <c r="AA31" s="1907">
        <v>1.1999999999999999E-3</v>
      </c>
      <c r="AB31" s="594"/>
      <c r="AD31" s="1874">
        <v>1707.9826697015201</v>
      </c>
      <c r="AE31" s="1875">
        <v>3211.5617339012356</v>
      </c>
      <c r="AF31" s="1875">
        <v>1981.3147509286862</v>
      </c>
      <c r="AG31" s="1875">
        <v>0</v>
      </c>
      <c r="AH31" s="1876">
        <v>2.0032979267699579E-13</v>
      </c>
      <c r="AI31" s="1876">
        <v>0</v>
      </c>
    </row>
    <row r="32" spans="1:35" s="588" customFormat="1" ht="12" x14ac:dyDescent="0.25">
      <c r="A32" s="587"/>
      <c r="B32" s="369"/>
      <c r="C32" s="123"/>
      <c r="D32" s="589"/>
      <c r="E32" s="44"/>
      <c r="F32" s="214"/>
      <c r="G32" s="587" t="s">
        <v>21</v>
      </c>
      <c r="H32" s="590" t="s">
        <v>21</v>
      </c>
      <c r="I32" s="591" t="s">
        <v>21</v>
      </c>
      <c r="J32" s="592" t="s">
        <v>21</v>
      </c>
      <c r="K32" s="593" t="s">
        <v>21</v>
      </c>
      <c r="L32" s="592" t="s">
        <v>21</v>
      </c>
      <c r="M32" s="594" t="s">
        <v>21</v>
      </c>
      <c r="N32" s="123"/>
      <c r="O32" s="587"/>
      <c r="P32" s="123"/>
      <c r="Q32" s="1870"/>
      <c r="R32" s="1871"/>
      <c r="S32" s="594"/>
      <c r="T32" s="1872"/>
      <c r="U32" s="1873"/>
      <c r="V32" s="608"/>
      <c r="W32" s="1872"/>
      <c r="X32" s="1871"/>
      <c r="Y32" s="594"/>
      <c r="Z32" s="1870"/>
      <c r="AA32" s="1871"/>
      <c r="AB32" s="594"/>
      <c r="AD32" s="1874" t="s">
        <v>21</v>
      </c>
      <c r="AE32" s="1875" t="s">
        <v>21</v>
      </c>
      <c r="AF32" s="1875" t="s">
        <v>21</v>
      </c>
      <c r="AG32" s="1875" t="s">
        <v>21</v>
      </c>
      <c r="AH32" s="1876" t="s">
        <v>21</v>
      </c>
      <c r="AI32" s="1876" t="s">
        <v>21</v>
      </c>
    </row>
    <row r="33" spans="1:35" s="588" customFormat="1" ht="12" x14ac:dyDescent="0.25">
      <c r="A33" s="587" t="s">
        <v>4070</v>
      </c>
      <c r="B33" s="369"/>
      <c r="C33" s="123"/>
      <c r="D33" s="589" t="s">
        <v>1695</v>
      </c>
      <c r="E33" s="44"/>
      <c r="F33" s="214"/>
      <c r="G33" s="587" t="s">
        <v>4070</v>
      </c>
      <c r="H33" s="590" t="s">
        <v>21</v>
      </c>
      <c r="I33" s="591" t="s">
        <v>21</v>
      </c>
      <c r="J33" s="592" t="s">
        <v>21</v>
      </c>
      <c r="K33" s="593" t="s">
        <v>21</v>
      </c>
      <c r="L33" s="592" t="s">
        <v>21</v>
      </c>
      <c r="M33" s="594">
        <v>112966.8066898804</v>
      </c>
      <c r="N33" s="123"/>
      <c r="O33" s="587"/>
      <c r="P33" s="123"/>
      <c r="Q33" s="1870"/>
      <c r="R33" s="1871"/>
      <c r="S33" s="594"/>
      <c r="T33" s="1872"/>
      <c r="U33" s="1873"/>
      <c r="V33" s="608"/>
      <c r="W33" s="1872"/>
      <c r="X33" s="1871"/>
      <c r="Y33" s="594"/>
      <c r="Z33" s="1870"/>
      <c r="AA33" s="1871"/>
      <c r="AB33" s="594"/>
      <c r="AD33" s="1874" t="s">
        <v>21</v>
      </c>
      <c r="AE33" s="1875" t="s">
        <v>21</v>
      </c>
      <c r="AF33" s="1875" t="s">
        <v>21</v>
      </c>
      <c r="AG33" s="1875" t="s">
        <v>21</v>
      </c>
      <c r="AH33" s="1876" t="s">
        <v>21</v>
      </c>
      <c r="AI33" s="1876" t="s">
        <v>21</v>
      </c>
    </row>
    <row r="34" spans="1:35" s="588" customFormat="1" ht="12" x14ac:dyDescent="0.25">
      <c r="A34" s="587" t="s">
        <v>4061</v>
      </c>
      <c r="B34" s="369"/>
      <c r="C34" s="123"/>
      <c r="D34" s="589" t="s">
        <v>1824</v>
      </c>
      <c r="E34" s="44"/>
      <c r="F34" s="214"/>
      <c r="G34" s="587" t="s">
        <v>4061</v>
      </c>
      <c r="H34" s="590" t="s">
        <v>21</v>
      </c>
      <c r="I34" s="591" t="s">
        <v>21</v>
      </c>
      <c r="J34" s="592" t="s">
        <v>21</v>
      </c>
      <c r="K34" s="593" t="s">
        <v>21</v>
      </c>
      <c r="L34" s="592" t="s">
        <v>21</v>
      </c>
      <c r="M34" s="594" t="s">
        <v>21</v>
      </c>
      <c r="N34" s="123"/>
      <c r="O34" s="587"/>
      <c r="P34" s="123"/>
      <c r="Q34" s="1870"/>
      <c r="R34" s="1871"/>
      <c r="S34" s="594"/>
      <c r="T34" s="1872"/>
      <c r="U34" s="1873"/>
      <c r="V34" s="608"/>
      <c r="W34" s="1872"/>
      <c r="X34" s="1871"/>
      <c r="Y34" s="594"/>
      <c r="Z34" s="1870"/>
      <c r="AA34" s="1871"/>
      <c r="AB34" s="594"/>
      <c r="AD34" s="1874" t="s">
        <v>21</v>
      </c>
      <c r="AE34" s="1875" t="s">
        <v>21</v>
      </c>
      <c r="AF34" s="1875" t="s">
        <v>21</v>
      </c>
      <c r="AG34" s="1875" t="s">
        <v>21</v>
      </c>
      <c r="AH34" s="1876" t="s">
        <v>21</v>
      </c>
      <c r="AI34" s="1876" t="s">
        <v>21</v>
      </c>
    </row>
    <row r="35" spans="1:35" s="588" customFormat="1" ht="36" hidden="1" x14ac:dyDescent="0.25">
      <c r="A35" s="587" t="s">
        <v>969</v>
      </c>
      <c r="B35" s="369" t="s">
        <v>25</v>
      </c>
      <c r="C35" s="123"/>
      <c r="D35" s="589" t="s">
        <v>4056</v>
      </c>
      <c r="E35" s="44" t="s">
        <v>27</v>
      </c>
      <c r="F35" s="214">
        <v>95879</v>
      </c>
      <c r="G35" s="587" t="s">
        <v>789</v>
      </c>
      <c r="H35" s="590" t="s">
        <v>42</v>
      </c>
      <c r="I35" s="591">
        <f>IF($F35="","",IF('TRECHO(S) A IMPRIMIR'!$B$1= 1, SUM(Q35, T35, W35, Z35), IF('TRECHO(S) A IMPRIMIR'!$B$1= 2, T35, IF('TRECHO(S) A IMPRIMIR'!$B$1= 3, W35, 0))))</f>
        <v>0</v>
      </c>
      <c r="J35" s="592">
        <v>1.04</v>
      </c>
      <c r="K35" s="593">
        <f t="shared" si="1"/>
        <v>0.2033513845915047</v>
      </c>
      <c r="L35" s="592">
        <f t="shared" ref="L33:L41" si="4">IF(J35="","",
  IF(AND(J35&lt;&gt;"",K35=""),J35,J35 * (1 + K35)))</f>
        <v>1.2514854399751649</v>
      </c>
      <c r="M35" s="594">
        <f t="shared" ref="M34:M41" si="5">IF(OR(I35="",L35=""),"",I35*L35)</f>
        <v>0</v>
      </c>
      <c r="N35" s="123"/>
      <c r="O35" s="587" t="s">
        <v>4066</v>
      </c>
      <c r="P35" s="123"/>
      <c r="Q35" s="1870">
        <f>Q40 * R35 * S35</f>
        <v>0</v>
      </c>
      <c r="R35" s="1907">
        <f>'MLQ-PESP'!$C$25</f>
        <v>3.6795000000000001E-2</v>
      </c>
      <c r="S35" s="594">
        <f>IF('MLQ-DMT-TR1'!$E$9 &gt; 30, 30, 'MLQ-DMT-TR1'!$E$9)</f>
        <v>30</v>
      </c>
      <c r="T35" s="1872">
        <f>T40 * U35 * V35</f>
        <v>0</v>
      </c>
      <c r="U35" s="1908">
        <f>'MLQ-PESP'!$C$25</f>
        <v>3.6795000000000001E-2</v>
      </c>
      <c r="V35" s="1879"/>
      <c r="W35" s="1872">
        <f>W40 * X35 * Y35</f>
        <v>0</v>
      </c>
      <c r="X35" s="1907">
        <f>'MLQ-PESP'!$C$25</f>
        <v>3.6795000000000001E-2</v>
      </c>
      <c r="Y35" s="1879"/>
      <c r="Z35" s="1870">
        <f>Z40 * AA35 * AB35</f>
        <v>0</v>
      </c>
      <c r="AA35" s="1907">
        <f>'MLQ-PESP'!$C$25</f>
        <v>3.6795000000000001E-2</v>
      </c>
      <c r="AB35" s="1879"/>
      <c r="AD35" s="1874" t="s">
        <v>21</v>
      </c>
      <c r="AE35" s="1875" t="s">
        <v>21</v>
      </c>
      <c r="AF35" s="1875" t="s">
        <v>21</v>
      </c>
      <c r="AG35" s="1875" t="s">
        <v>21</v>
      </c>
      <c r="AH35" s="1876" t="s">
        <v>21</v>
      </c>
      <c r="AI35" s="1876" t="str">
        <f t="shared" ref="AI33:AI41" si="6">IF(SUM(AD35:AH35)=0,"",M35 - SUM(AD35:AH35))</f>
        <v/>
      </c>
    </row>
    <row r="36" spans="1:35" s="588" customFormat="1" ht="36" hidden="1" x14ac:dyDescent="0.25">
      <c r="A36" s="587" t="s">
        <v>970</v>
      </c>
      <c r="B36" s="369" t="s">
        <v>25</v>
      </c>
      <c r="C36" s="123"/>
      <c r="D36" s="589" t="s">
        <v>4057</v>
      </c>
      <c r="E36" s="44" t="s">
        <v>27</v>
      </c>
      <c r="F36" s="214">
        <v>93599</v>
      </c>
      <c r="G36" s="587" t="s">
        <v>788</v>
      </c>
      <c r="H36" s="590" t="s">
        <v>42</v>
      </c>
      <c r="I36" s="591">
        <f>IF($F36="","",IF('TRECHO(S) A IMPRIMIR'!$B$1= 1, SUM(Q36, T36, W36, Z36), IF('TRECHO(S) A IMPRIMIR'!$B$1= 2, T36, IF('TRECHO(S) A IMPRIMIR'!$B$1= 3, W36, 0))))</f>
        <v>0</v>
      </c>
      <c r="J36" s="592">
        <v>0.41</v>
      </c>
      <c r="K36" s="593">
        <f t="shared" si="1"/>
        <v>0.2033513845915047</v>
      </c>
      <c r="L36" s="592">
        <f t="shared" si="4"/>
        <v>0.4933740676825169</v>
      </c>
      <c r="M36" s="594">
        <f t="shared" si="5"/>
        <v>0</v>
      </c>
      <c r="N36" s="123"/>
      <c r="O36" s="587" t="s">
        <v>4066</v>
      </c>
      <c r="P36" s="123"/>
      <c r="Q36" s="1870">
        <f>Q40 * R36 * S36</f>
        <v>0</v>
      </c>
      <c r="R36" s="1907">
        <f>'MLQ-PESP'!$C$25</f>
        <v>3.6795000000000001E-2</v>
      </c>
      <c r="S36" s="594">
        <f>IF('MLQ-DMT-TR1'!$E$9 &gt; 30, 'MLQ-DMT-TR1'!$E$9 - 30, 0)</f>
        <v>27</v>
      </c>
      <c r="T36" s="1872">
        <f>T40 * U36 * V36</f>
        <v>0</v>
      </c>
      <c r="U36" s="1908">
        <f>'MLQ-PESP'!$C$25</f>
        <v>3.6795000000000001E-2</v>
      </c>
      <c r="V36" s="1879"/>
      <c r="W36" s="1872">
        <f>W40 * X36 * Y36</f>
        <v>0</v>
      </c>
      <c r="X36" s="1907">
        <f>'MLQ-PESP'!$C$25</f>
        <v>3.6795000000000001E-2</v>
      </c>
      <c r="Y36" s="1879"/>
      <c r="Z36" s="1870">
        <f>Z40 * AA36 * AB36</f>
        <v>0</v>
      </c>
      <c r="AA36" s="1907">
        <f>'MLQ-PESP'!$C$25</f>
        <v>3.6795000000000001E-2</v>
      </c>
      <c r="AB36" s="1879"/>
      <c r="AD36" s="1874" t="s">
        <v>21</v>
      </c>
      <c r="AE36" s="1875" t="s">
        <v>21</v>
      </c>
      <c r="AF36" s="1875" t="s">
        <v>21</v>
      </c>
      <c r="AG36" s="1875" t="s">
        <v>21</v>
      </c>
      <c r="AH36" s="1876" t="s">
        <v>21</v>
      </c>
      <c r="AI36" s="1876" t="str">
        <f t="shared" si="6"/>
        <v/>
      </c>
    </row>
    <row r="37" spans="1:35" s="588" customFormat="1" ht="12" x14ac:dyDescent="0.25">
      <c r="A37" s="587" t="s">
        <v>1836</v>
      </c>
      <c r="B37" s="369"/>
      <c r="C37" s="123"/>
      <c r="D37" s="589" t="s">
        <v>1825</v>
      </c>
      <c r="E37" s="44"/>
      <c r="F37" s="214"/>
      <c r="G37" s="587" t="s">
        <v>1836</v>
      </c>
      <c r="H37" s="590" t="s">
        <v>21</v>
      </c>
      <c r="I37" s="591" t="s">
        <v>21</v>
      </c>
      <c r="J37" s="592" t="s">
        <v>21</v>
      </c>
      <c r="K37" s="593" t="s">
        <v>21</v>
      </c>
      <c r="L37" s="592" t="s">
        <v>21</v>
      </c>
      <c r="M37" s="594" t="s">
        <v>21</v>
      </c>
      <c r="N37" s="123"/>
      <c r="O37" s="587"/>
      <c r="P37" s="123"/>
      <c r="Q37" s="1870"/>
      <c r="R37" s="1871"/>
      <c r="S37" s="594"/>
      <c r="T37" s="1872"/>
      <c r="U37" s="1873"/>
      <c r="V37" s="608"/>
      <c r="W37" s="1872"/>
      <c r="X37" s="1871"/>
      <c r="Y37" s="594"/>
      <c r="Z37" s="1870"/>
      <c r="AA37" s="1871"/>
      <c r="AB37" s="594"/>
      <c r="AD37" s="1874" t="s">
        <v>21</v>
      </c>
      <c r="AE37" s="1875" t="s">
        <v>21</v>
      </c>
      <c r="AF37" s="1875" t="s">
        <v>21</v>
      </c>
      <c r="AG37" s="1875" t="s">
        <v>21</v>
      </c>
      <c r="AH37" s="1876" t="s">
        <v>21</v>
      </c>
      <c r="AI37" s="1876" t="s">
        <v>21</v>
      </c>
    </row>
    <row r="38" spans="1:35" s="588" customFormat="1" ht="24" x14ac:dyDescent="0.25">
      <c r="A38" s="587" t="s">
        <v>982</v>
      </c>
      <c r="B38" s="369" t="s">
        <v>23</v>
      </c>
      <c r="C38" s="123"/>
      <c r="D38" s="589" t="s">
        <v>4067</v>
      </c>
      <c r="E38" s="44" t="s">
        <v>138</v>
      </c>
      <c r="F38" s="214" t="s">
        <v>4052</v>
      </c>
      <c r="G38" s="587" t="s">
        <v>4053</v>
      </c>
      <c r="H38" s="590" t="s">
        <v>55</v>
      </c>
      <c r="I38" s="591">
        <v>20.992825</v>
      </c>
      <c r="J38" s="592">
        <v>3168.02</v>
      </c>
      <c r="K38" s="593">
        <v>0.2033513845915047</v>
      </c>
      <c r="L38" s="592">
        <v>3812.2412534135788</v>
      </c>
      <c r="M38" s="594">
        <v>80029.713490691909</v>
      </c>
      <c r="N38" s="123"/>
      <c r="O38" s="587"/>
      <c r="P38" s="123"/>
      <c r="Q38" s="1870">
        <v>0</v>
      </c>
      <c r="R38" s="1907">
        <v>3.5000000000000001E-3</v>
      </c>
      <c r="S38" s="594"/>
      <c r="T38" s="1872">
        <v>20.992825</v>
      </c>
      <c r="U38" s="1908">
        <v>3.5000000000000001E-3</v>
      </c>
      <c r="V38" s="608"/>
      <c r="W38" s="1872">
        <v>0</v>
      </c>
      <c r="X38" s="1907">
        <v>3.5000000000000001E-3</v>
      </c>
      <c r="Y38" s="594"/>
      <c r="Z38" s="1870">
        <v>0</v>
      </c>
      <c r="AA38" s="1907">
        <v>3.5000000000000001E-3</v>
      </c>
      <c r="AB38" s="594"/>
      <c r="AD38" s="1874">
        <v>0</v>
      </c>
      <c r="AE38" s="1875">
        <v>80029.713490691909</v>
      </c>
      <c r="AF38" s="1875">
        <v>0</v>
      </c>
      <c r="AG38" s="1875">
        <v>0</v>
      </c>
      <c r="AH38" s="1876">
        <v>0</v>
      </c>
      <c r="AI38" s="1876">
        <v>0</v>
      </c>
    </row>
    <row r="39" spans="1:35" s="588" customFormat="1" ht="12" x14ac:dyDescent="0.25">
      <c r="A39" s="587" t="s">
        <v>4068</v>
      </c>
      <c r="B39" s="369"/>
      <c r="C39" s="123"/>
      <c r="D39" s="589" t="s">
        <v>1826</v>
      </c>
      <c r="E39" s="44"/>
      <c r="F39" s="214"/>
      <c r="G39" s="587" t="s">
        <v>4068</v>
      </c>
      <c r="H39" s="590" t="s">
        <v>21</v>
      </c>
      <c r="I39" s="591" t="s">
        <v>21</v>
      </c>
      <c r="J39" s="592" t="s">
        <v>21</v>
      </c>
      <c r="K39" s="593" t="s">
        <v>21</v>
      </c>
      <c r="L39" s="592" t="s">
        <v>21</v>
      </c>
      <c r="M39" s="594" t="s">
        <v>21</v>
      </c>
      <c r="N39" s="123"/>
      <c r="O39" s="587"/>
      <c r="P39" s="123"/>
      <c r="Q39" s="1870"/>
      <c r="R39" s="1871"/>
      <c r="S39" s="594"/>
      <c r="T39" s="1872"/>
      <c r="U39" s="1873"/>
      <c r="V39" s="608"/>
      <c r="W39" s="1872"/>
      <c r="X39" s="1871"/>
      <c r="Y39" s="594"/>
      <c r="Z39" s="1870"/>
      <c r="AA39" s="1871"/>
      <c r="AB39" s="594"/>
      <c r="AD39" s="1874" t="s">
        <v>21</v>
      </c>
      <c r="AE39" s="1875" t="s">
        <v>21</v>
      </c>
      <c r="AF39" s="1875" t="s">
        <v>21</v>
      </c>
      <c r="AG39" s="1875" t="s">
        <v>21</v>
      </c>
      <c r="AH39" s="1876" t="s">
        <v>21</v>
      </c>
      <c r="AI39" s="1876" t="s">
        <v>21</v>
      </c>
    </row>
    <row r="40" spans="1:35" s="588" customFormat="1" ht="24" x14ac:dyDescent="0.25">
      <c r="A40" s="587" t="s">
        <v>4060</v>
      </c>
      <c r="B40" s="369" t="s">
        <v>20</v>
      </c>
      <c r="C40" s="123"/>
      <c r="D40" s="589" t="s">
        <v>4069</v>
      </c>
      <c r="E40" s="44" t="s">
        <v>138</v>
      </c>
      <c r="F40" s="214" t="s">
        <v>2159</v>
      </c>
      <c r="G40" s="587" t="s">
        <v>4059</v>
      </c>
      <c r="H40" s="590" t="s">
        <v>51</v>
      </c>
      <c r="I40" s="591">
        <v>5997.95</v>
      </c>
      <c r="J40" s="592">
        <v>4.5634150000000009</v>
      </c>
      <c r="K40" s="593">
        <v>0.2033513845915047</v>
      </c>
      <c r="L40" s="592">
        <v>5.4913917587156424</v>
      </c>
      <c r="M40" s="594">
        <v>32937.093199188486</v>
      </c>
      <c r="N40" s="123"/>
      <c r="O40" s="587"/>
      <c r="P40" s="123"/>
      <c r="Q40" s="1870"/>
      <c r="R40" s="1871"/>
      <c r="S40" s="594"/>
      <c r="T40" s="1872">
        <v>5997.95</v>
      </c>
      <c r="U40" s="1873"/>
      <c r="V40" s="608"/>
      <c r="W40" s="1872">
        <v>0</v>
      </c>
      <c r="X40" s="1871"/>
      <c r="Y40" s="594"/>
      <c r="Z40" s="1870"/>
      <c r="AA40" s="1871"/>
      <c r="AB40" s="594"/>
      <c r="AD40" s="1874">
        <v>2654.1071974982738</v>
      </c>
      <c r="AE40" s="1875">
        <v>28088.721957798058</v>
      </c>
      <c r="AF40" s="1875">
        <v>2194.264043892148</v>
      </c>
      <c r="AG40" s="1875">
        <v>0</v>
      </c>
      <c r="AH40" s="1876">
        <v>2.0032979267699579E-13</v>
      </c>
      <c r="AI40" s="1876">
        <v>7.2759576141834259E-12</v>
      </c>
    </row>
    <row r="41" spans="1:35" s="588" customFormat="1" ht="12" x14ac:dyDescent="0.25">
      <c r="A41" s="587"/>
      <c r="B41" s="369"/>
      <c r="C41" s="123"/>
      <c r="D41" s="589"/>
      <c r="E41" s="44"/>
      <c r="F41" s="214"/>
      <c r="G41" s="587" t="s">
        <v>21</v>
      </c>
      <c r="H41" s="590" t="s">
        <v>21</v>
      </c>
      <c r="I41" s="591" t="s">
        <v>21</v>
      </c>
      <c r="J41" s="592" t="s">
        <v>21</v>
      </c>
      <c r="K41" s="593" t="s">
        <v>21</v>
      </c>
      <c r="L41" s="592" t="s">
        <v>21</v>
      </c>
      <c r="M41" s="594" t="s">
        <v>21</v>
      </c>
      <c r="N41" s="123"/>
      <c r="O41" s="587"/>
      <c r="P41" s="123"/>
      <c r="Q41" s="1870"/>
      <c r="R41" s="1871"/>
      <c r="S41" s="594"/>
      <c r="T41" s="1872"/>
      <c r="U41" s="1873"/>
      <c r="V41" s="608"/>
      <c r="W41" s="1872"/>
      <c r="X41" s="1871"/>
      <c r="Y41" s="594"/>
      <c r="Z41" s="1870"/>
      <c r="AA41" s="1871"/>
      <c r="AB41" s="594"/>
      <c r="AD41" s="1874" t="s">
        <v>21</v>
      </c>
      <c r="AE41" s="1875" t="s">
        <v>21</v>
      </c>
      <c r="AF41" s="1875" t="s">
        <v>21</v>
      </c>
      <c r="AG41" s="1875" t="s">
        <v>21</v>
      </c>
      <c r="AH41" s="1876" t="s">
        <v>21</v>
      </c>
      <c r="AI41" s="1876" t="s">
        <v>21</v>
      </c>
    </row>
    <row r="42" spans="1:35" s="588" customFormat="1" ht="12" x14ac:dyDescent="0.25">
      <c r="A42" s="587" t="s">
        <v>1823</v>
      </c>
      <c r="B42" s="369"/>
      <c r="C42" s="123"/>
      <c r="D42" s="604" t="s">
        <v>1696</v>
      </c>
      <c r="E42" s="369"/>
      <c r="F42" s="214"/>
      <c r="G42" s="602" t="s">
        <v>1823</v>
      </c>
      <c r="H42" s="590" t="s">
        <v>21</v>
      </c>
      <c r="I42" s="605" t="s">
        <v>21</v>
      </c>
      <c r="J42" s="606" t="s">
        <v>21</v>
      </c>
      <c r="K42" s="607" t="s">
        <v>21</v>
      </c>
      <c r="L42" s="606" t="s">
        <v>21</v>
      </c>
      <c r="M42" s="608">
        <v>17148.69687968662</v>
      </c>
      <c r="N42" s="123"/>
      <c r="O42" s="587"/>
      <c r="P42" s="123"/>
      <c r="Q42" s="1870"/>
      <c r="R42" s="1871"/>
      <c r="S42" s="594"/>
      <c r="T42" s="1872"/>
      <c r="U42" s="1873"/>
      <c r="V42" s="608"/>
      <c r="W42" s="1872"/>
      <c r="X42" s="1871"/>
      <c r="Y42" s="594"/>
      <c r="Z42" s="1870"/>
      <c r="AA42" s="1871"/>
      <c r="AB42" s="594"/>
      <c r="AD42" s="1874" t="s">
        <v>21</v>
      </c>
      <c r="AE42" s="1875" t="s">
        <v>21</v>
      </c>
      <c r="AF42" s="1875" t="s">
        <v>21</v>
      </c>
      <c r="AG42" s="1875" t="s">
        <v>21</v>
      </c>
      <c r="AH42" s="1876" t="s">
        <v>21</v>
      </c>
      <c r="AI42" s="1876" t="s">
        <v>21</v>
      </c>
    </row>
    <row r="43" spans="1:35" s="588" customFormat="1" ht="36" x14ac:dyDescent="0.25">
      <c r="A43" s="587" t="s">
        <v>315</v>
      </c>
      <c r="B43" s="369" t="s">
        <v>23</v>
      </c>
      <c r="C43" s="123"/>
      <c r="D43" s="604" t="s">
        <v>1829</v>
      </c>
      <c r="E43" s="369" t="s">
        <v>138</v>
      </c>
      <c r="F43" s="214" t="s">
        <v>167</v>
      </c>
      <c r="G43" s="602" t="s">
        <v>973</v>
      </c>
      <c r="H43" s="590" t="s">
        <v>55</v>
      </c>
      <c r="I43" s="605">
        <v>3.5987699999999996</v>
      </c>
      <c r="J43" s="606">
        <v>2918.58</v>
      </c>
      <c r="K43" s="607">
        <v>0.11096635744680849</v>
      </c>
      <c r="L43" s="606">
        <v>3242.4441915171064</v>
      </c>
      <c r="M43" s="608">
        <v>11668.810883106016</v>
      </c>
      <c r="N43" s="123"/>
      <c r="O43" s="587" t="s">
        <v>1822</v>
      </c>
      <c r="P43" s="123"/>
      <c r="Q43" s="1870">
        <v>0</v>
      </c>
      <c r="R43" s="1871"/>
      <c r="S43" s="594"/>
      <c r="T43" s="1872">
        <v>3.5987699999999996</v>
      </c>
      <c r="U43" s="1873"/>
      <c r="V43" s="608"/>
      <c r="W43" s="1872">
        <v>0</v>
      </c>
      <c r="X43" s="1871"/>
      <c r="Y43" s="594"/>
      <c r="Z43" s="1870">
        <v>0</v>
      </c>
      <c r="AA43" s="1871"/>
      <c r="AB43" s="594"/>
      <c r="AD43" s="1874">
        <v>0</v>
      </c>
      <c r="AE43" s="1875">
        <v>11668.810883106014</v>
      </c>
      <c r="AF43" s="1875">
        <v>0</v>
      </c>
      <c r="AG43" s="1875">
        <v>0</v>
      </c>
      <c r="AH43" s="1876">
        <v>0</v>
      </c>
      <c r="AI43" s="1876">
        <v>1.8189894035458565E-12</v>
      </c>
    </row>
    <row r="44" spans="1:35" s="588" customFormat="1" ht="48" x14ac:dyDescent="0.25">
      <c r="A44" s="587" t="s">
        <v>976</v>
      </c>
      <c r="B44" s="369" t="s">
        <v>25</v>
      </c>
      <c r="C44" s="123"/>
      <c r="D44" s="604" t="s">
        <v>1833</v>
      </c>
      <c r="E44" s="369" t="s">
        <v>27</v>
      </c>
      <c r="F44" s="214">
        <v>102332</v>
      </c>
      <c r="G44" s="602" t="s">
        <v>799</v>
      </c>
      <c r="H44" s="590" t="s">
        <v>42</v>
      </c>
      <c r="I44" s="605">
        <v>3.5987699999999996</v>
      </c>
      <c r="J44" s="606">
        <v>1.35</v>
      </c>
      <c r="K44" s="607">
        <v>0.2033513845915047</v>
      </c>
      <c r="L44" s="606">
        <v>1.6245243691985314</v>
      </c>
      <c r="M44" s="608">
        <v>5.8462895641405979</v>
      </c>
      <c r="N44" s="123"/>
      <c r="O44" s="587" t="s">
        <v>1821</v>
      </c>
      <c r="P44" s="123"/>
      <c r="Q44" s="1870">
        <v>0</v>
      </c>
      <c r="R44" s="1871"/>
      <c r="S44" s="594">
        <v>1</v>
      </c>
      <c r="T44" s="1872">
        <v>3.5987699999999996</v>
      </c>
      <c r="U44" s="1873"/>
      <c r="V44" s="608">
        <v>1</v>
      </c>
      <c r="W44" s="1872">
        <v>0</v>
      </c>
      <c r="X44" s="1871"/>
      <c r="Y44" s="594">
        <v>1</v>
      </c>
      <c r="Z44" s="1870">
        <v>0</v>
      </c>
      <c r="AA44" s="1871"/>
      <c r="AB44" s="594">
        <v>1</v>
      </c>
      <c r="AD44" s="1874">
        <v>0.47636433485590057</v>
      </c>
      <c r="AE44" s="1875">
        <v>4.1573614678333142</v>
      </c>
      <c r="AF44" s="1875">
        <v>1.2125637614513833</v>
      </c>
      <c r="AG44" s="1875">
        <v>0</v>
      </c>
      <c r="AH44" s="1876">
        <v>0</v>
      </c>
      <c r="AI44" s="1876">
        <v>0</v>
      </c>
    </row>
    <row r="45" spans="1:35" s="588" customFormat="1" ht="24" x14ac:dyDescent="0.25">
      <c r="A45" s="587" t="s">
        <v>676</v>
      </c>
      <c r="B45" s="369" t="s">
        <v>20</v>
      </c>
      <c r="C45" s="123"/>
      <c r="D45" s="604" t="s">
        <v>1834</v>
      </c>
      <c r="E45" s="369" t="s">
        <v>138</v>
      </c>
      <c r="F45" s="214" t="s">
        <v>978</v>
      </c>
      <c r="G45" s="602" t="s">
        <v>981</v>
      </c>
      <c r="H45" s="590" t="s">
        <v>51</v>
      </c>
      <c r="I45" s="605">
        <v>5997.95</v>
      </c>
      <c r="J45" s="606">
        <v>0.75842500000000002</v>
      </c>
      <c r="K45" s="607">
        <v>0.2033513845915047</v>
      </c>
      <c r="L45" s="606">
        <v>0.91265177385881202</v>
      </c>
      <c r="M45" s="608">
        <v>5474.0397070164618</v>
      </c>
      <c r="N45" s="123"/>
      <c r="O45" s="587" t="s">
        <v>1832</v>
      </c>
      <c r="P45" s="123"/>
      <c r="Q45" s="1870">
        <v>0</v>
      </c>
      <c r="R45" s="1907">
        <v>5.9999999999999995E-4</v>
      </c>
      <c r="S45" s="594"/>
      <c r="T45" s="1872">
        <v>5997.95</v>
      </c>
      <c r="U45" s="1907">
        <v>5.9999999999999995E-4</v>
      </c>
      <c r="V45" s="608"/>
      <c r="W45" s="1872">
        <v>0</v>
      </c>
      <c r="X45" s="1907">
        <v>5.9999999999999995E-4</v>
      </c>
      <c r="Y45" s="594"/>
      <c r="Z45" s="1870"/>
      <c r="AA45" s="1907">
        <v>5.9999999999999995E-4</v>
      </c>
      <c r="AB45" s="594"/>
      <c r="AD45" s="1874">
        <v>1614.1172428105956</v>
      </c>
      <c r="AE45" s="1875">
        <v>2115.1226055331335</v>
      </c>
      <c r="AF45" s="1875">
        <v>1744.7998586727313</v>
      </c>
      <c r="AG45" s="1875">
        <v>0</v>
      </c>
      <c r="AH45" s="1876">
        <v>2.5041224084624473E-14</v>
      </c>
      <c r="AI45" s="1876">
        <v>1.8189894035458565E-12</v>
      </c>
    </row>
    <row r="46" spans="1:35" s="588" customFormat="1" ht="12" x14ac:dyDescent="0.25">
      <c r="A46" s="587"/>
      <c r="B46" s="369"/>
      <c r="C46" s="123"/>
      <c r="D46" s="589"/>
      <c r="E46" s="44"/>
      <c r="F46" s="214"/>
      <c r="G46" s="587" t="s">
        <v>21</v>
      </c>
      <c r="H46" s="590" t="s">
        <v>21</v>
      </c>
      <c r="I46" s="591" t="s">
        <v>21</v>
      </c>
      <c r="J46" s="592" t="s">
        <v>21</v>
      </c>
      <c r="K46" s="593" t="s">
        <v>21</v>
      </c>
      <c r="L46" s="592" t="s">
        <v>21</v>
      </c>
      <c r="M46" s="594" t="s">
        <v>21</v>
      </c>
      <c r="N46" s="123"/>
      <c r="O46" s="587"/>
      <c r="P46" s="123"/>
      <c r="Q46" s="1870"/>
      <c r="R46" s="1871"/>
      <c r="S46" s="594"/>
      <c r="T46" s="1872"/>
      <c r="U46" s="1873"/>
      <c r="V46" s="608"/>
      <c r="W46" s="1872"/>
      <c r="X46" s="1871"/>
      <c r="Y46" s="594"/>
      <c r="Z46" s="1870"/>
      <c r="AA46" s="1871"/>
      <c r="AB46" s="594"/>
      <c r="AD46" s="1874" t="s">
        <v>21</v>
      </c>
      <c r="AE46" s="1875" t="s">
        <v>21</v>
      </c>
      <c r="AF46" s="1875" t="s">
        <v>21</v>
      </c>
      <c r="AG46" s="1875" t="s">
        <v>21</v>
      </c>
      <c r="AH46" s="1876" t="s">
        <v>21</v>
      </c>
      <c r="AI46" s="1876" t="s">
        <v>21</v>
      </c>
    </row>
    <row r="47" spans="1:35" s="588" customFormat="1" ht="24" x14ac:dyDescent="0.25">
      <c r="A47" s="587" t="s">
        <v>1828</v>
      </c>
      <c r="B47" s="369"/>
      <c r="C47" s="123"/>
      <c r="D47" s="589" t="s">
        <v>4071</v>
      </c>
      <c r="E47" s="44"/>
      <c r="F47" s="214"/>
      <c r="G47" s="587" t="s">
        <v>1828</v>
      </c>
      <c r="H47" s="590" t="s">
        <v>21</v>
      </c>
      <c r="I47" s="591" t="s">
        <v>21</v>
      </c>
      <c r="J47" s="592" t="s">
        <v>21</v>
      </c>
      <c r="K47" s="593" t="s">
        <v>21</v>
      </c>
      <c r="L47" s="592" t="s">
        <v>21</v>
      </c>
      <c r="M47" s="594">
        <v>596927.45710375719</v>
      </c>
      <c r="N47" s="123"/>
      <c r="O47" s="587"/>
      <c r="P47" s="123"/>
      <c r="Q47" s="1870"/>
      <c r="R47" s="1871"/>
      <c r="S47" s="594"/>
      <c r="T47" s="1872"/>
      <c r="U47" s="1873"/>
      <c r="V47" s="608"/>
      <c r="W47" s="1872"/>
      <c r="X47" s="1871"/>
      <c r="Y47" s="594"/>
      <c r="Z47" s="1870"/>
      <c r="AA47" s="1871"/>
      <c r="AB47" s="594"/>
      <c r="AD47" s="1874" t="s">
        <v>21</v>
      </c>
      <c r="AE47" s="1875" t="s">
        <v>21</v>
      </c>
      <c r="AF47" s="1875" t="s">
        <v>21</v>
      </c>
      <c r="AG47" s="1875" t="s">
        <v>21</v>
      </c>
      <c r="AH47" s="1876" t="s">
        <v>21</v>
      </c>
      <c r="AI47" s="1876" t="s">
        <v>21</v>
      </c>
    </row>
    <row r="48" spans="1:35" s="588" customFormat="1" ht="24" x14ac:dyDescent="0.25">
      <c r="A48" s="587" t="s">
        <v>1837</v>
      </c>
      <c r="B48" s="369"/>
      <c r="C48" s="123"/>
      <c r="D48" s="589" t="s">
        <v>4072</v>
      </c>
      <c r="E48" s="44"/>
      <c r="F48" s="214"/>
      <c r="G48" s="587" t="s">
        <v>1837</v>
      </c>
      <c r="H48" s="590" t="s">
        <v>21</v>
      </c>
      <c r="I48" s="591" t="str">
        <f>IF($F48="","",IF('TRECHO(S) A IMPRIMIR'!$B$1= 1, SUM(Q48, T48, W48, Z48), IF('TRECHO(S) A IMPRIMIR'!$B$1= 2, T48, IF('TRECHO(S) A IMPRIMIR'!$B$1= 3, W48, 0))))</f>
        <v/>
      </c>
      <c r="J48" s="592" t="s">
        <v>21</v>
      </c>
      <c r="K48" s="593" t="str">
        <f t="shared" ref="K41:K72" si="7">IF(AND(F48&lt;&gt;"", J48&lt;&gt;""),
  IF(OR(F48= "CP9001", F48= "CP9091", F48= "CP9092"), 0,
  IF(ISNA(VLOOKUP(F48, $M$175:$M$179, 1, FALSE)), $M$4, $M$5)), "")</f>
        <v/>
      </c>
      <c r="L48" s="592" t="str">
        <f>IF(J48="","",
  IF(AND(J48&lt;&gt;"",K48=""),J48,J48 * (1 + K48)))</f>
        <v/>
      </c>
      <c r="M48" s="594" t="str">
        <f t="shared" ref="M48:M57" si="8">IF(OR(I48="",L48=""),"",I48*L48)</f>
        <v/>
      </c>
      <c r="N48" s="123"/>
      <c r="O48" s="587" t="s">
        <v>1832</v>
      </c>
      <c r="P48" s="123"/>
      <c r="Q48" s="1870"/>
      <c r="R48" s="1871">
        <v>1.113713964</v>
      </c>
      <c r="S48" s="594"/>
      <c r="T48" s="1872"/>
      <c r="U48" s="1873">
        <v>1.113713964</v>
      </c>
      <c r="V48" s="608"/>
      <c r="W48" s="1872"/>
      <c r="X48" s="1871">
        <v>1.113713964</v>
      </c>
      <c r="Y48" s="594"/>
      <c r="Z48" s="1870"/>
      <c r="AA48" s="1871">
        <v>1.113713964</v>
      </c>
      <c r="AB48" s="594"/>
      <c r="AD48" s="1874" t="s">
        <v>21</v>
      </c>
      <c r="AE48" s="1875" t="s">
        <v>21</v>
      </c>
      <c r="AF48" s="1875" t="s">
        <v>21</v>
      </c>
      <c r="AG48" s="1875" t="s">
        <v>21</v>
      </c>
      <c r="AH48" s="1876" t="s">
        <v>21</v>
      </c>
      <c r="AI48" s="1876" t="s">
        <v>21</v>
      </c>
    </row>
    <row r="49" spans="1:35" s="588" customFormat="1" ht="36" hidden="1" x14ac:dyDescent="0.25">
      <c r="A49" s="587" t="s">
        <v>969</v>
      </c>
      <c r="B49" s="369" t="s">
        <v>25</v>
      </c>
      <c r="C49" s="123"/>
      <c r="D49" s="589" t="s">
        <v>4073</v>
      </c>
      <c r="E49" s="44" t="s">
        <v>27</v>
      </c>
      <c r="F49" s="214">
        <v>95879</v>
      </c>
      <c r="G49" s="587" t="s">
        <v>789</v>
      </c>
      <c r="H49" s="590" t="s">
        <v>42</v>
      </c>
      <c r="I49" s="591">
        <f>IF($F49="","",IF('TRECHO(S) A IMPRIMIR'!$B$1= 1, SUM(Q49, T49, W49, Z49), IF('TRECHO(S) A IMPRIMIR'!$B$1= 2, T49, IF('TRECHO(S) A IMPRIMIR'!$B$1= 3, W49, 0))))</f>
        <v>0</v>
      </c>
      <c r="J49" s="592">
        <v>1.04</v>
      </c>
      <c r="K49" s="593">
        <f t="shared" si="7"/>
        <v>0.2033513845915047</v>
      </c>
      <c r="L49" s="592">
        <f>IF(J49="","",
  IF(AND(J49&lt;&gt;"",K49=""),J49,J49 * (1 + K49)))</f>
        <v>1.2514854399751649</v>
      </c>
      <c r="M49" s="594">
        <f t="shared" si="8"/>
        <v>0</v>
      </c>
      <c r="N49" s="123"/>
      <c r="O49" s="587" t="s">
        <v>4066</v>
      </c>
      <c r="P49" s="123"/>
      <c r="Q49" s="1870">
        <f>Q56 * R48 * S49</f>
        <v>0</v>
      </c>
      <c r="R49" s="1871"/>
      <c r="S49" s="594">
        <f>IF('MLQ-DMT-TR1'!$E$9 &gt; 30, 30, 'MLQ-DMT-TR1'!$E$9)</f>
        <v>30</v>
      </c>
      <c r="T49" s="1872">
        <f>T56 * U48 * V49</f>
        <v>0</v>
      </c>
      <c r="U49" s="1873"/>
      <c r="V49" s="1879"/>
      <c r="W49" s="1872">
        <f>W56 * X48 * Y49</f>
        <v>0</v>
      </c>
      <c r="X49" s="1871"/>
      <c r="Y49" s="1879"/>
      <c r="Z49" s="1870">
        <f>Z56 * AA48 * AB49</f>
        <v>0</v>
      </c>
      <c r="AA49" s="1871"/>
      <c r="AB49" s="1879"/>
      <c r="AD49" s="1874" t="s">
        <v>21</v>
      </c>
      <c r="AE49" s="1875" t="s">
        <v>21</v>
      </c>
      <c r="AF49" s="1875" t="s">
        <v>21</v>
      </c>
      <c r="AG49" s="1875" t="s">
        <v>21</v>
      </c>
      <c r="AH49" s="1876" t="s">
        <v>21</v>
      </c>
      <c r="AI49" s="1876" t="str">
        <f t="shared" ref="AI45:AI73" si="9">IF(SUM(AD49:AH49)=0,"",M49 - SUM(AD49:AH49))</f>
        <v/>
      </c>
    </row>
    <row r="50" spans="1:35" s="588" customFormat="1" ht="36" hidden="1" x14ac:dyDescent="0.25">
      <c r="A50" s="587" t="s">
        <v>970</v>
      </c>
      <c r="B50" s="369" t="s">
        <v>25</v>
      </c>
      <c r="C50" s="123"/>
      <c r="D50" s="589" t="s">
        <v>4074</v>
      </c>
      <c r="E50" s="44" t="s">
        <v>27</v>
      </c>
      <c r="F50" s="214">
        <v>93599</v>
      </c>
      <c r="G50" s="587" t="s">
        <v>788</v>
      </c>
      <c r="H50" s="590" t="s">
        <v>42</v>
      </c>
      <c r="I50" s="591">
        <f>IF($F50="","",IF('TRECHO(S) A IMPRIMIR'!$B$1= 1, SUM(Q50, T50, W50, Z50), IF('TRECHO(S) A IMPRIMIR'!$B$1= 2, T50, IF('TRECHO(S) A IMPRIMIR'!$B$1= 3, W50, 0))))</f>
        <v>0</v>
      </c>
      <c r="J50" s="592">
        <v>0.41</v>
      </c>
      <c r="K50" s="593">
        <f t="shared" si="7"/>
        <v>0.2033513845915047</v>
      </c>
      <c r="L50" s="592">
        <f>IF(J50="","",
  IF(AND(J50&lt;&gt;"",K50=""),J50,J50 * (1 + K50)))</f>
        <v>0.4933740676825169</v>
      </c>
      <c r="M50" s="594">
        <f t="shared" si="8"/>
        <v>0</v>
      </c>
      <c r="N50" s="123"/>
      <c r="O50" s="587" t="s">
        <v>4066</v>
      </c>
      <c r="P50" s="123"/>
      <c r="Q50" s="1870">
        <f>Q56 * R48 * S50</f>
        <v>0</v>
      </c>
      <c r="R50" s="1871"/>
      <c r="S50" s="594">
        <f>IF('MLQ-DMT-TR1'!$E$9 &gt; 30, 'MLQ-DMT-TR1'!$E$9 - 30, 0)</f>
        <v>27</v>
      </c>
      <c r="T50" s="1872">
        <f>T56 * U48 * V50</f>
        <v>0</v>
      </c>
      <c r="U50" s="1873"/>
      <c r="V50" s="1879"/>
      <c r="W50" s="1872">
        <f>W56 * X48 * Y50</f>
        <v>0</v>
      </c>
      <c r="X50" s="1871"/>
      <c r="Y50" s="1879"/>
      <c r="Z50" s="1870">
        <f>Z56 * AA48 * AB50</f>
        <v>0</v>
      </c>
      <c r="AA50" s="1871"/>
      <c r="AB50" s="1879"/>
      <c r="AD50" s="1874" t="s">
        <v>21</v>
      </c>
      <c r="AE50" s="1875" t="s">
        <v>21</v>
      </c>
      <c r="AF50" s="1875" t="s">
        <v>21</v>
      </c>
      <c r="AG50" s="1875" t="s">
        <v>21</v>
      </c>
      <c r="AH50" s="1876" t="s">
        <v>21</v>
      </c>
      <c r="AI50" s="1876" t="str">
        <f t="shared" si="9"/>
        <v/>
      </c>
    </row>
    <row r="51" spans="1:35" s="588" customFormat="1" ht="12" x14ac:dyDescent="0.25">
      <c r="A51" s="587" t="s">
        <v>1836</v>
      </c>
      <c r="B51" s="369"/>
      <c r="C51" s="123"/>
      <c r="D51" s="589" t="s">
        <v>4075</v>
      </c>
      <c r="E51" s="44"/>
      <c r="F51" s="214"/>
      <c r="G51" s="587" t="s">
        <v>1836</v>
      </c>
      <c r="H51" s="590" t="s">
        <v>21</v>
      </c>
      <c r="I51" s="591" t="str">
        <f>IF($F51="","",IF('TRECHO(S) A IMPRIMIR'!$B$1= 1, SUM(Q51, T51, W51, Z51), IF('TRECHO(S) A IMPRIMIR'!$B$1= 2, T51, IF('TRECHO(S) A IMPRIMIR'!$B$1= 3, W51, 0))))</f>
        <v/>
      </c>
      <c r="J51" s="592" t="s">
        <v>21</v>
      </c>
      <c r="K51" s="593" t="str">
        <f t="shared" si="7"/>
        <v/>
      </c>
      <c r="L51" s="592" t="str">
        <f>IF(J51="","",
  IF(AND(J51&lt;&gt;"",K51=""),J51,J51 * (1 + K51)))</f>
        <v/>
      </c>
      <c r="M51" s="594" t="str">
        <f t="shared" si="8"/>
        <v/>
      </c>
      <c r="N51" s="123"/>
      <c r="O51" s="587"/>
      <c r="P51" s="123"/>
      <c r="Q51" s="1870"/>
      <c r="R51" s="1871"/>
      <c r="S51" s="594"/>
      <c r="T51" s="1872"/>
      <c r="U51" s="1873"/>
      <c r="V51" s="608"/>
      <c r="W51" s="1872"/>
      <c r="X51" s="1871"/>
      <c r="Y51" s="594"/>
      <c r="Z51" s="1870"/>
      <c r="AA51" s="1871"/>
      <c r="AB51" s="594"/>
      <c r="AD51" s="1874" t="s">
        <v>21</v>
      </c>
      <c r="AE51" s="1875" t="s">
        <v>21</v>
      </c>
      <c r="AF51" s="1875" t="s">
        <v>21</v>
      </c>
      <c r="AG51" s="1875" t="s">
        <v>21</v>
      </c>
      <c r="AH51" s="1876" t="s">
        <v>21</v>
      </c>
      <c r="AI51" s="1876" t="s">
        <v>21</v>
      </c>
    </row>
    <row r="52" spans="1:35" s="588" customFormat="1" ht="36" x14ac:dyDescent="0.25">
      <c r="A52" s="587" t="s">
        <v>982</v>
      </c>
      <c r="B52" s="369" t="s">
        <v>23</v>
      </c>
      <c r="C52" s="123"/>
      <c r="D52" s="589" t="s">
        <v>4076</v>
      </c>
      <c r="E52" s="44" t="s">
        <v>138</v>
      </c>
      <c r="F52" s="214" t="s">
        <v>3333</v>
      </c>
      <c r="G52" s="587" t="s">
        <v>3334</v>
      </c>
      <c r="H52" s="590" t="s">
        <v>55</v>
      </c>
      <c r="I52" s="591">
        <v>69.385091724480006</v>
      </c>
      <c r="J52" s="592">
        <v>4295.6099999999997</v>
      </c>
      <c r="K52" s="593">
        <v>0.11096635744680849</v>
      </c>
      <c r="L52" s="592">
        <v>4772.2781947120848</v>
      </c>
      <c r="M52" s="594">
        <v>331124.96027483384</v>
      </c>
      <c r="N52" s="123"/>
      <c r="O52" s="587" t="s">
        <v>1822</v>
      </c>
      <c r="P52" s="123"/>
      <c r="Q52" s="1870">
        <v>0</v>
      </c>
      <c r="R52" s="1871">
        <v>0.14460168000000001</v>
      </c>
      <c r="S52" s="594"/>
      <c r="T52" s="1872">
        <v>69.385091724480006</v>
      </c>
      <c r="U52" s="1873">
        <v>0.14460168000000001</v>
      </c>
      <c r="V52" s="608"/>
      <c r="W52" s="1872">
        <v>0</v>
      </c>
      <c r="X52" s="1871">
        <v>0.14460168000000001</v>
      </c>
      <c r="Y52" s="594"/>
      <c r="Z52" s="1870">
        <v>0</v>
      </c>
      <c r="AA52" s="1871">
        <v>0.14460168000000001</v>
      </c>
      <c r="AB52" s="594"/>
      <c r="AD52" s="1874">
        <v>0</v>
      </c>
      <c r="AE52" s="1875">
        <v>331124.96027483384</v>
      </c>
      <c r="AF52" s="1875">
        <v>0</v>
      </c>
      <c r="AG52" s="1875">
        <v>0</v>
      </c>
      <c r="AH52" s="1876">
        <v>0</v>
      </c>
      <c r="AI52" s="1876">
        <v>0</v>
      </c>
    </row>
    <row r="53" spans="1:35" s="588" customFormat="1" ht="36" x14ac:dyDescent="0.25">
      <c r="A53" s="587" t="s">
        <v>2019</v>
      </c>
      <c r="B53" s="369"/>
      <c r="C53" s="123"/>
      <c r="D53" s="589" t="s">
        <v>4077</v>
      </c>
      <c r="E53" s="44"/>
      <c r="F53" s="214"/>
      <c r="G53" s="587" t="s">
        <v>2019</v>
      </c>
      <c r="H53" s="590" t="s">
        <v>21</v>
      </c>
      <c r="I53" s="591" t="s">
        <v>21</v>
      </c>
      <c r="J53" s="592" t="s">
        <v>21</v>
      </c>
      <c r="K53" s="593" t="s">
        <v>21</v>
      </c>
      <c r="L53" s="592" t="s">
        <v>21</v>
      </c>
      <c r="M53" s="594" t="s">
        <v>21</v>
      </c>
      <c r="N53" s="123"/>
      <c r="O53" s="587"/>
      <c r="P53" s="123"/>
      <c r="Q53" s="1870"/>
      <c r="R53" s="1871"/>
      <c r="S53" s="594"/>
      <c r="T53" s="1872"/>
      <c r="U53" s="1873"/>
      <c r="V53" s="608"/>
      <c r="W53" s="1872"/>
      <c r="X53" s="1871"/>
      <c r="Y53" s="594"/>
      <c r="Z53" s="1870"/>
      <c r="AA53" s="1871"/>
      <c r="AB53" s="594"/>
      <c r="AD53" s="1874" t="s">
        <v>21</v>
      </c>
      <c r="AE53" s="1875" t="s">
        <v>21</v>
      </c>
      <c r="AF53" s="1875" t="s">
        <v>21</v>
      </c>
      <c r="AG53" s="1875" t="s">
        <v>21</v>
      </c>
      <c r="AH53" s="1876" t="s">
        <v>21</v>
      </c>
      <c r="AI53" s="1876" t="s">
        <v>21</v>
      </c>
    </row>
    <row r="54" spans="1:35" s="588" customFormat="1" ht="24" x14ac:dyDescent="0.25">
      <c r="A54" s="587" t="s">
        <v>983</v>
      </c>
      <c r="B54" s="369" t="s">
        <v>23</v>
      </c>
      <c r="C54" s="123"/>
      <c r="D54" s="589" t="s">
        <v>4078</v>
      </c>
      <c r="E54" s="44" t="s">
        <v>27</v>
      </c>
      <c r="F54" s="214">
        <v>101003</v>
      </c>
      <c r="G54" s="587" t="s">
        <v>768</v>
      </c>
      <c r="H54" s="590" t="s">
        <v>55</v>
      </c>
      <c r="I54" s="591">
        <v>1225.8850128000001</v>
      </c>
      <c r="J54" s="592">
        <v>4.91</v>
      </c>
      <c r="K54" s="593">
        <v>0.2033513845915047</v>
      </c>
      <c r="L54" s="592">
        <v>5.908455298344288</v>
      </c>
      <c r="M54" s="594">
        <v>7243.0867990390161</v>
      </c>
      <c r="N54" s="123"/>
      <c r="O54" s="587" t="s">
        <v>1832</v>
      </c>
      <c r="P54" s="123"/>
      <c r="Q54" s="1870">
        <v>0</v>
      </c>
      <c r="R54" s="1871">
        <v>2.5548000000000002</v>
      </c>
      <c r="S54" s="594"/>
      <c r="T54" s="1872">
        <v>1225.8850128000001</v>
      </c>
      <c r="U54" s="1873">
        <v>2.5548000000000002</v>
      </c>
      <c r="V54" s="608"/>
      <c r="W54" s="1872">
        <v>0</v>
      </c>
      <c r="X54" s="1871">
        <v>2.5548000000000002</v>
      </c>
      <c r="Y54" s="594"/>
      <c r="Z54" s="1870">
        <v>0</v>
      </c>
      <c r="AA54" s="1871">
        <v>2.5548000000000002</v>
      </c>
      <c r="AB54" s="594"/>
      <c r="AD54" s="1874">
        <v>560.56476245108479</v>
      </c>
      <c r="AE54" s="1875">
        <v>3894.4499286075365</v>
      </c>
      <c r="AF54" s="1875">
        <v>2788.0721079803952</v>
      </c>
      <c r="AG54" s="1875">
        <v>0</v>
      </c>
      <c r="AH54" s="1876">
        <v>0</v>
      </c>
      <c r="AI54" s="1876">
        <v>0</v>
      </c>
    </row>
    <row r="55" spans="1:35" s="588" customFormat="1" ht="36" x14ac:dyDescent="0.25">
      <c r="A55" s="587" t="s">
        <v>984</v>
      </c>
      <c r="B55" s="369" t="s">
        <v>25</v>
      </c>
      <c r="C55" s="123"/>
      <c r="D55" s="589" t="s">
        <v>4079</v>
      </c>
      <c r="E55" s="44" t="s">
        <v>27</v>
      </c>
      <c r="F55" s="214">
        <v>100943</v>
      </c>
      <c r="G55" s="587" t="s">
        <v>786</v>
      </c>
      <c r="H55" s="590" t="s">
        <v>42</v>
      </c>
      <c r="I55" s="591">
        <v>1225.8850128000001</v>
      </c>
      <c r="J55" s="592">
        <v>3.1</v>
      </c>
      <c r="K55" s="593">
        <v>0.2033513845915047</v>
      </c>
      <c r="L55" s="592">
        <v>3.7303892922336646</v>
      </c>
      <c r="M55" s="594">
        <v>4573.0283252588497</v>
      </c>
      <c r="N55" s="123"/>
      <c r="O55" s="587" t="s">
        <v>1821</v>
      </c>
      <c r="P55" s="123"/>
      <c r="Q55" s="1870">
        <v>0</v>
      </c>
      <c r="R55" s="1871"/>
      <c r="S55" s="594">
        <v>1</v>
      </c>
      <c r="T55" s="1872">
        <v>1225.8850128000001</v>
      </c>
      <c r="U55" s="1873"/>
      <c r="V55" s="608">
        <v>1</v>
      </c>
      <c r="W55" s="1872">
        <v>0</v>
      </c>
      <c r="X55" s="1871"/>
      <c r="Y55" s="594">
        <v>1</v>
      </c>
      <c r="Z55" s="1870">
        <v>0</v>
      </c>
      <c r="AA55" s="1871"/>
      <c r="AB55" s="594">
        <v>1</v>
      </c>
      <c r="AD55" s="1874">
        <v>324.53749405062803</v>
      </c>
      <c r="AE55" s="1875">
        <v>2552.0448395799385</v>
      </c>
      <c r="AF55" s="1875">
        <v>1696.4459916282826</v>
      </c>
      <c r="AG55" s="1875">
        <v>0</v>
      </c>
      <c r="AH55" s="1876">
        <v>0</v>
      </c>
      <c r="AI55" s="1876">
        <v>9.0949470177292824E-13</v>
      </c>
    </row>
    <row r="56" spans="1:35" s="588" customFormat="1" ht="36" x14ac:dyDescent="0.25">
      <c r="A56" s="587" t="s">
        <v>985</v>
      </c>
      <c r="B56" s="369" t="s">
        <v>28</v>
      </c>
      <c r="C56" s="123"/>
      <c r="D56" s="589" t="s">
        <v>4080</v>
      </c>
      <c r="E56" s="44" t="s">
        <v>27</v>
      </c>
      <c r="F56" s="214" t="s">
        <v>977</v>
      </c>
      <c r="G56" s="587" t="s">
        <v>3339</v>
      </c>
      <c r="H56" s="590" t="s">
        <v>44</v>
      </c>
      <c r="I56" s="591">
        <v>479.83600000000001</v>
      </c>
      <c r="J56" s="592">
        <v>439.87080806479992</v>
      </c>
      <c r="K56" s="593">
        <v>0.2033513845915047</v>
      </c>
      <c r="L56" s="592">
        <v>529.31914592616101</v>
      </c>
      <c r="M56" s="594">
        <v>253986.38170462541</v>
      </c>
      <c r="N56" s="123"/>
      <c r="O56" s="1877"/>
      <c r="P56" s="123"/>
      <c r="Q56" s="1870">
        <v>0</v>
      </c>
      <c r="R56" s="1871"/>
      <c r="S56" s="594"/>
      <c r="T56" s="1872">
        <v>479.83600000000001</v>
      </c>
      <c r="U56" s="1873"/>
      <c r="V56" s="608"/>
      <c r="W56" s="1872">
        <v>0</v>
      </c>
      <c r="X56" s="1871"/>
      <c r="Y56" s="594"/>
      <c r="Z56" s="1870"/>
      <c r="AA56" s="1871"/>
      <c r="AB56" s="594"/>
      <c r="AD56" s="1874">
        <v>13723.666300809515</v>
      </c>
      <c r="AE56" s="1875">
        <v>159737.29587578023</v>
      </c>
      <c r="AF56" s="1875">
        <v>77428.299215493447</v>
      </c>
      <c r="AG56" s="1875">
        <v>0</v>
      </c>
      <c r="AH56" s="1876">
        <v>3097.1203125421998</v>
      </c>
      <c r="AI56" s="1876">
        <v>2.9103830456733704E-11</v>
      </c>
    </row>
    <row r="57" spans="1:35" s="588" customFormat="1" ht="12" x14ac:dyDescent="0.25">
      <c r="A57" s="587"/>
      <c r="B57" s="369"/>
      <c r="C57" s="123"/>
      <c r="D57" s="589"/>
      <c r="E57" s="44"/>
      <c r="F57" s="214"/>
      <c r="G57" s="587" t="s">
        <v>21</v>
      </c>
      <c r="H57" s="590" t="s">
        <v>21</v>
      </c>
      <c r="I57" s="591" t="s">
        <v>21</v>
      </c>
      <c r="J57" s="592" t="s">
        <v>21</v>
      </c>
      <c r="K57" s="593" t="s">
        <v>21</v>
      </c>
      <c r="L57" s="592" t="s">
        <v>21</v>
      </c>
      <c r="M57" s="594" t="s">
        <v>21</v>
      </c>
      <c r="N57" s="123"/>
      <c r="O57" s="587"/>
      <c r="P57" s="123"/>
      <c r="Q57" s="1870"/>
      <c r="R57" s="1871"/>
      <c r="S57" s="594"/>
      <c r="T57" s="1872"/>
      <c r="U57" s="1873"/>
      <c r="V57" s="608"/>
      <c r="W57" s="1872"/>
      <c r="X57" s="1871"/>
      <c r="Y57" s="594"/>
      <c r="Z57" s="1870"/>
      <c r="AA57" s="1871"/>
      <c r="AB57" s="594"/>
      <c r="AD57" s="1874" t="s">
        <v>21</v>
      </c>
      <c r="AE57" s="1875" t="s">
        <v>21</v>
      </c>
      <c r="AF57" s="1875" t="s">
        <v>21</v>
      </c>
      <c r="AG57" s="1875" t="s">
        <v>21</v>
      </c>
      <c r="AH57" s="1876" t="s">
        <v>21</v>
      </c>
      <c r="AI57" s="1876" t="str">
        <f t="shared" si="9"/>
        <v/>
      </c>
    </row>
    <row r="58" spans="1:35" s="588" customFormat="1" ht="12" x14ac:dyDescent="0.25">
      <c r="A58" s="587" t="s">
        <v>1983</v>
      </c>
      <c r="B58" s="369"/>
      <c r="C58" s="123"/>
      <c r="D58" s="589" t="s">
        <v>1144</v>
      </c>
      <c r="E58" s="44"/>
      <c r="F58" s="214"/>
      <c r="G58" s="587" t="s">
        <v>1983</v>
      </c>
      <c r="H58" s="590" t="s">
        <v>21</v>
      </c>
      <c r="I58" s="591" t="s">
        <v>21</v>
      </c>
      <c r="J58" s="592" t="s">
        <v>21</v>
      </c>
      <c r="K58" s="593" t="s">
        <v>21</v>
      </c>
      <c r="L58" s="592" t="s">
        <v>21</v>
      </c>
      <c r="M58" s="594">
        <v>2095914.7530420786</v>
      </c>
      <c r="N58" s="123"/>
      <c r="O58" s="587"/>
      <c r="P58" s="123"/>
      <c r="Q58" s="1870"/>
      <c r="R58" s="1871"/>
      <c r="S58" s="594"/>
      <c r="T58" s="1872"/>
      <c r="U58" s="1873"/>
      <c r="V58" s="608"/>
      <c r="W58" s="1872"/>
      <c r="X58" s="1871"/>
      <c r="Y58" s="594"/>
      <c r="Z58" s="1870"/>
      <c r="AA58" s="1871"/>
      <c r="AB58" s="594"/>
      <c r="AD58" s="1874" t="s">
        <v>21</v>
      </c>
      <c r="AE58" s="1875" t="s">
        <v>21</v>
      </c>
      <c r="AF58" s="1875" t="s">
        <v>21</v>
      </c>
      <c r="AG58" s="1875" t="s">
        <v>21</v>
      </c>
      <c r="AH58" s="1876" t="s">
        <v>21</v>
      </c>
      <c r="AI58" s="1876" t="str">
        <f t="shared" si="9"/>
        <v/>
      </c>
    </row>
    <row r="59" spans="1:35" s="588" customFormat="1" ht="12" x14ac:dyDescent="0.25">
      <c r="A59" s="587" t="s">
        <v>1808</v>
      </c>
      <c r="B59" s="369"/>
      <c r="C59" s="123"/>
      <c r="D59" s="589" t="s">
        <v>1697</v>
      </c>
      <c r="E59" s="44"/>
      <c r="F59" s="214"/>
      <c r="G59" s="587" t="s">
        <v>1808</v>
      </c>
      <c r="H59" s="590" t="s">
        <v>21</v>
      </c>
      <c r="I59" s="591" t="s">
        <v>21</v>
      </c>
      <c r="J59" s="592" t="s">
        <v>21</v>
      </c>
      <c r="K59" s="593" t="s">
        <v>21</v>
      </c>
      <c r="L59" s="592" t="s">
        <v>21</v>
      </c>
      <c r="M59" s="594">
        <v>0</v>
      </c>
      <c r="N59" s="123"/>
      <c r="O59" s="587"/>
      <c r="P59" s="123"/>
      <c r="Q59" s="1870"/>
      <c r="R59" s="1871"/>
      <c r="S59" s="594"/>
      <c r="T59" s="1872"/>
      <c r="U59" s="1873"/>
      <c r="V59" s="608"/>
      <c r="W59" s="1872"/>
      <c r="X59" s="1871"/>
      <c r="Y59" s="594"/>
      <c r="Z59" s="1870"/>
      <c r="AA59" s="1871"/>
      <c r="AB59" s="594"/>
      <c r="AD59" s="1874" t="s">
        <v>21</v>
      </c>
      <c r="AE59" s="1875" t="s">
        <v>21</v>
      </c>
      <c r="AF59" s="1875" t="s">
        <v>21</v>
      </c>
      <c r="AG59" s="1875" t="s">
        <v>21</v>
      </c>
      <c r="AH59" s="1876" t="s">
        <v>21</v>
      </c>
      <c r="AI59" s="1876" t="str">
        <f t="shared" si="9"/>
        <v/>
      </c>
    </row>
    <row r="60" spans="1:35" s="588" customFormat="1" ht="36" hidden="1" x14ac:dyDescent="0.25">
      <c r="A60" s="587" t="s">
        <v>1088</v>
      </c>
      <c r="B60" s="369" t="s">
        <v>28</v>
      </c>
      <c r="C60" s="123"/>
      <c r="D60" s="589" t="s">
        <v>1814</v>
      </c>
      <c r="E60" s="44" t="s">
        <v>27</v>
      </c>
      <c r="F60" s="214">
        <v>101125</v>
      </c>
      <c r="G60" s="587" t="s">
        <v>1080</v>
      </c>
      <c r="H60" s="590" t="s">
        <v>44</v>
      </c>
      <c r="I60" s="591">
        <f>IF($F60="","",IF('TRECHO(S) A IMPRIMIR'!$B$1= 1, SUM(Q60, T60, W60, Z60), IF('TRECHO(S) A IMPRIMIR'!$B$1= 2, T60, IF('TRECHO(S) A IMPRIMIR'!$B$1= 3, W60, 0))))</f>
        <v>0</v>
      </c>
      <c r="J60" s="592">
        <v>9.99</v>
      </c>
      <c r="K60" s="593">
        <f t="shared" si="7"/>
        <v>0.2033513845915047</v>
      </c>
      <c r="L60" s="592">
        <f t="shared" ref="L55:L131" si="10">IF(J60="","",
  IF(AND(J60&lt;&gt;"",K60=""),J60,J60 * (1 + K60)))</f>
        <v>12.021480332069132</v>
      </c>
      <c r="M60" s="594">
        <f t="shared" ref="M60:M65" si="11">IF(OR(I60="",L60=""),"",I60*L60)</f>
        <v>0</v>
      </c>
      <c r="N60" s="123"/>
      <c r="O60" s="587" t="s">
        <v>1832</v>
      </c>
      <c r="P60" s="123"/>
      <c r="Q60" s="1870"/>
      <c r="R60" s="1871">
        <f>'MLQ-PESP'!$C$4</f>
        <v>1.0923072445820432</v>
      </c>
      <c r="S60" s="594"/>
      <c r="T60" s="1872"/>
      <c r="U60" s="1873">
        <f>'MLQ-PESP'!$C$4</f>
        <v>1.0923072445820432</v>
      </c>
      <c r="V60" s="608"/>
      <c r="W60" s="1872"/>
      <c r="X60" s="1871">
        <f>'MLQ-PESP'!$C$4</f>
        <v>1.0923072445820432</v>
      </c>
      <c r="Y60" s="594"/>
      <c r="Z60" s="1870"/>
      <c r="AA60" s="1871">
        <f>'MLQ-PESP'!$C$4</f>
        <v>1.0923072445820432</v>
      </c>
      <c r="AB60" s="594"/>
      <c r="AD60" s="1874" t="s">
        <v>21</v>
      </c>
      <c r="AE60" s="1875" t="s">
        <v>21</v>
      </c>
      <c r="AF60" s="1875" t="s">
        <v>21</v>
      </c>
      <c r="AG60" s="1875" t="s">
        <v>21</v>
      </c>
      <c r="AH60" s="1876" t="s">
        <v>21</v>
      </c>
      <c r="AI60" s="1876" t="str">
        <f t="shared" si="9"/>
        <v/>
      </c>
    </row>
    <row r="61" spans="1:35" s="588" customFormat="1" ht="24" hidden="1" x14ac:dyDescent="0.25">
      <c r="A61" s="587" t="s">
        <v>1982</v>
      </c>
      <c r="B61" s="369" t="s">
        <v>28</v>
      </c>
      <c r="C61" s="123"/>
      <c r="D61" s="589" t="s">
        <v>1984</v>
      </c>
      <c r="E61" s="44" t="s">
        <v>27</v>
      </c>
      <c r="F61" s="214">
        <v>100574</v>
      </c>
      <c r="G61" s="587" t="s">
        <v>563</v>
      </c>
      <c r="H61" s="590" t="s">
        <v>44</v>
      </c>
      <c r="I61" s="591">
        <f>IF($F61="","",IF('TRECHO(S) A IMPRIMIR'!$B$1= 1, SUM(Q61, T61, W61, Z61), IF('TRECHO(S) A IMPRIMIR'!$B$1= 2, T61, IF('TRECHO(S) A IMPRIMIR'!$B$1= 3, W61, 0))))</f>
        <v>0</v>
      </c>
      <c r="J61" s="592">
        <v>1.04</v>
      </c>
      <c r="K61" s="593">
        <f t="shared" si="7"/>
        <v>0.2033513845915047</v>
      </c>
      <c r="L61" s="592">
        <f t="shared" si="10"/>
        <v>1.2514854399751649</v>
      </c>
      <c r="M61" s="594">
        <f t="shared" si="11"/>
        <v>0</v>
      </c>
      <c r="N61" s="123"/>
      <c r="O61" s="587"/>
      <c r="P61" s="123"/>
      <c r="Q61" s="1870"/>
      <c r="R61" s="1871">
        <f>'MLQ-PESP'!$C$6</f>
        <v>1.3653840557275541</v>
      </c>
      <c r="S61" s="594"/>
      <c r="T61" s="1872"/>
      <c r="U61" s="1873">
        <f>'MLQ-PESP'!$C$6</f>
        <v>1.3653840557275541</v>
      </c>
      <c r="V61" s="608"/>
      <c r="W61" s="1872"/>
      <c r="X61" s="1871">
        <f>'MLQ-PESP'!$C$6</f>
        <v>1.3653840557275541</v>
      </c>
      <c r="Y61" s="594"/>
      <c r="Z61" s="1870"/>
      <c r="AA61" s="1871">
        <f>'MLQ-PESP'!$C$6</f>
        <v>1.3653840557275541</v>
      </c>
      <c r="AB61" s="594"/>
      <c r="AD61" s="1874" t="s">
        <v>21</v>
      </c>
      <c r="AE61" s="1875" t="s">
        <v>21</v>
      </c>
      <c r="AF61" s="1875" t="s">
        <v>21</v>
      </c>
      <c r="AG61" s="1875" t="s">
        <v>21</v>
      </c>
      <c r="AH61" s="1876" t="s">
        <v>21</v>
      </c>
      <c r="AI61" s="1876" t="str">
        <f t="shared" si="9"/>
        <v/>
      </c>
    </row>
    <row r="62" spans="1:35" s="588" customFormat="1" ht="48" hidden="1" x14ac:dyDescent="0.25">
      <c r="A62" s="587" t="s">
        <v>968</v>
      </c>
      <c r="B62" s="369" t="s">
        <v>23</v>
      </c>
      <c r="C62" s="123"/>
      <c r="D62" s="589" t="s">
        <v>1985</v>
      </c>
      <c r="E62" s="44" t="s">
        <v>27</v>
      </c>
      <c r="F62" s="214">
        <v>100995</v>
      </c>
      <c r="G62" s="587" t="s">
        <v>773</v>
      </c>
      <c r="H62" s="590" t="s">
        <v>55</v>
      </c>
      <c r="I62" s="591">
        <f>IF($F62="","",IF('TRECHO(S) A IMPRIMIR'!$B$1= 1, SUM(Q62, T62, W62, Z62), IF('TRECHO(S) A IMPRIMIR'!$B$1= 2, T62, IF('TRECHO(S) A IMPRIMIR'!$B$1= 3, W62, 0))))</f>
        <v>0</v>
      </c>
      <c r="J62" s="592">
        <v>3.11</v>
      </c>
      <c r="K62" s="593">
        <f t="shared" si="7"/>
        <v>0.2033513845915047</v>
      </c>
      <c r="L62" s="592">
        <f t="shared" si="10"/>
        <v>3.7424228060795794</v>
      </c>
      <c r="M62" s="594">
        <f t="shared" si="11"/>
        <v>0</v>
      </c>
      <c r="N62" s="123"/>
      <c r="O62" s="587"/>
      <c r="P62" s="123"/>
      <c r="Q62" s="1870">
        <f>(Q60 * R60) - (Q61 * R61)</f>
        <v>0</v>
      </c>
      <c r="R62" s="1871"/>
      <c r="S62" s="594"/>
      <c r="T62" s="1872">
        <f>(T60 * U60) - (T61 * U61)</f>
        <v>0</v>
      </c>
      <c r="U62" s="1873"/>
      <c r="V62" s="608"/>
      <c r="W62" s="1872">
        <f>(W60 * X60) - (W61 * X61)</f>
        <v>0</v>
      </c>
      <c r="X62" s="1871"/>
      <c r="Y62" s="594"/>
      <c r="Z62" s="1870">
        <f>(Z60 * AA60) - (Z61 * AA61)</f>
        <v>0</v>
      </c>
      <c r="AA62" s="1871"/>
      <c r="AB62" s="594"/>
      <c r="AD62" s="1874" t="s">
        <v>21</v>
      </c>
      <c r="AE62" s="1875" t="s">
        <v>21</v>
      </c>
      <c r="AF62" s="1875" t="s">
        <v>21</v>
      </c>
      <c r="AG62" s="1875" t="s">
        <v>21</v>
      </c>
      <c r="AH62" s="1876" t="s">
        <v>21</v>
      </c>
      <c r="AI62" s="1876" t="str">
        <f t="shared" si="9"/>
        <v/>
      </c>
    </row>
    <row r="63" spans="1:35" s="588" customFormat="1" ht="36" hidden="1" x14ac:dyDescent="0.25">
      <c r="A63" s="587" t="s">
        <v>1543</v>
      </c>
      <c r="B63" s="369" t="s">
        <v>25</v>
      </c>
      <c r="C63" s="123"/>
      <c r="D63" s="589" t="s">
        <v>1986</v>
      </c>
      <c r="E63" s="44" t="s">
        <v>27</v>
      </c>
      <c r="F63" s="214">
        <v>95879</v>
      </c>
      <c r="G63" s="587" t="s">
        <v>789</v>
      </c>
      <c r="H63" s="590" t="s">
        <v>42</v>
      </c>
      <c r="I63" s="591">
        <f>IF($F63="","",IF('TRECHO(S) A IMPRIMIR'!$B$1= 1, SUM(Q63, T63, W63, Z63), IF('TRECHO(S) A IMPRIMIR'!$B$1= 2, T63, IF('TRECHO(S) A IMPRIMIR'!$B$1= 3, W63, 0))))</f>
        <v>0</v>
      </c>
      <c r="J63" s="592">
        <v>1.04</v>
      </c>
      <c r="K63" s="593">
        <f t="shared" si="7"/>
        <v>0.2033513845915047</v>
      </c>
      <c r="L63" s="592">
        <f t="shared" si="10"/>
        <v>1.2514854399751649</v>
      </c>
      <c r="M63" s="594">
        <f t="shared" si="11"/>
        <v>0</v>
      </c>
      <c r="N63" s="123"/>
      <c r="O63" s="587"/>
      <c r="P63" s="123"/>
      <c r="Q63" s="1870">
        <f>Q62 * S63</f>
        <v>0</v>
      </c>
      <c r="R63" s="1871"/>
      <c r="S63" s="594">
        <f>IF('MLQ-DMT-TR1'!$E$7 &gt; 30, 30, 'MLQ-DMT-TR1'!$E$7)</f>
        <v>22</v>
      </c>
      <c r="T63" s="1872">
        <f>T62 * V63</f>
        <v>0</v>
      </c>
      <c r="U63" s="1873"/>
      <c r="V63" s="608">
        <f>IF('MLQ-DMT-TR1'!$E$7 &gt; 30, 30, 'MLQ-DMT-TR1'!$E$7)</f>
        <v>22</v>
      </c>
      <c r="W63" s="1872">
        <f>W62 * Y63</f>
        <v>0</v>
      </c>
      <c r="X63" s="1871"/>
      <c r="Y63" s="594">
        <f>IF('MLQ-DMT-TR1'!$E$7 &gt; 30, 30, 'MLQ-DMT-TR1'!$E$7)</f>
        <v>22</v>
      </c>
      <c r="Z63" s="1870">
        <f>Z62 * AB63</f>
        <v>0</v>
      </c>
      <c r="AA63" s="1871"/>
      <c r="AB63" s="594">
        <f>IF('MLQ-DMT-TR1'!$E$7 &gt; 30, 30, 'MLQ-DMT-TR1'!$E$7)</f>
        <v>22</v>
      </c>
      <c r="AD63" s="1874" t="s">
        <v>21</v>
      </c>
      <c r="AE63" s="1875" t="s">
        <v>21</v>
      </c>
      <c r="AF63" s="1875" t="s">
        <v>21</v>
      </c>
      <c r="AG63" s="1875" t="s">
        <v>21</v>
      </c>
      <c r="AH63" s="1876" t="s">
        <v>21</v>
      </c>
      <c r="AI63" s="1876" t="str">
        <f t="shared" si="9"/>
        <v/>
      </c>
    </row>
    <row r="64" spans="1:35" s="588" customFormat="1" ht="36" hidden="1" x14ac:dyDescent="0.25">
      <c r="A64" s="587" t="s">
        <v>1544</v>
      </c>
      <c r="B64" s="369" t="s">
        <v>25</v>
      </c>
      <c r="C64" s="123"/>
      <c r="D64" s="589" t="s">
        <v>1987</v>
      </c>
      <c r="E64" s="44" t="s">
        <v>27</v>
      </c>
      <c r="F64" s="214">
        <v>93599</v>
      </c>
      <c r="G64" s="587" t="s">
        <v>788</v>
      </c>
      <c r="H64" s="590" t="s">
        <v>42</v>
      </c>
      <c r="I64" s="591">
        <f>IF($F64="","",IF('TRECHO(S) A IMPRIMIR'!$B$1= 1, SUM(Q64, T64, W64, Z64), IF('TRECHO(S) A IMPRIMIR'!$B$1= 2, T64, IF('TRECHO(S) A IMPRIMIR'!$B$1= 3, W64, 0))))</f>
        <v>0</v>
      </c>
      <c r="J64" s="592">
        <v>0.41</v>
      </c>
      <c r="K64" s="593">
        <f t="shared" si="7"/>
        <v>0.2033513845915047</v>
      </c>
      <c r="L64" s="592">
        <f t="shared" si="10"/>
        <v>0.4933740676825169</v>
      </c>
      <c r="M64" s="594">
        <f t="shared" si="11"/>
        <v>0</v>
      </c>
      <c r="N64" s="123"/>
      <c r="O64" s="587"/>
      <c r="P64" s="123"/>
      <c r="Q64" s="1870">
        <f>Q62 * S64</f>
        <v>0</v>
      </c>
      <c r="R64" s="1871"/>
      <c r="S64" s="594">
        <f>IF('MLQ-DMT-TR1'!$E$7 &gt; 30, 'MLQ-DMT-TR1'!$E$7 - 30, 0)</f>
        <v>0</v>
      </c>
      <c r="T64" s="1872">
        <f>T62 * V64</f>
        <v>0</v>
      </c>
      <c r="U64" s="1873"/>
      <c r="V64" s="608">
        <f>IF('MLQ-DMT-TR1'!$E$7 &gt; 30, 'MLQ-DMT-TR1'!$E$7 - 30, 0)</f>
        <v>0</v>
      </c>
      <c r="W64" s="1872">
        <f>W62 * Y64</f>
        <v>0</v>
      </c>
      <c r="X64" s="1871"/>
      <c r="Y64" s="594">
        <f>IF('MLQ-DMT-TR1'!$E$7 &gt; 30, 'MLQ-DMT-TR1'!$E$7 - 30, 0)</f>
        <v>0</v>
      </c>
      <c r="Z64" s="1870">
        <f>Z62 * AB64</f>
        <v>0</v>
      </c>
      <c r="AA64" s="1871"/>
      <c r="AB64" s="594">
        <f>IF('MLQ-DMT-TR1'!$E$7 &gt; 30, 'MLQ-DMT-TR1'!$E$7 - 30, 0)</f>
        <v>0</v>
      </c>
      <c r="AD64" s="1874" t="s">
        <v>21</v>
      </c>
      <c r="AE64" s="1875" t="s">
        <v>21</v>
      </c>
      <c r="AF64" s="1875" t="s">
        <v>21</v>
      </c>
      <c r="AG64" s="1875" t="s">
        <v>21</v>
      </c>
      <c r="AH64" s="1876" t="s">
        <v>21</v>
      </c>
      <c r="AI64" s="1876" t="str">
        <f t="shared" si="9"/>
        <v/>
      </c>
    </row>
    <row r="65" spans="1:35" s="588" customFormat="1" ht="24" hidden="1" x14ac:dyDescent="0.25">
      <c r="A65" s="587" t="s">
        <v>1545</v>
      </c>
      <c r="B65" s="369" t="s">
        <v>23</v>
      </c>
      <c r="C65" s="123"/>
      <c r="D65" s="589" t="s">
        <v>1988</v>
      </c>
      <c r="E65" s="44" t="s">
        <v>138</v>
      </c>
      <c r="F65" s="214" t="s">
        <v>164</v>
      </c>
      <c r="G65" s="587" t="s">
        <v>3638</v>
      </c>
      <c r="H65" s="590" t="s">
        <v>55</v>
      </c>
      <c r="I65" s="591">
        <f>IF($F65="","",IF('TRECHO(S) A IMPRIMIR'!$B$1= 1, SUM(Q65, T65, W65, Z65), IF('TRECHO(S) A IMPRIMIR'!$B$1= 2, T65, IF('TRECHO(S) A IMPRIMIR'!$B$1= 3, W65, 0))))</f>
        <v>0</v>
      </c>
      <c r="J65" s="592">
        <v>12.23</v>
      </c>
      <c r="K65" s="593">
        <f t="shared" si="7"/>
        <v>0</v>
      </c>
      <c r="L65" s="592">
        <f t="shared" si="10"/>
        <v>12.23</v>
      </c>
      <c r="M65" s="594">
        <f t="shared" si="11"/>
        <v>0</v>
      </c>
      <c r="N65" s="123"/>
      <c r="O65" s="587"/>
      <c r="P65" s="123"/>
      <c r="Q65" s="1870">
        <f>Q62</f>
        <v>0</v>
      </c>
      <c r="R65" s="1871"/>
      <c r="S65" s="594"/>
      <c r="T65" s="1872">
        <f>T62</f>
        <v>0</v>
      </c>
      <c r="U65" s="1873"/>
      <c r="V65" s="608"/>
      <c r="W65" s="1872">
        <f>W62</f>
        <v>0</v>
      </c>
      <c r="X65" s="1871"/>
      <c r="Y65" s="594"/>
      <c r="Z65" s="1870">
        <f>Z62</f>
        <v>0</v>
      </c>
      <c r="AA65" s="1871"/>
      <c r="AB65" s="594"/>
      <c r="AD65" s="1874" t="s">
        <v>21</v>
      </c>
      <c r="AE65" s="1875" t="s">
        <v>21</v>
      </c>
      <c r="AF65" s="1875" t="s">
        <v>21</v>
      </c>
      <c r="AG65" s="1875" t="s">
        <v>21</v>
      </c>
      <c r="AH65" s="1876" t="s">
        <v>21</v>
      </c>
      <c r="AI65" s="1876" t="str">
        <f t="shared" si="9"/>
        <v/>
      </c>
    </row>
    <row r="66" spans="1:35" s="588" customFormat="1" ht="12" x14ac:dyDescent="0.25">
      <c r="A66" s="587"/>
      <c r="B66" s="369"/>
      <c r="C66" s="123"/>
      <c r="D66" s="589"/>
      <c r="E66" s="44"/>
      <c r="F66" s="214"/>
      <c r="G66" s="587" t="s">
        <v>21</v>
      </c>
      <c r="H66" s="590" t="s">
        <v>21</v>
      </c>
      <c r="I66" s="591" t="s">
        <v>21</v>
      </c>
      <c r="J66" s="592" t="s">
        <v>21</v>
      </c>
      <c r="K66" s="593" t="s">
        <v>21</v>
      </c>
      <c r="L66" s="592" t="s">
        <v>21</v>
      </c>
      <c r="M66" s="594" t="s">
        <v>21</v>
      </c>
      <c r="N66" s="123"/>
      <c r="O66" s="587"/>
      <c r="P66" s="123"/>
      <c r="Q66" s="1870"/>
      <c r="R66" s="1871"/>
      <c r="S66" s="594"/>
      <c r="T66" s="1872"/>
      <c r="U66" s="1873"/>
      <c r="V66" s="608"/>
      <c r="W66" s="1872"/>
      <c r="X66" s="1871"/>
      <c r="Y66" s="594"/>
      <c r="Z66" s="1870"/>
      <c r="AA66" s="1871"/>
      <c r="AB66" s="594"/>
      <c r="AD66" s="1874" t="s">
        <v>21</v>
      </c>
      <c r="AE66" s="1875" t="s">
        <v>21</v>
      </c>
      <c r="AF66" s="1875" t="s">
        <v>21</v>
      </c>
      <c r="AG66" s="1875" t="s">
        <v>21</v>
      </c>
      <c r="AH66" s="1876" t="s">
        <v>21</v>
      </c>
      <c r="AI66" s="1876" t="s">
        <v>21</v>
      </c>
    </row>
    <row r="67" spans="1:35" s="588" customFormat="1" ht="12" x14ac:dyDescent="0.25">
      <c r="A67" s="587" t="s">
        <v>1813</v>
      </c>
      <c r="B67" s="369"/>
      <c r="C67" s="123"/>
      <c r="D67" s="589" t="s">
        <v>1698</v>
      </c>
      <c r="E67" s="44"/>
      <c r="F67" s="214"/>
      <c r="G67" s="587" t="s">
        <v>1813</v>
      </c>
      <c r="H67" s="590" t="s">
        <v>21</v>
      </c>
      <c r="I67" s="591" t="s">
        <v>21</v>
      </c>
      <c r="J67" s="592" t="s">
        <v>21</v>
      </c>
      <c r="K67" s="593" t="s">
        <v>21</v>
      </c>
      <c r="L67" s="592" t="s">
        <v>21</v>
      </c>
      <c r="M67" s="594">
        <v>19582.568651398131</v>
      </c>
      <c r="N67" s="123"/>
      <c r="O67" s="587"/>
      <c r="P67" s="123"/>
      <c r="Q67" s="1870"/>
      <c r="R67" s="1871"/>
      <c r="S67" s="594"/>
      <c r="T67" s="1872"/>
      <c r="U67" s="1873"/>
      <c r="V67" s="608"/>
      <c r="W67" s="1872"/>
      <c r="X67" s="1871"/>
      <c r="Y67" s="594"/>
      <c r="Z67" s="1870"/>
      <c r="AA67" s="1871"/>
      <c r="AB67" s="594"/>
      <c r="AD67" s="1874" t="s">
        <v>21</v>
      </c>
      <c r="AE67" s="1875" t="s">
        <v>21</v>
      </c>
      <c r="AF67" s="1875" t="s">
        <v>21</v>
      </c>
      <c r="AG67" s="1875" t="s">
        <v>21</v>
      </c>
      <c r="AH67" s="1876" t="s">
        <v>21</v>
      </c>
      <c r="AI67" s="1876" t="s">
        <v>21</v>
      </c>
    </row>
    <row r="68" spans="1:35" s="588" customFormat="1" ht="24" x14ac:dyDescent="0.25">
      <c r="A68" s="587" t="s">
        <v>420</v>
      </c>
      <c r="B68" s="369" t="s">
        <v>20</v>
      </c>
      <c r="C68" s="123"/>
      <c r="D68" s="589" t="s">
        <v>1840</v>
      </c>
      <c r="E68" s="44" t="s">
        <v>27</v>
      </c>
      <c r="F68" s="214">
        <v>100577</v>
      </c>
      <c r="G68" s="587" t="s">
        <v>635</v>
      </c>
      <c r="H68" s="590" t="s">
        <v>51</v>
      </c>
      <c r="I68" s="591">
        <v>21134.232000000004</v>
      </c>
      <c r="J68" s="592">
        <v>0.77</v>
      </c>
      <c r="K68" s="593">
        <v>0.2033513845915047</v>
      </c>
      <c r="L68" s="592">
        <v>0.92658056613545869</v>
      </c>
      <c r="M68" s="594">
        <v>19582.568651398131</v>
      </c>
      <c r="N68" s="123"/>
      <c r="O68" s="1877"/>
      <c r="P68" s="123"/>
      <c r="Q68" s="1870"/>
      <c r="R68" s="1871"/>
      <c r="S68" s="594"/>
      <c r="T68" s="1872">
        <v>8135.59</v>
      </c>
      <c r="U68" s="1873"/>
      <c r="V68" s="608"/>
      <c r="W68" s="1872">
        <v>12998.642000000002</v>
      </c>
      <c r="X68" s="1871"/>
      <c r="Y68" s="594"/>
      <c r="Z68" s="1870"/>
      <c r="AA68" s="1871"/>
      <c r="AB68" s="594"/>
      <c r="AD68" s="1874">
        <v>4577.7433211060561</v>
      </c>
      <c r="AE68" s="1875">
        <v>5849.3386880799617</v>
      </c>
      <c r="AF68" s="1875">
        <v>9155.4866422121122</v>
      </c>
      <c r="AG68" s="1875">
        <v>0</v>
      </c>
      <c r="AH68" s="1876">
        <v>0</v>
      </c>
      <c r="AI68" s="1876">
        <v>0</v>
      </c>
    </row>
    <row r="69" spans="1:35" s="588" customFormat="1" ht="12" x14ac:dyDescent="0.25">
      <c r="A69" s="587"/>
      <c r="B69" s="369"/>
      <c r="C69" s="123"/>
      <c r="D69" s="589"/>
      <c r="E69" s="44"/>
      <c r="F69" s="214"/>
      <c r="G69" s="587" t="s">
        <v>21</v>
      </c>
      <c r="H69" s="590" t="s">
        <v>21</v>
      </c>
      <c r="I69" s="591" t="s">
        <v>21</v>
      </c>
      <c r="J69" s="592" t="s">
        <v>21</v>
      </c>
      <c r="K69" s="593" t="s">
        <v>21</v>
      </c>
      <c r="L69" s="592" t="s">
        <v>21</v>
      </c>
      <c r="M69" s="594" t="s">
        <v>21</v>
      </c>
      <c r="N69" s="123"/>
      <c r="O69" s="587"/>
      <c r="P69" s="123"/>
      <c r="Q69" s="1870"/>
      <c r="R69" s="1871"/>
      <c r="S69" s="594"/>
      <c r="T69" s="1872"/>
      <c r="U69" s="1873"/>
      <c r="V69" s="608"/>
      <c r="W69" s="1872"/>
      <c r="X69" s="1871"/>
      <c r="Y69" s="594"/>
      <c r="Z69" s="1870"/>
      <c r="AA69" s="1871"/>
      <c r="AB69" s="594"/>
      <c r="AD69" s="1874" t="s">
        <v>21</v>
      </c>
      <c r="AE69" s="1875" t="s">
        <v>21</v>
      </c>
      <c r="AF69" s="1875" t="s">
        <v>21</v>
      </c>
      <c r="AG69" s="1875" t="s">
        <v>21</v>
      </c>
      <c r="AH69" s="1876" t="s">
        <v>21</v>
      </c>
      <c r="AI69" s="1876" t="s">
        <v>21</v>
      </c>
    </row>
    <row r="70" spans="1:35" s="588" customFormat="1" ht="36" x14ac:dyDescent="0.25">
      <c r="A70" s="587" t="s">
        <v>4010</v>
      </c>
      <c r="B70" s="369"/>
      <c r="C70" s="123"/>
      <c r="D70" s="589" t="s">
        <v>1699</v>
      </c>
      <c r="E70" s="44"/>
      <c r="F70" s="214"/>
      <c r="G70" s="587" t="s">
        <v>4010</v>
      </c>
      <c r="H70" s="590" t="s">
        <v>21</v>
      </c>
      <c r="I70" s="591" t="s">
        <v>21</v>
      </c>
      <c r="J70" s="592" t="s">
        <v>21</v>
      </c>
      <c r="K70" s="593" t="s">
        <v>21</v>
      </c>
      <c r="L70" s="592" t="s">
        <v>21</v>
      </c>
      <c r="M70" s="594">
        <v>39622.911634906864</v>
      </c>
      <c r="N70" s="123"/>
      <c r="O70" s="587"/>
      <c r="P70" s="123"/>
      <c r="Q70" s="1870"/>
      <c r="R70" s="1871"/>
      <c r="S70" s="594"/>
      <c r="T70" s="1872"/>
      <c r="U70" s="1873"/>
      <c r="V70" s="608"/>
      <c r="W70" s="1872"/>
      <c r="X70" s="1871"/>
      <c r="Y70" s="594"/>
      <c r="Z70" s="1870"/>
      <c r="AA70" s="1871"/>
      <c r="AB70" s="594"/>
      <c r="AD70" s="1874" t="s">
        <v>21</v>
      </c>
      <c r="AE70" s="1875" t="s">
        <v>21</v>
      </c>
      <c r="AF70" s="1875" t="s">
        <v>21</v>
      </c>
      <c r="AG70" s="1875" t="s">
        <v>21</v>
      </c>
      <c r="AH70" s="1876" t="s">
        <v>21</v>
      </c>
      <c r="AI70" s="1876" t="s">
        <v>21</v>
      </c>
    </row>
    <row r="71" spans="1:35" s="588" customFormat="1" ht="48" x14ac:dyDescent="0.25">
      <c r="A71" s="587" t="s">
        <v>1816</v>
      </c>
      <c r="B71" s="369" t="s">
        <v>28</v>
      </c>
      <c r="C71" s="123"/>
      <c r="D71" s="589" t="s">
        <v>1843</v>
      </c>
      <c r="E71" s="44" t="s">
        <v>27</v>
      </c>
      <c r="F71" s="214">
        <v>96388</v>
      </c>
      <c r="G71" s="587" t="s">
        <v>580</v>
      </c>
      <c r="H71" s="590" t="s">
        <v>44</v>
      </c>
      <c r="I71" s="591">
        <v>4226.8464000000004</v>
      </c>
      <c r="J71" s="592">
        <v>7.79</v>
      </c>
      <c r="K71" s="593">
        <v>0.2033513845915047</v>
      </c>
      <c r="L71" s="592">
        <v>9.3741072859678223</v>
      </c>
      <c r="M71" s="594">
        <v>39622.911634906864</v>
      </c>
      <c r="N71" s="123"/>
      <c r="O71" s="1877"/>
      <c r="P71" s="123"/>
      <c r="Q71" s="1870"/>
      <c r="R71" s="1871">
        <v>1.3653840557275541</v>
      </c>
      <c r="S71" s="594"/>
      <c r="T71" s="1872">
        <v>1627.1180000000002</v>
      </c>
      <c r="U71" s="1873">
        <v>1.3653840557275541</v>
      </c>
      <c r="V71" s="608"/>
      <c r="W71" s="1872">
        <v>2599.7284000000004</v>
      </c>
      <c r="X71" s="1871">
        <v>1.3653840557275541</v>
      </c>
      <c r="Y71" s="594"/>
      <c r="Z71" s="1870"/>
      <c r="AA71" s="1871">
        <v>1.3653840557275541</v>
      </c>
      <c r="AB71" s="594"/>
      <c r="AD71" s="1874">
        <v>9765.8524183595855</v>
      </c>
      <c r="AE71" s="1875">
        <v>10376.218194507061</v>
      </c>
      <c r="AF71" s="1875">
        <v>19480.841022040215</v>
      </c>
      <c r="AG71" s="1875">
        <v>0</v>
      </c>
      <c r="AH71" s="1876">
        <v>0</v>
      </c>
      <c r="AI71" s="1876">
        <v>0</v>
      </c>
    </row>
    <row r="72" spans="1:35" s="588" customFormat="1" ht="12" x14ac:dyDescent="0.25">
      <c r="A72" s="587"/>
      <c r="B72" s="369"/>
      <c r="C72" s="123"/>
      <c r="D72" s="589"/>
      <c r="E72" s="44"/>
      <c r="F72" s="214"/>
      <c r="G72" s="587" t="s">
        <v>21</v>
      </c>
      <c r="H72" s="590" t="s">
        <v>21</v>
      </c>
      <c r="I72" s="591" t="s">
        <v>21</v>
      </c>
      <c r="J72" s="592" t="s">
        <v>21</v>
      </c>
      <c r="K72" s="593" t="s">
        <v>21</v>
      </c>
      <c r="L72" s="592" t="s">
        <v>21</v>
      </c>
      <c r="M72" s="594" t="s">
        <v>21</v>
      </c>
      <c r="N72" s="123"/>
      <c r="O72" s="587"/>
      <c r="P72" s="123"/>
      <c r="Q72" s="1870"/>
      <c r="R72" s="1871"/>
      <c r="S72" s="594"/>
      <c r="T72" s="1872"/>
      <c r="U72" s="1873"/>
      <c r="V72" s="608"/>
      <c r="W72" s="1872"/>
      <c r="X72" s="1871"/>
      <c r="Y72" s="594"/>
      <c r="Z72" s="1870"/>
      <c r="AA72" s="1871"/>
      <c r="AB72" s="594"/>
      <c r="AD72" s="1874" t="s">
        <v>21</v>
      </c>
      <c r="AE72" s="1875" t="s">
        <v>21</v>
      </c>
      <c r="AF72" s="1875" t="s">
        <v>21</v>
      </c>
      <c r="AG72" s="1875" t="s">
        <v>21</v>
      </c>
      <c r="AH72" s="1876" t="s">
        <v>21</v>
      </c>
      <c r="AI72" s="1876" t="s">
        <v>21</v>
      </c>
    </row>
    <row r="73" spans="1:35" s="588" customFormat="1" ht="36" x14ac:dyDescent="0.25">
      <c r="A73" s="587" t="s">
        <v>4009</v>
      </c>
      <c r="B73" s="369"/>
      <c r="C73" s="123"/>
      <c r="D73" s="589" t="s">
        <v>1938</v>
      </c>
      <c r="E73" s="44"/>
      <c r="F73" s="214"/>
      <c r="G73" s="587" t="s">
        <v>4009</v>
      </c>
      <c r="H73" s="590" t="s">
        <v>21</v>
      </c>
      <c r="I73" s="591" t="s">
        <v>21</v>
      </c>
      <c r="J73" s="592" t="s">
        <v>21</v>
      </c>
      <c r="K73" s="593" t="s">
        <v>21</v>
      </c>
      <c r="L73" s="592" t="s">
        <v>21</v>
      </c>
      <c r="M73" s="594">
        <v>184374.94132747431</v>
      </c>
      <c r="N73" s="123"/>
      <c r="O73" s="587"/>
      <c r="P73" s="123"/>
      <c r="Q73" s="1870"/>
      <c r="R73" s="1871"/>
      <c r="S73" s="594"/>
      <c r="T73" s="1872"/>
      <c r="U73" s="1873"/>
      <c r="V73" s="608"/>
      <c r="W73" s="1872"/>
      <c r="X73" s="1871"/>
      <c r="Y73" s="594"/>
      <c r="Z73" s="1870"/>
      <c r="AA73" s="1871"/>
      <c r="AB73" s="594"/>
      <c r="AD73" s="1874" t="s">
        <v>21</v>
      </c>
      <c r="AE73" s="1875" t="s">
        <v>21</v>
      </c>
      <c r="AF73" s="1875" t="s">
        <v>21</v>
      </c>
      <c r="AG73" s="1875" t="s">
        <v>21</v>
      </c>
      <c r="AH73" s="1876" t="s">
        <v>21</v>
      </c>
      <c r="AI73" s="1876" t="s">
        <v>21</v>
      </c>
    </row>
    <row r="74" spans="1:35" s="588" customFormat="1" ht="48" x14ac:dyDescent="0.25">
      <c r="A74" s="587" t="s">
        <v>3676</v>
      </c>
      <c r="B74" s="369" t="s">
        <v>28</v>
      </c>
      <c r="C74" s="123"/>
      <c r="D74" s="589" t="s">
        <v>1939</v>
      </c>
      <c r="E74" s="44" t="s">
        <v>27</v>
      </c>
      <c r="F74" s="214">
        <v>96389</v>
      </c>
      <c r="G74" s="587" t="s">
        <v>578</v>
      </c>
      <c r="H74" s="590" t="s">
        <v>44</v>
      </c>
      <c r="I74" s="591">
        <v>4064.1346000000003</v>
      </c>
      <c r="J74" s="592">
        <v>37.700000000000003</v>
      </c>
      <c r="K74" s="593">
        <v>0.2033513845915047</v>
      </c>
      <c r="L74" s="592">
        <v>45.366347199099728</v>
      </c>
      <c r="M74" s="594">
        <v>184374.94132747431</v>
      </c>
      <c r="N74" s="123"/>
      <c r="O74" s="1877"/>
      <c r="P74" s="123"/>
      <c r="Q74" s="1870"/>
      <c r="R74" s="1873">
        <v>1.3653840557275541</v>
      </c>
      <c r="S74" s="594"/>
      <c r="T74" s="1872">
        <v>1464.4061999999999</v>
      </c>
      <c r="U74" s="1873">
        <v>1.3653840557275541</v>
      </c>
      <c r="V74" s="608"/>
      <c r="W74" s="1872">
        <v>2599.7284000000004</v>
      </c>
      <c r="X74" s="1873">
        <v>1.3653840557275541</v>
      </c>
      <c r="Y74" s="594"/>
      <c r="Z74" s="1870"/>
      <c r="AA74" s="1873">
        <v>1.3653840557275541</v>
      </c>
      <c r="AB74" s="594"/>
      <c r="AD74" s="1874">
        <v>14573.9343542672</v>
      </c>
      <c r="AE74" s="1875">
        <v>147989.01126178709</v>
      </c>
      <c r="AF74" s="1875">
        <v>21811.995711420037</v>
      </c>
      <c r="AG74" s="1875">
        <v>0</v>
      </c>
      <c r="AH74" s="1876">
        <v>0</v>
      </c>
      <c r="AI74" s="1876">
        <v>0</v>
      </c>
    </row>
    <row r="75" spans="1:35" s="588" customFormat="1" ht="12" x14ac:dyDescent="0.25">
      <c r="A75" s="587"/>
      <c r="B75" s="369"/>
      <c r="C75" s="123"/>
      <c r="D75" s="589"/>
      <c r="E75" s="44"/>
      <c r="F75" s="214"/>
      <c r="G75" s="587" t="s">
        <v>21</v>
      </c>
      <c r="H75" s="590" t="s">
        <v>21</v>
      </c>
      <c r="I75" s="591" t="str">
        <f>IF($F75="","",IF('TRECHO(S) A IMPRIMIR'!$B$1= 1, SUM(Q75, T75, W75, Z75), IF('TRECHO(S) A IMPRIMIR'!$B$1= 2, T75, IF('TRECHO(S) A IMPRIMIR'!$B$1= 3, W75, 0))))</f>
        <v/>
      </c>
      <c r="J75" s="592" t="s">
        <v>21</v>
      </c>
      <c r="K75" s="593" t="str">
        <f t="shared" ref="K73:K104" si="12">IF(AND(F75&lt;&gt;"", J75&lt;&gt;""),
  IF(OR(F75= "CP9001", F75= "CP9091", F75= "CP9092"), 0,
  IF(ISNA(VLOOKUP(F75, $M$175:$M$179, 1, FALSE)), $M$4, $M$5)), "")</f>
        <v/>
      </c>
      <c r="L75" s="592" t="str">
        <f t="shared" si="10"/>
        <v/>
      </c>
      <c r="M75" s="594" t="str">
        <f>IF(OR(I75="",L75=""),"",I75*L75)</f>
        <v/>
      </c>
      <c r="N75" s="123"/>
      <c r="O75" s="587"/>
      <c r="P75" s="123"/>
      <c r="Q75" s="1870"/>
      <c r="R75" s="1871"/>
      <c r="S75" s="594"/>
      <c r="T75" s="1872"/>
      <c r="U75" s="1873"/>
      <c r="V75" s="608"/>
      <c r="W75" s="1872"/>
      <c r="X75" s="1871"/>
      <c r="Y75" s="594"/>
      <c r="Z75" s="1870"/>
      <c r="AA75" s="1871"/>
      <c r="AB75" s="594"/>
      <c r="AD75" s="1874" t="s">
        <v>21</v>
      </c>
      <c r="AE75" s="1875" t="s">
        <v>21</v>
      </c>
      <c r="AF75" s="1875" t="s">
        <v>21</v>
      </c>
      <c r="AG75" s="1875" t="s">
        <v>21</v>
      </c>
      <c r="AH75" s="1876" t="s">
        <v>21</v>
      </c>
      <c r="AI75" s="1876" t="s">
        <v>21</v>
      </c>
    </row>
    <row r="76" spans="1:35" s="588" customFormat="1" ht="12" x14ac:dyDescent="0.25">
      <c r="A76" s="587" t="s">
        <v>1827</v>
      </c>
      <c r="B76" s="369"/>
      <c r="C76" s="123"/>
      <c r="D76" s="589" t="s">
        <v>1989</v>
      </c>
      <c r="E76" s="44"/>
      <c r="F76" s="214"/>
      <c r="G76" s="587" t="s">
        <v>1827</v>
      </c>
      <c r="H76" s="590" t="s">
        <v>21</v>
      </c>
      <c r="I76" s="591" t="s">
        <v>21</v>
      </c>
      <c r="J76" s="592" t="s">
        <v>21</v>
      </c>
      <c r="K76" s="593" t="s">
        <v>21</v>
      </c>
      <c r="L76" s="592" t="s">
        <v>21</v>
      </c>
      <c r="M76" s="594">
        <v>108136.98975391116</v>
      </c>
      <c r="N76" s="123"/>
      <c r="O76" s="587"/>
      <c r="P76" s="123"/>
      <c r="Q76" s="1870"/>
      <c r="R76" s="1871"/>
      <c r="S76" s="594"/>
      <c r="T76" s="1872"/>
      <c r="U76" s="1873"/>
      <c r="V76" s="608"/>
      <c r="W76" s="1872"/>
      <c r="X76" s="1871"/>
      <c r="Y76" s="594"/>
      <c r="Z76" s="1870"/>
      <c r="AA76" s="1871"/>
      <c r="AB76" s="594"/>
      <c r="AD76" s="1874" t="s">
        <v>21</v>
      </c>
      <c r="AE76" s="1875" t="s">
        <v>21</v>
      </c>
      <c r="AF76" s="1875" t="s">
        <v>21</v>
      </c>
      <c r="AG76" s="1875" t="s">
        <v>21</v>
      </c>
      <c r="AH76" s="1876" t="s">
        <v>21</v>
      </c>
      <c r="AI76" s="1876" t="s">
        <v>21</v>
      </c>
    </row>
    <row r="77" spans="1:35" s="588" customFormat="1" ht="36" x14ac:dyDescent="0.25">
      <c r="A77" s="587" t="s">
        <v>3327</v>
      </c>
      <c r="B77" s="369" t="s">
        <v>23</v>
      </c>
      <c r="C77" s="123"/>
      <c r="D77" s="589" t="s">
        <v>1990</v>
      </c>
      <c r="E77" s="44" t="s">
        <v>138</v>
      </c>
      <c r="F77" s="214" t="s">
        <v>3325</v>
      </c>
      <c r="G77" s="587" t="s">
        <v>3326</v>
      </c>
      <c r="H77" s="590" t="s">
        <v>55</v>
      </c>
      <c r="I77" s="591">
        <v>25.3610784</v>
      </c>
      <c r="J77" s="592">
        <v>2973.15</v>
      </c>
      <c r="K77" s="593">
        <v>0.11096635744680849</v>
      </c>
      <c r="L77" s="592">
        <v>3303.0696256429787</v>
      </c>
      <c r="M77" s="594">
        <v>83769.407736590234</v>
      </c>
      <c r="N77" s="123"/>
      <c r="O77" s="587" t="s">
        <v>1822</v>
      </c>
      <c r="P77" s="123"/>
      <c r="Q77" s="1870">
        <v>0</v>
      </c>
      <c r="R77" s="1871"/>
      <c r="S77" s="594"/>
      <c r="T77" s="1872">
        <v>9.7627079999999999</v>
      </c>
      <c r="U77" s="1873"/>
      <c r="V77" s="608"/>
      <c r="W77" s="1872">
        <v>15.5983704</v>
      </c>
      <c r="X77" s="1871"/>
      <c r="Y77" s="594"/>
      <c r="Z77" s="1870">
        <v>0</v>
      </c>
      <c r="AA77" s="1871"/>
      <c r="AB77" s="594"/>
      <c r="AD77" s="1874">
        <v>0</v>
      </c>
      <c r="AE77" s="1875">
        <v>83769.407736590249</v>
      </c>
      <c r="AF77" s="1875">
        <v>0</v>
      </c>
      <c r="AG77" s="1875">
        <v>0</v>
      </c>
      <c r="AH77" s="1876">
        <v>0</v>
      </c>
      <c r="AI77" s="1876">
        <v>-1.4551915228366852E-11</v>
      </c>
    </row>
    <row r="78" spans="1:35" s="588" customFormat="1" ht="36" x14ac:dyDescent="0.25">
      <c r="A78" s="587" t="s">
        <v>972</v>
      </c>
      <c r="B78" s="369" t="s">
        <v>25</v>
      </c>
      <c r="C78" s="123"/>
      <c r="D78" s="589" t="s">
        <v>1991</v>
      </c>
      <c r="E78" s="44" t="s">
        <v>27</v>
      </c>
      <c r="F78" s="214">
        <v>100969</v>
      </c>
      <c r="G78" s="587" t="s">
        <v>798</v>
      </c>
      <c r="H78" s="590" t="s">
        <v>42</v>
      </c>
      <c r="I78" s="591">
        <v>25.3610784</v>
      </c>
      <c r="J78" s="592">
        <v>1.7</v>
      </c>
      <c r="K78" s="593">
        <v>0.2033513845915047</v>
      </c>
      <c r="L78" s="592">
        <v>2.0456973538055578</v>
      </c>
      <c r="M78" s="594">
        <v>51.88109097253529</v>
      </c>
      <c r="N78" s="123"/>
      <c r="O78" s="587" t="s">
        <v>1821</v>
      </c>
      <c r="P78" s="123"/>
      <c r="Q78" s="1870">
        <v>0</v>
      </c>
      <c r="R78" s="1871"/>
      <c r="S78" s="594">
        <v>1</v>
      </c>
      <c r="T78" s="1872">
        <v>9.7627079999999999</v>
      </c>
      <c r="U78" s="1873"/>
      <c r="V78" s="608">
        <v>1</v>
      </c>
      <c r="W78" s="1872">
        <v>15.5983704</v>
      </c>
      <c r="X78" s="1871"/>
      <c r="Y78" s="594">
        <v>1</v>
      </c>
      <c r="Z78" s="1870">
        <v>0</v>
      </c>
      <c r="AA78" s="1871"/>
      <c r="AB78" s="594">
        <v>1</v>
      </c>
      <c r="AD78" s="1874">
        <v>4.5777433211060554</v>
      </c>
      <c r="AE78" s="1875">
        <v>36.927129456922181</v>
      </c>
      <c r="AF78" s="1875">
        <v>10.376218194507061</v>
      </c>
      <c r="AG78" s="1875">
        <v>0</v>
      </c>
      <c r="AH78" s="1876">
        <v>0</v>
      </c>
      <c r="AI78" s="1876">
        <v>-7.1054273576010019E-15</v>
      </c>
    </row>
    <row r="79" spans="1:35" s="588" customFormat="1" ht="24" x14ac:dyDescent="0.25">
      <c r="A79" s="587" t="s">
        <v>975</v>
      </c>
      <c r="B79" s="369" t="s">
        <v>20</v>
      </c>
      <c r="C79" s="123"/>
      <c r="D79" s="589" t="s">
        <v>1992</v>
      </c>
      <c r="E79" s="44" t="s">
        <v>138</v>
      </c>
      <c r="F79" s="214" t="s">
        <v>949</v>
      </c>
      <c r="G79" s="587" t="s">
        <v>3346</v>
      </c>
      <c r="H79" s="590" t="s">
        <v>51</v>
      </c>
      <c r="I79" s="591">
        <v>21134.232000000004</v>
      </c>
      <c r="J79" s="592">
        <v>0.95611000000000002</v>
      </c>
      <c r="K79" s="593">
        <v>0.2033513845915047</v>
      </c>
      <c r="L79" s="592">
        <v>1.1505362923217837</v>
      </c>
      <c r="M79" s="594">
        <v>24315.7009263484</v>
      </c>
      <c r="N79" s="123"/>
      <c r="O79" s="587" t="s">
        <v>1832</v>
      </c>
      <c r="P79" s="123"/>
      <c r="Q79" s="1870"/>
      <c r="R79" s="1878">
        <v>1.1999999999999999E-3</v>
      </c>
      <c r="S79" s="594"/>
      <c r="T79" s="1872">
        <v>8135.59</v>
      </c>
      <c r="U79" s="1880">
        <v>1.1999999999999999E-3</v>
      </c>
      <c r="V79" s="608"/>
      <c r="W79" s="1872">
        <v>12998.642000000002</v>
      </c>
      <c r="X79" s="1878">
        <v>1.1999999999999999E-3</v>
      </c>
      <c r="Y79" s="594"/>
      <c r="Z79" s="1870"/>
      <c r="AA79" s="1878">
        <v>1.1999999999999999E-3</v>
      </c>
      <c r="AB79" s="594"/>
      <c r="AD79" s="1874">
        <v>6018.2065528140965</v>
      </c>
      <c r="AE79" s="1875">
        <v>11316.18148977417</v>
      </c>
      <c r="AF79" s="1875">
        <v>6981.3128837601316</v>
      </c>
      <c r="AG79" s="1875">
        <v>0</v>
      </c>
      <c r="AH79" s="1876">
        <v>7.0587722721055207E-13</v>
      </c>
      <c r="AI79" s="1876">
        <v>0</v>
      </c>
    </row>
    <row r="80" spans="1:35" s="588" customFormat="1" ht="12" x14ac:dyDescent="0.25">
      <c r="A80" s="587"/>
      <c r="B80" s="369"/>
      <c r="C80" s="123"/>
      <c r="D80" s="589"/>
      <c r="E80" s="44"/>
      <c r="F80" s="214"/>
      <c r="G80" s="587" t="s">
        <v>21</v>
      </c>
      <c r="H80" s="590" t="s">
        <v>21</v>
      </c>
      <c r="I80" s="591" t="s">
        <v>21</v>
      </c>
      <c r="J80" s="592" t="s">
        <v>21</v>
      </c>
      <c r="K80" s="593" t="s">
        <v>21</v>
      </c>
      <c r="L80" s="592" t="s">
        <v>21</v>
      </c>
      <c r="M80" s="594" t="s">
        <v>21</v>
      </c>
      <c r="N80" s="123"/>
      <c r="O80" s="587"/>
      <c r="P80" s="123"/>
      <c r="Q80" s="1870"/>
      <c r="R80" s="1871"/>
      <c r="S80" s="594"/>
      <c r="T80" s="1872"/>
      <c r="U80" s="1873"/>
      <c r="V80" s="608"/>
      <c r="W80" s="1872"/>
      <c r="X80" s="1871"/>
      <c r="Y80" s="594"/>
      <c r="Z80" s="1870"/>
      <c r="AA80" s="1871"/>
      <c r="AB80" s="594"/>
      <c r="AD80" s="1874" t="s">
        <v>21</v>
      </c>
      <c r="AE80" s="1875" t="s">
        <v>21</v>
      </c>
      <c r="AF80" s="1875" t="s">
        <v>21</v>
      </c>
      <c r="AG80" s="1875" t="s">
        <v>21</v>
      </c>
      <c r="AH80" s="1876" t="s">
        <v>21</v>
      </c>
      <c r="AI80" s="1876" t="s">
        <v>21</v>
      </c>
    </row>
    <row r="81" spans="1:35" s="588" customFormat="1" ht="12" x14ac:dyDescent="0.25">
      <c r="A81" s="587" t="s">
        <v>4070</v>
      </c>
      <c r="B81" s="369"/>
      <c r="C81" s="123"/>
      <c r="D81" s="1909" t="s">
        <v>1695</v>
      </c>
      <c r="E81" s="44"/>
      <c r="F81" s="214"/>
      <c r="G81" s="587" t="s">
        <v>4070</v>
      </c>
      <c r="H81" s="590" t="s">
        <v>21</v>
      </c>
      <c r="I81" s="591" t="s">
        <v>21</v>
      </c>
      <c r="J81" s="592" t="s">
        <v>21</v>
      </c>
      <c r="K81" s="593" t="s">
        <v>21</v>
      </c>
      <c r="L81" s="592" t="s">
        <v>21</v>
      </c>
      <c r="M81" s="594">
        <v>298165.39511755027</v>
      </c>
      <c r="N81" s="123"/>
      <c r="O81" s="587"/>
      <c r="P81" s="123"/>
      <c r="Q81" s="1870"/>
      <c r="R81" s="1871"/>
      <c r="S81" s="594"/>
      <c r="T81" s="1872"/>
      <c r="U81" s="1873"/>
      <c r="V81" s="608"/>
      <c r="W81" s="1872"/>
      <c r="X81" s="1871"/>
      <c r="Y81" s="594"/>
      <c r="Z81" s="1870"/>
      <c r="AA81" s="1871"/>
      <c r="AB81" s="594"/>
      <c r="AD81" s="1874" t="s">
        <v>21</v>
      </c>
      <c r="AE81" s="1875" t="s">
        <v>21</v>
      </c>
      <c r="AF81" s="1875" t="s">
        <v>21</v>
      </c>
      <c r="AG81" s="1875" t="s">
        <v>21</v>
      </c>
      <c r="AH81" s="1876" t="s">
        <v>21</v>
      </c>
      <c r="AI81" s="1876" t="s">
        <v>21</v>
      </c>
    </row>
    <row r="82" spans="1:35" s="588" customFormat="1" ht="12" x14ac:dyDescent="0.25">
      <c r="A82" s="587" t="s">
        <v>4061</v>
      </c>
      <c r="B82" s="369"/>
      <c r="C82" s="123"/>
      <c r="D82" s="1909" t="s">
        <v>1824</v>
      </c>
      <c r="E82" s="44"/>
      <c r="F82" s="214"/>
      <c r="G82" s="587" t="s">
        <v>4061</v>
      </c>
      <c r="H82" s="590" t="s">
        <v>21</v>
      </c>
      <c r="I82" s="591" t="s">
        <v>21</v>
      </c>
      <c r="J82" s="592" t="s">
        <v>21</v>
      </c>
      <c r="K82" s="593" t="s">
        <v>21</v>
      </c>
      <c r="L82" s="592" t="s">
        <v>21</v>
      </c>
      <c r="M82" s="594" t="s">
        <v>21</v>
      </c>
      <c r="N82" s="123"/>
      <c r="O82" s="587"/>
      <c r="P82" s="123"/>
      <c r="Q82" s="1870"/>
      <c r="R82" s="1871"/>
      <c r="S82" s="594"/>
      <c r="T82" s="1872"/>
      <c r="U82" s="1873"/>
      <c r="V82" s="608"/>
      <c r="W82" s="1872"/>
      <c r="X82" s="1871"/>
      <c r="Y82" s="594"/>
      <c r="Z82" s="1870"/>
      <c r="AA82" s="1871"/>
      <c r="AB82" s="594"/>
      <c r="AD82" s="1874" t="s">
        <v>21</v>
      </c>
      <c r="AE82" s="1875" t="s">
        <v>21</v>
      </c>
      <c r="AF82" s="1875" t="s">
        <v>21</v>
      </c>
      <c r="AG82" s="1875" t="s">
        <v>21</v>
      </c>
      <c r="AH82" s="1876" t="s">
        <v>21</v>
      </c>
      <c r="AI82" s="1876" t="s">
        <v>21</v>
      </c>
    </row>
    <row r="83" spans="1:35" s="588" customFormat="1" ht="36" hidden="1" x14ac:dyDescent="0.25">
      <c r="A83" s="587" t="s">
        <v>969</v>
      </c>
      <c r="B83" s="369" t="s">
        <v>25</v>
      </c>
      <c r="C83" s="123"/>
      <c r="D83" s="1909" t="s">
        <v>4056</v>
      </c>
      <c r="E83" s="44" t="s">
        <v>27</v>
      </c>
      <c r="F83" s="214">
        <v>95879</v>
      </c>
      <c r="G83" s="587" t="s">
        <v>789</v>
      </c>
      <c r="H83" s="590" t="s">
        <v>42</v>
      </c>
      <c r="I83" s="591">
        <f>IF($F83="","",IF('TRECHO(S) A IMPRIMIR'!$B$1= 1, SUM(Q83, T83, W83, Z83), IF('TRECHO(S) A IMPRIMIR'!$B$1= 2, T83, IF('TRECHO(S) A IMPRIMIR'!$B$1= 3, W83, 0))))</f>
        <v>0</v>
      </c>
      <c r="J83" s="592">
        <v>1.04</v>
      </c>
      <c r="K83" s="593">
        <f t="shared" si="12"/>
        <v>0.2033513845915047</v>
      </c>
      <c r="L83" s="592">
        <f t="shared" si="10"/>
        <v>1.2514854399751649</v>
      </c>
      <c r="M83" s="594">
        <f t="shared" ref="M82:M89" si="13">IF(OR(I83="",L83=""),"",I83*L83)</f>
        <v>0</v>
      </c>
      <c r="N83" s="123"/>
      <c r="O83" s="587" t="s">
        <v>4066</v>
      </c>
      <c r="P83" s="123"/>
      <c r="Q83" s="1870">
        <f>Q88 * R83 * S83</f>
        <v>0</v>
      </c>
      <c r="R83" s="1907">
        <f>'MLQ-PESP'!$C$25</f>
        <v>3.6795000000000001E-2</v>
      </c>
      <c r="S83" s="594">
        <f>IF('MLQ-DMT-TR1'!$E$9 &gt; 30, 30, 'MLQ-DMT-TR1'!$E$9)</f>
        <v>30</v>
      </c>
      <c r="T83" s="1872">
        <f>T88 * U83 * V83</f>
        <v>0</v>
      </c>
      <c r="U83" s="1908">
        <f>'MLQ-PESP'!$C$25</f>
        <v>3.6795000000000001E-2</v>
      </c>
      <c r="V83" s="1879"/>
      <c r="W83" s="1872">
        <f>W88 * X83 * Y83</f>
        <v>0</v>
      </c>
      <c r="X83" s="1907">
        <f>'MLQ-PESP'!$C$25</f>
        <v>3.6795000000000001E-2</v>
      </c>
      <c r="Y83" s="1879"/>
      <c r="Z83" s="1870">
        <f>Z88 * AA83 * AB83</f>
        <v>0</v>
      </c>
      <c r="AA83" s="1907">
        <f>'MLQ-PESP'!$C$25</f>
        <v>3.6795000000000001E-2</v>
      </c>
      <c r="AB83" s="1879"/>
      <c r="AD83" s="1874" t="s">
        <v>21</v>
      </c>
      <c r="AE83" s="1875" t="s">
        <v>21</v>
      </c>
      <c r="AF83" s="1875" t="s">
        <v>21</v>
      </c>
      <c r="AG83" s="1875" t="s">
        <v>21</v>
      </c>
      <c r="AH83" s="1876" t="s">
        <v>21</v>
      </c>
      <c r="AI83" s="1876" t="str">
        <f t="shared" ref="AI81:AI89" si="14">IF(SUM(AD83:AH83)=0,"",M83 - SUM(AD83:AH83))</f>
        <v/>
      </c>
    </row>
    <row r="84" spans="1:35" s="588" customFormat="1" ht="36" hidden="1" x14ac:dyDescent="0.25">
      <c r="A84" s="587" t="s">
        <v>970</v>
      </c>
      <c r="B84" s="369" t="s">
        <v>25</v>
      </c>
      <c r="C84" s="123"/>
      <c r="D84" s="1909" t="s">
        <v>4057</v>
      </c>
      <c r="E84" s="44" t="s">
        <v>27</v>
      </c>
      <c r="F84" s="214">
        <v>93599</v>
      </c>
      <c r="G84" s="587" t="s">
        <v>788</v>
      </c>
      <c r="H84" s="590" t="s">
        <v>42</v>
      </c>
      <c r="I84" s="591">
        <f>IF($F84="","",IF('TRECHO(S) A IMPRIMIR'!$B$1= 1, SUM(Q84, T84, W84, Z84), IF('TRECHO(S) A IMPRIMIR'!$B$1= 2, T84, IF('TRECHO(S) A IMPRIMIR'!$B$1= 3, W84, 0))))</f>
        <v>0</v>
      </c>
      <c r="J84" s="592">
        <v>0.41</v>
      </c>
      <c r="K84" s="593">
        <f t="shared" si="12"/>
        <v>0.2033513845915047</v>
      </c>
      <c r="L84" s="592">
        <f t="shared" si="10"/>
        <v>0.4933740676825169</v>
      </c>
      <c r="M84" s="594">
        <f t="shared" si="13"/>
        <v>0</v>
      </c>
      <c r="N84" s="123"/>
      <c r="O84" s="587" t="s">
        <v>4066</v>
      </c>
      <c r="P84" s="123"/>
      <c r="Q84" s="1870">
        <f>Q88 * R84 * S84</f>
        <v>0</v>
      </c>
      <c r="R84" s="1907">
        <f>'MLQ-PESP'!$C$25</f>
        <v>3.6795000000000001E-2</v>
      </c>
      <c r="S84" s="594">
        <f>IF('MLQ-DMT-TR1'!$E$9 &gt; 30, 'MLQ-DMT-TR1'!$E$9 - 30, 0)</f>
        <v>27</v>
      </c>
      <c r="T84" s="1872">
        <f>T88 * U84 * V84</f>
        <v>0</v>
      </c>
      <c r="U84" s="1908">
        <f>'MLQ-PESP'!$C$25</f>
        <v>3.6795000000000001E-2</v>
      </c>
      <c r="V84" s="1879"/>
      <c r="W84" s="1872">
        <f>W88 * X84 * Y84</f>
        <v>0</v>
      </c>
      <c r="X84" s="1907">
        <f>'MLQ-PESP'!$C$25</f>
        <v>3.6795000000000001E-2</v>
      </c>
      <c r="Y84" s="1879"/>
      <c r="Z84" s="1870">
        <f>Z88 * AA84 * AB84</f>
        <v>0</v>
      </c>
      <c r="AA84" s="1907">
        <f>'MLQ-PESP'!$C$25</f>
        <v>3.6795000000000001E-2</v>
      </c>
      <c r="AB84" s="1879"/>
      <c r="AD84" s="1874" t="s">
        <v>21</v>
      </c>
      <c r="AE84" s="1875" t="s">
        <v>21</v>
      </c>
      <c r="AF84" s="1875" t="s">
        <v>21</v>
      </c>
      <c r="AG84" s="1875" t="s">
        <v>21</v>
      </c>
      <c r="AH84" s="1876" t="s">
        <v>21</v>
      </c>
      <c r="AI84" s="1876" t="str">
        <f t="shared" si="14"/>
        <v/>
      </c>
    </row>
    <row r="85" spans="1:35" s="588" customFormat="1" ht="12" x14ac:dyDescent="0.25">
      <c r="A85" s="587" t="s">
        <v>1836</v>
      </c>
      <c r="B85" s="369"/>
      <c r="C85" s="123"/>
      <c r="D85" s="1909" t="s">
        <v>1825</v>
      </c>
      <c r="E85" s="44"/>
      <c r="F85" s="214"/>
      <c r="G85" s="587" t="s">
        <v>1836</v>
      </c>
      <c r="H85" s="590" t="s">
        <v>21</v>
      </c>
      <c r="I85" s="591" t="s">
        <v>21</v>
      </c>
      <c r="J85" s="592" t="s">
        <v>21</v>
      </c>
      <c r="K85" s="593" t="s">
        <v>21</v>
      </c>
      <c r="L85" s="592" t="s">
        <v>21</v>
      </c>
      <c r="M85" s="594" t="s">
        <v>21</v>
      </c>
      <c r="N85" s="123"/>
      <c r="O85" s="587"/>
      <c r="P85" s="123"/>
      <c r="Q85" s="1870"/>
      <c r="R85" s="1871"/>
      <c r="S85" s="594"/>
      <c r="T85" s="1872"/>
      <c r="U85" s="1873"/>
      <c r="V85" s="608"/>
      <c r="W85" s="1872"/>
      <c r="X85" s="1871"/>
      <c r="Y85" s="594"/>
      <c r="Z85" s="1870"/>
      <c r="AA85" s="1871"/>
      <c r="AB85" s="594"/>
      <c r="AD85" s="1874" t="s">
        <v>21</v>
      </c>
      <c r="AE85" s="1875" t="s">
        <v>21</v>
      </c>
      <c r="AF85" s="1875" t="s">
        <v>21</v>
      </c>
      <c r="AG85" s="1875" t="s">
        <v>21</v>
      </c>
      <c r="AH85" s="1876" t="s">
        <v>21</v>
      </c>
      <c r="AI85" s="1876" t="s">
        <v>21</v>
      </c>
    </row>
    <row r="86" spans="1:35" s="588" customFormat="1" ht="24" x14ac:dyDescent="0.25">
      <c r="A86" s="587" t="s">
        <v>982</v>
      </c>
      <c r="B86" s="369" t="s">
        <v>23</v>
      </c>
      <c r="C86" s="123"/>
      <c r="D86" s="1909" t="s">
        <v>4067</v>
      </c>
      <c r="E86" s="44" t="s">
        <v>138</v>
      </c>
      <c r="F86" s="214" t="s">
        <v>4052</v>
      </c>
      <c r="G86" s="587" t="s">
        <v>4053</v>
      </c>
      <c r="H86" s="590" t="s">
        <v>55</v>
      </c>
      <c r="I86" s="591">
        <v>55.408612000000005</v>
      </c>
      <c r="J86" s="592">
        <v>3168.02</v>
      </c>
      <c r="K86" s="593">
        <v>0.2033513845915047</v>
      </c>
      <c r="L86" s="592">
        <v>3812.2412534135788</v>
      </c>
      <c r="M86" s="594">
        <v>211230.99646078667</v>
      </c>
      <c r="N86" s="123"/>
      <c r="O86" s="587"/>
      <c r="P86" s="123"/>
      <c r="Q86" s="1870">
        <v>0</v>
      </c>
      <c r="R86" s="1907">
        <v>3.5000000000000001E-3</v>
      </c>
      <c r="S86" s="594"/>
      <c r="T86" s="1872">
        <v>9.9133650000000006</v>
      </c>
      <c r="U86" s="1908">
        <v>3.5000000000000001E-3</v>
      </c>
      <c r="V86" s="608"/>
      <c r="W86" s="1872">
        <v>45.495247000000006</v>
      </c>
      <c r="X86" s="1907">
        <v>3.5000000000000001E-3</v>
      </c>
      <c r="Y86" s="594"/>
      <c r="Z86" s="1870">
        <v>0</v>
      </c>
      <c r="AA86" s="1907">
        <v>3.5000000000000001E-3</v>
      </c>
      <c r="AB86" s="594"/>
      <c r="AD86" s="1874">
        <v>0</v>
      </c>
      <c r="AE86" s="1875">
        <v>211230.99646078667</v>
      </c>
      <c r="AF86" s="1875">
        <v>0</v>
      </c>
      <c r="AG86" s="1875">
        <v>0</v>
      </c>
      <c r="AH86" s="1876">
        <v>0</v>
      </c>
      <c r="AI86" s="1876">
        <v>0</v>
      </c>
    </row>
    <row r="87" spans="1:35" s="588" customFormat="1" ht="12" x14ac:dyDescent="0.25">
      <c r="A87" s="587" t="s">
        <v>4068</v>
      </c>
      <c r="B87" s="369"/>
      <c r="C87" s="123"/>
      <c r="D87" s="1909" t="s">
        <v>1826</v>
      </c>
      <c r="E87" s="44"/>
      <c r="F87" s="214"/>
      <c r="G87" s="587" t="s">
        <v>4068</v>
      </c>
      <c r="H87" s="590" t="s">
        <v>21</v>
      </c>
      <c r="I87" s="591" t="s">
        <v>21</v>
      </c>
      <c r="J87" s="592" t="s">
        <v>21</v>
      </c>
      <c r="K87" s="593" t="s">
        <v>21</v>
      </c>
      <c r="L87" s="592" t="s">
        <v>21</v>
      </c>
      <c r="M87" s="594" t="s">
        <v>21</v>
      </c>
      <c r="N87" s="123"/>
      <c r="O87" s="587"/>
      <c r="P87" s="123"/>
      <c r="Q87" s="1870"/>
      <c r="R87" s="1871"/>
      <c r="S87" s="594"/>
      <c r="T87" s="1872"/>
      <c r="U87" s="1873"/>
      <c r="V87" s="608"/>
      <c r="W87" s="1872"/>
      <c r="X87" s="1871"/>
      <c r="Y87" s="594"/>
      <c r="Z87" s="1870"/>
      <c r="AA87" s="1871"/>
      <c r="AB87" s="594"/>
      <c r="AD87" s="1874" t="s">
        <v>21</v>
      </c>
      <c r="AE87" s="1875" t="s">
        <v>21</v>
      </c>
      <c r="AF87" s="1875" t="s">
        <v>21</v>
      </c>
      <c r="AG87" s="1875" t="s">
        <v>21</v>
      </c>
      <c r="AH87" s="1876" t="s">
        <v>21</v>
      </c>
      <c r="AI87" s="1876" t="s">
        <v>21</v>
      </c>
    </row>
    <row r="88" spans="1:35" s="588" customFormat="1" ht="24" x14ac:dyDescent="0.25">
      <c r="A88" s="587" t="s">
        <v>4060</v>
      </c>
      <c r="B88" s="369" t="s">
        <v>20</v>
      </c>
      <c r="C88" s="123"/>
      <c r="D88" s="1909" t="s">
        <v>4069</v>
      </c>
      <c r="E88" s="44" t="s">
        <v>138</v>
      </c>
      <c r="F88" s="214" t="s">
        <v>2159</v>
      </c>
      <c r="G88" s="587" t="s">
        <v>4059</v>
      </c>
      <c r="H88" s="590" t="s">
        <v>51</v>
      </c>
      <c r="I88" s="591">
        <v>15831.032000000003</v>
      </c>
      <c r="J88" s="592">
        <v>4.5634150000000009</v>
      </c>
      <c r="K88" s="593">
        <v>0.2033513845915047</v>
      </c>
      <c r="L88" s="592">
        <v>5.4913917587156424</v>
      </c>
      <c r="M88" s="594">
        <v>86934.398656763631</v>
      </c>
      <c r="N88" s="123"/>
      <c r="O88" s="587"/>
      <c r="P88" s="123"/>
      <c r="Q88" s="1870"/>
      <c r="R88" s="1871"/>
      <c r="S88" s="594"/>
      <c r="T88" s="1872">
        <v>2832.3900000000003</v>
      </c>
      <c r="U88" s="1873"/>
      <c r="V88" s="608"/>
      <c r="W88" s="1872">
        <v>12998.642000000002</v>
      </c>
      <c r="X88" s="1871"/>
      <c r="Y88" s="594"/>
      <c r="Z88" s="1870"/>
      <c r="AA88" s="1871"/>
      <c r="AB88" s="594"/>
      <c r="AD88" s="1874">
        <v>7005.2694629040743</v>
      </c>
      <c r="AE88" s="1875">
        <v>74137.573029619089</v>
      </c>
      <c r="AF88" s="1875">
        <v>5791.55616424045</v>
      </c>
      <c r="AG88" s="1875">
        <v>0</v>
      </c>
      <c r="AH88" s="1876">
        <v>5.2875188329727436E-13</v>
      </c>
      <c r="AI88" s="1876">
        <v>1.4551915228366852E-11</v>
      </c>
    </row>
    <row r="89" spans="1:35" s="588" customFormat="1" ht="12" x14ac:dyDescent="0.25">
      <c r="A89" s="587"/>
      <c r="B89" s="369"/>
      <c r="C89" s="123"/>
      <c r="D89" s="589"/>
      <c r="E89" s="44"/>
      <c r="F89" s="214"/>
      <c r="G89" s="587" t="s">
        <v>21</v>
      </c>
      <c r="H89" s="590" t="s">
        <v>21</v>
      </c>
      <c r="I89" s="591" t="s">
        <v>21</v>
      </c>
      <c r="J89" s="592" t="s">
        <v>21</v>
      </c>
      <c r="K89" s="593" t="s">
        <v>21</v>
      </c>
      <c r="L89" s="592" t="s">
        <v>21</v>
      </c>
      <c r="M89" s="594" t="s">
        <v>21</v>
      </c>
      <c r="N89" s="123"/>
      <c r="O89" s="587"/>
      <c r="P89" s="123"/>
      <c r="Q89" s="1870"/>
      <c r="R89" s="1871"/>
      <c r="S89" s="594"/>
      <c r="T89" s="1872"/>
      <c r="U89" s="1873"/>
      <c r="V89" s="608"/>
      <c r="W89" s="1872"/>
      <c r="X89" s="1871"/>
      <c r="Y89" s="594"/>
      <c r="Z89" s="1870"/>
      <c r="AA89" s="1871"/>
      <c r="AB89" s="594"/>
      <c r="AD89" s="1874" t="s">
        <v>21</v>
      </c>
      <c r="AE89" s="1875" t="s">
        <v>21</v>
      </c>
      <c r="AF89" s="1875" t="s">
        <v>21</v>
      </c>
      <c r="AG89" s="1875" t="s">
        <v>21</v>
      </c>
      <c r="AH89" s="1876" t="s">
        <v>21</v>
      </c>
      <c r="AI89" s="1876" t="s">
        <v>21</v>
      </c>
    </row>
    <row r="90" spans="1:35" s="588" customFormat="1" ht="24" x14ac:dyDescent="0.25">
      <c r="A90" s="587" t="s">
        <v>1828</v>
      </c>
      <c r="B90" s="369"/>
      <c r="C90" s="123"/>
      <c r="D90" s="589" t="s">
        <v>1993</v>
      </c>
      <c r="E90" s="44"/>
      <c r="F90" s="214"/>
      <c r="G90" s="587" t="s">
        <v>1828</v>
      </c>
      <c r="H90" s="590" t="s">
        <v>21</v>
      </c>
      <c r="I90" s="591" t="s">
        <v>21</v>
      </c>
      <c r="J90" s="592" t="s">
        <v>21</v>
      </c>
      <c r="K90" s="593" t="s">
        <v>21</v>
      </c>
      <c r="L90" s="592" t="s">
        <v>21</v>
      </c>
      <c r="M90" s="594">
        <v>1446031.9465568375</v>
      </c>
      <c r="N90" s="123"/>
      <c r="O90" s="587"/>
      <c r="P90" s="123"/>
      <c r="Q90" s="1870"/>
      <c r="R90" s="1871"/>
      <c r="S90" s="594"/>
      <c r="T90" s="1872"/>
      <c r="U90" s="1873"/>
      <c r="V90" s="608"/>
      <c r="W90" s="1872"/>
      <c r="X90" s="1871"/>
      <c r="Y90" s="594"/>
      <c r="Z90" s="1870"/>
      <c r="AA90" s="1871"/>
      <c r="AB90" s="594"/>
      <c r="AD90" s="1874" t="s">
        <v>21</v>
      </c>
      <c r="AE90" s="1875" t="s">
        <v>21</v>
      </c>
      <c r="AF90" s="1875" t="s">
        <v>21</v>
      </c>
      <c r="AG90" s="1875" t="s">
        <v>21</v>
      </c>
      <c r="AH90" s="1876" t="s">
        <v>21</v>
      </c>
      <c r="AI90" s="1876" t="s">
        <v>21</v>
      </c>
    </row>
    <row r="91" spans="1:35" s="588" customFormat="1" ht="24" x14ac:dyDescent="0.25">
      <c r="A91" s="587" t="s">
        <v>1837</v>
      </c>
      <c r="B91" s="369"/>
      <c r="C91" s="123"/>
      <c r="D91" s="589" t="s">
        <v>1994</v>
      </c>
      <c r="E91" s="44"/>
      <c r="F91" s="214"/>
      <c r="G91" s="587" t="s">
        <v>1837</v>
      </c>
      <c r="H91" s="590" t="s">
        <v>21</v>
      </c>
      <c r="I91" s="591" t="str">
        <f>IF($F91="","",IF('TRECHO(S) A IMPRIMIR'!$B$1= 1, SUM(Q91, T91, W91, Z91), IF('TRECHO(S) A IMPRIMIR'!$B$1= 2, T91, IF('TRECHO(S) A IMPRIMIR'!$B$1= 3, W91, 0))))</f>
        <v/>
      </c>
      <c r="J91" s="592" t="s">
        <v>21</v>
      </c>
      <c r="K91" s="593" t="str">
        <f t="shared" si="12"/>
        <v/>
      </c>
      <c r="L91" s="592" t="str">
        <f t="shared" si="10"/>
        <v/>
      </c>
      <c r="M91" s="594" t="str">
        <f t="shared" ref="M91:M100" si="15">IF(OR(I91="",L91=""),"",I91*L91)</f>
        <v/>
      </c>
      <c r="N91" s="123"/>
      <c r="O91" s="587" t="s">
        <v>1832</v>
      </c>
      <c r="P91" s="123"/>
      <c r="Q91" s="1870"/>
      <c r="R91" s="1871">
        <v>1.113713964</v>
      </c>
      <c r="S91" s="594"/>
      <c r="T91" s="1872"/>
      <c r="U91" s="1873">
        <v>1.113713964</v>
      </c>
      <c r="V91" s="608"/>
      <c r="W91" s="1872"/>
      <c r="X91" s="1871">
        <v>1.113713964</v>
      </c>
      <c r="Y91" s="594"/>
      <c r="Z91" s="1870"/>
      <c r="AA91" s="1871">
        <v>1.113713964</v>
      </c>
      <c r="AB91" s="594"/>
      <c r="AD91" s="1874" t="s">
        <v>21</v>
      </c>
      <c r="AE91" s="1875" t="s">
        <v>21</v>
      </c>
      <c r="AF91" s="1875" t="s">
        <v>21</v>
      </c>
      <c r="AG91" s="1875" t="s">
        <v>21</v>
      </c>
      <c r="AH91" s="1876" t="s">
        <v>21</v>
      </c>
      <c r="AI91" s="1876" t="s">
        <v>21</v>
      </c>
    </row>
    <row r="92" spans="1:35" s="588" customFormat="1" ht="36" hidden="1" x14ac:dyDescent="0.25">
      <c r="A92" s="587" t="s">
        <v>969</v>
      </c>
      <c r="B92" s="369" t="s">
        <v>25</v>
      </c>
      <c r="C92" s="123"/>
      <c r="D92" s="589" t="s">
        <v>1995</v>
      </c>
      <c r="E92" s="44" t="s">
        <v>27</v>
      </c>
      <c r="F92" s="214">
        <v>95879</v>
      </c>
      <c r="G92" s="587" t="s">
        <v>789</v>
      </c>
      <c r="H92" s="590" t="s">
        <v>42</v>
      </c>
      <c r="I92" s="591">
        <f>IF($F92="","",IF('TRECHO(S) A IMPRIMIR'!$B$1= 1, SUM(Q92, T92, W92, Z92), IF('TRECHO(S) A IMPRIMIR'!$B$1= 2, T92, IF('TRECHO(S) A IMPRIMIR'!$B$1= 3, W92, 0))))</f>
        <v>0</v>
      </c>
      <c r="J92" s="592">
        <v>1.04</v>
      </c>
      <c r="K92" s="593">
        <f t="shared" si="12"/>
        <v>0.2033513845915047</v>
      </c>
      <c r="L92" s="592">
        <f t="shared" si="10"/>
        <v>1.2514854399751649</v>
      </c>
      <c r="M92" s="594">
        <f t="shared" si="15"/>
        <v>0</v>
      </c>
      <c r="N92" s="123"/>
      <c r="O92" s="587" t="s">
        <v>4066</v>
      </c>
      <c r="P92" s="123"/>
      <c r="Q92" s="1870">
        <f>Q99 * R91 * S92</f>
        <v>0</v>
      </c>
      <c r="R92" s="1871"/>
      <c r="S92" s="594">
        <f>IF('MLQ-DMT-TR1'!$E$9 &gt; 30, 30, 'MLQ-DMT-TR1'!$E$9)</f>
        <v>30</v>
      </c>
      <c r="T92" s="1872">
        <f>T99 * U91 * V92</f>
        <v>0</v>
      </c>
      <c r="U92" s="1873"/>
      <c r="V92" s="1879"/>
      <c r="W92" s="1872">
        <f>W99 * X91 * Y92</f>
        <v>0</v>
      </c>
      <c r="X92" s="1871"/>
      <c r="Y92" s="1879"/>
      <c r="Z92" s="1870">
        <f>Z99 * AA91 * AB92</f>
        <v>0</v>
      </c>
      <c r="AA92" s="1871"/>
      <c r="AB92" s="1879"/>
      <c r="AD92" s="1874" t="s">
        <v>21</v>
      </c>
      <c r="AE92" s="1875" t="s">
        <v>21</v>
      </c>
      <c r="AF92" s="1875" t="s">
        <v>21</v>
      </c>
      <c r="AG92" s="1875" t="s">
        <v>21</v>
      </c>
      <c r="AH92" s="1876" t="s">
        <v>21</v>
      </c>
      <c r="AI92" s="1876" t="str">
        <f t="shared" ref="AI74:AI112" si="16">IF(SUM(AD92:AH92)=0,"",M92 - SUM(AD92:AH92))</f>
        <v/>
      </c>
    </row>
    <row r="93" spans="1:35" s="588" customFormat="1" ht="36" hidden="1" x14ac:dyDescent="0.25">
      <c r="A93" s="587" t="s">
        <v>970</v>
      </c>
      <c r="B93" s="369" t="s">
        <v>25</v>
      </c>
      <c r="C93" s="123"/>
      <c r="D93" s="589" t="s">
        <v>1996</v>
      </c>
      <c r="E93" s="44" t="s">
        <v>27</v>
      </c>
      <c r="F93" s="214">
        <v>93599</v>
      </c>
      <c r="G93" s="587" t="s">
        <v>788</v>
      </c>
      <c r="H93" s="590" t="s">
        <v>42</v>
      </c>
      <c r="I93" s="591">
        <f>IF($F93="","",IF('TRECHO(S) A IMPRIMIR'!$B$1= 1, SUM(Q93, T93, W93, Z93), IF('TRECHO(S) A IMPRIMIR'!$B$1= 2, T93, IF('TRECHO(S) A IMPRIMIR'!$B$1= 3, W93, 0))))</f>
        <v>0</v>
      </c>
      <c r="J93" s="592">
        <v>0.41</v>
      </c>
      <c r="K93" s="593">
        <f t="shared" si="12"/>
        <v>0.2033513845915047</v>
      </c>
      <c r="L93" s="592">
        <f t="shared" si="10"/>
        <v>0.4933740676825169</v>
      </c>
      <c r="M93" s="594">
        <f t="shared" si="15"/>
        <v>0</v>
      </c>
      <c r="N93" s="123"/>
      <c r="O93" s="587" t="s">
        <v>4066</v>
      </c>
      <c r="P93" s="123"/>
      <c r="Q93" s="1870">
        <f>Q99 * R91 * S93</f>
        <v>0</v>
      </c>
      <c r="R93" s="1871"/>
      <c r="S93" s="594">
        <f>IF('MLQ-DMT-TR1'!$E$9 &gt; 30, 'MLQ-DMT-TR1'!$E$9 - 30, 0)</f>
        <v>27</v>
      </c>
      <c r="T93" s="1872">
        <f>T99 * U91 * V93</f>
        <v>0</v>
      </c>
      <c r="U93" s="1873"/>
      <c r="V93" s="1879"/>
      <c r="W93" s="1872">
        <f>W99 * X91 * Y93</f>
        <v>0</v>
      </c>
      <c r="X93" s="1871"/>
      <c r="Y93" s="1879"/>
      <c r="Z93" s="1870">
        <f>Z99 * AA91 * AB93</f>
        <v>0</v>
      </c>
      <c r="AA93" s="1871"/>
      <c r="AB93" s="1879"/>
      <c r="AD93" s="1874" t="s">
        <v>21</v>
      </c>
      <c r="AE93" s="1875" t="s">
        <v>21</v>
      </c>
      <c r="AF93" s="1875" t="s">
        <v>21</v>
      </c>
      <c r="AG93" s="1875" t="s">
        <v>21</v>
      </c>
      <c r="AH93" s="1876" t="s">
        <v>21</v>
      </c>
      <c r="AI93" s="1876" t="str">
        <f t="shared" si="16"/>
        <v/>
      </c>
    </row>
    <row r="94" spans="1:35" s="588" customFormat="1" ht="12" x14ac:dyDescent="0.25">
      <c r="A94" s="587" t="s">
        <v>1836</v>
      </c>
      <c r="B94" s="369"/>
      <c r="C94" s="123"/>
      <c r="D94" s="589" t="s">
        <v>1997</v>
      </c>
      <c r="E94" s="44"/>
      <c r="F94" s="214"/>
      <c r="G94" s="587" t="s">
        <v>1836</v>
      </c>
      <c r="H94" s="590" t="s">
        <v>21</v>
      </c>
      <c r="I94" s="591" t="str">
        <f>IF($F94="","",IF('TRECHO(S) A IMPRIMIR'!$B$1= 1, SUM(Q94, T94, W94, Z94), IF('TRECHO(S) A IMPRIMIR'!$B$1= 2, T94, IF('TRECHO(S) A IMPRIMIR'!$B$1= 3, W94, 0))))</f>
        <v/>
      </c>
      <c r="J94" s="592" t="s">
        <v>21</v>
      </c>
      <c r="K94" s="593" t="str">
        <f t="shared" si="12"/>
        <v/>
      </c>
      <c r="L94" s="592" t="str">
        <f t="shared" si="10"/>
        <v/>
      </c>
      <c r="M94" s="594" t="str">
        <f t="shared" si="15"/>
        <v/>
      </c>
      <c r="N94" s="123"/>
      <c r="O94" s="587"/>
      <c r="P94" s="123"/>
      <c r="Q94" s="1870"/>
      <c r="R94" s="1871"/>
      <c r="S94" s="594"/>
      <c r="T94" s="1872"/>
      <c r="U94" s="1873"/>
      <c r="V94" s="608"/>
      <c r="W94" s="1872"/>
      <c r="X94" s="1871"/>
      <c r="Y94" s="594"/>
      <c r="Z94" s="1870"/>
      <c r="AA94" s="1871"/>
      <c r="AB94" s="594"/>
      <c r="AD94" s="1874" t="s">
        <v>21</v>
      </c>
      <c r="AE94" s="1875" t="s">
        <v>21</v>
      </c>
      <c r="AF94" s="1875" t="s">
        <v>21</v>
      </c>
      <c r="AG94" s="1875" t="s">
        <v>21</v>
      </c>
      <c r="AH94" s="1876" t="s">
        <v>21</v>
      </c>
      <c r="AI94" s="1876" t="str">
        <f t="shared" si="16"/>
        <v/>
      </c>
    </row>
    <row r="95" spans="1:35" s="588" customFormat="1" ht="36" x14ac:dyDescent="0.25">
      <c r="A95" s="587" t="s">
        <v>982</v>
      </c>
      <c r="B95" s="369" t="s">
        <v>23</v>
      </c>
      <c r="C95" s="123"/>
      <c r="D95" s="589" t="s">
        <v>1998</v>
      </c>
      <c r="E95" s="44" t="s">
        <v>138</v>
      </c>
      <c r="F95" s="214" t="s">
        <v>3333</v>
      </c>
      <c r="G95" s="587" t="s">
        <v>3334</v>
      </c>
      <c r="H95" s="590" t="s">
        <v>55</v>
      </c>
      <c r="I95" s="591">
        <v>168.0824998990368</v>
      </c>
      <c r="J95" s="592">
        <v>4295.6099999999997</v>
      </c>
      <c r="K95" s="593">
        <v>0.11096635744680849</v>
      </c>
      <c r="L95" s="592">
        <v>4772.2781947120848</v>
      </c>
      <c r="M95" s="594">
        <v>802136.4491808695</v>
      </c>
      <c r="N95" s="123"/>
      <c r="O95" s="587" t="s">
        <v>1822</v>
      </c>
      <c r="P95" s="123"/>
      <c r="Q95" s="1870">
        <v>0</v>
      </c>
      <c r="R95" s="1871">
        <v>0.14460168000000001</v>
      </c>
      <c r="S95" s="594"/>
      <c r="T95" s="1872">
        <v>64.703098998515998</v>
      </c>
      <c r="U95" s="1873">
        <v>0.14460168000000001</v>
      </c>
      <c r="V95" s="608"/>
      <c r="W95" s="1872">
        <v>103.37940090052081</v>
      </c>
      <c r="X95" s="1871">
        <v>0.14460168000000001</v>
      </c>
      <c r="Y95" s="594"/>
      <c r="Z95" s="1870">
        <v>0</v>
      </c>
      <c r="AA95" s="1871">
        <v>0.14460168000000001</v>
      </c>
      <c r="AB95" s="594"/>
      <c r="AD95" s="1874">
        <v>0</v>
      </c>
      <c r="AE95" s="1875">
        <v>802136.4491808695</v>
      </c>
      <c r="AF95" s="1875">
        <v>0</v>
      </c>
      <c r="AG95" s="1875">
        <v>0</v>
      </c>
      <c r="AH95" s="1876">
        <v>0</v>
      </c>
      <c r="AI95" s="1876">
        <v>0</v>
      </c>
    </row>
    <row r="96" spans="1:35" s="588" customFormat="1" ht="24" x14ac:dyDescent="0.25">
      <c r="A96" s="587" t="s">
        <v>1835</v>
      </c>
      <c r="B96" s="369"/>
      <c r="C96" s="123"/>
      <c r="D96" s="589" t="s">
        <v>1999</v>
      </c>
      <c r="E96" s="44"/>
      <c r="F96" s="214"/>
      <c r="G96" s="587" t="s">
        <v>1835</v>
      </c>
      <c r="H96" s="590" t="s">
        <v>21</v>
      </c>
      <c r="I96" s="591" t="s">
        <v>21</v>
      </c>
      <c r="J96" s="592" t="s">
        <v>21</v>
      </c>
      <c r="K96" s="593" t="s">
        <v>21</v>
      </c>
      <c r="L96" s="592" t="s">
        <v>21</v>
      </c>
      <c r="M96" s="594" t="s">
        <v>21</v>
      </c>
      <c r="N96" s="123"/>
      <c r="O96" s="587"/>
      <c r="P96" s="123"/>
      <c r="Q96" s="1870"/>
      <c r="R96" s="1871"/>
      <c r="S96" s="594"/>
      <c r="T96" s="1872"/>
      <c r="U96" s="1873"/>
      <c r="V96" s="608"/>
      <c r="W96" s="1872"/>
      <c r="X96" s="1871"/>
      <c r="Y96" s="594"/>
      <c r="Z96" s="1870"/>
      <c r="AA96" s="1871"/>
      <c r="AB96" s="594"/>
      <c r="AD96" s="1874" t="s">
        <v>21</v>
      </c>
      <c r="AE96" s="1875" t="s">
        <v>21</v>
      </c>
      <c r="AF96" s="1875" t="s">
        <v>21</v>
      </c>
      <c r="AG96" s="1875" t="s">
        <v>21</v>
      </c>
      <c r="AH96" s="1876" t="s">
        <v>21</v>
      </c>
      <c r="AI96" s="1876" t="s">
        <v>21</v>
      </c>
    </row>
    <row r="97" spans="1:35" s="588" customFormat="1" ht="24" x14ac:dyDescent="0.25">
      <c r="A97" s="587" t="s">
        <v>983</v>
      </c>
      <c r="B97" s="369" t="s">
        <v>23</v>
      </c>
      <c r="C97" s="123"/>
      <c r="D97" s="589" t="s">
        <v>2000</v>
      </c>
      <c r="E97" s="44" t="s">
        <v>27</v>
      </c>
      <c r="F97" s="214">
        <v>101003</v>
      </c>
      <c r="G97" s="587" t="s">
        <v>768</v>
      </c>
      <c r="H97" s="590" t="s">
        <v>55</v>
      </c>
      <c r="I97" s="591">
        <v>2969.6554752480001</v>
      </c>
      <c r="J97" s="592">
        <v>4.91</v>
      </c>
      <c r="K97" s="593">
        <v>0.2033513845915047</v>
      </c>
      <c r="L97" s="592">
        <v>5.908455298344288</v>
      </c>
      <c r="M97" s="594">
        <v>17546.076626986171</v>
      </c>
      <c r="N97" s="123"/>
      <c r="O97" s="587" t="s">
        <v>1832</v>
      </c>
      <c r="P97" s="123"/>
      <c r="Q97" s="1870">
        <v>0</v>
      </c>
      <c r="R97" s="1871">
        <v>2.5548000000000002</v>
      </c>
      <c r="S97" s="594"/>
      <c r="T97" s="1872">
        <v>1143.16429326</v>
      </c>
      <c r="U97" s="1873">
        <v>2.5548000000000002</v>
      </c>
      <c r="V97" s="608"/>
      <c r="W97" s="1872">
        <v>1826.4911819880001</v>
      </c>
      <c r="X97" s="1871">
        <v>2.5548000000000002</v>
      </c>
      <c r="Y97" s="594"/>
      <c r="Z97" s="1870">
        <v>0</v>
      </c>
      <c r="AA97" s="1871">
        <v>2.5548000000000002</v>
      </c>
      <c r="AB97" s="594"/>
      <c r="AD97" s="1874">
        <v>1357.944830601781</v>
      </c>
      <c r="AE97" s="1875">
        <v>9434.14303365448</v>
      </c>
      <c r="AF97" s="1875">
        <v>6753.9887627299104</v>
      </c>
      <c r="AG97" s="1875">
        <v>0</v>
      </c>
      <c r="AH97" s="1876">
        <v>0</v>
      </c>
      <c r="AI97" s="1876">
        <v>0</v>
      </c>
    </row>
    <row r="98" spans="1:35" s="588" customFormat="1" ht="36" x14ac:dyDescent="0.25">
      <c r="A98" s="587" t="s">
        <v>984</v>
      </c>
      <c r="B98" s="369" t="s">
        <v>25</v>
      </c>
      <c r="C98" s="123"/>
      <c r="D98" s="589" t="s">
        <v>2001</v>
      </c>
      <c r="E98" s="44" t="s">
        <v>27</v>
      </c>
      <c r="F98" s="214">
        <v>100943</v>
      </c>
      <c r="G98" s="587" t="s">
        <v>786</v>
      </c>
      <c r="H98" s="590" t="s">
        <v>42</v>
      </c>
      <c r="I98" s="591">
        <v>2969.6554752480001</v>
      </c>
      <c r="J98" s="592">
        <v>3.1</v>
      </c>
      <c r="K98" s="593">
        <v>0.2033513845915047</v>
      </c>
      <c r="L98" s="592">
        <v>3.7303892922336646</v>
      </c>
      <c r="M98" s="594">
        <v>11077.970986488213</v>
      </c>
      <c r="N98" s="123"/>
      <c r="O98" s="587" t="s">
        <v>1821</v>
      </c>
      <c r="P98" s="123"/>
      <c r="Q98" s="1870">
        <v>0</v>
      </c>
      <c r="R98" s="1871"/>
      <c r="S98" s="594">
        <v>1</v>
      </c>
      <c r="T98" s="1872">
        <v>1143.16429326</v>
      </c>
      <c r="U98" s="1873"/>
      <c r="V98" s="608">
        <v>1</v>
      </c>
      <c r="W98" s="1872">
        <v>1826.4911819880001</v>
      </c>
      <c r="X98" s="1871"/>
      <c r="Y98" s="594">
        <v>1</v>
      </c>
      <c r="Z98" s="1870">
        <v>0</v>
      </c>
      <c r="AA98" s="1871"/>
      <c r="AB98" s="594">
        <v>1</v>
      </c>
      <c r="AD98" s="1874">
        <v>786.17858613787337</v>
      </c>
      <c r="AE98" s="1875">
        <v>6182.2225182660031</v>
      </c>
      <c r="AF98" s="1875">
        <v>4109.5698820843372</v>
      </c>
      <c r="AG98" s="1875">
        <v>0</v>
      </c>
      <c r="AH98" s="1876">
        <v>0</v>
      </c>
      <c r="AI98" s="1876">
        <v>0</v>
      </c>
    </row>
    <row r="99" spans="1:35" s="588" customFormat="1" ht="36" x14ac:dyDescent="0.25">
      <c r="A99" s="587" t="s">
        <v>985</v>
      </c>
      <c r="B99" s="369" t="s">
        <v>28</v>
      </c>
      <c r="C99" s="123"/>
      <c r="D99" s="589" t="s">
        <v>2002</v>
      </c>
      <c r="E99" s="44" t="s">
        <v>27</v>
      </c>
      <c r="F99" s="214" t="s">
        <v>977</v>
      </c>
      <c r="G99" s="587" t="s">
        <v>3339</v>
      </c>
      <c r="H99" s="590" t="s">
        <v>44</v>
      </c>
      <c r="I99" s="591">
        <v>1162.38276</v>
      </c>
      <c r="J99" s="592">
        <v>439.87080806479992</v>
      </c>
      <c r="K99" s="593">
        <v>0.2033513845915047</v>
      </c>
      <c r="L99" s="592">
        <v>529.31914592616101</v>
      </c>
      <c r="M99" s="594">
        <v>615271.44976249372</v>
      </c>
      <c r="N99" s="123"/>
      <c r="O99" s="1881">
        <v>5.5E-2</v>
      </c>
      <c r="P99" s="123"/>
      <c r="Q99" s="1870"/>
      <c r="R99" s="1871"/>
      <c r="S99" s="594"/>
      <c r="T99" s="1872">
        <v>447.45744999999999</v>
      </c>
      <c r="U99" s="1873"/>
      <c r="V99" s="608"/>
      <c r="W99" s="1872">
        <v>714.92530999999997</v>
      </c>
      <c r="X99" s="1871"/>
      <c r="Y99" s="594"/>
      <c r="Z99" s="1870"/>
      <c r="AA99" s="1871"/>
      <c r="AB99" s="594"/>
      <c r="AD99" s="1874">
        <v>33245.011028880603</v>
      </c>
      <c r="AE99" s="1875">
        <v>386956.95790858963</v>
      </c>
      <c r="AF99" s="1875">
        <v>187566.83563594872</v>
      </c>
      <c r="AG99" s="1875">
        <v>0</v>
      </c>
      <c r="AH99" s="1876">
        <v>7502.6451890747358</v>
      </c>
      <c r="AI99" s="1876">
        <v>1.1641532182693481E-10</v>
      </c>
    </row>
    <row r="100" spans="1:35" s="588" customFormat="1" ht="12" x14ac:dyDescent="0.25">
      <c r="A100" s="587"/>
      <c r="B100" s="369"/>
      <c r="C100" s="123"/>
      <c r="D100" s="589"/>
      <c r="E100" s="44"/>
      <c r="F100" s="214"/>
      <c r="G100" s="587" t="s">
        <v>21</v>
      </c>
      <c r="H100" s="590" t="s">
        <v>21</v>
      </c>
      <c r="I100" s="591" t="s">
        <v>21</v>
      </c>
      <c r="J100" s="592" t="s">
        <v>21</v>
      </c>
      <c r="K100" s="593" t="s">
        <v>21</v>
      </c>
      <c r="L100" s="592" t="s">
        <v>21</v>
      </c>
      <c r="M100" s="594" t="s">
        <v>21</v>
      </c>
      <c r="N100" s="123"/>
      <c r="O100" s="587"/>
      <c r="P100" s="123"/>
      <c r="Q100" s="1870"/>
      <c r="R100" s="1871"/>
      <c r="S100" s="594"/>
      <c r="T100" s="1872"/>
      <c r="U100" s="1873"/>
      <c r="V100" s="608"/>
      <c r="W100" s="1872"/>
      <c r="X100" s="1871"/>
      <c r="Y100" s="594"/>
      <c r="Z100" s="1870"/>
      <c r="AA100" s="1871"/>
      <c r="AB100" s="594"/>
      <c r="AD100" s="1874" t="s">
        <v>21</v>
      </c>
      <c r="AE100" s="1875" t="s">
        <v>21</v>
      </c>
      <c r="AF100" s="1875" t="s">
        <v>21</v>
      </c>
      <c r="AG100" s="1875" t="s">
        <v>21</v>
      </c>
      <c r="AH100" s="1876" t="s">
        <v>21</v>
      </c>
      <c r="AI100" s="1876" t="s">
        <v>21</v>
      </c>
    </row>
    <row r="101" spans="1:35" s="588" customFormat="1" ht="12" x14ac:dyDescent="0.25">
      <c r="A101" s="587" t="s">
        <v>914</v>
      </c>
      <c r="B101" s="369"/>
      <c r="C101" s="123"/>
      <c r="D101" s="589" t="s">
        <v>1700</v>
      </c>
      <c r="E101" s="44"/>
      <c r="F101" s="214"/>
      <c r="G101" s="587" t="s">
        <v>914</v>
      </c>
      <c r="H101" s="590" t="s">
        <v>21</v>
      </c>
      <c r="I101" s="591" t="s">
        <v>21</v>
      </c>
      <c r="J101" s="592" t="s">
        <v>21</v>
      </c>
      <c r="K101" s="593" t="s">
        <v>21</v>
      </c>
      <c r="L101" s="592" t="s">
        <v>21</v>
      </c>
      <c r="M101" s="594">
        <v>8908290.6839918289</v>
      </c>
      <c r="N101" s="123"/>
      <c r="O101" s="587"/>
      <c r="P101" s="123"/>
      <c r="Q101" s="1870"/>
      <c r="R101" s="1871"/>
      <c r="S101" s="594"/>
      <c r="T101" s="1872"/>
      <c r="U101" s="1873"/>
      <c r="V101" s="608"/>
      <c r="W101" s="1872"/>
      <c r="X101" s="1871"/>
      <c r="Y101" s="594"/>
      <c r="Z101" s="1870"/>
      <c r="AA101" s="1871"/>
      <c r="AB101" s="594"/>
      <c r="AD101" s="1874" t="s">
        <v>21</v>
      </c>
      <c r="AE101" s="1875" t="s">
        <v>21</v>
      </c>
      <c r="AF101" s="1875" t="s">
        <v>21</v>
      </c>
      <c r="AG101" s="1875" t="s">
        <v>21</v>
      </c>
      <c r="AH101" s="1876" t="s">
        <v>21</v>
      </c>
      <c r="AI101" s="1876" t="str">
        <f t="shared" si="16"/>
        <v/>
      </c>
    </row>
    <row r="102" spans="1:35" s="588" customFormat="1" ht="12" x14ac:dyDescent="0.25">
      <c r="A102" s="587" t="s">
        <v>1808</v>
      </c>
      <c r="B102" s="369"/>
      <c r="C102" s="123"/>
      <c r="D102" s="589" t="s">
        <v>1701</v>
      </c>
      <c r="E102" s="44"/>
      <c r="F102" s="214"/>
      <c r="G102" s="587" t="s">
        <v>1808</v>
      </c>
      <c r="H102" s="590" t="s">
        <v>21</v>
      </c>
      <c r="I102" s="591" t="s">
        <v>21</v>
      </c>
      <c r="J102" s="592" t="s">
        <v>21</v>
      </c>
      <c r="K102" s="593" t="s">
        <v>21</v>
      </c>
      <c r="L102" s="592" t="s">
        <v>21</v>
      </c>
      <c r="M102" s="594">
        <v>0</v>
      </c>
      <c r="N102" s="123"/>
      <c r="O102" s="587"/>
      <c r="P102" s="123"/>
      <c r="Q102" s="1870"/>
      <c r="R102" s="1871"/>
      <c r="S102" s="594"/>
      <c r="T102" s="1872"/>
      <c r="U102" s="1873"/>
      <c r="V102" s="608"/>
      <c r="W102" s="1872"/>
      <c r="X102" s="1871"/>
      <c r="Y102" s="594"/>
      <c r="Z102" s="1870"/>
      <c r="AA102" s="1871"/>
      <c r="AB102" s="594"/>
      <c r="AD102" s="1874" t="s">
        <v>21</v>
      </c>
      <c r="AE102" s="1875" t="s">
        <v>21</v>
      </c>
      <c r="AF102" s="1875" t="s">
        <v>21</v>
      </c>
      <c r="AG102" s="1875" t="s">
        <v>21</v>
      </c>
      <c r="AH102" s="1876" t="s">
        <v>21</v>
      </c>
      <c r="AI102" s="1876" t="str">
        <f t="shared" si="16"/>
        <v/>
      </c>
    </row>
    <row r="103" spans="1:35" s="588" customFormat="1" ht="36" hidden="1" x14ac:dyDescent="0.25">
      <c r="A103" s="587" t="s">
        <v>1088</v>
      </c>
      <c r="B103" s="369" t="s">
        <v>28</v>
      </c>
      <c r="C103" s="123"/>
      <c r="D103" s="589" t="s">
        <v>1853</v>
      </c>
      <c r="E103" s="44" t="s">
        <v>27</v>
      </c>
      <c r="F103" s="214">
        <v>101125</v>
      </c>
      <c r="G103" s="587" t="s">
        <v>1080</v>
      </c>
      <c r="H103" s="590" t="s">
        <v>44</v>
      </c>
      <c r="I103" s="591">
        <f>IF($F103="","",IF('TRECHO(S) A IMPRIMIR'!$B$1= 1, SUM(Q103, T103, W103, Z103), IF('TRECHO(S) A IMPRIMIR'!$B$1= 2, T103, IF('TRECHO(S) A IMPRIMIR'!$B$1= 3, W103, 0))))</f>
        <v>0</v>
      </c>
      <c r="J103" s="592">
        <v>9.99</v>
      </c>
      <c r="K103" s="593">
        <f t="shared" si="12"/>
        <v>0.2033513845915047</v>
      </c>
      <c r="L103" s="592">
        <f t="shared" ref="L102:L109" si="17">IF(J103="","",
  IF(AND(J103&lt;&gt;"",K103=""),J103,J103 * (1 + K103)))</f>
        <v>12.021480332069132</v>
      </c>
      <c r="M103" s="594">
        <f t="shared" ref="M103:M108" si="18">IF(OR(I103="",L103=""),"",I103*L103)</f>
        <v>0</v>
      </c>
      <c r="N103" s="123"/>
      <c r="O103" s="587" t="s">
        <v>1832</v>
      </c>
      <c r="P103" s="123"/>
      <c r="Q103" s="1870"/>
      <c r="R103" s="1871">
        <f>'MLQ-PESP'!$C$4</f>
        <v>1.0923072445820432</v>
      </c>
      <c r="S103" s="594"/>
      <c r="T103" s="1872"/>
      <c r="U103" s="1873">
        <f>'MLQ-PESP'!$C$4</f>
        <v>1.0923072445820432</v>
      </c>
      <c r="V103" s="608"/>
      <c r="W103" s="1872"/>
      <c r="X103" s="1871">
        <f>'MLQ-PESP'!$C$4</f>
        <v>1.0923072445820432</v>
      </c>
      <c r="Y103" s="594"/>
      <c r="Z103" s="1870"/>
      <c r="AA103" s="1871">
        <f>'MLQ-PESP'!$C$4</f>
        <v>1.0923072445820432</v>
      </c>
      <c r="AB103" s="594"/>
      <c r="AD103" s="1874" t="s">
        <v>21</v>
      </c>
      <c r="AE103" s="1875" t="s">
        <v>21</v>
      </c>
      <c r="AF103" s="1875" t="s">
        <v>21</v>
      </c>
      <c r="AG103" s="1875" t="s">
        <v>21</v>
      </c>
      <c r="AH103" s="1876" t="s">
        <v>21</v>
      </c>
      <c r="AI103" s="1876" t="str">
        <f t="shared" si="16"/>
        <v/>
      </c>
    </row>
    <row r="104" spans="1:35" s="588" customFormat="1" ht="24" hidden="1" x14ac:dyDescent="0.25">
      <c r="A104" s="587" t="s">
        <v>1982</v>
      </c>
      <c r="B104" s="369" t="s">
        <v>28</v>
      </c>
      <c r="C104" s="123"/>
      <c r="D104" s="589" t="s">
        <v>3699</v>
      </c>
      <c r="E104" s="44" t="s">
        <v>27</v>
      </c>
      <c r="F104" s="214">
        <v>100574</v>
      </c>
      <c r="G104" s="587" t="s">
        <v>563</v>
      </c>
      <c r="H104" s="590" t="s">
        <v>44</v>
      </c>
      <c r="I104" s="591">
        <f>IF($F104="","",IF('TRECHO(S) A IMPRIMIR'!$B$1= 1, SUM(Q104, T104, W104, Z104), IF('TRECHO(S) A IMPRIMIR'!$B$1= 2, T104, IF('TRECHO(S) A IMPRIMIR'!$B$1= 3, W104, 0))))</f>
        <v>0</v>
      </c>
      <c r="J104" s="592">
        <v>1.04</v>
      </c>
      <c r="K104" s="593">
        <f t="shared" si="12"/>
        <v>0.2033513845915047</v>
      </c>
      <c r="L104" s="592">
        <f t="shared" si="17"/>
        <v>1.2514854399751649</v>
      </c>
      <c r="M104" s="594">
        <f t="shared" si="18"/>
        <v>0</v>
      </c>
      <c r="N104" s="123"/>
      <c r="O104" s="587"/>
      <c r="P104" s="123"/>
      <c r="Q104" s="1870"/>
      <c r="R104" s="1871">
        <f>'MLQ-PESP'!$C$6</f>
        <v>1.3653840557275541</v>
      </c>
      <c r="S104" s="594"/>
      <c r="T104" s="1872"/>
      <c r="U104" s="1873">
        <f>'MLQ-PESP'!$C$6</f>
        <v>1.3653840557275541</v>
      </c>
      <c r="V104" s="608"/>
      <c r="W104" s="1872"/>
      <c r="X104" s="1871">
        <f>'MLQ-PESP'!$C$6</f>
        <v>1.3653840557275541</v>
      </c>
      <c r="Y104" s="594"/>
      <c r="Z104" s="1870"/>
      <c r="AA104" s="1871">
        <f>'MLQ-PESP'!$C$6</f>
        <v>1.3653840557275541</v>
      </c>
      <c r="AB104" s="594"/>
      <c r="AD104" s="1874" t="s">
        <v>21</v>
      </c>
      <c r="AE104" s="1875" t="s">
        <v>21</v>
      </c>
      <c r="AF104" s="1875" t="s">
        <v>21</v>
      </c>
      <c r="AG104" s="1875" t="s">
        <v>21</v>
      </c>
      <c r="AH104" s="1876" t="s">
        <v>21</v>
      </c>
      <c r="AI104" s="1876" t="str">
        <f t="shared" si="16"/>
        <v/>
      </c>
    </row>
    <row r="105" spans="1:35" s="588" customFormat="1" ht="48" hidden="1" x14ac:dyDescent="0.25">
      <c r="A105" s="587" t="s">
        <v>968</v>
      </c>
      <c r="B105" s="369" t="s">
        <v>23</v>
      </c>
      <c r="C105" s="123"/>
      <c r="D105" s="589" t="s">
        <v>3700</v>
      </c>
      <c r="E105" s="44" t="s">
        <v>27</v>
      </c>
      <c r="F105" s="214">
        <v>100995</v>
      </c>
      <c r="G105" s="587" t="s">
        <v>773</v>
      </c>
      <c r="H105" s="590" t="s">
        <v>55</v>
      </c>
      <c r="I105" s="591">
        <f>IF($F105="","",IF('TRECHO(S) A IMPRIMIR'!$B$1= 1, SUM(Q105, T105, W105, Z105), IF('TRECHO(S) A IMPRIMIR'!$B$1= 2, T105, IF('TRECHO(S) A IMPRIMIR'!$B$1= 3, W105, 0))))</f>
        <v>0</v>
      </c>
      <c r="J105" s="592">
        <v>3.11</v>
      </c>
      <c r="K105" s="593">
        <f t="shared" ref="K105:K121" si="19">IF(AND(F105&lt;&gt;"", J105&lt;&gt;""),
  IF(OR(F105= "CP9001", F105= "CP9091", F105= "CP9092"), 0,
  IF(ISNA(VLOOKUP(F105, $M$175:$M$179, 1, FALSE)), $M$4, $M$5)), "")</f>
        <v>0.2033513845915047</v>
      </c>
      <c r="L105" s="592">
        <f t="shared" si="17"/>
        <v>3.7424228060795794</v>
      </c>
      <c r="M105" s="594">
        <f t="shared" si="18"/>
        <v>0</v>
      </c>
      <c r="N105" s="123"/>
      <c r="O105" s="587"/>
      <c r="P105" s="123"/>
      <c r="Q105" s="1870">
        <f>(Q103 * R103) - (Q104 * R104)</f>
        <v>0</v>
      </c>
      <c r="R105" s="1871"/>
      <c r="S105" s="594"/>
      <c r="T105" s="1872">
        <f>(T103 * U103) - (T104 * U104)</f>
        <v>0</v>
      </c>
      <c r="U105" s="1873"/>
      <c r="V105" s="608"/>
      <c r="W105" s="1872">
        <f>(W103 * X103) - (W104 * X104)</f>
        <v>0</v>
      </c>
      <c r="X105" s="1871"/>
      <c r="Y105" s="594"/>
      <c r="Z105" s="1870">
        <f>(Z103 * AA103) - (Z104 * AA104)</f>
        <v>0</v>
      </c>
      <c r="AA105" s="1871"/>
      <c r="AB105" s="594"/>
      <c r="AD105" s="1874" t="s">
        <v>21</v>
      </c>
      <c r="AE105" s="1875" t="s">
        <v>21</v>
      </c>
      <c r="AF105" s="1875" t="s">
        <v>21</v>
      </c>
      <c r="AG105" s="1875" t="s">
        <v>21</v>
      </c>
      <c r="AH105" s="1876" t="s">
        <v>21</v>
      </c>
      <c r="AI105" s="1876" t="str">
        <f t="shared" si="16"/>
        <v/>
      </c>
    </row>
    <row r="106" spans="1:35" s="588" customFormat="1" ht="36" hidden="1" x14ac:dyDescent="0.25">
      <c r="A106" s="587" t="s">
        <v>1543</v>
      </c>
      <c r="B106" s="369" t="s">
        <v>25</v>
      </c>
      <c r="C106" s="123"/>
      <c r="D106" s="589" t="s">
        <v>3701</v>
      </c>
      <c r="E106" s="44" t="s">
        <v>27</v>
      </c>
      <c r="F106" s="214">
        <v>95879</v>
      </c>
      <c r="G106" s="587" t="s">
        <v>789</v>
      </c>
      <c r="H106" s="590" t="s">
        <v>42</v>
      </c>
      <c r="I106" s="591">
        <f>IF($F106="","",IF('TRECHO(S) A IMPRIMIR'!$B$1= 1, SUM(Q106, T106, W106, Z106), IF('TRECHO(S) A IMPRIMIR'!$B$1= 2, T106, IF('TRECHO(S) A IMPRIMIR'!$B$1= 3, W106, 0))))</f>
        <v>0</v>
      </c>
      <c r="J106" s="592">
        <v>1.04</v>
      </c>
      <c r="K106" s="593">
        <f t="shared" si="19"/>
        <v>0.2033513845915047</v>
      </c>
      <c r="L106" s="592">
        <f t="shared" si="17"/>
        <v>1.2514854399751649</v>
      </c>
      <c r="M106" s="594">
        <f t="shared" si="18"/>
        <v>0</v>
      </c>
      <c r="N106" s="123"/>
      <c r="O106" s="587"/>
      <c r="P106" s="123"/>
      <c r="Q106" s="1870">
        <f>Q105 * S106</f>
        <v>0</v>
      </c>
      <c r="R106" s="1871"/>
      <c r="S106" s="594">
        <f>IF('MLQ-DMT-TR1'!$E$7 &gt; 30, 30, 'MLQ-DMT-TR1'!$E$7)</f>
        <v>22</v>
      </c>
      <c r="T106" s="1872">
        <f>T105 * V106</f>
        <v>0</v>
      </c>
      <c r="U106" s="1873"/>
      <c r="V106" s="608">
        <f>IF('MLQ-DMT-TR1'!$E$7 &gt; 30, 30, 'MLQ-DMT-TR1'!$E$7)</f>
        <v>22</v>
      </c>
      <c r="W106" s="1872">
        <f>W105 * Y106</f>
        <v>0</v>
      </c>
      <c r="X106" s="1871"/>
      <c r="Y106" s="594">
        <f>IF('MLQ-DMT-TR1'!$E$7 &gt; 30, 30, 'MLQ-DMT-TR1'!$E$7)</f>
        <v>22</v>
      </c>
      <c r="Z106" s="1870">
        <f>Z105 * AB106</f>
        <v>0</v>
      </c>
      <c r="AA106" s="1871"/>
      <c r="AB106" s="594">
        <f>IF('MLQ-DMT-TR1'!$E$7 &gt; 30, 30, 'MLQ-DMT-TR1'!$E$7)</f>
        <v>22</v>
      </c>
      <c r="AD106" s="1874" t="s">
        <v>21</v>
      </c>
      <c r="AE106" s="1875" t="s">
        <v>21</v>
      </c>
      <c r="AF106" s="1875" t="s">
        <v>21</v>
      </c>
      <c r="AG106" s="1875" t="s">
        <v>21</v>
      </c>
      <c r="AH106" s="1876" t="s">
        <v>21</v>
      </c>
      <c r="AI106" s="1876" t="str">
        <f t="shared" si="16"/>
        <v/>
      </c>
    </row>
    <row r="107" spans="1:35" s="588" customFormat="1" ht="36" hidden="1" x14ac:dyDescent="0.25">
      <c r="A107" s="587" t="s">
        <v>1544</v>
      </c>
      <c r="B107" s="369" t="s">
        <v>25</v>
      </c>
      <c r="C107" s="123"/>
      <c r="D107" s="589" t="s">
        <v>3702</v>
      </c>
      <c r="E107" s="44" t="s">
        <v>27</v>
      </c>
      <c r="F107" s="214">
        <v>93599</v>
      </c>
      <c r="G107" s="587" t="s">
        <v>788</v>
      </c>
      <c r="H107" s="590" t="s">
        <v>42</v>
      </c>
      <c r="I107" s="591">
        <f>IF($F107="","",IF('TRECHO(S) A IMPRIMIR'!$B$1= 1, SUM(Q107, T107, W107, Z107), IF('TRECHO(S) A IMPRIMIR'!$B$1= 2, T107, IF('TRECHO(S) A IMPRIMIR'!$B$1= 3, W107, 0))))</f>
        <v>0</v>
      </c>
      <c r="J107" s="592">
        <v>0.41</v>
      </c>
      <c r="K107" s="593">
        <f t="shared" si="19"/>
        <v>0.2033513845915047</v>
      </c>
      <c r="L107" s="592">
        <f t="shared" si="17"/>
        <v>0.4933740676825169</v>
      </c>
      <c r="M107" s="594">
        <f t="shared" si="18"/>
        <v>0</v>
      </c>
      <c r="N107" s="123"/>
      <c r="O107" s="587"/>
      <c r="P107" s="123"/>
      <c r="Q107" s="1870">
        <f>Q105 * S107</f>
        <v>0</v>
      </c>
      <c r="R107" s="1871"/>
      <c r="S107" s="594">
        <f>IF('MLQ-DMT-TR1'!$E$7 &gt; 30, 'MLQ-DMT-TR1'!$E$7 - 30, 0)</f>
        <v>0</v>
      </c>
      <c r="T107" s="1872">
        <f>T105 * V107</f>
        <v>0</v>
      </c>
      <c r="U107" s="1873"/>
      <c r="V107" s="608">
        <f>IF('MLQ-DMT-TR1'!$E$7 &gt; 30, 'MLQ-DMT-TR1'!$E$7 - 30, 0)</f>
        <v>0</v>
      </c>
      <c r="W107" s="1872">
        <f>W105 * Y107</f>
        <v>0</v>
      </c>
      <c r="X107" s="1871"/>
      <c r="Y107" s="594">
        <f>IF('MLQ-DMT-TR1'!$E$7 &gt; 30, 'MLQ-DMT-TR1'!$E$7 - 30, 0)</f>
        <v>0</v>
      </c>
      <c r="Z107" s="1870">
        <f>Z105 * AB107</f>
        <v>0</v>
      </c>
      <c r="AA107" s="1871"/>
      <c r="AB107" s="594">
        <f>IF('MLQ-DMT-TR1'!$E$7 &gt; 30, 'MLQ-DMT-TR1'!$E$7 - 30, 0)</f>
        <v>0</v>
      </c>
      <c r="AD107" s="1874" t="s">
        <v>21</v>
      </c>
      <c r="AE107" s="1875" t="s">
        <v>21</v>
      </c>
      <c r="AF107" s="1875" t="s">
        <v>21</v>
      </c>
      <c r="AG107" s="1875" t="s">
        <v>21</v>
      </c>
      <c r="AH107" s="1876" t="s">
        <v>21</v>
      </c>
      <c r="AI107" s="1876" t="str">
        <f t="shared" si="16"/>
        <v/>
      </c>
    </row>
    <row r="108" spans="1:35" s="588" customFormat="1" ht="24" hidden="1" x14ac:dyDescent="0.25">
      <c r="A108" s="587" t="s">
        <v>1545</v>
      </c>
      <c r="B108" s="369" t="s">
        <v>23</v>
      </c>
      <c r="C108" s="123"/>
      <c r="D108" s="589" t="s">
        <v>3703</v>
      </c>
      <c r="E108" s="44" t="s">
        <v>138</v>
      </c>
      <c r="F108" s="214" t="s">
        <v>164</v>
      </c>
      <c r="G108" s="587" t="s">
        <v>3638</v>
      </c>
      <c r="H108" s="590" t="s">
        <v>55</v>
      </c>
      <c r="I108" s="591">
        <f>IF($F108="","",IF('TRECHO(S) A IMPRIMIR'!$B$1= 1, SUM(Q108, T108, W108, Z108), IF('TRECHO(S) A IMPRIMIR'!$B$1= 2, T108, IF('TRECHO(S) A IMPRIMIR'!$B$1= 3, W108, 0))))</f>
        <v>0</v>
      </c>
      <c r="J108" s="592">
        <v>12.23</v>
      </c>
      <c r="K108" s="593">
        <f t="shared" si="19"/>
        <v>0</v>
      </c>
      <c r="L108" s="592">
        <f t="shared" si="17"/>
        <v>12.23</v>
      </c>
      <c r="M108" s="594">
        <f t="shared" si="18"/>
        <v>0</v>
      </c>
      <c r="N108" s="123"/>
      <c r="O108" s="587"/>
      <c r="P108" s="123"/>
      <c r="Q108" s="1870">
        <f>Q105</f>
        <v>0</v>
      </c>
      <c r="R108" s="1871"/>
      <c r="S108" s="594"/>
      <c r="T108" s="1872">
        <f>T105</f>
        <v>0</v>
      </c>
      <c r="U108" s="1873"/>
      <c r="V108" s="608"/>
      <c r="W108" s="1872">
        <f>W105</f>
        <v>0</v>
      </c>
      <c r="X108" s="1871"/>
      <c r="Y108" s="594"/>
      <c r="Z108" s="1870">
        <f>Z105</f>
        <v>0</v>
      </c>
      <c r="AA108" s="1871"/>
      <c r="AB108" s="594"/>
      <c r="AD108" s="1874" t="s">
        <v>21</v>
      </c>
      <c r="AE108" s="1875" t="s">
        <v>21</v>
      </c>
      <c r="AF108" s="1875" t="s">
        <v>21</v>
      </c>
      <c r="AG108" s="1875" t="s">
        <v>21</v>
      </c>
      <c r="AH108" s="1876" t="s">
        <v>21</v>
      </c>
      <c r="AI108" s="1876" t="str">
        <f t="shared" si="16"/>
        <v/>
      </c>
    </row>
    <row r="109" spans="1:35" s="588" customFormat="1" ht="12" x14ac:dyDescent="0.25">
      <c r="A109" s="587"/>
      <c r="B109" s="369"/>
      <c r="C109" s="123"/>
      <c r="D109" s="589"/>
      <c r="E109" s="44"/>
      <c r="F109" s="214"/>
      <c r="G109" s="587" t="s">
        <v>21</v>
      </c>
      <c r="H109" s="590" t="s">
        <v>21</v>
      </c>
      <c r="I109" s="591" t="s">
        <v>21</v>
      </c>
      <c r="J109" s="592" t="s">
        <v>21</v>
      </c>
      <c r="K109" s="593" t="s">
        <v>21</v>
      </c>
      <c r="L109" s="592" t="s">
        <v>21</v>
      </c>
      <c r="M109" s="594" t="s">
        <v>21</v>
      </c>
      <c r="N109" s="123"/>
      <c r="O109" s="587"/>
      <c r="P109" s="123"/>
      <c r="Q109" s="1870"/>
      <c r="R109" s="1871"/>
      <c r="S109" s="594"/>
      <c r="T109" s="1872"/>
      <c r="U109" s="1873"/>
      <c r="V109" s="608"/>
      <c r="W109" s="1872"/>
      <c r="X109" s="1871"/>
      <c r="Y109" s="594"/>
      <c r="Z109" s="1870"/>
      <c r="AA109" s="1871"/>
      <c r="AB109" s="594"/>
      <c r="AD109" s="1874" t="s">
        <v>21</v>
      </c>
      <c r="AE109" s="1875" t="s">
        <v>21</v>
      </c>
      <c r="AF109" s="1875" t="s">
        <v>21</v>
      </c>
      <c r="AG109" s="1875" t="s">
        <v>21</v>
      </c>
      <c r="AH109" s="1876" t="s">
        <v>21</v>
      </c>
      <c r="AI109" s="1876" t="s">
        <v>21</v>
      </c>
    </row>
    <row r="110" spans="1:35" s="588" customFormat="1" ht="12" x14ac:dyDescent="0.25">
      <c r="A110" s="587" t="s">
        <v>1813</v>
      </c>
      <c r="B110" s="369"/>
      <c r="C110" s="123"/>
      <c r="D110" s="589" t="s">
        <v>1702</v>
      </c>
      <c r="E110" s="44"/>
      <c r="F110" s="214"/>
      <c r="G110" s="587" t="s">
        <v>1813</v>
      </c>
      <c r="H110" s="590" t="s">
        <v>21</v>
      </c>
      <c r="I110" s="591" t="s">
        <v>21</v>
      </c>
      <c r="J110" s="592" t="s">
        <v>21</v>
      </c>
      <c r="K110" s="593" t="s">
        <v>21</v>
      </c>
      <c r="L110" s="592" t="s">
        <v>21</v>
      </c>
      <c r="M110" s="594">
        <v>77872.452074445551</v>
      </c>
      <c r="N110" s="123"/>
      <c r="O110" s="587"/>
      <c r="P110" s="123"/>
      <c r="Q110" s="1870"/>
      <c r="R110" s="1871"/>
      <c r="S110" s="594"/>
      <c r="T110" s="1872"/>
      <c r="U110" s="1873"/>
      <c r="V110" s="608"/>
      <c r="W110" s="1872"/>
      <c r="X110" s="1871"/>
      <c r="Y110" s="594"/>
      <c r="Z110" s="1870"/>
      <c r="AA110" s="1871"/>
      <c r="AB110" s="594"/>
      <c r="AD110" s="1874" t="s">
        <v>21</v>
      </c>
      <c r="AE110" s="1875" t="s">
        <v>21</v>
      </c>
      <c r="AF110" s="1875" t="s">
        <v>21</v>
      </c>
      <c r="AG110" s="1875" t="s">
        <v>21</v>
      </c>
      <c r="AH110" s="1876" t="s">
        <v>21</v>
      </c>
      <c r="AI110" s="1876" t="s">
        <v>21</v>
      </c>
    </row>
    <row r="111" spans="1:35" s="588" customFormat="1" ht="24" x14ac:dyDescent="0.25">
      <c r="A111" s="587" t="s">
        <v>420</v>
      </c>
      <c r="B111" s="369" t="s">
        <v>20</v>
      </c>
      <c r="C111" s="123"/>
      <c r="D111" s="589" t="s">
        <v>1854</v>
      </c>
      <c r="E111" s="44" t="s">
        <v>27</v>
      </c>
      <c r="F111" s="214">
        <v>100577</v>
      </c>
      <c r="G111" s="587" t="s">
        <v>635</v>
      </c>
      <c r="H111" s="590" t="s">
        <v>51</v>
      </c>
      <c r="I111" s="605">
        <v>84042.829000000012</v>
      </c>
      <c r="J111" s="592">
        <v>0.77</v>
      </c>
      <c r="K111" s="593">
        <v>0.2033513845915047</v>
      </c>
      <c r="L111" s="592">
        <v>0.92658056613545869</v>
      </c>
      <c r="M111" s="594">
        <v>77872.452074445551</v>
      </c>
      <c r="N111" s="123"/>
      <c r="O111" s="587"/>
      <c r="P111" s="123"/>
      <c r="Q111" s="1870"/>
      <c r="R111" s="1871"/>
      <c r="S111" s="594"/>
      <c r="T111" s="1872">
        <v>60024.063000000009</v>
      </c>
      <c r="U111" s="1873"/>
      <c r="V111" s="608"/>
      <c r="W111" s="1872">
        <v>24018.766</v>
      </c>
      <c r="X111" s="1871"/>
      <c r="Y111" s="594"/>
      <c r="Z111" s="1870"/>
      <c r="AA111" s="1871"/>
      <c r="AB111" s="594"/>
      <c r="AD111" s="1874">
        <v>18203.949835584674</v>
      </c>
      <c r="AE111" s="1875">
        <v>23260.602567691531</v>
      </c>
      <c r="AF111" s="1875">
        <v>36407.899671169347</v>
      </c>
      <c r="AG111" s="1875">
        <v>0</v>
      </c>
      <c r="AH111" s="1876">
        <v>0</v>
      </c>
      <c r="AI111" s="1876">
        <v>0</v>
      </c>
    </row>
    <row r="112" spans="1:35" s="588" customFormat="1" ht="12" x14ac:dyDescent="0.25">
      <c r="A112" s="587"/>
      <c r="B112" s="369"/>
      <c r="C112" s="123"/>
      <c r="D112" s="589"/>
      <c r="E112" s="44"/>
      <c r="F112" s="214"/>
      <c r="G112" s="587" t="s">
        <v>21</v>
      </c>
      <c r="H112" s="590" t="s">
        <v>21</v>
      </c>
      <c r="I112" s="591" t="s">
        <v>21</v>
      </c>
      <c r="J112" s="592" t="s">
        <v>21</v>
      </c>
      <c r="K112" s="593" t="s">
        <v>21</v>
      </c>
      <c r="L112" s="592" t="s">
        <v>21</v>
      </c>
      <c r="M112" s="594" t="s">
        <v>21</v>
      </c>
      <c r="N112" s="123"/>
      <c r="O112" s="587"/>
      <c r="P112" s="123"/>
      <c r="Q112" s="1870"/>
      <c r="R112" s="1871"/>
      <c r="S112" s="594"/>
      <c r="T112" s="1872"/>
      <c r="U112" s="1873"/>
      <c r="V112" s="608"/>
      <c r="W112" s="1872"/>
      <c r="X112" s="1871"/>
      <c r="Y112" s="594"/>
      <c r="Z112" s="1870"/>
      <c r="AA112" s="1871"/>
      <c r="AB112" s="594"/>
      <c r="AD112" s="1874" t="s">
        <v>21</v>
      </c>
      <c r="AE112" s="1875" t="s">
        <v>21</v>
      </c>
      <c r="AF112" s="1875" t="s">
        <v>21</v>
      </c>
      <c r="AG112" s="1875" t="s">
        <v>21</v>
      </c>
      <c r="AH112" s="1876" t="s">
        <v>21</v>
      </c>
      <c r="AI112" s="1876" t="s">
        <v>21</v>
      </c>
    </row>
    <row r="113" spans="1:35" s="588" customFormat="1" ht="24" x14ac:dyDescent="0.25">
      <c r="A113" s="587" t="s">
        <v>4011</v>
      </c>
      <c r="B113" s="369"/>
      <c r="C113" s="123"/>
      <c r="D113" s="589" t="s">
        <v>2003</v>
      </c>
      <c r="E113" s="44"/>
      <c r="F113" s="214"/>
      <c r="G113" s="587" t="s">
        <v>4011</v>
      </c>
      <c r="H113" s="590" t="s">
        <v>21</v>
      </c>
      <c r="I113" s="591" t="s">
        <v>21</v>
      </c>
      <c r="J113" s="592" t="s">
        <v>21</v>
      </c>
      <c r="K113" s="593" t="s">
        <v>21</v>
      </c>
      <c r="L113" s="592" t="s">
        <v>21</v>
      </c>
      <c r="M113" s="594">
        <v>786398.15351492469</v>
      </c>
      <c r="N113" s="123"/>
      <c r="O113" s="587"/>
      <c r="P113" s="123"/>
      <c r="Q113" s="1870"/>
      <c r="R113" s="1871"/>
      <c r="S113" s="594"/>
      <c r="T113" s="1872"/>
      <c r="U113" s="1873"/>
      <c r="V113" s="608"/>
      <c r="W113" s="1872"/>
      <c r="X113" s="1871"/>
      <c r="Y113" s="594"/>
      <c r="Z113" s="1870"/>
      <c r="AA113" s="1871"/>
      <c r="AB113" s="594"/>
      <c r="AD113" s="1874" t="s">
        <v>21</v>
      </c>
      <c r="AE113" s="1875" t="s">
        <v>21</v>
      </c>
      <c r="AF113" s="1875" t="s">
        <v>21</v>
      </c>
      <c r="AG113" s="1875" t="s">
        <v>21</v>
      </c>
      <c r="AH113" s="1876" t="s">
        <v>21</v>
      </c>
      <c r="AI113" s="1876" t="s">
        <v>21</v>
      </c>
    </row>
    <row r="114" spans="1:35" s="588" customFormat="1" ht="48" x14ac:dyDescent="0.25">
      <c r="A114" s="587" t="s">
        <v>968</v>
      </c>
      <c r="B114" s="369" t="s">
        <v>23</v>
      </c>
      <c r="C114" s="123"/>
      <c r="D114" s="589" t="s">
        <v>2004</v>
      </c>
      <c r="E114" s="44" t="s">
        <v>27</v>
      </c>
      <c r="F114" s="214">
        <v>100995</v>
      </c>
      <c r="G114" s="587" t="s">
        <v>773</v>
      </c>
      <c r="H114" s="590" t="s">
        <v>55</v>
      </c>
      <c r="I114" s="591">
        <v>13619.381540630713</v>
      </c>
      <c r="J114" s="592">
        <v>3.11</v>
      </c>
      <c r="K114" s="593">
        <v>0.2033513845915047</v>
      </c>
      <c r="L114" s="592">
        <v>3.7424228060795794</v>
      </c>
      <c r="M114" s="594">
        <v>50969.484082355622</v>
      </c>
      <c r="N114" s="123"/>
      <c r="O114" s="587"/>
      <c r="P114" s="123"/>
      <c r="Q114" s="1872">
        <v>0</v>
      </c>
      <c r="R114" s="1873"/>
      <c r="S114" s="608"/>
      <c r="T114" s="1872">
        <v>13619.381540630713</v>
      </c>
      <c r="U114" s="1873"/>
      <c r="V114" s="608"/>
      <c r="W114" s="1872">
        <v>0</v>
      </c>
      <c r="X114" s="1873"/>
      <c r="Y114" s="608"/>
      <c r="Z114" s="1872">
        <v>0</v>
      </c>
      <c r="AA114" s="1873"/>
      <c r="AB114" s="608"/>
      <c r="AD114" s="1874">
        <v>5080.5595066013639</v>
      </c>
      <c r="AE114" s="1875">
        <v>23927.796385929007</v>
      </c>
      <c r="AF114" s="1875">
        <v>21961.128189825253</v>
      </c>
      <c r="AG114" s="1875">
        <v>0</v>
      </c>
      <c r="AH114" s="1876">
        <v>0</v>
      </c>
      <c r="AI114" s="1876">
        <v>0</v>
      </c>
    </row>
    <row r="115" spans="1:35" s="588" customFormat="1" ht="36" x14ac:dyDescent="0.25">
      <c r="A115" s="587" t="s">
        <v>957</v>
      </c>
      <c r="B115" s="369" t="s">
        <v>25</v>
      </c>
      <c r="C115" s="123"/>
      <c r="D115" s="589" t="s">
        <v>2005</v>
      </c>
      <c r="E115" s="44" t="s">
        <v>27</v>
      </c>
      <c r="F115" s="214">
        <v>100943</v>
      </c>
      <c r="G115" s="587" t="s">
        <v>786</v>
      </c>
      <c r="H115" s="590" t="s">
        <v>42</v>
      </c>
      <c r="I115" s="591">
        <v>13619.381540630713</v>
      </c>
      <c r="J115" s="592">
        <v>3.1</v>
      </c>
      <c r="K115" s="593">
        <v>0.2033513845915047</v>
      </c>
      <c r="L115" s="592">
        <v>3.7303892922336646</v>
      </c>
      <c r="M115" s="594">
        <v>50805.595066013644</v>
      </c>
      <c r="N115" s="123"/>
      <c r="O115" s="587"/>
      <c r="P115" s="123"/>
      <c r="Q115" s="1872">
        <v>0</v>
      </c>
      <c r="R115" s="1873"/>
      <c r="S115" s="608">
        <v>1</v>
      </c>
      <c r="T115" s="1872">
        <v>13619.381540630713</v>
      </c>
      <c r="U115" s="1873"/>
      <c r="V115" s="608">
        <v>1</v>
      </c>
      <c r="W115" s="1872">
        <v>0</v>
      </c>
      <c r="X115" s="1873"/>
      <c r="Y115" s="608">
        <v>1</v>
      </c>
      <c r="Z115" s="1872">
        <v>0</v>
      </c>
      <c r="AA115" s="1873"/>
      <c r="AB115" s="608">
        <v>1</v>
      </c>
      <c r="AD115" s="1874">
        <v>3605.5583595235489</v>
      </c>
      <c r="AE115" s="1875">
        <v>28352.799827162449</v>
      </c>
      <c r="AF115" s="1875">
        <v>18847.23687932764</v>
      </c>
      <c r="AG115" s="1875">
        <v>0</v>
      </c>
      <c r="AH115" s="1876">
        <v>0</v>
      </c>
      <c r="AI115" s="1876">
        <v>7.2759576141834259E-12</v>
      </c>
    </row>
    <row r="116" spans="1:35" s="588" customFormat="1" ht="36" x14ac:dyDescent="0.25">
      <c r="A116" s="587" t="s">
        <v>420</v>
      </c>
      <c r="B116" s="369" t="s">
        <v>20</v>
      </c>
      <c r="C116" s="123"/>
      <c r="D116" s="589" t="s">
        <v>2006</v>
      </c>
      <c r="E116" s="44" t="s">
        <v>27</v>
      </c>
      <c r="F116" s="214" t="s">
        <v>3678</v>
      </c>
      <c r="G116" s="587" t="s">
        <v>4083</v>
      </c>
      <c r="H116" s="590" t="s">
        <v>44</v>
      </c>
      <c r="I116" s="605">
        <v>9974.7624000000014</v>
      </c>
      <c r="J116" s="592">
        <v>65.516013472333881</v>
      </c>
      <c r="K116" s="593">
        <v>0.2033513845915047</v>
      </c>
      <c r="L116" s="592">
        <v>78.838785524848646</v>
      </c>
      <c r="M116" s="594">
        <v>786398.15351492469</v>
      </c>
      <c r="N116" s="123"/>
      <c r="O116" s="587"/>
      <c r="P116" s="123"/>
      <c r="Q116" s="1870"/>
      <c r="R116" s="1873">
        <v>1.3653840557275541</v>
      </c>
      <c r="S116" s="594"/>
      <c r="T116" s="1872">
        <v>9974.7624000000014</v>
      </c>
      <c r="U116" s="1873">
        <v>1.3653840557275541</v>
      </c>
      <c r="V116" s="608"/>
      <c r="W116" s="1872"/>
      <c r="X116" s="1873">
        <v>1.3653840557275541</v>
      </c>
      <c r="Y116" s="594"/>
      <c r="Z116" s="1870"/>
      <c r="AA116" s="1873">
        <v>1.3653840557275541</v>
      </c>
      <c r="AB116" s="594"/>
      <c r="AD116" s="1874">
        <v>5802.6864656490125</v>
      </c>
      <c r="AE116" s="1875">
        <v>730759.50939694338</v>
      </c>
      <c r="AF116" s="1875">
        <v>49835.957652332312</v>
      </c>
      <c r="AG116" s="1875">
        <v>0</v>
      </c>
      <c r="AH116" s="1876">
        <v>5.497043886545543E-12</v>
      </c>
      <c r="AI116" s="1876">
        <v>0</v>
      </c>
    </row>
    <row r="117" spans="1:35" s="588" customFormat="1" ht="12" x14ac:dyDescent="0.25">
      <c r="A117" s="587"/>
      <c r="B117" s="369"/>
      <c r="C117" s="123"/>
      <c r="D117" s="589"/>
      <c r="E117" s="44"/>
      <c r="F117" s="214"/>
      <c r="G117" s="587" t="s">
        <v>21</v>
      </c>
      <c r="H117" s="590" t="s">
        <v>21</v>
      </c>
      <c r="I117" s="591" t="s">
        <v>21</v>
      </c>
      <c r="J117" s="592" t="s">
        <v>21</v>
      </c>
      <c r="K117" s="593" t="s">
        <v>21</v>
      </c>
      <c r="L117" s="592" t="s">
        <v>21</v>
      </c>
      <c r="M117" s="594" t="s">
        <v>21</v>
      </c>
      <c r="N117" s="123"/>
      <c r="O117" s="587"/>
      <c r="P117" s="123"/>
      <c r="Q117" s="1870"/>
      <c r="R117" s="1871"/>
      <c r="S117" s="594"/>
      <c r="T117" s="1872"/>
      <c r="U117" s="1873"/>
      <c r="V117" s="608"/>
      <c r="W117" s="1872"/>
      <c r="X117" s="1871"/>
      <c r="Y117" s="594"/>
      <c r="Z117" s="1870"/>
      <c r="AA117" s="1871"/>
      <c r="AB117" s="594"/>
      <c r="AD117" s="1874" t="s">
        <v>21</v>
      </c>
      <c r="AE117" s="1875" t="s">
        <v>21</v>
      </c>
      <c r="AF117" s="1875" t="s">
        <v>21</v>
      </c>
      <c r="AG117" s="1875" t="s">
        <v>21</v>
      </c>
      <c r="AH117" s="1876" t="s">
        <v>21</v>
      </c>
      <c r="AI117" s="1876" t="s">
        <v>21</v>
      </c>
    </row>
    <row r="118" spans="1:35" s="588" customFormat="1" ht="36" x14ac:dyDescent="0.25">
      <c r="A118" s="587" t="s">
        <v>4010</v>
      </c>
      <c r="B118" s="369"/>
      <c r="C118" s="123"/>
      <c r="D118" s="589" t="s">
        <v>2007</v>
      </c>
      <c r="E118" s="44"/>
      <c r="F118" s="214"/>
      <c r="G118" s="587" t="s">
        <v>4010</v>
      </c>
      <c r="H118" s="590" t="s">
        <v>21</v>
      </c>
      <c r="I118" s="591" t="s">
        <v>21</v>
      </c>
      <c r="J118" s="592" t="s">
        <v>21</v>
      </c>
      <c r="K118" s="593" t="s">
        <v>21</v>
      </c>
      <c r="L118" s="592" t="s">
        <v>21</v>
      </c>
      <c r="M118" s="594">
        <v>112551.53862831421</v>
      </c>
      <c r="N118" s="123"/>
      <c r="O118" s="587"/>
      <c r="P118" s="123"/>
      <c r="Q118" s="1870"/>
      <c r="R118" s="1871"/>
      <c r="S118" s="594"/>
      <c r="T118" s="1872"/>
      <c r="U118" s="1873"/>
      <c r="V118" s="608"/>
      <c r="W118" s="1872"/>
      <c r="X118" s="1871"/>
      <c r="Y118" s="594"/>
      <c r="Z118" s="1870"/>
      <c r="AA118" s="1871"/>
      <c r="AB118" s="594"/>
      <c r="AD118" s="1874" t="s">
        <v>21</v>
      </c>
      <c r="AE118" s="1875" t="s">
        <v>21</v>
      </c>
      <c r="AF118" s="1875" t="s">
        <v>21</v>
      </c>
      <c r="AG118" s="1875" t="s">
        <v>21</v>
      </c>
      <c r="AH118" s="1876" t="s">
        <v>21</v>
      </c>
      <c r="AI118" s="1876" t="s">
        <v>21</v>
      </c>
    </row>
    <row r="119" spans="1:35" s="588" customFormat="1" ht="48" x14ac:dyDescent="0.25">
      <c r="A119" s="587" t="s">
        <v>1816</v>
      </c>
      <c r="B119" s="369" t="s">
        <v>28</v>
      </c>
      <c r="C119" s="123"/>
      <c r="D119" s="589" t="s">
        <v>2008</v>
      </c>
      <c r="E119" s="44" t="s">
        <v>27</v>
      </c>
      <c r="F119" s="214">
        <v>96388</v>
      </c>
      <c r="G119" s="587" t="s">
        <v>580</v>
      </c>
      <c r="H119" s="590" t="s">
        <v>44</v>
      </c>
      <c r="I119" s="605">
        <v>12006.640759999998</v>
      </c>
      <c r="J119" s="592">
        <v>7.79</v>
      </c>
      <c r="K119" s="593">
        <v>0.2033513845915047</v>
      </c>
      <c r="L119" s="592">
        <v>9.3741072859678223</v>
      </c>
      <c r="M119" s="594">
        <v>112551.53862831421</v>
      </c>
      <c r="N119" s="123"/>
      <c r="O119" s="587"/>
      <c r="P119" s="123"/>
      <c r="Q119" s="1870"/>
      <c r="R119" s="1871">
        <v>1.3653840557275541</v>
      </c>
      <c r="S119" s="594"/>
      <c r="T119" s="1872">
        <v>7202.8875599999983</v>
      </c>
      <c r="U119" s="1873">
        <v>1.3653840557275541</v>
      </c>
      <c r="V119" s="608"/>
      <c r="W119" s="1872">
        <v>4803.7532000000001</v>
      </c>
      <c r="X119" s="1871">
        <v>1.3653840557275541</v>
      </c>
      <c r="Y119" s="594"/>
      <c r="Z119" s="1870"/>
      <c r="AA119" s="1871">
        <v>1.3653840557275541</v>
      </c>
      <c r="AB119" s="594"/>
      <c r="AD119" s="1874">
        <v>27740.558943050484</v>
      </c>
      <c r="AE119" s="1875">
        <v>29474.343876991141</v>
      </c>
      <c r="AF119" s="1875">
        <v>55336.635808272586</v>
      </c>
      <c r="AG119" s="1875">
        <v>0</v>
      </c>
      <c r="AH119" s="1876">
        <v>0</v>
      </c>
      <c r="AI119" s="1876">
        <v>0</v>
      </c>
    </row>
    <row r="120" spans="1:35" s="588" customFormat="1" ht="12" x14ac:dyDescent="0.25">
      <c r="A120" s="587"/>
      <c r="B120" s="369"/>
      <c r="C120" s="123"/>
      <c r="D120" s="589"/>
      <c r="E120" s="44"/>
      <c r="F120" s="214"/>
      <c r="G120" s="587" t="s">
        <v>21</v>
      </c>
      <c r="H120" s="590" t="s">
        <v>21</v>
      </c>
      <c r="I120" s="591" t="s">
        <v>21</v>
      </c>
      <c r="J120" s="592" t="s">
        <v>21</v>
      </c>
      <c r="K120" s="593" t="s">
        <v>21</v>
      </c>
      <c r="L120" s="592" t="s">
        <v>21</v>
      </c>
      <c r="M120" s="594" t="s">
        <v>21</v>
      </c>
      <c r="N120" s="123"/>
      <c r="O120" s="587"/>
      <c r="P120" s="123"/>
      <c r="Q120" s="1870"/>
      <c r="R120" s="1871"/>
      <c r="S120" s="594"/>
      <c r="T120" s="1872"/>
      <c r="U120" s="1873"/>
      <c r="V120" s="608"/>
      <c r="W120" s="1872"/>
      <c r="X120" s="1871"/>
      <c r="Y120" s="594"/>
      <c r="Z120" s="1870"/>
      <c r="AA120" s="1871"/>
      <c r="AB120" s="594"/>
      <c r="AD120" s="1874" t="s">
        <v>21</v>
      </c>
      <c r="AE120" s="1875" t="s">
        <v>21</v>
      </c>
      <c r="AF120" s="1875" t="s">
        <v>21</v>
      </c>
      <c r="AG120" s="1875" t="s">
        <v>21</v>
      </c>
      <c r="AH120" s="1876" t="s">
        <v>21</v>
      </c>
      <c r="AI120" s="1876" t="s">
        <v>21</v>
      </c>
    </row>
    <row r="121" spans="1:35" s="588" customFormat="1" ht="12" x14ac:dyDescent="0.25">
      <c r="A121" s="587" t="s">
        <v>1844</v>
      </c>
      <c r="B121" s="369"/>
      <c r="C121" s="123"/>
      <c r="D121" s="589" t="s">
        <v>3704</v>
      </c>
      <c r="E121" s="44"/>
      <c r="F121" s="214"/>
      <c r="G121" s="587" t="s">
        <v>1844</v>
      </c>
      <c r="H121" s="590" t="s">
        <v>21</v>
      </c>
      <c r="I121" s="591" t="s">
        <v>21</v>
      </c>
      <c r="J121" s="592" t="s">
        <v>21</v>
      </c>
      <c r="K121" s="593" t="s">
        <v>21</v>
      </c>
      <c r="L121" s="592" t="s">
        <v>21</v>
      </c>
      <c r="M121" s="594">
        <v>7829693.4606257761</v>
      </c>
      <c r="N121" s="123"/>
      <c r="O121" s="587"/>
      <c r="P121" s="123"/>
      <c r="Q121" s="1870"/>
      <c r="R121" s="1871"/>
      <c r="S121" s="594"/>
      <c r="T121" s="1872"/>
      <c r="U121" s="1873"/>
      <c r="V121" s="608"/>
      <c r="W121" s="1872"/>
      <c r="X121" s="1871"/>
      <c r="Y121" s="594"/>
      <c r="Z121" s="1870"/>
      <c r="AA121" s="1871"/>
      <c r="AB121" s="594"/>
      <c r="AD121" s="1874" t="s">
        <v>21</v>
      </c>
      <c r="AE121" s="1875" t="s">
        <v>21</v>
      </c>
      <c r="AF121" s="1875" t="s">
        <v>21</v>
      </c>
      <c r="AG121" s="1875" t="s">
        <v>21</v>
      </c>
      <c r="AH121" s="1876" t="s">
        <v>21</v>
      </c>
      <c r="AI121" s="1876" t="s">
        <v>21</v>
      </c>
    </row>
    <row r="122" spans="1:35" s="588" customFormat="1" ht="36" x14ac:dyDescent="0.25">
      <c r="A122" s="587" t="s">
        <v>4086</v>
      </c>
      <c r="B122" s="369"/>
      <c r="C122" s="123"/>
      <c r="D122" s="589" t="s">
        <v>3705</v>
      </c>
      <c r="E122" s="44"/>
      <c r="F122" s="214"/>
      <c r="G122" s="587" t="s">
        <v>4086</v>
      </c>
      <c r="H122" s="590" t="s">
        <v>21</v>
      </c>
      <c r="I122" s="591" t="s">
        <v>21</v>
      </c>
      <c r="J122" s="592" t="s">
        <v>21</v>
      </c>
      <c r="K122" s="593" t="s">
        <v>21</v>
      </c>
      <c r="L122" s="592" t="s">
        <v>21</v>
      </c>
      <c r="M122" s="594">
        <v>158751.26601967931</v>
      </c>
      <c r="N122" s="123"/>
      <c r="O122" s="587"/>
      <c r="P122" s="123"/>
      <c r="Q122" s="1870"/>
      <c r="R122" s="1871"/>
      <c r="S122" s="594"/>
      <c r="T122" s="1872"/>
      <c r="U122" s="1873"/>
      <c r="V122" s="608"/>
      <c r="W122" s="1872"/>
      <c r="X122" s="1871"/>
      <c r="Y122" s="594"/>
      <c r="Z122" s="1870"/>
      <c r="AA122" s="1871"/>
      <c r="AB122" s="594"/>
      <c r="AD122" s="1874" t="s">
        <v>21</v>
      </c>
      <c r="AE122" s="1875" t="s">
        <v>21</v>
      </c>
      <c r="AF122" s="1875" t="s">
        <v>21</v>
      </c>
      <c r="AG122" s="1875" t="s">
        <v>21</v>
      </c>
      <c r="AH122" s="1876" t="s">
        <v>21</v>
      </c>
      <c r="AI122" s="1876" t="s">
        <v>21</v>
      </c>
    </row>
    <row r="123" spans="1:35" s="588" customFormat="1" ht="36" x14ac:dyDescent="0.25">
      <c r="A123" s="587" t="s">
        <v>1850</v>
      </c>
      <c r="B123" s="369" t="s">
        <v>25</v>
      </c>
      <c r="C123" s="123"/>
      <c r="D123" s="589" t="s">
        <v>3707</v>
      </c>
      <c r="E123" s="44" t="s">
        <v>27</v>
      </c>
      <c r="F123" s="214">
        <v>100947</v>
      </c>
      <c r="G123" s="587" t="s">
        <v>793</v>
      </c>
      <c r="H123" s="590" t="s">
        <v>42</v>
      </c>
      <c r="I123" s="591">
        <v>28705.843199999999</v>
      </c>
      <c r="J123" s="592">
        <v>1.43</v>
      </c>
      <c r="K123" s="593">
        <v>0.2033513845915047</v>
      </c>
      <c r="L123" s="592">
        <v>1.7207924799658516</v>
      </c>
      <c r="M123" s="594">
        <v>49396.79910963888</v>
      </c>
      <c r="N123" s="123"/>
      <c r="O123" s="587"/>
      <c r="P123" s="123"/>
      <c r="Q123" s="1870">
        <v>0</v>
      </c>
      <c r="R123" s="1871"/>
      <c r="S123" s="594">
        <v>8</v>
      </c>
      <c r="T123" s="1872">
        <v>19689.830399999999</v>
      </c>
      <c r="U123" s="1873"/>
      <c r="V123" s="608">
        <v>8</v>
      </c>
      <c r="W123" s="1872">
        <v>9016.0128000000004</v>
      </c>
      <c r="X123" s="1871"/>
      <c r="Y123" s="594">
        <v>8</v>
      </c>
      <c r="Z123" s="1870">
        <v>0</v>
      </c>
      <c r="AA123" s="1871"/>
      <c r="AB123" s="594">
        <v>8</v>
      </c>
      <c r="AD123" s="1874">
        <v>6563.2110705114601</v>
      </c>
      <c r="AE123" s="1875">
        <v>32125.191029345569</v>
      </c>
      <c r="AF123" s="1875">
        <v>10708.397009781855</v>
      </c>
      <c r="AG123" s="1875">
        <v>0</v>
      </c>
      <c r="AH123" s="1876">
        <v>0</v>
      </c>
      <c r="AI123" s="1876">
        <v>0</v>
      </c>
    </row>
    <row r="124" spans="1:35" s="588" customFormat="1" ht="36" hidden="1" x14ac:dyDescent="0.25">
      <c r="A124" s="587" t="s">
        <v>1851</v>
      </c>
      <c r="B124" s="369" t="s">
        <v>25</v>
      </c>
      <c r="C124" s="123"/>
      <c r="D124" s="589" t="s">
        <v>3708</v>
      </c>
      <c r="E124" s="44" t="s">
        <v>27</v>
      </c>
      <c r="F124" s="214">
        <v>100948</v>
      </c>
      <c r="G124" s="587" t="s">
        <v>792</v>
      </c>
      <c r="H124" s="590" t="s">
        <v>42</v>
      </c>
      <c r="I124" s="591">
        <f>IF($F124="","",IF('TRECHO(S) A IMPRIMIR'!$B$1= 1, SUM(Q124, T124, W124, Z124), IF('TRECHO(S) A IMPRIMIR'!$B$1= 2, T124, IF('TRECHO(S) A IMPRIMIR'!$B$1= 3, W124, 0))))</f>
        <v>0</v>
      </c>
      <c r="J124" s="592">
        <v>0.56000000000000005</v>
      </c>
      <c r="K124" s="593">
        <f t="shared" ref="K122:K126" si="20">IF(AND(F124&lt;&gt;"", J124&lt;&gt;""),
  IF(OR(F124= "CP9001", F124= "CP9091", F124= "CP9092"), 0,
  IF(ISNA(VLOOKUP(F124, $M$175:$M$179, 1, FALSE)), $M$4, $M$5)), "")</f>
        <v>0.2033513845915047</v>
      </c>
      <c r="L124" s="592">
        <f t="shared" ref="L122:L126" si="21">IF(J124="","",
  IF(AND(J124&lt;&gt;"",K124=""),J124,J124 * (1 + K124)))</f>
        <v>0.67387677537124269</v>
      </c>
      <c r="M124" s="594">
        <f t="shared" ref="M123:M126" si="22">IF(OR(I124="",L124=""),"",I124*L124)</f>
        <v>0</v>
      </c>
      <c r="N124" s="123"/>
      <c r="O124" s="587"/>
      <c r="P124" s="123"/>
      <c r="Q124" s="1870">
        <f>Q126 * R126 * S124</f>
        <v>0</v>
      </c>
      <c r="R124" s="1871"/>
      <c r="S124" s="594">
        <f>IF('MLQ-DMT-TR1'!$E$11 &gt; 30, 'MLQ-DMT-TR1'!$E$11 - 30, 0)</f>
        <v>0</v>
      </c>
      <c r="T124" s="1872">
        <f>T126 * U126 * V124</f>
        <v>0</v>
      </c>
      <c r="U124" s="1873"/>
      <c r="V124" s="608">
        <f>IF('MLQ-DMT-TR1'!$E$11 &gt; 30, 'MLQ-DMT-TR1'!$E$11 - 30, 0)</f>
        <v>0</v>
      </c>
      <c r="W124" s="1872">
        <f>W126 * X126 * Y124</f>
        <v>0</v>
      </c>
      <c r="X124" s="1871"/>
      <c r="Y124" s="594">
        <f>IF('MLQ-DMT-TR1'!$E$11 &gt; 30, 'MLQ-DMT-TR1'!$E$11 - 30, 0)</f>
        <v>0</v>
      </c>
      <c r="Z124" s="1870">
        <f>Z126 * AA126 * AB124</f>
        <v>0</v>
      </c>
      <c r="AA124" s="1871"/>
      <c r="AB124" s="594">
        <f>IF('MLQ-DMT-TR1'!$E$11 &gt; 30, 'MLQ-DMT-TR1'!$E$11 - 30, 0)</f>
        <v>0</v>
      </c>
      <c r="AD124" s="1874" t="s">
        <v>21</v>
      </c>
      <c r="AE124" s="1875" t="s">
        <v>21</v>
      </c>
      <c r="AF124" s="1875" t="s">
        <v>21</v>
      </c>
      <c r="AG124" s="1875" t="s">
        <v>21</v>
      </c>
      <c r="AH124" s="1876" t="s">
        <v>21</v>
      </c>
      <c r="AI124" s="1876" t="str">
        <f t="shared" ref="AI122:AI126" si="23">IF(SUM(AD124:AH124)=0,"",M124 - SUM(AD124:AH124))</f>
        <v/>
      </c>
    </row>
    <row r="125" spans="1:35" s="588" customFormat="1" ht="36" x14ac:dyDescent="0.25">
      <c r="A125" s="587" t="s">
        <v>1852</v>
      </c>
      <c r="B125" s="369" t="s">
        <v>25</v>
      </c>
      <c r="C125" s="123"/>
      <c r="D125" s="589" t="s">
        <v>3709</v>
      </c>
      <c r="E125" s="44" t="s">
        <v>27</v>
      </c>
      <c r="F125" s="214">
        <v>100949</v>
      </c>
      <c r="G125" s="587" t="s">
        <v>791</v>
      </c>
      <c r="H125" s="590" t="s">
        <v>42</v>
      </c>
      <c r="I125" s="591">
        <v>3588.2303999999999</v>
      </c>
      <c r="J125" s="592">
        <v>4.28</v>
      </c>
      <c r="K125" s="593">
        <v>0.2033513845915047</v>
      </c>
      <c r="L125" s="592">
        <v>5.1503439260516402</v>
      </c>
      <c r="M125" s="594">
        <v>18480.620645913848</v>
      </c>
      <c r="N125" s="123"/>
      <c r="O125" s="587"/>
      <c r="P125" s="123"/>
      <c r="Q125" s="1870">
        <v>0</v>
      </c>
      <c r="R125" s="1871"/>
      <c r="S125" s="594">
        <v>1</v>
      </c>
      <c r="T125" s="1872">
        <v>2461.2287999999999</v>
      </c>
      <c r="U125" s="1873"/>
      <c r="V125" s="608">
        <v>1</v>
      </c>
      <c r="W125" s="1872">
        <v>1127.0016000000001</v>
      </c>
      <c r="X125" s="1871"/>
      <c r="Y125" s="594">
        <v>1</v>
      </c>
      <c r="Z125" s="1870">
        <v>0</v>
      </c>
      <c r="AA125" s="1871"/>
      <c r="AB125" s="594">
        <v>1</v>
      </c>
      <c r="AD125" s="1874">
        <v>2504.3831716425307</v>
      </c>
      <c r="AE125" s="1875">
        <v>11615.156433997254</v>
      </c>
      <c r="AF125" s="1875">
        <v>4361.0810402740626</v>
      </c>
      <c r="AG125" s="1875">
        <v>0</v>
      </c>
      <c r="AH125" s="1876">
        <v>0</v>
      </c>
      <c r="AI125" s="1876">
        <v>0</v>
      </c>
    </row>
    <row r="126" spans="1:35" s="588" customFormat="1" ht="60" x14ac:dyDescent="0.25">
      <c r="A126" s="587" t="s">
        <v>958</v>
      </c>
      <c r="B126" s="369" t="s">
        <v>26</v>
      </c>
      <c r="C126" s="123"/>
      <c r="D126" s="589" t="s">
        <v>4087</v>
      </c>
      <c r="E126" s="44" t="s">
        <v>27</v>
      </c>
      <c r="F126" s="214">
        <v>94273</v>
      </c>
      <c r="G126" s="587" t="s">
        <v>514</v>
      </c>
      <c r="H126" s="590" t="s">
        <v>22</v>
      </c>
      <c r="I126" s="591">
        <v>1495.096</v>
      </c>
      <c r="J126" s="592">
        <v>50.51</v>
      </c>
      <c r="K126" s="593">
        <v>0.2033513845915047</v>
      </c>
      <c r="L126" s="592">
        <v>60.781278435716899</v>
      </c>
      <c r="M126" s="594">
        <v>90873.846264126594</v>
      </c>
      <c r="N126" s="123"/>
      <c r="O126" s="587"/>
      <c r="P126" s="123"/>
      <c r="Q126" s="1870"/>
      <c r="R126" s="1871">
        <v>2.4</v>
      </c>
      <c r="S126" s="594"/>
      <c r="T126" s="1872">
        <v>1025.5119999999999</v>
      </c>
      <c r="U126" s="1873">
        <v>2.4</v>
      </c>
      <c r="V126" s="608"/>
      <c r="W126" s="1872">
        <v>469.584</v>
      </c>
      <c r="X126" s="1871">
        <v>2.4</v>
      </c>
      <c r="Y126" s="594"/>
      <c r="Z126" s="1870"/>
      <c r="AA126" s="1871">
        <v>2.4</v>
      </c>
      <c r="AB126" s="594"/>
      <c r="AD126" s="1874">
        <v>21175.711156776284</v>
      </c>
      <c r="AE126" s="1875">
        <v>69698.135107350317</v>
      </c>
      <c r="AF126" s="1875">
        <v>0</v>
      </c>
      <c r="AG126" s="1875">
        <v>0</v>
      </c>
      <c r="AH126" s="1876">
        <v>0</v>
      </c>
      <c r="AI126" s="1876">
        <v>0</v>
      </c>
    </row>
    <row r="127" spans="1:35" s="588" customFormat="1" ht="12" x14ac:dyDescent="0.25">
      <c r="A127" s="587" t="s">
        <v>1841</v>
      </c>
      <c r="B127" s="369"/>
      <c r="C127" s="123"/>
      <c r="D127" s="589" t="s">
        <v>3706</v>
      </c>
      <c r="E127" s="44"/>
      <c r="F127" s="214"/>
      <c r="G127" s="587" t="s">
        <v>1841</v>
      </c>
      <c r="H127" s="590" t="s">
        <v>21</v>
      </c>
      <c r="I127" s="591" t="s">
        <v>21</v>
      </c>
      <c r="J127" s="592" t="s">
        <v>21</v>
      </c>
      <c r="K127" s="593" t="s">
        <v>21</v>
      </c>
      <c r="L127" s="592" t="s">
        <v>21</v>
      </c>
      <c r="M127" s="594">
        <v>0</v>
      </c>
      <c r="N127" s="123"/>
      <c r="O127" s="587"/>
      <c r="P127" s="123"/>
      <c r="Q127" s="1870"/>
      <c r="R127" s="1882">
        <v>1.056E-2</v>
      </c>
      <c r="S127" s="594"/>
      <c r="T127" s="1872"/>
      <c r="U127" s="1873">
        <v>1.056E-2</v>
      </c>
      <c r="V127" s="608"/>
      <c r="W127" s="1872"/>
      <c r="X127" s="1871">
        <v>1.056E-2</v>
      </c>
      <c r="Y127" s="594"/>
      <c r="Z127" s="1870"/>
      <c r="AA127" s="1871">
        <v>1.056E-2</v>
      </c>
      <c r="AB127" s="594"/>
      <c r="AD127" s="1874" t="s">
        <v>21</v>
      </c>
      <c r="AE127" s="1875" t="s">
        <v>21</v>
      </c>
      <c r="AF127" s="1875" t="s">
        <v>21</v>
      </c>
      <c r="AG127" s="1875" t="s">
        <v>21</v>
      </c>
      <c r="AH127" s="1876" t="s">
        <v>21</v>
      </c>
      <c r="AI127" s="1876" t="s">
        <v>21</v>
      </c>
    </row>
    <row r="128" spans="1:35" s="588" customFormat="1" ht="36" hidden="1" x14ac:dyDescent="0.25">
      <c r="A128" s="587" t="s">
        <v>969</v>
      </c>
      <c r="B128" s="369" t="s">
        <v>25</v>
      </c>
      <c r="C128" s="123"/>
      <c r="D128" s="589" t="s">
        <v>3710</v>
      </c>
      <c r="E128" s="44" t="s">
        <v>27</v>
      </c>
      <c r="F128" s="214">
        <v>95879</v>
      </c>
      <c r="G128" s="587" t="s">
        <v>789</v>
      </c>
      <c r="H128" s="590" t="s">
        <v>42</v>
      </c>
      <c r="I128" s="591">
        <f>IF($F128="","",IF('TRECHO(S) A IMPRIMIR'!$B$1= 1, SUM(Q128, T128, W128, Z128), IF('TRECHO(S) A IMPRIMIR'!$B$1= 2, T128, IF('TRECHO(S) A IMPRIMIR'!$B$1= 3, W128, 0))))</f>
        <v>0</v>
      </c>
      <c r="J128" s="592">
        <v>1.04</v>
      </c>
      <c r="K128" s="593">
        <f t="shared" ref="K127:K144" si="24">IF(AND(F128&lt;&gt;"", J128&lt;&gt;""),
  IF(OR(F128= "CP9001", F128= "CP9091", F128= "CP9092"), 0,
  IF(ISNA(VLOOKUP(F128, $M$175:$M$179, 1, FALSE)), $M$4, $M$5)), "")</f>
        <v>0.2033513845915047</v>
      </c>
      <c r="L128" s="592">
        <f t="shared" si="10"/>
        <v>1.2514854399751649</v>
      </c>
      <c r="M128" s="594">
        <f>IF(OR(I128="",L128=""),"",I128*L128)</f>
        <v>0</v>
      </c>
      <c r="N128" s="123"/>
      <c r="O128" s="587" t="s">
        <v>4088</v>
      </c>
      <c r="P128" s="123"/>
      <c r="Q128" s="1870">
        <f>Q132 * R127 * S128</f>
        <v>0</v>
      </c>
      <c r="R128" s="1871"/>
      <c r="S128" s="594">
        <f>IF('MLQ-DMT-TR1'!$E$9 &gt; 30, 30, 'MLQ-DMT-TR1'!$E$9)</f>
        <v>30</v>
      </c>
      <c r="T128" s="1872">
        <f>T132 * U127 * V128</f>
        <v>0</v>
      </c>
      <c r="U128" s="1873"/>
      <c r="V128" s="1879"/>
      <c r="W128" s="1872">
        <f>W132 * X127 * Y128</f>
        <v>0</v>
      </c>
      <c r="X128" s="1871"/>
      <c r="Y128" s="1879"/>
      <c r="Z128" s="1870">
        <f>Z132 * AA127 * AB128</f>
        <v>0</v>
      </c>
      <c r="AA128" s="1871"/>
      <c r="AB128" s="1879"/>
      <c r="AD128" s="1874" t="s">
        <v>21</v>
      </c>
      <c r="AE128" s="1875" t="s">
        <v>21</v>
      </c>
      <c r="AF128" s="1875" t="s">
        <v>21</v>
      </c>
      <c r="AG128" s="1875" t="s">
        <v>21</v>
      </c>
      <c r="AH128" s="1876" t="s">
        <v>21</v>
      </c>
      <c r="AI128" s="1876" t="str">
        <f t="shared" ref="AI118:AI144" si="25">IF(SUM(AD128:AH128)=0,"",M128 - SUM(AD128:AH128))</f>
        <v/>
      </c>
    </row>
    <row r="129" spans="1:35" s="588" customFormat="1" ht="36" hidden="1" x14ac:dyDescent="0.25">
      <c r="A129" s="587" t="s">
        <v>970</v>
      </c>
      <c r="B129" s="369" t="s">
        <v>25</v>
      </c>
      <c r="C129" s="123"/>
      <c r="D129" s="589" t="s">
        <v>4089</v>
      </c>
      <c r="E129" s="44" t="s">
        <v>27</v>
      </c>
      <c r="F129" s="214">
        <v>93599</v>
      </c>
      <c r="G129" s="587" t="s">
        <v>788</v>
      </c>
      <c r="H129" s="590" t="s">
        <v>42</v>
      </c>
      <c r="I129" s="591">
        <f>IF($F129="","",IF('TRECHO(S) A IMPRIMIR'!$B$1= 1, SUM(Q129, T129, W129, Z129), IF('TRECHO(S) A IMPRIMIR'!$B$1= 2, T129, IF('TRECHO(S) A IMPRIMIR'!$B$1= 3, W129, 0))))</f>
        <v>0</v>
      </c>
      <c r="J129" s="592">
        <v>0.41</v>
      </c>
      <c r="K129" s="593">
        <f t="shared" si="24"/>
        <v>0.2033513845915047</v>
      </c>
      <c r="L129" s="592">
        <f t="shared" si="10"/>
        <v>0.4933740676825169</v>
      </c>
      <c r="M129" s="594">
        <f>IF(OR(I129="",L129=""),"",I129*L129)</f>
        <v>0</v>
      </c>
      <c r="N129" s="123"/>
      <c r="O129" s="587" t="s">
        <v>4088</v>
      </c>
      <c r="P129" s="123"/>
      <c r="Q129" s="1870">
        <f>Q132 * R127 * S129</f>
        <v>0</v>
      </c>
      <c r="R129" s="1871"/>
      <c r="S129" s="594">
        <f>IF('MLQ-DMT-TR1'!$E$9 &gt; 30, 'MLQ-DMT-TR1'!$E$9 - 30, 0)</f>
        <v>27</v>
      </c>
      <c r="T129" s="1872">
        <f>T132 * U127 * V129</f>
        <v>0</v>
      </c>
      <c r="U129" s="1873"/>
      <c r="V129" s="1879"/>
      <c r="W129" s="1872">
        <f>W132 * X127 * Y129</f>
        <v>0</v>
      </c>
      <c r="X129" s="1871"/>
      <c r="Y129" s="1879"/>
      <c r="Z129" s="1870">
        <f>Z132 * AA127 * AB129</f>
        <v>0</v>
      </c>
      <c r="AA129" s="1871"/>
      <c r="AB129" s="1879"/>
      <c r="AD129" s="1874" t="s">
        <v>21</v>
      </c>
      <c r="AE129" s="1875" t="s">
        <v>21</v>
      </c>
      <c r="AF129" s="1875" t="s">
        <v>21</v>
      </c>
      <c r="AG129" s="1875" t="s">
        <v>21</v>
      </c>
      <c r="AH129" s="1876" t="s">
        <v>21</v>
      </c>
      <c r="AI129" s="1876" t="str">
        <f t="shared" si="25"/>
        <v/>
      </c>
    </row>
    <row r="130" spans="1:35" s="588" customFormat="1" ht="36" hidden="1" x14ac:dyDescent="0.25">
      <c r="A130" s="587" t="s">
        <v>971</v>
      </c>
      <c r="B130" s="369" t="s">
        <v>25</v>
      </c>
      <c r="C130" s="123"/>
      <c r="D130" s="589" t="s">
        <v>4090</v>
      </c>
      <c r="E130" s="44" t="s">
        <v>27</v>
      </c>
      <c r="F130" s="214">
        <v>100943</v>
      </c>
      <c r="G130" s="587" t="s">
        <v>786</v>
      </c>
      <c r="H130" s="590" t="s">
        <v>42</v>
      </c>
      <c r="I130" s="591">
        <f>IF($F130="","",IF('TRECHO(S) A IMPRIMIR'!$B$1= 1, SUM(Q130, T130, W130, Z130), IF('TRECHO(S) A IMPRIMIR'!$B$1= 2, T130, IF('TRECHO(S) A IMPRIMIR'!$B$1= 3, W130, 0))))</f>
        <v>0</v>
      </c>
      <c r="J130" s="592">
        <v>3.1</v>
      </c>
      <c r="K130" s="593">
        <f t="shared" si="24"/>
        <v>0.2033513845915047</v>
      </c>
      <c r="L130" s="592">
        <f t="shared" si="10"/>
        <v>3.7303892922336646</v>
      </c>
      <c r="M130" s="594">
        <f>IF(OR(I130="",L130=""),"",I130*L130)</f>
        <v>0</v>
      </c>
      <c r="N130" s="123"/>
      <c r="O130" s="587" t="s">
        <v>4088</v>
      </c>
      <c r="P130" s="123"/>
      <c r="Q130" s="1870">
        <f>Q132 * R127 * S130</f>
        <v>0</v>
      </c>
      <c r="R130" s="1871"/>
      <c r="S130" s="594">
        <f>'MLQ-DMT-TR1'!$E$16</f>
        <v>1</v>
      </c>
      <c r="T130" s="1872">
        <f>T132 * U127 * V130</f>
        <v>0</v>
      </c>
      <c r="U130" s="1873"/>
      <c r="V130" s="1879"/>
      <c r="W130" s="1872">
        <f>W132 * X127 * Y130</f>
        <v>0</v>
      </c>
      <c r="X130" s="1871"/>
      <c r="Y130" s="1879"/>
      <c r="Z130" s="1870">
        <f>Z132 * AA127 * AB130</f>
        <v>0</v>
      </c>
      <c r="AA130" s="1871"/>
      <c r="AB130" s="1879"/>
      <c r="AD130" s="1874" t="s">
        <v>21</v>
      </c>
      <c r="AE130" s="1875" t="s">
        <v>21</v>
      </c>
      <c r="AF130" s="1875" t="s">
        <v>21</v>
      </c>
      <c r="AG130" s="1875" t="s">
        <v>21</v>
      </c>
      <c r="AH130" s="1876" t="s">
        <v>21</v>
      </c>
      <c r="AI130" s="1876" t="str">
        <f t="shared" si="25"/>
        <v/>
      </c>
    </row>
    <row r="131" spans="1:35" s="588" customFormat="1" ht="12" x14ac:dyDescent="0.25">
      <c r="A131" s="587" t="s">
        <v>1842</v>
      </c>
      <c r="B131" s="369"/>
      <c r="C131" s="123"/>
      <c r="D131" s="589" t="s">
        <v>4091</v>
      </c>
      <c r="E131" s="44"/>
      <c r="F131" s="214"/>
      <c r="G131" s="587" t="s">
        <v>1842</v>
      </c>
      <c r="H131" s="590" t="s">
        <v>21</v>
      </c>
      <c r="I131" s="591" t="s">
        <v>21</v>
      </c>
      <c r="J131" s="592" t="s">
        <v>21</v>
      </c>
      <c r="K131" s="593" t="s">
        <v>21</v>
      </c>
      <c r="L131" s="592" t="s">
        <v>21</v>
      </c>
      <c r="M131" s="594">
        <v>7670942.1946060965</v>
      </c>
      <c r="N131" s="123"/>
      <c r="O131" s="587"/>
      <c r="P131" s="123"/>
      <c r="Q131" s="1870"/>
      <c r="R131" s="1871"/>
      <c r="S131" s="594"/>
      <c r="T131" s="1872"/>
      <c r="U131" s="1873"/>
      <c r="V131" s="608"/>
      <c r="W131" s="1872"/>
      <c r="X131" s="1871"/>
      <c r="Y131" s="594"/>
      <c r="Z131" s="1870"/>
      <c r="AA131" s="1871"/>
      <c r="AB131" s="594"/>
      <c r="AD131" s="1874" t="s">
        <v>21</v>
      </c>
      <c r="AE131" s="1875" t="s">
        <v>21</v>
      </c>
      <c r="AF131" s="1875" t="s">
        <v>21</v>
      </c>
      <c r="AG131" s="1875" t="s">
        <v>21</v>
      </c>
      <c r="AH131" s="1876" t="s">
        <v>21</v>
      </c>
      <c r="AI131" s="1876" t="s">
        <v>21</v>
      </c>
    </row>
    <row r="132" spans="1:35" s="588" customFormat="1" ht="24" x14ac:dyDescent="0.25">
      <c r="A132" s="587" t="s">
        <v>986</v>
      </c>
      <c r="B132" s="369" t="s">
        <v>20</v>
      </c>
      <c r="C132" s="123"/>
      <c r="D132" s="589" t="s">
        <v>4092</v>
      </c>
      <c r="E132" s="44" t="s">
        <v>27</v>
      </c>
      <c r="F132" s="214">
        <v>92405</v>
      </c>
      <c r="G132" s="587" t="s">
        <v>574</v>
      </c>
      <c r="H132" s="590" t="s">
        <v>51</v>
      </c>
      <c r="I132" s="605">
        <v>84042.829000000012</v>
      </c>
      <c r="J132" s="592">
        <v>75.849999999999994</v>
      </c>
      <c r="K132" s="593">
        <v>0.2033513845915047</v>
      </c>
      <c r="L132" s="592">
        <v>91.274202521265622</v>
      </c>
      <c r="M132" s="594">
        <v>7670942.1946060965</v>
      </c>
      <c r="N132" s="123"/>
      <c r="O132" s="587"/>
      <c r="P132" s="123"/>
      <c r="Q132" s="1870"/>
      <c r="R132" s="1871"/>
      <c r="S132" s="594"/>
      <c r="T132" s="1872">
        <v>60024.063000000009</v>
      </c>
      <c r="U132" s="1873"/>
      <c r="V132" s="608"/>
      <c r="W132" s="1872">
        <v>24018.766</v>
      </c>
      <c r="X132" s="1871"/>
      <c r="Y132" s="594"/>
      <c r="Z132" s="1870"/>
      <c r="AA132" s="1871"/>
      <c r="AB132" s="594"/>
      <c r="AD132" s="1874">
        <v>870755.60046880029</v>
      </c>
      <c r="AE132" s="1875">
        <v>6785016.6359409774</v>
      </c>
      <c r="AF132" s="1875">
        <v>15169.958196320562</v>
      </c>
      <c r="AG132" s="1875">
        <v>0</v>
      </c>
      <c r="AH132" s="1876">
        <v>0</v>
      </c>
      <c r="AI132" s="1876">
        <v>-1.862645149230957E-9</v>
      </c>
    </row>
    <row r="133" spans="1:35" s="588" customFormat="1" ht="12" x14ac:dyDescent="0.25">
      <c r="A133" s="587"/>
      <c r="B133" s="369"/>
      <c r="C133" s="123"/>
      <c r="D133" s="589"/>
      <c r="E133" s="44"/>
      <c r="F133" s="214"/>
      <c r="G133" s="587" t="s">
        <v>21</v>
      </c>
      <c r="H133" s="590" t="s">
        <v>21</v>
      </c>
      <c r="I133" s="591" t="s">
        <v>21</v>
      </c>
      <c r="J133" s="592" t="s">
        <v>21</v>
      </c>
      <c r="K133" s="593" t="s">
        <v>21</v>
      </c>
      <c r="L133" s="592" t="s">
        <v>21</v>
      </c>
      <c r="M133" s="594" t="s">
        <v>21</v>
      </c>
      <c r="N133" s="123"/>
      <c r="O133" s="587"/>
      <c r="P133" s="123"/>
      <c r="Q133" s="1870"/>
      <c r="R133" s="1871"/>
      <c r="S133" s="594"/>
      <c r="T133" s="1872"/>
      <c r="U133" s="1873"/>
      <c r="V133" s="608"/>
      <c r="W133" s="1872"/>
      <c r="X133" s="1871"/>
      <c r="Y133" s="594"/>
      <c r="Z133" s="1870"/>
      <c r="AA133" s="1871"/>
      <c r="AB133" s="594"/>
      <c r="AD133" s="1874" t="s">
        <v>21</v>
      </c>
      <c r="AE133" s="1875" t="s">
        <v>21</v>
      </c>
      <c r="AF133" s="1875" t="s">
        <v>21</v>
      </c>
      <c r="AG133" s="1875" t="s">
        <v>21</v>
      </c>
      <c r="AH133" s="1876" t="s">
        <v>21</v>
      </c>
      <c r="AI133" s="1876" t="s">
        <v>21</v>
      </c>
    </row>
    <row r="134" spans="1:35" s="588" customFormat="1" ht="12" x14ac:dyDescent="0.25">
      <c r="A134" s="587" t="s">
        <v>1847</v>
      </c>
      <c r="B134" s="369"/>
      <c r="C134" s="123"/>
      <c r="D134" s="589" t="s">
        <v>2009</v>
      </c>
      <c r="E134" s="44"/>
      <c r="F134" s="214"/>
      <c r="G134" s="595" t="s">
        <v>1847</v>
      </c>
      <c r="H134" s="590" t="s">
        <v>21</v>
      </c>
      <c r="I134" s="591" t="s">
        <v>21</v>
      </c>
      <c r="J134" s="592" t="s">
        <v>21</v>
      </c>
      <c r="K134" s="593" t="s">
        <v>21</v>
      </c>
      <c r="L134" s="592" t="s">
        <v>21</v>
      </c>
      <c r="M134" s="594">
        <v>3073900.6591048301</v>
      </c>
      <c r="N134" s="123"/>
      <c r="O134" s="587"/>
      <c r="P134" s="123"/>
      <c r="Q134" s="1870"/>
      <c r="R134" s="1871">
        <v>2.4</v>
      </c>
      <c r="S134" s="594"/>
      <c r="T134" s="1872"/>
      <c r="U134" s="1873">
        <v>2.4</v>
      </c>
      <c r="V134" s="608"/>
      <c r="W134" s="1872"/>
      <c r="X134" s="1871">
        <v>2.4</v>
      </c>
      <c r="Y134" s="594"/>
      <c r="Z134" s="1870"/>
      <c r="AA134" s="1871">
        <v>2.4</v>
      </c>
      <c r="AB134" s="594"/>
      <c r="AD134" s="1874" t="s">
        <v>21</v>
      </c>
      <c r="AE134" s="1875" t="s">
        <v>21</v>
      </c>
      <c r="AF134" s="1875" t="s">
        <v>21</v>
      </c>
      <c r="AG134" s="1875" t="s">
        <v>21</v>
      </c>
      <c r="AH134" s="1876" t="s">
        <v>21</v>
      </c>
      <c r="AI134" s="1876" t="s">
        <v>21</v>
      </c>
    </row>
    <row r="135" spans="1:35" s="588" customFormat="1" ht="12" x14ac:dyDescent="0.25">
      <c r="A135" s="587" t="s">
        <v>1848</v>
      </c>
      <c r="B135" s="369"/>
      <c r="C135" s="123"/>
      <c r="D135" s="589" t="s">
        <v>2010</v>
      </c>
      <c r="E135" s="44"/>
      <c r="F135" s="214"/>
      <c r="G135" s="587" t="s">
        <v>1848</v>
      </c>
      <c r="H135" s="590" t="s">
        <v>21</v>
      </c>
      <c r="I135" s="591" t="str">
        <f>IF($F135="","",IF('TRECHO(S) A IMPRIMIR'!$B$1= 1, SUM(Q135, T135, W135, Z135), IF('TRECHO(S) A IMPRIMIR'!$B$1= 2, T135, IF('TRECHO(S) A IMPRIMIR'!$B$1= 3, W135, 0))))</f>
        <v/>
      </c>
      <c r="J135" s="592" t="s">
        <v>21</v>
      </c>
      <c r="K135" s="593" t="str">
        <f t="shared" si="24"/>
        <v/>
      </c>
      <c r="L135" s="592" t="str">
        <f>IF(J135="","",
  IF(AND(J135&lt;&gt;"",K135=""),J135,J135 * (1 + K135)))</f>
        <v/>
      </c>
      <c r="M135" s="594" t="str">
        <f t="shared" ref="M135:M144" si="26">IF(OR(I135="",L135=""),"",I135*L135)</f>
        <v/>
      </c>
      <c r="N135" s="123"/>
      <c r="O135" s="587"/>
      <c r="P135" s="123"/>
      <c r="Q135" s="1870"/>
      <c r="R135" s="1871"/>
      <c r="S135" s="594"/>
      <c r="T135" s="1872"/>
      <c r="U135" s="1873"/>
      <c r="V135" s="608"/>
      <c r="W135" s="1872"/>
      <c r="X135" s="1871"/>
      <c r="Y135" s="594"/>
      <c r="Z135" s="1870"/>
      <c r="AA135" s="1871"/>
      <c r="AB135" s="594"/>
      <c r="AD135" s="1874" t="s">
        <v>21</v>
      </c>
      <c r="AE135" s="1875" t="s">
        <v>21</v>
      </c>
      <c r="AF135" s="1875" t="s">
        <v>21</v>
      </c>
      <c r="AG135" s="1875" t="s">
        <v>21</v>
      </c>
      <c r="AH135" s="1876" t="s">
        <v>21</v>
      </c>
      <c r="AI135" s="1876" t="s">
        <v>21</v>
      </c>
    </row>
    <row r="136" spans="1:35" s="588" customFormat="1" ht="36" x14ac:dyDescent="0.25">
      <c r="A136" s="587" t="s">
        <v>1850</v>
      </c>
      <c r="B136" s="369" t="s">
        <v>25</v>
      </c>
      <c r="C136" s="123"/>
      <c r="D136" s="589" t="s">
        <v>2011</v>
      </c>
      <c r="E136" s="44" t="s">
        <v>27</v>
      </c>
      <c r="F136" s="214">
        <v>100947</v>
      </c>
      <c r="G136" s="587" t="s">
        <v>793</v>
      </c>
      <c r="H136" s="590" t="s">
        <v>42</v>
      </c>
      <c r="I136" s="591">
        <v>219670.24128000002</v>
      </c>
      <c r="J136" s="592">
        <v>1.43</v>
      </c>
      <c r="K136" s="593">
        <v>0.2033513845915047</v>
      </c>
      <c r="L136" s="592">
        <v>1.7207924799658516</v>
      </c>
      <c r="M136" s="594">
        <v>378006.89926690824</v>
      </c>
      <c r="N136" s="123"/>
      <c r="O136" s="587"/>
      <c r="P136" s="123"/>
      <c r="Q136" s="1870">
        <v>0</v>
      </c>
      <c r="R136" s="1871"/>
      <c r="S136" s="594">
        <v>8</v>
      </c>
      <c r="T136" s="1872">
        <v>145725.18912000002</v>
      </c>
      <c r="U136" s="1873"/>
      <c r="V136" s="608">
        <v>8</v>
      </c>
      <c r="W136" s="1872">
        <v>73945.052160000007</v>
      </c>
      <c r="X136" s="1871"/>
      <c r="Y136" s="594">
        <v>8</v>
      </c>
      <c r="Z136" s="1870">
        <v>0</v>
      </c>
      <c r="AA136" s="1871"/>
      <c r="AB136" s="594">
        <v>8</v>
      </c>
      <c r="AD136" s="1874">
        <v>50224.692909589212</v>
      </c>
      <c r="AE136" s="1875">
        <v>245836.6547679893</v>
      </c>
      <c r="AF136" s="1875">
        <v>81945.551589329756</v>
      </c>
      <c r="AG136" s="1875">
        <v>0</v>
      </c>
      <c r="AH136" s="1876">
        <v>0</v>
      </c>
      <c r="AI136" s="1876">
        <v>-5.8207660913467407E-11</v>
      </c>
    </row>
    <row r="137" spans="1:35" s="588" customFormat="1" ht="36" hidden="1" x14ac:dyDescent="0.25">
      <c r="A137" s="587" t="s">
        <v>1851</v>
      </c>
      <c r="B137" s="369" t="s">
        <v>25</v>
      </c>
      <c r="C137" s="123"/>
      <c r="D137" s="589" t="s">
        <v>2012</v>
      </c>
      <c r="E137" s="44" t="s">
        <v>27</v>
      </c>
      <c r="F137" s="214">
        <v>100948</v>
      </c>
      <c r="G137" s="587" t="s">
        <v>792</v>
      </c>
      <c r="H137" s="590" t="s">
        <v>42</v>
      </c>
      <c r="I137" s="591">
        <f>IF($F137="","",IF('TRECHO(S) A IMPRIMIR'!$B$1= 1, SUM(Q137, T137, W137, Z137), IF('TRECHO(S) A IMPRIMIR'!$B$1= 2, T137, IF('TRECHO(S) A IMPRIMIR'!$B$1= 3, W137, 0))))</f>
        <v>0</v>
      </c>
      <c r="J137" s="592">
        <v>0.56000000000000005</v>
      </c>
      <c r="K137" s="593">
        <f t="shared" si="24"/>
        <v>0.2033513845915047</v>
      </c>
      <c r="L137" s="592">
        <f>IF(J137="","",
  IF(AND(J137&lt;&gt;"",K137=""),J137,J137 * (1 + K137)))</f>
        <v>0.67387677537124269</v>
      </c>
      <c r="M137" s="594">
        <f t="shared" si="26"/>
        <v>0</v>
      </c>
      <c r="N137" s="123"/>
      <c r="O137" s="587"/>
      <c r="P137" s="123"/>
      <c r="Q137" s="1870">
        <f>SUM(Q140:Q141) * R134 * S137</f>
        <v>0</v>
      </c>
      <c r="R137" s="1871"/>
      <c r="S137" s="594">
        <f>IF('MLQ-DMT-TR1'!$E$11 &gt; 30, 'MLQ-DMT-TR1'!$E$11 - 30, 0)</f>
        <v>0</v>
      </c>
      <c r="T137" s="1872">
        <f>((T140 * $O140) + (T141 * $O141)) * U134 * V137</f>
        <v>0</v>
      </c>
      <c r="U137" s="1873"/>
      <c r="V137" s="608">
        <f>IF('MLQ-DMT-TR1'!$E$11 &gt; 30, 'MLQ-DMT-TR1'!$E$11 - 30, 0)</f>
        <v>0</v>
      </c>
      <c r="W137" s="1872">
        <f>((W140 * $O140) + (W141 * $O141)) * X134 * Y137</f>
        <v>0</v>
      </c>
      <c r="X137" s="1871"/>
      <c r="Y137" s="594">
        <f>IF('MLQ-DMT-TR1'!$E$11 &gt; 30, 'MLQ-DMT-TR1'!$E$11 - 30, 0)</f>
        <v>0</v>
      </c>
      <c r="Z137" s="1870">
        <f>SUM(Z140:Z141) * AA134 * AB137</f>
        <v>0</v>
      </c>
      <c r="AA137" s="1871"/>
      <c r="AB137" s="594">
        <f>IF('MLQ-DMT-TR1'!$E$11 &gt; 30, 'MLQ-DMT-TR1'!$E$11 - 30, 0)</f>
        <v>0</v>
      </c>
      <c r="AD137" s="1874" t="s">
        <v>21</v>
      </c>
      <c r="AE137" s="1875" t="s">
        <v>21</v>
      </c>
      <c r="AF137" s="1875" t="s">
        <v>21</v>
      </c>
      <c r="AG137" s="1875" t="s">
        <v>21</v>
      </c>
      <c r="AH137" s="1876" t="s">
        <v>21</v>
      </c>
      <c r="AI137" s="1876" t="str">
        <f t="shared" si="25"/>
        <v/>
      </c>
    </row>
    <row r="138" spans="1:35" s="588" customFormat="1" ht="36" x14ac:dyDescent="0.25">
      <c r="A138" s="587" t="s">
        <v>1852</v>
      </c>
      <c r="B138" s="369" t="s">
        <v>25</v>
      </c>
      <c r="C138" s="123"/>
      <c r="D138" s="589" t="s">
        <v>2013</v>
      </c>
      <c r="E138" s="44" t="s">
        <v>27</v>
      </c>
      <c r="F138" s="214">
        <v>100949</v>
      </c>
      <c r="G138" s="587" t="s">
        <v>791</v>
      </c>
      <c r="H138" s="590" t="s">
        <v>42</v>
      </c>
      <c r="I138" s="591">
        <v>27458.780160000002</v>
      </c>
      <c r="J138" s="592">
        <v>4.28</v>
      </c>
      <c r="K138" s="593">
        <v>0.2033513845915047</v>
      </c>
      <c r="L138" s="592">
        <v>5.1503439260516402</v>
      </c>
      <c r="M138" s="594">
        <v>141422.16161384329</v>
      </c>
      <c r="N138" s="123"/>
      <c r="O138" s="587"/>
      <c r="P138" s="123"/>
      <c r="Q138" s="1870">
        <v>0</v>
      </c>
      <c r="R138" s="1871"/>
      <c r="S138" s="594">
        <v>1</v>
      </c>
      <c r="T138" s="1872">
        <v>18215.648640000003</v>
      </c>
      <c r="U138" s="1873"/>
      <c r="V138" s="608">
        <v>1</v>
      </c>
      <c r="W138" s="1872">
        <v>9243.1315200000008</v>
      </c>
      <c r="X138" s="1871"/>
      <c r="Y138" s="594">
        <v>1</v>
      </c>
      <c r="Z138" s="1870">
        <v>0</v>
      </c>
      <c r="AA138" s="1871"/>
      <c r="AB138" s="594">
        <v>1</v>
      </c>
      <c r="AD138" s="1874">
        <v>19164.685452343248</v>
      </c>
      <c r="AE138" s="1875">
        <v>88884.489425523003</v>
      </c>
      <c r="AF138" s="1875">
        <v>33372.986735977036</v>
      </c>
      <c r="AG138" s="1875">
        <v>0</v>
      </c>
      <c r="AH138" s="1876">
        <v>0</v>
      </c>
      <c r="AI138" s="1876">
        <v>0</v>
      </c>
    </row>
    <row r="139" spans="1:35" s="588" customFormat="1" ht="12" x14ac:dyDescent="0.25">
      <c r="A139" s="587" t="s">
        <v>1849</v>
      </c>
      <c r="B139" s="369"/>
      <c r="C139" s="123"/>
      <c r="D139" s="589" t="s">
        <v>2014</v>
      </c>
      <c r="E139" s="44"/>
      <c r="F139" s="214"/>
      <c r="G139" s="587" t="s">
        <v>1849</v>
      </c>
      <c r="H139" s="590" t="s">
        <v>21</v>
      </c>
      <c r="I139" s="591" t="s">
        <v>21</v>
      </c>
      <c r="J139" s="592" t="s">
        <v>21</v>
      </c>
      <c r="K139" s="593" t="s">
        <v>21</v>
      </c>
      <c r="L139" s="592" t="s">
        <v>21</v>
      </c>
      <c r="M139" s="594" t="s">
        <v>21</v>
      </c>
      <c r="N139" s="123"/>
      <c r="O139" s="587"/>
      <c r="P139" s="123"/>
      <c r="Q139" s="1870"/>
      <c r="R139" s="1871"/>
      <c r="S139" s="594"/>
      <c r="T139" s="1872"/>
      <c r="U139" s="1873"/>
      <c r="V139" s="608"/>
      <c r="W139" s="1872"/>
      <c r="X139" s="1871"/>
      <c r="Y139" s="594"/>
      <c r="Z139" s="1870"/>
      <c r="AA139" s="1871"/>
      <c r="AB139" s="594"/>
      <c r="AD139" s="1874" t="s">
        <v>21</v>
      </c>
      <c r="AE139" s="1875" t="s">
        <v>21</v>
      </c>
      <c r="AF139" s="1875" t="s">
        <v>21</v>
      </c>
      <c r="AG139" s="1875" t="s">
        <v>21</v>
      </c>
      <c r="AH139" s="1876" t="s">
        <v>21</v>
      </c>
      <c r="AI139" s="1876" t="s">
        <v>21</v>
      </c>
    </row>
    <row r="140" spans="1:35" s="588" customFormat="1" ht="60" x14ac:dyDescent="0.25">
      <c r="A140" s="587" t="s">
        <v>958</v>
      </c>
      <c r="B140" s="369" t="s">
        <v>26</v>
      </c>
      <c r="C140" s="123"/>
      <c r="D140" s="589" t="s">
        <v>2015</v>
      </c>
      <c r="E140" s="44" t="s">
        <v>27</v>
      </c>
      <c r="F140" s="214">
        <v>94273</v>
      </c>
      <c r="G140" s="587" t="s">
        <v>514</v>
      </c>
      <c r="H140" s="590" t="s">
        <v>22</v>
      </c>
      <c r="I140" s="605">
        <v>37778.280000000006</v>
      </c>
      <c r="J140" s="592">
        <v>50.51</v>
      </c>
      <c r="K140" s="593">
        <v>0.2033513845915047</v>
      </c>
      <c r="L140" s="592">
        <v>60.781278435716899</v>
      </c>
      <c r="M140" s="594">
        <v>2296212.1555024753</v>
      </c>
      <c r="N140" s="123"/>
      <c r="O140" s="1883">
        <f>0.13+0.15</f>
        <v>0.28000000000000003</v>
      </c>
      <c r="P140" s="123"/>
      <c r="Q140" s="1870"/>
      <c r="R140" s="1871"/>
      <c r="S140" s="594"/>
      <c r="T140" s="1872">
        <v>25884.620000000003</v>
      </c>
      <c r="U140" s="1873"/>
      <c r="V140" s="608"/>
      <c r="W140" s="1872">
        <v>11893.660000000002</v>
      </c>
      <c r="X140" s="1871"/>
      <c r="Y140" s="594"/>
      <c r="Z140" s="1870"/>
      <c r="AA140" s="1871"/>
      <c r="AB140" s="594"/>
      <c r="AD140" s="1874">
        <v>535070.62107036496</v>
      </c>
      <c r="AE140" s="1875">
        <v>1761141.5344321106</v>
      </c>
      <c r="AF140" s="1875">
        <v>0</v>
      </c>
      <c r="AG140" s="1875">
        <v>0</v>
      </c>
      <c r="AH140" s="1876">
        <v>0</v>
      </c>
      <c r="AI140" s="1876">
        <v>-4.6566128730773926E-10</v>
      </c>
    </row>
    <row r="141" spans="1:35" s="588" customFormat="1" ht="60" x14ac:dyDescent="0.25">
      <c r="A141" s="587" t="s">
        <v>959</v>
      </c>
      <c r="B141" s="369" t="s">
        <v>26</v>
      </c>
      <c r="C141" s="123"/>
      <c r="D141" s="589" t="s">
        <v>2016</v>
      </c>
      <c r="E141" s="44" t="s">
        <v>27</v>
      </c>
      <c r="F141" s="214">
        <v>94274</v>
      </c>
      <c r="G141" s="587" t="s">
        <v>513</v>
      </c>
      <c r="H141" s="590" t="s">
        <v>22</v>
      </c>
      <c r="I141" s="605">
        <v>3083</v>
      </c>
      <c r="J141" s="592">
        <v>54.21</v>
      </c>
      <c r="K141" s="593">
        <v>0.2033513845915047</v>
      </c>
      <c r="L141" s="592">
        <v>65.233678558705478</v>
      </c>
      <c r="M141" s="594">
        <v>201115.43099648898</v>
      </c>
      <c r="N141" s="123"/>
      <c r="O141" s="1883">
        <f>0.13+0.15</f>
        <v>0.28000000000000003</v>
      </c>
      <c r="P141" s="123"/>
      <c r="Q141" s="1870"/>
      <c r="R141" s="1871"/>
      <c r="S141" s="594"/>
      <c r="T141" s="1872">
        <v>1222</v>
      </c>
      <c r="U141" s="1873"/>
      <c r="V141" s="608"/>
      <c r="W141" s="1872">
        <v>1861</v>
      </c>
      <c r="X141" s="1871"/>
      <c r="Y141" s="594"/>
      <c r="Z141" s="1870"/>
      <c r="AA141" s="1871"/>
      <c r="AB141" s="594"/>
      <c r="AD141" s="1874">
        <v>53423.025389216775</v>
      </c>
      <c r="AE141" s="1875">
        <v>147692.4056072722</v>
      </c>
      <c r="AF141" s="1875">
        <v>0</v>
      </c>
      <c r="AG141" s="1875">
        <v>0</v>
      </c>
      <c r="AH141" s="1876">
        <v>0</v>
      </c>
      <c r="AI141" s="1876">
        <v>0</v>
      </c>
    </row>
    <row r="142" spans="1:35" s="588" customFormat="1" ht="12" x14ac:dyDescent="0.25">
      <c r="A142" s="587" t="s">
        <v>264</v>
      </c>
      <c r="B142" s="369" t="s">
        <v>26</v>
      </c>
      <c r="C142" s="123"/>
      <c r="D142" s="589" t="s">
        <v>2017</v>
      </c>
      <c r="E142" s="44" t="s">
        <v>27</v>
      </c>
      <c r="F142" s="214" t="s">
        <v>441</v>
      </c>
      <c r="G142" s="587" t="s">
        <v>57</v>
      </c>
      <c r="H142" s="590" t="s">
        <v>51</v>
      </c>
      <c r="I142" s="591">
        <v>11441.158400000002</v>
      </c>
      <c r="J142" s="592">
        <v>4.1505749999999999</v>
      </c>
      <c r="K142" s="593">
        <v>0.2033513845915047</v>
      </c>
      <c r="L142" s="592">
        <v>4.9946001731008849</v>
      </c>
      <c r="M142" s="594">
        <v>57144.011725114651</v>
      </c>
      <c r="N142" s="123"/>
      <c r="O142" s="587"/>
      <c r="P142" s="123"/>
      <c r="Q142" s="1870">
        <v>0</v>
      </c>
      <c r="R142" s="1871"/>
      <c r="S142" s="594"/>
      <c r="T142" s="1872">
        <v>7589.8536000000013</v>
      </c>
      <c r="U142" s="1873"/>
      <c r="V142" s="608"/>
      <c r="W142" s="1872">
        <v>3851.3048000000008</v>
      </c>
      <c r="X142" s="1871"/>
      <c r="Y142" s="594"/>
      <c r="Z142" s="1870">
        <v>0</v>
      </c>
      <c r="AA142" s="1871"/>
      <c r="AB142" s="594"/>
      <c r="AD142" s="1874">
        <v>37751.126085003736</v>
      </c>
      <c r="AE142" s="1875">
        <v>19392.885640110915</v>
      </c>
      <c r="AF142" s="1875">
        <v>0</v>
      </c>
      <c r="AG142" s="1875">
        <v>0</v>
      </c>
      <c r="AH142" s="1876">
        <v>0</v>
      </c>
      <c r="AI142" s="1876">
        <v>0</v>
      </c>
    </row>
    <row r="143" spans="1:35" s="588" customFormat="1" ht="12" x14ac:dyDescent="0.25">
      <c r="A143" s="587"/>
      <c r="B143" s="369"/>
      <c r="C143" s="123"/>
      <c r="D143" s="589"/>
      <c r="E143" s="44"/>
      <c r="F143" s="214"/>
      <c r="G143" s="587" t="s">
        <v>21</v>
      </c>
      <c r="H143" s="590" t="s">
        <v>21</v>
      </c>
      <c r="I143" s="591" t="str">
        <f>IF($F143="","",IF('TRECHO(S) A IMPRIMIR'!$B$1= 1, SUM(Q143, T143, W143, Z143), IF('TRECHO(S) A IMPRIMIR'!$B$1= 2, T143, IF('TRECHO(S) A IMPRIMIR'!$B$1= 3, W143, 0))))</f>
        <v/>
      </c>
      <c r="J143" s="592" t="s">
        <v>21</v>
      </c>
      <c r="K143" s="593" t="str">
        <f t="shared" si="24"/>
        <v/>
      </c>
      <c r="L143" s="592" t="str">
        <f t="shared" ref="L132:L144" si="27">IF(J143="","",
  IF(AND(J143&lt;&gt;"",K143=""),J143,J143 * (1 + K143)))</f>
        <v/>
      </c>
      <c r="M143" s="594" t="str">
        <f t="shared" si="26"/>
        <v/>
      </c>
      <c r="N143" s="123"/>
      <c r="O143" s="587"/>
      <c r="P143" s="123"/>
      <c r="Q143" s="1870"/>
      <c r="R143" s="1871"/>
      <c r="S143" s="594"/>
      <c r="T143" s="1870"/>
      <c r="U143" s="1871"/>
      <c r="V143" s="594"/>
      <c r="W143" s="1870"/>
      <c r="X143" s="1871"/>
      <c r="Y143" s="594"/>
      <c r="Z143" s="1870"/>
      <c r="AA143" s="1871"/>
      <c r="AB143" s="594"/>
      <c r="AD143" s="1874" t="s">
        <v>21</v>
      </c>
      <c r="AE143" s="1875" t="s">
        <v>21</v>
      </c>
      <c r="AF143" s="1875" t="s">
        <v>21</v>
      </c>
      <c r="AG143" s="1875" t="s">
        <v>21</v>
      </c>
      <c r="AH143" s="1876" t="s">
        <v>21</v>
      </c>
      <c r="AI143" s="1876" t="s">
        <v>21</v>
      </c>
    </row>
    <row r="144" spans="1:35" s="588" customFormat="1" thickBot="1" x14ac:dyDescent="0.3">
      <c r="A144" s="587"/>
      <c r="B144" s="369"/>
      <c r="C144" s="123"/>
      <c r="D144" s="589"/>
      <c r="E144" s="44"/>
      <c r="F144" s="214"/>
      <c r="G144" s="587" t="s">
        <v>21</v>
      </c>
      <c r="H144" s="590" t="s">
        <v>21</v>
      </c>
      <c r="I144" s="591" t="str">
        <f>IF($F144="","",IF('TRECHO(S) A IMPRIMIR'!$B$1= 1, SUM(Q144, T144, W144, Z144), IF('TRECHO(S) A IMPRIMIR'!$B$1= 2, T144, IF('TRECHO(S) A IMPRIMIR'!$B$1= 3, W144, 0))))</f>
        <v/>
      </c>
      <c r="J144" s="592" t="s">
        <v>21</v>
      </c>
      <c r="K144" s="593" t="str">
        <f t="shared" si="24"/>
        <v/>
      </c>
      <c r="L144" s="592" t="str">
        <f t="shared" si="27"/>
        <v/>
      </c>
      <c r="M144" s="594" t="str">
        <f t="shared" si="26"/>
        <v/>
      </c>
      <c r="N144" s="123"/>
      <c r="O144" s="587"/>
      <c r="P144" s="123"/>
      <c r="Q144" s="1870"/>
      <c r="R144" s="1871"/>
      <c r="S144" s="594"/>
      <c r="T144" s="1870"/>
      <c r="U144" s="1871"/>
      <c r="V144" s="594"/>
      <c r="W144" s="1870"/>
      <c r="X144" s="1871"/>
      <c r="Y144" s="594"/>
      <c r="Z144" s="1870"/>
      <c r="AA144" s="1871"/>
      <c r="AB144" s="594"/>
      <c r="AD144" s="1874" t="s">
        <v>21</v>
      </c>
      <c r="AE144" s="1875" t="s">
        <v>21</v>
      </c>
      <c r="AF144" s="1875" t="s">
        <v>21</v>
      </c>
      <c r="AG144" s="1875" t="s">
        <v>21</v>
      </c>
      <c r="AH144" s="1876" t="s">
        <v>21</v>
      </c>
      <c r="AI144" s="1876" t="s">
        <v>21</v>
      </c>
    </row>
    <row r="145" spans="1:35" s="3" customFormat="1" x14ac:dyDescent="0.25">
      <c r="A145" s="616"/>
      <c r="B145" s="617"/>
      <c r="C145" s="588"/>
      <c r="D145" s="651" t="s">
        <v>1383</v>
      </c>
      <c r="E145" s="515" t="s">
        <v>1384</v>
      </c>
      <c r="F145" s="516"/>
      <c r="G145" s="652"/>
      <c r="H145" s="652"/>
      <c r="I145" s="653"/>
      <c r="J145" s="654"/>
      <c r="K145" s="655"/>
      <c r="L145" s="654"/>
      <c r="M145" s="656"/>
      <c r="N145" s="40"/>
      <c r="O145" s="688"/>
      <c r="P145" s="361"/>
      <c r="Q145" s="440"/>
      <c r="R145" s="471"/>
      <c r="S145" s="440"/>
      <c r="T145" s="440"/>
      <c r="U145" s="471"/>
      <c r="V145" s="440"/>
      <c r="W145" s="440"/>
      <c r="X145" s="471"/>
      <c r="Y145" s="440"/>
      <c r="Z145" s="440"/>
      <c r="AA145" s="471"/>
      <c r="AB145" s="440"/>
      <c r="AC145" s="672"/>
      <c r="AD145" s="797">
        <v>1762715.046312843</v>
      </c>
      <c r="AE145" s="798">
        <v>12434538.708109632</v>
      </c>
      <c r="AF145" s="798">
        <v>691045.62902129663</v>
      </c>
      <c r="AG145" s="798">
        <v>0</v>
      </c>
      <c r="AH145" s="799">
        <v>10599.765501616943</v>
      </c>
      <c r="AI145" s="800">
        <v>-2.2291803958296441E-9</v>
      </c>
    </row>
    <row r="146" spans="1:35" s="3" customFormat="1" x14ac:dyDescent="0.25">
      <c r="A146" s="623"/>
      <c r="B146" s="624"/>
      <c r="C146" s="588"/>
      <c r="D146" s="625" t="s">
        <v>1385</v>
      </c>
      <c r="E146" s="519"/>
      <c r="F146" s="520"/>
      <c r="G146" s="657"/>
      <c r="H146" s="519"/>
      <c r="I146" s="658"/>
      <c r="J146" s="659"/>
      <c r="K146" s="660"/>
      <c r="L146" s="659"/>
      <c r="M146" s="661"/>
      <c r="N146" s="40"/>
      <c r="O146" s="688"/>
      <c r="P146" s="361"/>
      <c r="Q146" s="440"/>
      <c r="R146" s="471"/>
      <c r="S146" s="440"/>
      <c r="T146" s="440"/>
      <c r="U146" s="471"/>
      <c r="V146" s="440"/>
      <c r="W146" s="440"/>
      <c r="X146" s="471"/>
      <c r="Y146" s="440"/>
      <c r="Z146" s="440"/>
      <c r="AA146" s="471"/>
      <c r="AB146" s="440"/>
      <c r="AC146" s="672"/>
      <c r="AD146" s="440"/>
      <c r="AE146" s="440"/>
      <c r="AF146" s="440"/>
      <c r="AG146" s="440"/>
      <c r="AH146" s="440"/>
      <c r="AI146" s="440"/>
    </row>
    <row r="147" spans="1:35" s="3" customFormat="1" x14ac:dyDescent="0.25">
      <c r="A147" s="623"/>
      <c r="B147" s="624"/>
      <c r="C147" s="588"/>
      <c r="D147" s="631" t="s">
        <v>1386</v>
      </c>
      <c r="E147" s="525"/>
      <c r="F147" s="526"/>
      <c r="G147" s="662"/>
      <c r="H147" s="525"/>
      <c r="I147" s="663"/>
      <c r="J147" s="664"/>
      <c r="K147" s="665"/>
      <c r="L147" s="664"/>
      <c r="M147" s="666"/>
      <c r="N147" s="40"/>
      <c r="O147" s="688"/>
      <c r="P147" s="361"/>
      <c r="Q147" s="440"/>
      <c r="R147" s="471"/>
      <c r="S147" s="440"/>
      <c r="T147" s="440"/>
      <c r="U147" s="471"/>
      <c r="V147" s="440"/>
      <c r="W147" s="440"/>
      <c r="X147" s="471"/>
      <c r="Y147" s="440"/>
      <c r="Z147" s="440"/>
      <c r="AA147" s="471"/>
      <c r="AB147" s="440"/>
      <c r="AC147" s="672"/>
      <c r="AD147" s="440"/>
      <c r="AE147" s="440"/>
      <c r="AF147" s="440"/>
      <c r="AG147" s="440"/>
      <c r="AH147" s="440"/>
      <c r="AI147" s="440"/>
    </row>
    <row r="148" spans="1:35" s="3" customFormat="1" x14ac:dyDescent="0.25">
      <c r="A148" s="623"/>
      <c r="B148" s="624"/>
      <c r="C148" s="588"/>
      <c r="D148" s="631" t="s">
        <v>1535</v>
      </c>
      <c r="E148" s="525"/>
      <c r="F148" s="526"/>
      <c r="G148" s="662"/>
      <c r="H148" s="525"/>
      <c r="I148" s="663"/>
      <c r="J148" s="664"/>
      <c r="K148" s="665"/>
      <c r="L148" s="664"/>
      <c r="M148" s="666"/>
      <c r="N148" s="40"/>
      <c r="O148" s="688"/>
      <c r="P148" s="361"/>
      <c r="Q148" s="440"/>
      <c r="R148" s="471"/>
      <c r="S148" s="440"/>
      <c r="T148" s="440"/>
      <c r="U148" s="471"/>
      <c r="V148" s="440"/>
      <c r="W148" s="440"/>
      <c r="X148" s="471"/>
      <c r="Y148" s="440"/>
      <c r="Z148" s="440"/>
      <c r="AA148" s="471"/>
      <c r="AB148" s="440"/>
      <c r="AC148" s="672"/>
      <c r="AD148" s="440"/>
      <c r="AE148" s="440"/>
      <c r="AF148" s="440"/>
      <c r="AG148" s="440"/>
      <c r="AH148" s="440"/>
      <c r="AI148" s="440"/>
    </row>
    <row r="149" spans="1:35" s="3" customFormat="1" x14ac:dyDescent="0.25">
      <c r="A149" s="623"/>
      <c r="B149" s="624"/>
      <c r="C149" s="588"/>
      <c r="D149" s="631"/>
      <c r="E149" s="525"/>
      <c r="F149" s="526"/>
      <c r="G149" s="662"/>
      <c r="H149" s="525"/>
      <c r="I149" s="663"/>
      <c r="J149" s="664"/>
      <c r="K149" s="665"/>
      <c r="L149" s="664"/>
      <c r="M149" s="666"/>
      <c r="N149" s="40"/>
      <c r="O149" s="688"/>
      <c r="P149" s="361"/>
      <c r="Q149" s="440"/>
      <c r="R149" s="471"/>
      <c r="S149" s="440"/>
      <c r="T149" s="440"/>
      <c r="U149" s="471"/>
      <c r="V149" s="440"/>
      <c r="W149" s="440"/>
      <c r="X149" s="471"/>
      <c r="Y149" s="440"/>
      <c r="Z149" s="440"/>
      <c r="AA149" s="471"/>
      <c r="AB149" s="440"/>
      <c r="AC149" s="672"/>
      <c r="AD149" s="440"/>
      <c r="AE149" s="440"/>
      <c r="AF149" s="440"/>
      <c r="AG149" s="440"/>
      <c r="AH149" s="440"/>
      <c r="AI149" s="440"/>
    </row>
    <row r="150" spans="1:35" s="3" customFormat="1" ht="13.5" thickBot="1" x14ac:dyDescent="0.3">
      <c r="A150" s="623"/>
      <c r="B150" s="624"/>
      <c r="C150" s="588"/>
      <c r="D150" s="637"/>
      <c r="E150" s="527"/>
      <c r="F150" s="528"/>
      <c r="G150" s="667"/>
      <c r="H150" s="527"/>
      <c r="I150" s="668"/>
      <c r="J150" s="669"/>
      <c r="K150" s="670"/>
      <c r="L150" s="669"/>
      <c r="M150" s="671"/>
      <c r="N150" s="40"/>
      <c r="O150" s="688"/>
      <c r="P150" s="361"/>
      <c r="Q150" s="440"/>
      <c r="R150" s="471"/>
      <c r="S150" s="440"/>
      <c r="T150" s="440"/>
      <c r="U150" s="471"/>
      <c r="V150" s="440"/>
      <c r="W150" s="440"/>
      <c r="X150" s="471"/>
      <c r="Y150" s="440"/>
      <c r="Z150" s="440"/>
      <c r="AA150" s="471"/>
      <c r="AB150" s="440"/>
      <c r="AC150" s="672"/>
      <c r="AD150" s="440"/>
      <c r="AE150" s="440"/>
      <c r="AF150" s="440"/>
      <c r="AG150" s="440"/>
      <c r="AH150" s="440"/>
      <c r="AI150" s="440"/>
    </row>
    <row r="151" spans="1:35" x14ac:dyDescent="0.25">
      <c r="A151" s="144"/>
      <c r="D151" s="123" t="str">
        <f>'PSP-RESUMO'!$A$16</f>
        <v>RRT DO ORÇAMENTO: 0</v>
      </c>
      <c r="J151" s="153"/>
      <c r="K151" s="403"/>
      <c r="L151" s="153"/>
      <c r="M151" s="127"/>
      <c r="Q151" s="153"/>
      <c r="R151" s="153"/>
      <c r="S151" s="153"/>
      <c r="T151" s="153"/>
      <c r="U151" s="153"/>
      <c r="V151" s="153"/>
      <c r="W151" s="153"/>
      <c r="X151" s="153"/>
      <c r="Y151" s="153"/>
      <c r="Z151" s="153"/>
      <c r="AA151" s="153"/>
      <c r="AB151" s="153"/>
    </row>
    <row r="152" spans="1:35" ht="11.25" customHeight="1" x14ac:dyDescent="0.25">
      <c r="A152" s="144"/>
      <c r="J152" s="153"/>
      <c r="K152" s="403"/>
      <c r="L152" s="153"/>
      <c r="M152" s="127"/>
      <c r="Q152" s="153"/>
      <c r="R152" s="153"/>
      <c r="S152" s="153"/>
      <c r="T152" s="153"/>
      <c r="U152" s="153"/>
      <c r="V152" s="153"/>
      <c r="W152" s="153"/>
      <c r="X152" s="153"/>
      <c r="Y152" s="153"/>
      <c r="Z152" s="153"/>
      <c r="AA152" s="153"/>
      <c r="AB152" s="153"/>
    </row>
    <row r="153" spans="1:35" ht="11.25" customHeight="1" x14ac:dyDescent="0.25">
      <c r="A153" s="144"/>
      <c r="J153" s="153"/>
      <c r="K153" s="403"/>
      <c r="L153" s="153"/>
      <c r="M153" s="127"/>
      <c r="Q153" s="153"/>
      <c r="R153" s="153"/>
      <c r="S153" s="153"/>
      <c r="T153" s="153"/>
      <c r="U153" s="153"/>
      <c r="V153" s="153"/>
      <c r="W153" s="153"/>
      <c r="X153" s="153"/>
      <c r="Y153" s="153"/>
      <c r="Z153" s="153"/>
      <c r="AA153" s="153"/>
      <c r="AB153" s="153"/>
    </row>
    <row r="154" spans="1:35" ht="11.25" customHeight="1" x14ac:dyDescent="0.25">
      <c r="A154" s="144"/>
      <c r="D154" s="154"/>
      <c r="J154" s="299"/>
    </row>
    <row r="155" spans="1:35" ht="15" x14ac:dyDescent="0.25">
      <c r="A155" s="191" t="s">
        <v>135</v>
      </c>
      <c r="J155" s="492"/>
      <c r="K155" s="795" t="s">
        <v>135</v>
      </c>
      <c r="L155" s="354"/>
      <c r="M155" s="355"/>
    </row>
    <row r="156" spans="1:35" ht="15" x14ac:dyDescent="0.25">
      <c r="A156" s="194" t="s">
        <v>136</v>
      </c>
      <c r="J156" s="356"/>
      <c r="K156" s="796" t="s">
        <v>136</v>
      </c>
      <c r="L156" s="356"/>
      <c r="M156" s="195"/>
    </row>
    <row r="159" spans="1:35" x14ac:dyDescent="0.25">
      <c r="A159" s="147"/>
      <c r="B159" s="148"/>
      <c r="D159" s="145"/>
      <c r="E159" s="146"/>
      <c r="F159" s="147"/>
      <c r="G159" s="147"/>
      <c r="H159" s="147"/>
      <c r="I159" s="147"/>
      <c r="J159" s="148"/>
      <c r="K159" s="149"/>
      <c r="L159" s="121" t="s">
        <v>417</v>
      </c>
      <c r="M159" s="128">
        <v>64249614.318154119</v>
      </c>
      <c r="Q159" s="150">
        <f>SUMPRODUCT(Q$7:Q144,$L$7:$L144)</f>
        <v>0</v>
      </c>
      <c r="R159" s="151"/>
      <c r="S159" s="1100"/>
      <c r="T159" s="150">
        <f>SUMPRODUCT(T$7:T144,$L$7:$L144)</f>
        <v>10195993.210436827</v>
      </c>
      <c r="U159" s="151"/>
      <c r="V159" s="152"/>
      <c r="W159" s="150">
        <f>SUMPRODUCT(W$7:W144,$L$7:$L144)</f>
        <v>4702905.9385085581</v>
      </c>
      <c r="X159" s="151"/>
      <c r="Y159" s="152"/>
      <c r="Z159" s="1101">
        <f>SUMPRODUCT(Z$7:Z144,$L$7:$L144)</f>
        <v>0</v>
      </c>
      <c r="AA159" s="151"/>
      <c r="AB159" s="152"/>
    </row>
    <row r="160" spans="1:35" x14ac:dyDescent="0.25">
      <c r="H160" s="141"/>
      <c r="I160" s="141"/>
      <c r="J160" s="155"/>
      <c r="K160" s="144"/>
      <c r="L160" s="279" t="s">
        <v>392</v>
      </c>
      <c r="M160" s="2">
        <v>14898899.148945386</v>
      </c>
      <c r="Q160" s="141"/>
    </row>
    <row r="161" spans="8:17" x14ac:dyDescent="0.25">
      <c r="H161" s="141"/>
      <c r="I161" s="141"/>
      <c r="J161" s="140"/>
      <c r="K161" s="144"/>
      <c r="L161" s="279" t="s">
        <v>393</v>
      </c>
      <c r="M161" s="2">
        <v>-49350715.169208735</v>
      </c>
      <c r="Q161" s="141"/>
    </row>
    <row r="162" spans="8:17" x14ac:dyDescent="0.25">
      <c r="Q162" s="141"/>
    </row>
    <row r="163" spans="8:17" x14ac:dyDescent="0.25">
      <c r="L163" s="1099" t="s">
        <v>2299</v>
      </c>
      <c r="M163" s="144">
        <v>13.553310000000002</v>
      </c>
    </row>
    <row r="164" spans="8:17" x14ac:dyDescent="0.25">
      <c r="L164" s="1099" t="s">
        <v>2302</v>
      </c>
      <c r="M164" s="144">
        <v>10195993.210436827</v>
      </c>
    </row>
    <row r="165" spans="8:17" x14ac:dyDescent="0.25">
      <c r="L165" s="1099" t="s">
        <v>2305</v>
      </c>
      <c r="M165" s="144">
        <v>752288.05438943149</v>
      </c>
    </row>
    <row r="166" spans="8:17" x14ac:dyDescent="0.25">
      <c r="L166" s="1099"/>
    </row>
    <row r="167" spans="8:17" x14ac:dyDescent="0.25">
      <c r="L167" s="1099" t="s">
        <v>2300</v>
      </c>
      <c r="M167" s="144">
        <v>6.8773300000000006</v>
      </c>
    </row>
    <row r="168" spans="8:17" x14ac:dyDescent="0.25">
      <c r="L168" s="1099" t="s">
        <v>2303</v>
      </c>
      <c r="M168" s="144">
        <v>4702905.9385085581</v>
      </c>
    </row>
    <row r="169" spans="8:17" x14ac:dyDescent="0.25">
      <c r="L169" s="1099" t="s">
        <v>2305</v>
      </c>
      <c r="M169" s="144">
        <v>683827.29031594493</v>
      </c>
    </row>
    <row r="170" spans="8:17" x14ac:dyDescent="0.25">
      <c r="L170" s="1099"/>
    </row>
    <row r="171" spans="8:17" x14ac:dyDescent="0.25">
      <c r="L171" s="1099" t="s">
        <v>2301</v>
      </c>
      <c r="M171" s="144">
        <v>20.430640000000004</v>
      </c>
    </row>
    <row r="172" spans="8:17" x14ac:dyDescent="0.25">
      <c r="L172" s="1099" t="s">
        <v>2304</v>
      </c>
      <c r="M172" s="144">
        <v>64249614.318154119</v>
      </c>
    </row>
    <row r="173" spans="8:17" x14ac:dyDescent="0.25">
      <c r="L173" s="1099" t="s">
        <v>2305</v>
      </c>
      <c r="M173" s="144">
        <v>3144767.5803672378</v>
      </c>
    </row>
    <row r="176" spans="8:17" ht="22.5" x14ac:dyDescent="0.25">
      <c r="M176" s="1494" t="s">
        <v>167</v>
      </c>
      <c r="N176" s="201"/>
      <c r="O176" s="200" t="str">
        <f>VLOOKUP(M176, $F$7:$G$155, 2, FALSE)</f>
        <v>FORNECIMENTO DE EMULSÃO ASFÁLTICA RR-1C ATÉ A USINA NA OBRA (INCLUSIVE ICMS, TRANSPORTE E PEDÁGIOS)</v>
      </c>
    </row>
    <row r="177" spans="13:15" ht="33.75" x14ac:dyDescent="0.25">
      <c r="M177" s="1494" t="s">
        <v>3325</v>
      </c>
      <c r="N177" s="201"/>
      <c r="O177" s="200" t="str">
        <f>VLOOKUP(M177, $F$7:$G$155, 2, FALSE)</f>
        <v>FORNECIMENTO DE EMULSÃO ASFÁLTICA PARA SERVIÇO DE IMPRIMAÇÃO (EAI), ATÉ A USINA NA OBRA (INCLUSIVE ICMS, TRANSPORTE E PEDÁGIOS)</v>
      </c>
    </row>
    <row r="178" spans="13:15" x14ac:dyDescent="0.25">
      <c r="M178" s="1494" t="s">
        <v>3333</v>
      </c>
      <c r="N178" s="201"/>
      <c r="O178" s="200" t="str">
        <f>VLOOKUP(M178, $F$7:$G$155, 2, FALSE)</f>
        <v>FORNECIMENTO DE CAP 50-70</v>
      </c>
    </row>
  </sheetData>
  <autoFilter ref="D7:AC154" xr:uid="{00000000-0009-0000-0000-000000000000}">
    <filterColumn colId="5">
      <filters blank="1">
        <filter val="1.019,65"/>
        <filter val="1.162,38"/>
        <filter val="1.199,59"/>
        <filter val="1.225,89"/>
        <filter val="1.495,10"/>
        <filter val="11.441,16"/>
        <filter val="12.006,64"/>
        <filter val="13.619,38"/>
        <filter val="15.831,03"/>
        <filter val="168,08"/>
        <filter val="2.969,66"/>
        <filter val="20,99"/>
        <filter val="21.134,23"/>
        <filter val="219.670,24"/>
        <filter val="25,36"/>
        <filter val="27.458,78"/>
        <filter val="28.705,84"/>
        <filter val="3,60"/>
        <filter val="3.083,00"/>
        <filter val="3.588,23"/>
        <filter val="37.778,28"/>
        <filter val="4.064,13"/>
        <filter val="4.226,85"/>
        <filter val="479,84"/>
        <filter val="5.997,95"/>
        <filter val="55,41"/>
        <filter val="69,39"/>
        <filter val="7,20"/>
        <filter val="84.042,83"/>
        <filter val="9.974,76"/>
        <filter val="SERVIÇO"/>
      </filters>
    </filterColumn>
  </autoFilter>
  <mergeCells count="14">
    <mergeCell ref="D5:D6"/>
    <mergeCell ref="E5:I6"/>
    <mergeCell ref="B7:B8"/>
    <mergeCell ref="A7:A8"/>
    <mergeCell ref="F7:F8"/>
    <mergeCell ref="D7:D8"/>
    <mergeCell ref="K7:K8"/>
    <mergeCell ref="L7:L8"/>
    <mergeCell ref="J7:J8"/>
    <mergeCell ref="O7:O8"/>
    <mergeCell ref="E7:E8"/>
    <mergeCell ref="M7:M8"/>
    <mergeCell ref="H7:H8"/>
    <mergeCell ref="G7:G8"/>
  </mergeCells>
  <phoneticPr fontId="45" type="noConversion"/>
  <conditionalFormatting sqref="A9:V9 Z9:AI9 A54:AI55 A111:AI111 A128:R128 T128:AA129 A132:AI134 A136:AI136 D137:D138 A140:AI144 A101:AI101 A57:AI57 A56:N56 P56:AI56 A80:AI80 W26 Y26:Z26 AB26:AI26 W74 Y74:Z74 AB74:AI74 AC128:AI130 W23:AI23 A26:D26 A71:AI71 A74:D74 A119:AI119 A38:AI41 A90:AI90 E130:AA130 E129:R129 A129:D130">
    <cfRule type="expression" dxfId="963" priority="466">
      <formula>LEN($D9)= 3</formula>
    </cfRule>
    <cfRule type="expression" dxfId="962" priority="467">
      <formula>AND(LEN($D9)=5,$H9="")</formula>
    </cfRule>
    <cfRule type="expression" dxfId="961" priority="468">
      <formula>AND($D9&lt;&gt;"",$H9="")</formula>
    </cfRule>
  </conditionalFormatting>
  <conditionalFormatting sqref="A10:V10 Z10:AI10 Z12:AI12 A20:N20 Z20:AI20 A12:V12 E16:S16 A16:C16 AA16:AI16 A14:C14 E14:S14 U14:V14 U16:V16 AA14:AI14 Z29:AI31 Z52:AI52 A52:V52 D13:D17 P20:V20 A23:N23 P23:V23 E26:N26 A29:V31 P26:V26 Z43:AI45 A43:V45">
    <cfRule type="expression" dxfId="960" priority="460">
      <formula>LEN($D10)= 3</formula>
    </cfRule>
    <cfRule type="expression" dxfId="959" priority="461">
      <formula>AND(LEN($D10)=5,$H10="")</formula>
    </cfRule>
    <cfRule type="expression" dxfId="958" priority="462">
      <formula>AND($D10&lt;&gt;"",$H10="")</formula>
    </cfRule>
  </conditionalFormatting>
  <conditionalFormatting sqref="W10:Y10 W12:Y12 W20:Y20 X16:Y16 X14:Y14 W29:Y31 W43:Y44 W52:Y52 W45 Y45">
    <cfRule type="expression" dxfId="957" priority="451">
      <formula>LEN($D10)= 3</formula>
    </cfRule>
    <cfRule type="expression" dxfId="956" priority="452">
      <formula>AND(LEN($D10)=5,$H10="")</formula>
    </cfRule>
    <cfRule type="expression" dxfId="955" priority="453">
      <formula>AND($D10&lt;&gt;"",$H10="")</formula>
    </cfRule>
  </conditionalFormatting>
  <conditionalFormatting sqref="W9:Y9">
    <cfRule type="expression" dxfId="954" priority="454">
      <formula>LEN($D9)= 3</formula>
    </cfRule>
    <cfRule type="expression" dxfId="953" priority="455">
      <formula>AND(LEN($D9)=5,$H9="")</formula>
    </cfRule>
    <cfRule type="expression" dxfId="952" priority="456">
      <formula>AND($D9&lt;&gt;"",$H9="")</formula>
    </cfRule>
  </conditionalFormatting>
  <conditionalFormatting sqref="W11:Y11">
    <cfRule type="expression" dxfId="951" priority="445">
      <formula>LEN($D11)= 3</formula>
    </cfRule>
    <cfRule type="expression" dxfId="950" priority="446">
      <formula>AND(LEN($D11)=5,$H11="")</formula>
    </cfRule>
    <cfRule type="expression" dxfId="949" priority="447">
      <formula>AND($D11&lt;&gt;"",$H11="")</formula>
    </cfRule>
  </conditionalFormatting>
  <conditionalFormatting sqref="Z11:AI11 A11:V11">
    <cfRule type="expression" dxfId="948" priority="448">
      <formula>LEN($D11)= 3</formula>
    </cfRule>
    <cfRule type="expression" dxfId="947" priority="449">
      <formula>AND(LEN($D11)=5,$H11="")</formula>
    </cfRule>
    <cfRule type="expression" dxfId="946" priority="450">
      <formula>AND($D11&lt;&gt;"",$H11="")</formula>
    </cfRule>
  </conditionalFormatting>
  <conditionalFormatting sqref="W17:Y18">
    <cfRule type="expression" dxfId="945" priority="439">
      <formula>LEN($D17)= 3</formula>
    </cfRule>
    <cfRule type="expression" dxfId="944" priority="440">
      <formula>AND(LEN($D17)=5,$H17="")</formula>
    </cfRule>
    <cfRule type="expression" dxfId="943" priority="441">
      <formula>AND($D17&lt;&gt;"",$H17="")</formula>
    </cfRule>
  </conditionalFormatting>
  <conditionalFormatting sqref="W19:Y19">
    <cfRule type="expression" dxfId="942" priority="433">
      <formula>LEN($D19)= 3</formula>
    </cfRule>
    <cfRule type="expression" dxfId="941" priority="434">
      <formula>AND(LEN($D19)=5,$H19="")</formula>
    </cfRule>
    <cfRule type="expression" dxfId="940" priority="435">
      <formula>AND($D19&lt;&gt;"",$H19="")</formula>
    </cfRule>
  </conditionalFormatting>
  <conditionalFormatting sqref="Z17:AI18 A18:V18 A17:C17 E17:V17">
    <cfRule type="expression" dxfId="939" priority="442">
      <formula>LEN($D17)= 3</formula>
    </cfRule>
    <cfRule type="expression" dxfId="938" priority="443">
      <formula>AND(LEN($D17)=5,$H17="")</formula>
    </cfRule>
    <cfRule type="expression" dxfId="937" priority="444">
      <formula>AND($D17&lt;&gt;"",$H17="")</formula>
    </cfRule>
  </conditionalFormatting>
  <conditionalFormatting sqref="W21:Y22">
    <cfRule type="expression" dxfId="936" priority="427">
      <formula>LEN($D21)= 3</formula>
    </cfRule>
    <cfRule type="expression" dxfId="935" priority="428">
      <formula>AND(LEN($D21)=5,$H21="")</formula>
    </cfRule>
    <cfRule type="expression" dxfId="934" priority="429">
      <formula>AND($D21&lt;&gt;"",$H21="")</formula>
    </cfRule>
  </conditionalFormatting>
  <conditionalFormatting sqref="Z19:AI19 A19:V19">
    <cfRule type="expression" dxfId="933" priority="436">
      <formula>LEN($D19)= 3</formula>
    </cfRule>
    <cfRule type="expression" dxfId="932" priority="437">
      <formula>AND(LEN($D19)=5,$H19="")</formula>
    </cfRule>
    <cfRule type="expression" dxfId="931" priority="438">
      <formula>AND($D19&lt;&gt;"",$H19="")</formula>
    </cfRule>
  </conditionalFormatting>
  <conditionalFormatting sqref="Z15">
    <cfRule type="expression" dxfId="930" priority="403">
      <formula>LEN($D15)= 3</formula>
    </cfRule>
    <cfRule type="expression" dxfId="929" priority="404">
      <formula>AND(LEN($D15)=5,$H15="")</formula>
    </cfRule>
    <cfRule type="expression" dxfId="928" priority="405">
      <formula>AND($D15&lt;&gt;"",$H15="")</formula>
    </cfRule>
  </conditionalFormatting>
  <conditionalFormatting sqref="Z21:AI22 A21:V22">
    <cfRule type="expression" dxfId="927" priority="430">
      <formula>LEN($D21)= 3</formula>
    </cfRule>
    <cfRule type="expression" dxfId="926" priority="431">
      <formula>AND(LEN($D21)=5,$H21="")</formula>
    </cfRule>
    <cfRule type="expression" dxfId="925" priority="432">
      <formula>AND($D21&lt;&gt;"",$H21="")</formula>
    </cfRule>
  </conditionalFormatting>
  <conditionalFormatting sqref="X15:Y15">
    <cfRule type="expression" dxfId="924" priority="421">
      <formula>LEN($D15)= 3</formula>
    </cfRule>
    <cfRule type="expression" dxfId="923" priority="422">
      <formula>AND(LEN($D15)=5,$H15="")</formula>
    </cfRule>
    <cfRule type="expression" dxfId="922" priority="423">
      <formula>AND($D15&lt;&gt;"",$H15="")</formula>
    </cfRule>
  </conditionalFormatting>
  <conditionalFormatting sqref="AA15:AI15 A15:C15 E15:S15 U15:V15">
    <cfRule type="expression" dxfId="921" priority="424">
      <formula>LEN($D15)= 3</formula>
    </cfRule>
    <cfRule type="expression" dxfId="920" priority="425">
      <formula>AND(LEN($D15)=5,$H15="")</formula>
    </cfRule>
    <cfRule type="expression" dxfId="919" priority="426">
      <formula>AND($D15&lt;&gt;"",$H15="")</formula>
    </cfRule>
  </conditionalFormatting>
  <conditionalFormatting sqref="T16 T14">
    <cfRule type="expression" dxfId="918" priority="418">
      <formula>LEN($D14)= 3</formula>
    </cfRule>
    <cfRule type="expression" dxfId="917" priority="419">
      <formula>AND(LEN($D14)=5,$H14="")</formula>
    </cfRule>
    <cfRule type="expression" dxfId="916" priority="420">
      <formula>AND($D14&lt;&gt;"",$H14="")</formula>
    </cfRule>
  </conditionalFormatting>
  <conditionalFormatting sqref="T15">
    <cfRule type="expression" dxfId="915" priority="415">
      <formula>LEN($D15)= 3</formula>
    </cfRule>
    <cfRule type="expression" dxfId="914" priority="416">
      <formula>AND(LEN($D15)=5,$H15="")</formula>
    </cfRule>
    <cfRule type="expression" dxfId="913" priority="417">
      <formula>AND($D15&lt;&gt;"",$H15="")</formula>
    </cfRule>
  </conditionalFormatting>
  <conditionalFormatting sqref="W16 W14">
    <cfRule type="expression" dxfId="912" priority="412">
      <formula>LEN($D14)= 3</formula>
    </cfRule>
    <cfRule type="expression" dxfId="911" priority="413">
      <formula>AND(LEN($D14)=5,$H14="")</formula>
    </cfRule>
    <cfRule type="expression" dxfId="910" priority="414">
      <formula>AND($D14&lt;&gt;"",$H14="")</formula>
    </cfRule>
  </conditionalFormatting>
  <conditionalFormatting sqref="W15">
    <cfRule type="expression" dxfId="909" priority="409">
      <formula>LEN($D15)= 3</formula>
    </cfRule>
    <cfRule type="expression" dxfId="908" priority="410">
      <formula>AND(LEN($D15)=5,$H15="")</formula>
    </cfRule>
    <cfRule type="expression" dxfId="907" priority="411">
      <formula>AND($D15&lt;&gt;"",$H15="")</formula>
    </cfRule>
  </conditionalFormatting>
  <conditionalFormatting sqref="Z16 Z14">
    <cfRule type="expression" dxfId="906" priority="406">
      <formula>LEN($D14)= 3</formula>
    </cfRule>
    <cfRule type="expression" dxfId="905" priority="407">
      <formula>AND(LEN($D14)=5,$H14="")</formula>
    </cfRule>
    <cfRule type="expression" dxfId="904" priority="408">
      <formula>AND($D14&lt;&gt;"",$H14="")</formula>
    </cfRule>
  </conditionalFormatting>
  <conditionalFormatting sqref="W24:Y25">
    <cfRule type="expression" dxfId="903" priority="397">
      <formula>LEN($D24)= 3</formula>
    </cfRule>
    <cfRule type="expression" dxfId="902" priority="398">
      <formula>AND(LEN($D24)=5,$H24="")</formula>
    </cfRule>
    <cfRule type="expression" dxfId="901" priority="399">
      <formula>AND($D24&lt;&gt;"",$H24="")</formula>
    </cfRule>
  </conditionalFormatting>
  <conditionalFormatting sqref="Z24:AI25 A24:V25">
    <cfRule type="expression" dxfId="900" priority="400">
      <formula>LEN($D24)= 3</formula>
    </cfRule>
    <cfRule type="expression" dxfId="899" priority="401">
      <formula>AND(LEN($D24)=5,$H24="")</formula>
    </cfRule>
    <cfRule type="expression" dxfId="898" priority="402">
      <formula>AND($D24&lt;&gt;"",$H24="")</formula>
    </cfRule>
  </conditionalFormatting>
  <conditionalFormatting sqref="W27:Y28">
    <cfRule type="expression" dxfId="897" priority="385">
      <formula>LEN($D27)= 3</formula>
    </cfRule>
    <cfRule type="expression" dxfId="896" priority="386">
      <formula>AND(LEN($D27)=5,$H27="")</formula>
    </cfRule>
    <cfRule type="expression" dxfId="895" priority="387">
      <formula>AND($D27&lt;&gt;"",$H27="")</formula>
    </cfRule>
  </conditionalFormatting>
  <conditionalFormatting sqref="W32:Y32 W42:Y42">
    <cfRule type="expression" dxfId="894" priority="379">
      <formula>LEN($D32)= 3</formula>
    </cfRule>
    <cfRule type="expression" dxfId="893" priority="380">
      <formula>AND(LEN($D32)=5,$H32="")</formula>
    </cfRule>
    <cfRule type="expression" dxfId="892" priority="381">
      <formula>AND($D32&lt;&gt;"",$H32="")</formula>
    </cfRule>
  </conditionalFormatting>
  <conditionalFormatting sqref="Z27:AI28 A27:V28">
    <cfRule type="expression" dxfId="891" priority="388">
      <formula>LEN($D27)= 3</formula>
    </cfRule>
    <cfRule type="expression" dxfId="890" priority="389">
      <formula>AND(LEN($D27)=5,$H27="")</formula>
    </cfRule>
    <cfRule type="expression" dxfId="889" priority="390">
      <formula>AND($D27&lt;&gt;"",$H27="")</formula>
    </cfRule>
  </conditionalFormatting>
  <conditionalFormatting sqref="W46:Y47">
    <cfRule type="expression" dxfId="888" priority="373">
      <formula>LEN($D46)= 3</formula>
    </cfRule>
    <cfRule type="expression" dxfId="887" priority="374">
      <formula>AND(LEN($D46)=5,$H46="")</formula>
    </cfRule>
    <cfRule type="expression" dxfId="886" priority="375">
      <formula>AND($D46&lt;&gt;"",$H46="")</formula>
    </cfRule>
  </conditionalFormatting>
  <conditionalFormatting sqref="Z32:AI32 A32:V32 A42:V42 Z42:AI42">
    <cfRule type="expression" dxfId="885" priority="382">
      <formula>LEN($D32)= 3</formula>
    </cfRule>
    <cfRule type="expression" dxfId="884" priority="383">
      <formula>AND(LEN($D32)=5,$H32="")</formula>
    </cfRule>
    <cfRule type="expression" dxfId="883" priority="384">
      <formula>AND($D32&lt;&gt;"",$H32="")</formula>
    </cfRule>
  </conditionalFormatting>
  <conditionalFormatting sqref="W48:Y51">
    <cfRule type="expression" dxfId="882" priority="367">
      <formula>LEN($D48)= 3</formula>
    </cfRule>
    <cfRule type="expression" dxfId="881" priority="368">
      <formula>AND(LEN($D48)=5,$H48="")</formula>
    </cfRule>
    <cfRule type="expression" dxfId="880" priority="369">
      <formula>AND($D48&lt;&gt;"",$H48="")</formula>
    </cfRule>
  </conditionalFormatting>
  <conditionalFormatting sqref="Z46:AI47 A46:V47">
    <cfRule type="expression" dxfId="879" priority="376">
      <formula>LEN($D46)= 3</formula>
    </cfRule>
    <cfRule type="expression" dxfId="878" priority="377">
      <formula>AND(LEN($D46)=5,$H46="")</formula>
    </cfRule>
    <cfRule type="expression" dxfId="877" priority="378">
      <formula>AND($D46&lt;&gt;"",$H46="")</formula>
    </cfRule>
  </conditionalFormatting>
  <conditionalFormatting sqref="S49">
    <cfRule type="expression" dxfId="876" priority="355">
      <formula>LEN($D49)= 3</formula>
    </cfRule>
    <cfRule type="expression" dxfId="875" priority="356">
      <formula>AND(LEN($D49)=5,$H49="")</formula>
    </cfRule>
    <cfRule type="expression" dxfId="874" priority="357">
      <formula>AND($D49&lt;&gt;"",$H49="")</formula>
    </cfRule>
  </conditionalFormatting>
  <conditionalFormatting sqref="A48:V48 A51:V51 A49:N50 T49:V50 Z48:AI51 P49:R50">
    <cfRule type="expression" dxfId="873" priority="370">
      <formula>LEN($D48)= 3</formula>
    </cfRule>
    <cfRule type="expression" dxfId="872" priority="371">
      <formula>AND(LEN($D48)=5,$H48="")</formula>
    </cfRule>
    <cfRule type="expression" dxfId="871" priority="372">
      <formula>AND($D48&lt;&gt;"",$H48="")</formula>
    </cfRule>
  </conditionalFormatting>
  <conditionalFormatting sqref="W53:Y53">
    <cfRule type="expression" dxfId="870" priority="361">
      <formula>LEN($D53)= 3</formula>
    </cfRule>
    <cfRule type="expression" dxfId="869" priority="362">
      <formula>AND(LEN($D53)=5,$H53="")</formula>
    </cfRule>
    <cfRule type="expression" dxfId="868" priority="363">
      <formula>AND($D53&lt;&gt;"",$H53="")</formula>
    </cfRule>
  </conditionalFormatting>
  <conditionalFormatting sqref="Z53:AI53 A53:V53">
    <cfRule type="expression" dxfId="867" priority="364">
      <formula>LEN($D53)= 3</formula>
    </cfRule>
    <cfRule type="expression" dxfId="866" priority="365">
      <formula>AND(LEN($D53)=5,$H53="")</formula>
    </cfRule>
    <cfRule type="expression" dxfId="865" priority="366">
      <formula>AND($D53&lt;&gt;"",$H53="")</formula>
    </cfRule>
  </conditionalFormatting>
  <conditionalFormatting sqref="S50">
    <cfRule type="expression" dxfId="864" priority="358">
      <formula>LEN($D50)= 3</formula>
    </cfRule>
    <cfRule type="expression" dxfId="863" priority="359">
      <formula>AND(LEN($D50)=5,$H50="")</formula>
    </cfRule>
    <cfRule type="expression" dxfId="862" priority="360">
      <formula>AND($D50&lt;&gt;"",$H50="")</formula>
    </cfRule>
  </conditionalFormatting>
  <conditionalFormatting sqref="A110:AI110">
    <cfRule type="expression" dxfId="861" priority="352">
      <formula>LEN($D110)= 3</formula>
    </cfRule>
    <cfRule type="expression" dxfId="860" priority="353">
      <formula>AND(LEN($D110)=5,$H110="")</formula>
    </cfRule>
    <cfRule type="expression" dxfId="859" priority="354">
      <formula>AND($D110&lt;&gt;"",$H110="")</formula>
    </cfRule>
  </conditionalFormatting>
  <conditionalFormatting sqref="A112:AI112 A118:AI118">
    <cfRule type="expression" dxfId="858" priority="349">
      <formula>LEN($D112)= 3</formula>
    </cfRule>
    <cfRule type="expression" dxfId="857" priority="350">
      <formula>AND(LEN($D112)=5,$H112="")</formula>
    </cfRule>
    <cfRule type="expression" dxfId="856" priority="351">
      <formula>AND($D112&lt;&gt;"",$H112="")</formula>
    </cfRule>
  </conditionalFormatting>
  <conditionalFormatting sqref="A120:AI120 A127:AI127">
    <cfRule type="expression" dxfId="855" priority="346">
      <formula>LEN($D120)= 3</formula>
    </cfRule>
    <cfRule type="expression" dxfId="854" priority="347">
      <formula>AND(LEN($D120)=5,$H120="")</formula>
    </cfRule>
    <cfRule type="expression" dxfId="853" priority="348">
      <formula>AND($D120&lt;&gt;"",$H120="")</formula>
    </cfRule>
  </conditionalFormatting>
  <conditionalFormatting sqref="A121:AI121">
    <cfRule type="expression" dxfId="852" priority="343">
      <formula>LEN($D121)= 3</formula>
    </cfRule>
    <cfRule type="expression" dxfId="851" priority="344">
      <formula>AND(LEN($D121)=5,$H121="")</formula>
    </cfRule>
    <cfRule type="expression" dxfId="850" priority="345">
      <formula>AND($D121&lt;&gt;"",$H121="")</formula>
    </cfRule>
  </conditionalFormatting>
  <conditionalFormatting sqref="A131:AI131">
    <cfRule type="expression" dxfId="849" priority="340">
      <formula>LEN($D131)= 3</formula>
    </cfRule>
    <cfRule type="expression" dxfId="848" priority="341">
      <formula>AND(LEN($D131)=5,$H131="")</formula>
    </cfRule>
    <cfRule type="expression" dxfId="847" priority="342">
      <formula>AND($D131&lt;&gt;"",$H131="")</formula>
    </cfRule>
  </conditionalFormatting>
  <conditionalFormatting sqref="S128">
    <cfRule type="expression" dxfId="846" priority="334">
      <formula>LEN($D128)= 3</formula>
    </cfRule>
    <cfRule type="expression" dxfId="845" priority="335">
      <formula>AND(LEN($D128)=5,$H128="")</formula>
    </cfRule>
    <cfRule type="expression" dxfId="844" priority="336">
      <formula>AND($D128&lt;&gt;"",$H128="")</formula>
    </cfRule>
  </conditionalFormatting>
  <conditionalFormatting sqref="S129">
    <cfRule type="expression" dxfId="843" priority="337">
      <formula>LEN($D129)= 3</formula>
    </cfRule>
    <cfRule type="expression" dxfId="842" priority="338">
      <formula>AND(LEN($D129)=5,$H129="")</formula>
    </cfRule>
    <cfRule type="expression" dxfId="841" priority="339">
      <formula>AND($D129&lt;&gt;"",$H129="")</formula>
    </cfRule>
  </conditionalFormatting>
  <conditionalFormatting sqref="A137:C138 G138:R138 E137:AI137 T138:AI138">
    <cfRule type="expression" dxfId="840" priority="331">
      <formula>LEN($D137)= 3</formula>
    </cfRule>
    <cfRule type="expression" dxfId="839" priority="332">
      <formula>AND(LEN($D137)=5,$H137="")</formula>
    </cfRule>
    <cfRule type="expression" dxfId="838" priority="333">
      <formula>AND($D137&lt;&gt;"",$H137="")</formula>
    </cfRule>
  </conditionalFormatting>
  <conditionalFormatting sqref="A135:AI135">
    <cfRule type="expression" dxfId="837" priority="328">
      <formula>LEN($D135)= 3</formula>
    </cfRule>
    <cfRule type="expression" dxfId="836" priority="329">
      <formula>AND(LEN($D135)=5,$H135="")</formula>
    </cfRule>
    <cfRule type="expression" dxfId="835" priority="330">
      <formula>AND($D135&lt;&gt;"",$H135="")</formula>
    </cfRule>
  </conditionalFormatting>
  <conditionalFormatting sqref="A139:AI139">
    <cfRule type="expression" dxfId="834" priority="325">
      <formula>LEN($D139)= 3</formula>
    </cfRule>
    <cfRule type="expression" dxfId="833" priority="326">
      <formula>AND(LEN($D139)=5,$H139="")</formula>
    </cfRule>
    <cfRule type="expression" dxfId="832" priority="327">
      <formula>AND($D139&lt;&gt;"",$H139="")</formula>
    </cfRule>
  </conditionalFormatting>
  <conditionalFormatting sqref="E138:F138">
    <cfRule type="expression" dxfId="831" priority="322">
      <formula>LEN($D138)= 3</formula>
    </cfRule>
    <cfRule type="expression" dxfId="830" priority="323">
      <formula>AND(LEN($D138)=5,$H138="")</formula>
    </cfRule>
    <cfRule type="expression" dxfId="829" priority="324">
      <formula>AND($D138&lt;&gt;"",$H138="")</formula>
    </cfRule>
  </conditionalFormatting>
  <conditionalFormatting sqref="S138">
    <cfRule type="expression" dxfId="828" priority="319">
      <formula>LEN($D138)= 3</formula>
    </cfRule>
    <cfRule type="expression" dxfId="827" priority="320">
      <formula>AND(LEN($D138)=5,$H138="")</formula>
    </cfRule>
    <cfRule type="expression" dxfId="826" priority="321">
      <formula>AND($D138&lt;&gt;"",$H138="")</formula>
    </cfRule>
  </conditionalFormatting>
  <conditionalFormatting sqref="Z13:AI13 A13:C13 E13:V13">
    <cfRule type="expression" dxfId="825" priority="307">
      <formula>LEN($D13)= 3</formula>
    </cfRule>
    <cfRule type="expression" dxfId="824" priority="308">
      <formula>AND(LEN($D13)=5,$H13="")</formula>
    </cfRule>
    <cfRule type="expression" dxfId="823" priority="309">
      <formula>AND($D13&lt;&gt;"",$H13="")</formula>
    </cfRule>
  </conditionalFormatting>
  <conditionalFormatting sqref="W13:Y13">
    <cfRule type="expression" dxfId="822" priority="304">
      <formula>LEN($D13)= 3</formula>
    </cfRule>
    <cfRule type="expression" dxfId="821" priority="305">
      <formula>AND(LEN($D13)=5,$H13="")</formula>
    </cfRule>
    <cfRule type="expression" dxfId="820" priority="306">
      <formula>AND($D13&lt;&gt;"",$H13="")</formula>
    </cfRule>
  </conditionalFormatting>
  <conditionalFormatting sqref="A97:AI98 A100:AI100 A99:N99 P99:AI99">
    <cfRule type="expression" dxfId="819" priority="301">
      <formula>LEN($D97)= 3</formula>
    </cfRule>
    <cfRule type="expression" dxfId="818" priority="302">
      <formula>AND(LEN($D97)=5,$H97="")</formula>
    </cfRule>
    <cfRule type="expression" dxfId="817" priority="303">
      <formula>AND($D97&lt;&gt;"",$H97="")</formula>
    </cfRule>
  </conditionalFormatting>
  <conditionalFormatting sqref="A58:V58 Z58:AI58 Z60:AI60 Z68:AI68 A60:V60 E64:S64 A64:C64 AA64:AI64 A62:C62 E62:S62 U62:V62 U64:V64 AA62:AI62 Z77:AI79 Z95:AI95 A95:V95 A77:V79 D61:D65 A68:V68 E74:V74">
    <cfRule type="expression" dxfId="816" priority="298">
      <formula>LEN($D58)= 3</formula>
    </cfRule>
    <cfRule type="expression" dxfId="815" priority="299">
      <formula>AND(LEN($D58)=5,$H58="")</formula>
    </cfRule>
    <cfRule type="expression" dxfId="814" priority="300">
      <formula>AND($D58&lt;&gt;"",$H58="")</formula>
    </cfRule>
  </conditionalFormatting>
  <conditionalFormatting sqref="W58:Y58 W60:Y60 W68:Y68 X64:Y64 X62:Y62 W77:Y78 W95:Y95 W79 Y79">
    <cfRule type="expression" dxfId="813" priority="295">
      <formula>LEN($D58)= 3</formula>
    </cfRule>
    <cfRule type="expression" dxfId="812" priority="296">
      <formula>AND(LEN($D58)=5,$H58="")</formula>
    </cfRule>
    <cfRule type="expression" dxfId="811" priority="297">
      <formula>AND($D58&lt;&gt;"",$H58="")</formula>
    </cfRule>
  </conditionalFormatting>
  <conditionalFormatting sqref="W59:Y59">
    <cfRule type="expression" dxfId="810" priority="289">
      <formula>LEN($D59)= 3</formula>
    </cfRule>
    <cfRule type="expression" dxfId="809" priority="290">
      <formula>AND(LEN($D59)=5,$H59="")</formula>
    </cfRule>
    <cfRule type="expression" dxfId="808" priority="291">
      <formula>AND($D59&lt;&gt;"",$H59="")</formula>
    </cfRule>
  </conditionalFormatting>
  <conditionalFormatting sqref="Z59:AI59 A59:V59">
    <cfRule type="expression" dxfId="807" priority="292">
      <formula>LEN($D59)= 3</formula>
    </cfRule>
    <cfRule type="expression" dxfId="806" priority="293">
      <formula>AND(LEN($D59)=5,$H59="")</formula>
    </cfRule>
    <cfRule type="expression" dxfId="805" priority="294">
      <formula>AND($D59&lt;&gt;"",$H59="")</formula>
    </cfRule>
  </conditionalFormatting>
  <conditionalFormatting sqref="W65:Y66">
    <cfRule type="expression" dxfId="804" priority="283">
      <formula>LEN($D65)= 3</formula>
    </cfRule>
    <cfRule type="expression" dxfId="803" priority="284">
      <formula>AND(LEN($D65)=5,$H65="")</formula>
    </cfRule>
    <cfRule type="expression" dxfId="802" priority="285">
      <formula>AND($D65&lt;&gt;"",$H65="")</formula>
    </cfRule>
  </conditionalFormatting>
  <conditionalFormatting sqref="W67:Y67">
    <cfRule type="expression" dxfId="801" priority="277">
      <formula>LEN($D67)= 3</formula>
    </cfRule>
    <cfRule type="expression" dxfId="800" priority="278">
      <formula>AND(LEN($D67)=5,$H67="")</formula>
    </cfRule>
    <cfRule type="expression" dxfId="799" priority="279">
      <formula>AND($D67&lt;&gt;"",$H67="")</formula>
    </cfRule>
  </conditionalFormatting>
  <conditionalFormatting sqref="Z65:AI66 A66:V66 A65:C65 E65:V65">
    <cfRule type="expression" dxfId="798" priority="286">
      <formula>LEN($D65)= 3</formula>
    </cfRule>
    <cfRule type="expression" dxfId="797" priority="287">
      <formula>AND(LEN($D65)=5,$H65="")</formula>
    </cfRule>
    <cfRule type="expression" dxfId="796" priority="288">
      <formula>AND($D65&lt;&gt;"",$H65="")</formula>
    </cfRule>
  </conditionalFormatting>
  <conditionalFormatting sqref="W69:Y70">
    <cfRule type="expression" dxfId="795" priority="271">
      <formula>LEN($D69)= 3</formula>
    </cfRule>
    <cfRule type="expression" dxfId="794" priority="272">
      <formula>AND(LEN($D69)=5,$H69="")</formula>
    </cfRule>
    <cfRule type="expression" dxfId="793" priority="273">
      <formula>AND($D69&lt;&gt;"",$H69="")</formula>
    </cfRule>
  </conditionalFormatting>
  <conditionalFormatting sqref="Z67:AI67 A67:V67">
    <cfRule type="expression" dxfId="792" priority="280">
      <formula>LEN($D67)= 3</formula>
    </cfRule>
    <cfRule type="expression" dxfId="791" priority="281">
      <formula>AND(LEN($D67)=5,$H67="")</formula>
    </cfRule>
    <cfRule type="expression" dxfId="790" priority="282">
      <formula>AND($D67&lt;&gt;"",$H67="")</formula>
    </cfRule>
  </conditionalFormatting>
  <conditionalFormatting sqref="Z63">
    <cfRule type="expression" dxfId="789" priority="247">
      <formula>LEN($D63)= 3</formula>
    </cfRule>
    <cfRule type="expression" dxfId="788" priority="248">
      <formula>AND(LEN($D63)=5,$H63="")</formula>
    </cfRule>
    <cfRule type="expression" dxfId="787" priority="249">
      <formula>AND($D63&lt;&gt;"",$H63="")</formula>
    </cfRule>
  </conditionalFormatting>
  <conditionalFormatting sqref="Z69:AI70 A69:V70">
    <cfRule type="expression" dxfId="786" priority="274">
      <formula>LEN($D69)= 3</formula>
    </cfRule>
    <cfRule type="expression" dxfId="785" priority="275">
      <formula>AND(LEN($D69)=5,$H69="")</formula>
    </cfRule>
    <cfRule type="expression" dxfId="784" priority="276">
      <formula>AND($D69&lt;&gt;"",$H69="")</formula>
    </cfRule>
  </conditionalFormatting>
  <conditionalFormatting sqref="X63:Y63">
    <cfRule type="expression" dxfId="783" priority="265">
      <formula>LEN($D63)= 3</formula>
    </cfRule>
    <cfRule type="expression" dxfId="782" priority="266">
      <formula>AND(LEN($D63)=5,$H63="")</formula>
    </cfRule>
    <cfRule type="expression" dxfId="781" priority="267">
      <formula>AND($D63&lt;&gt;"",$H63="")</formula>
    </cfRule>
  </conditionalFormatting>
  <conditionalFormatting sqref="AA63:AI63 A63:C63 E63:S63 U63:V63">
    <cfRule type="expression" dxfId="780" priority="268">
      <formula>LEN($D63)= 3</formula>
    </cfRule>
    <cfRule type="expression" dxfId="779" priority="269">
      <formula>AND(LEN($D63)=5,$H63="")</formula>
    </cfRule>
    <cfRule type="expression" dxfId="778" priority="270">
      <formula>AND($D63&lt;&gt;"",$H63="")</formula>
    </cfRule>
  </conditionalFormatting>
  <conditionalFormatting sqref="T64 T62">
    <cfRule type="expression" dxfId="777" priority="262">
      <formula>LEN($D62)= 3</formula>
    </cfRule>
    <cfRule type="expression" dxfId="776" priority="263">
      <formula>AND(LEN($D62)=5,$H62="")</formula>
    </cfRule>
    <cfRule type="expression" dxfId="775" priority="264">
      <formula>AND($D62&lt;&gt;"",$H62="")</formula>
    </cfRule>
  </conditionalFormatting>
  <conditionalFormatting sqref="T63">
    <cfRule type="expression" dxfId="774" priority="259">
      <formula>LEN($D63)= 3</formula>
    </cfRule>
    <cfRule type="expression" dxfId="773" priority="260">
      <formula>AND(LEN($D63)=5,$H63="")</formula>
    </cfRule>
    <cfRule type="expression" dxfId="772" priority="261">
      <formula>AND($D63&lt;&gt;"",$H63="")</formula>
    </cfRule>
  </conditionalFormatting>
  <conditionalFormatting sqref="W64 W62">
    <cfRule type="expression" dxfId="771" priority="256">
      <formula>LEN($D62)= 3</formula>
    </cfRule>
    <cfRule type="expression" dxfId="770" priority="257">
      <formula>AND(LEN($D62)=5,$H62="")</formula>
    </cfRule>
    <cfRule type="expression" dxfId="769" priority="258">
      <formula>AND($D62&lt;&gt;"",$H62="")</formula>
    </cfRule>
  </conditionalFormatting>
  <conditionalFormatting sqref="W63">
    <cfRule type="expression" dxfId="768" priority="253">
      <formula>LEN($D63)= 3</formula>
    </cfRule>
    <cfRule type="expression" dxfId="767" priority="254">
      <formula>AND(LEN($D63)=5,$H63="")</formula>
    </cfRule>
    <cfRule type="expression" dxfId="766" priority="255">
      <formula>AND($D63&lt;&gt;"",$H63="")</formula>
    </cfRule>
  </conditionalFormatting>
  <conditionalFormatting sqref="Z64 Z62">
    <cfRule type="expression" dxfId="765" priority="250">
      <formula>LEN($D62)= 3</formula>
    </cfRule>
    <cfRule type="expression" dxfId="764" priority="251">
      <formula>AND(LEN($D62)=5,$H62="")</formula>
    </cfRule>
    <cfRule type="expression" dxfId="763" priority="252">
      <formula>AND($D62&lt;&gt;"",$H62="")</formula>
    </cfRule>
  </conditionalFormatting>
  <conditionalFormatting sqref="W75:Y76">
    <cfRule type="expression" dxfId="762" priority="229">
      <formula>LEN($D75)= 3</formula>
    </cfRule>
    <cfRule type="expression" dxfId="761" priority="230">
      <formula>AND(LEN($D75)=5,$H75="")</formula>
    </cfRule>
    <cfRule type="expression" dxfId="760" priority="231">
      <formula>AND($D75&lt;&gt;"",$H75="")</formula>
    </cfRule>
  </conditionalFormatting>
  <conditionalFormatting sqref="W72:Y73">
    <cfRule type="expression" dxfId="759" priority="241">
      <formula>LEN($D72)= 3</formula>
    </cfRule>
    <cfRule type="expression" dxfId="758" priority="242">
      <formula>AND(LEN($D72)=5,$H72="")</formula>
    </cfRule>
    <cfRule type="expression" dxfId="757" priority="243">
      <formula>AND($D72&lt;&gt;"",$H72="")</formula>
    </cfRule>
  </conditionalFormatting>
  <conditionalFormatting sqref="Z72:AI73 A72:V73">
    <cfRule type="expression" dxfId="756" priority="244">
      <formula>LEN($D72)= 3</formula>
    </cfRule>
    <cfRule type="expression" dxfId="755" priority="245">
      <formula>AND(LEN($D72)=5,$H72="")</formula>
    </cfRule>
    <cfRule type="expression" dxfId="754" priority="246">
      <formula>AND($D72&lt;&gt;"",$H72="")</formula>
    </cfRule>
  </conditionalFormatting>
  <conditionalFormatting sqref="Z75:AI76 A75:V76">
    <cfRule type="expression" dxfId="753" priority="232">
      <formula>LEN($D75)= 3</formula>
    </cfRule>
    <cfRule type="expression" dxfId="752" priority="233">
      <formula>AND(LEN($D75)=5,$H75="")</formula>
    </cfRule>
    <cfRule type="expression" dxfId="751" priority="234">
      <formula>AND($D75&lt;&gt;"",$H75="")</formula>
    </cfRule>
  </conditionalFormatting>
  <conditionalFormatting sqref="W91:Y94">
    <cfRule type="expression" dxfId="750" priority="211">
      <formula>LEN($D91)= 3</formula>
    </cfRule>
    <cfRule type="expression" dxfId="749" priority="212">
      <formula>AND(LEN($D91)=5,$H91="")</formula>
    </cfRule>
    <cfRule type="expression" dxfId="748" priority="213">
      <formula>AND($D91&lt;&gt;"",$H91="")</formula>
    </cfRule>
  </conditionalFormatting>
  <conditionalFormatting sqref="S92">
    <cfRule type="expression" dxfId="747" priority="199">
      <formula>LEN($D92)= 3</formula>
    </cfRule>
    <cfRule type="expression" dxfId="746" priority="200">
      <formula>AND(LEN($D92)=5,$H92="")</formula>
    </cfRule>
    <cfRule type="expression" dxfId="745" priority="201">
      <formula>AND($D92&lt;&gt;"",$H92="")</formula>
    </cfRule>
  </conditionalFormatting>
  <conditionalFormatting sqref="Z91:AI91 A91:V91 A94:V94 A92:N93 T92:V93 Z94:AI94 Z92:AA93 AC92:AI93 P92:R93">
    <cfRule type="expression" dxfId="744" priority="214">
      <formula>LEN($D91)= 3</formula>
    </cfRule>
    <cfRule type="expression" dxfId="743" priority="215">
      <formula>AND(LEN($D91)=5,$H91="")</formula>
    </cfRule>
    <cfRule type="expression" dxfId="742" priority="216">
      <formula>AND($D91&lt;&gt;"",$H91="")</formula>
    </cfRule>
  </conditionalFormatting>
  <conditionalFormatting sqref="W96:Y96">
    <cfRule type="expression" dxfId="741" priority="205">
      <formula>LEN($D96)= 3</formula>
    </cfRule>
    <cfRule type="expression" dxfId="740" priority="206">
      <formula>AND(LEN($D96)=5,$H96="")</formula>
    </cfRule>
    <cfRule type="expression" dxfId="739" priority="207">
      <formula>AND($D96&lt;&gt;"",$H96="")</formula>
    </cfRule>
  </conditionalFormatting>
  <conditionalFormatting sqref="Z96:AI96 A96:V96">
    <cfRule type="expression" dxfId="738" priority="208">
      <formula>LEN($D96)= 3</formula>
    </cfRule>
    <cfRule type="expression" dxfId="737" priority="209">
      <formula>AND(LEN($D96)=5,$H96="")</formula>
    </cfRule>
    <cfRule type="expression" dxfId="736" priority="210">
      <formula>AND($D96&lt;&gt;"",$H96="")</formula>
    </cfRule>
  </conditionalFormatting>
  <conditionalFormatting sqref="S93">
    <cfRule type="expression" dxfId="735" priority="202">
      <formula>LEN($D93)= 3</formula>
    </cfRule>
    <cfRule type="expression" dxfId="734" priority="203">
      <formula>AND(LEN($D93)=5,$H93="")</formula>
    </cfRule>
    <cfRule type="expression" dxfId="733" priority="204">
      <formula>AND($D93&lt;&gt;"",$H93="")</formula>
    </cfRule>
  </conditionalFormatting>
  <conditionalFormatting sqref="W61:Y61">
    <cfRule type="expression" dxfId="732" priority="193">
      <formula>LEN($D61)= 3</formula>
    </cfRule>
    <cfRule type="expression" dxfId="731" priority="194">
      <formula>AND(LEN($D61)=5,$H61="")</formula>
    </cfRule>
    <cfRule type="expression" dxfId="730" priority="195">
      <formula>AND($D61&lt;&gt;"",$H61="")</formula>
    </cfRule>
  </conditionalFormatting>
  <conditionalFormatting sqref="Z61:AI61 A61:C61 E61:V61">
    <cfRule type="expression" dxfId="729" priority="196">
      <formula>LEN($D61)= 3</formula>
    </cfRule>
    <cfRule type="expression" dxfId="728" priority="197">
      <formula>AND(LEN($D61)=5,$H61="")</formula>
    </cfRule>
    <cfRule type="expression" dxfId="727" priority="198">
      <formula>AND($D61&lt;&gt;"",$H61="")</formula>
    </cfRule>
  </conditionalFormatting>
  <conditionalFormatting sqref="O99">
    <cfRule type="expression" dxfId="726" priority="190">
      <formula>LEN($D99)= 3</formula>
    </cfRule>
    <cfRule type="expression" dxfId="725" priority="191">
      <formula>AND(LEN($D99)=5,$H99="")</formula>
    </cfRule>
    <cfRule type="expression" dxfId="724" priority="192">
      <formula>AND($D99&lt;&gt;"",$H99="")</formula>
    </cfRule>
  </conditionalFormatting>
  <conditionalFormatting sqref="O20">
    <cfRule type="expression" dxfId="723" priority="187">
      <formula>LEN($D20)= 3</formula>
    </cfRule>
    <cfRule type="expression" dxfId="722" priority="188">
      <formula>AND(LEN($D20)=5,$H20="")</formula>
    </cfRule>
    <cfRule type="expression" dxfId="721" priority="189">
      <formula>AND($D20&lt;&gt;"",$H20="")</formula>
    </cfRule>
  </conditionalFormatting>
  <conditionalFormatting sqref="O23">
    <cfRule type="expression" dxfId="720" priority="184">
      <formula>LEN($D23)= 3</formula>
    </cfRule>
    <cfRule type="expression" dxfId="719" priority="185">
      <formula>AND(LEN($D23)=5,$H23="")</formula>
    </cfRule>
    <cfRule type="expression" dxfId="718" priority="186">
      <formula>AND($D23&lt;&gt;"",$H23="")</formula>
    </cfRule>
  </conditionalFormatting>
  <conditionalFormatting sqref="O26">
    <cfRule type="expression" dxfId="717" priority="181">
      <formula>LEN($D26)= 3</formula>
    </cfRule>
    <cfRule type="expression" dxfId="716" priority="182">
      <formula>AND(LEN($D26)=5,$H26="")</formula>
    </cfRule>
    <cfRule type="expression" dxfId="715" priority="183">
      <formula>AND($D26&lt;&gt;"",$H26="")</formula>
    </cfRule>
  </conditionalFormatting>
  <conditionalFormatting sqref="O56">
    <cfRule type="expression" dxfId="714" priority="178">
      <formula>LEN($D56)= 3</formula>
    </cfRule>
    <cfRule type="expression" dxfId="713" priority="179">
      <formula>AND(LEN($D56)=5,$H56="")</formula>
    </cfRule>
    <cfRule type="expression" dxfId="712" priority="180">
      <formula>AND($D56&lt;&gt;"",$H56="")</formula>
    </cfRule>
  </conditionalFormatting>
  <conditionalFormatting sqref="Z103:AI103 A103:V103 E107:S107 A107:C107 AA107:AI107 A105:C105 E105:S105 U105:V105 U107:V107 AA105:AI105 D104:D108">
    <cfRule type="expression" dxfId="711" priority="175">
      <formula>LEN($D103)= 3</formula>
    </cfRule>
    <cfRule type="expression" dxfId="710" priority="176">
      <formula>AND(LEN($D103)=5,$H103="")</formula>
    </cfRule>
    <cfRule type="expression" dxfId="709" priority="177">
      <formula>AND($D103&lt;&gt;"",$H103="")</formula>
    </cfRule>
  </conditionalFormatting>
  <conditionalFormatting sqref="W103:Y103 X107:Y107 X105:Y105">
    <cfRule type="expression" dxfId="708" priority="172">
      <formula>LEN($D103)= 3</formula>
    </cfRule>
    <cfRule type="expression" dxfId="707" priority="173">
      <formula>AND(LEN($D103)=5,$H103="")</formula>
    </cfRule>
    <cfRule type="expression" dxfId="706" priority="174">
      <formula>AND($D103&lt;&gt;"",$H103="")</formula>
    </cfRule>
  </conditionalFormatting>
  <conditionalFormatting sqref="W102:Y102">
    <cfRule type="expression" dxfId="705" priority="166">
      <formula>LEN($D102)= 3</formula>
    </cfRule>
    <cfRule type="expression" dxfId="704" priority="167">
      <formula>AND(LEN($D102)=5,$H102="")</formula>
    </cfRule>
    <cfRule type="expression" dxfId="703" priority="168">
      <formula>AND($D102&lt;&gt;"",$H102="")</formula>
    </cfRule>
  </conditionalFormatting>
  <conditionalFormatting sqref="Z102:AI102 A102:V102">
    <cfRule type="expression" dxfId="702" priority="169">
      <formula>LEN($D102)= 3</formula>
    </cfRule>
    <cfRule type="expression" dxfId="701" priority="170">
      <formula>AND(LEN($D102)=5,$H102="")</formula>
    </cfRule>
    <cfRule type="expression" dxfId="700" priority="171">
      <formula>AND($D102&lt;&gt;"",$H102="")</formula>
    </cfRule>
  </conditionalFormatting>
  <conditionalFormatting sqref="W108:Y109">
    <cfRule type="expression" dxfId="699" priority="160">
      <formula>LEN($D108)= 3</formula>
    </cfRule>
    <cfRule type="expression" dxfId="698" priority="161">
      <formula>AND(LEN($D108)=5,$H108="")</formula>
    </cfRule>
    <cfRule type="expression" dxfId="697" priority="162">
      <formula>AND($D108&lt;&gt;"",$H108="")</formula>
    </cfRule>
  </conditionalFormatting>
  <conditionalFormatting sqref="Z108:AI109 A109:V109 A108:C108 E108:V108">
    <cfRule type="expression" dxfId="696" priority="163">
      <formula>LEN($D108)= 3</formula>
    </cfRule>
    <cfRule type="expression" dxfId="695" priority="164">
      <formula>AND(LEN($D108)=5,$H108="")</formula>
    </cfRule>
    <cfRule type="expression" dxfId="694" priority="165">
      <formula>AND($D108&lt;&gt;"",$H108="")</formula>
    </cfRule>
  </conditionalFormatting>
  <conditionalFormatting sqref="Z106">
    <cfRule type="expression" dxfId="693" priority="136">
      <formula>LEN($D106)= 3</formula>
    </cfRule>
    <cfRule type="expression" dxfId="692" priority="137">
      <formula>AND(LEN($D106)=5,$H106="")</formula>
    </cfRule>
    <cfRule type="expression" dxfId="691" priority="138">
      <formula>AND($D106&lt;&gt;"",$H106="")</formula>
    </cfRule>
  </conditionalFormatting>
  <conditionalFormatting sqref="X106:Y106">
    <cfRule type="expression" dxfId="690" priority="154">
      <formula>LEN($D106)= 3</formula>
    </cfRule>
    <cfRule type="expression" dxfId="689" priority="155">
      <formula>AND(LEN($D106)=5,$H106="")</formula>
    </cfRule>
    <cfRule type="expression" dxfId="688" priority="156">
      <formula>AND($D106&lt;&gt;"",$H106="")</formula>
    </cfRule>
  </conditionalFormatting>
  <conditionalFormatting sqref="AA106:AI106 A106:C106 E106:S106 U106:V106">
    <cfRule type="expression" dxfId="687" priority="157">
      <formula>LEN($D106)= 3</formula>
    </cfRule>
    <cfRule type="expression" dxfId="686" priority="158">
      <formula>AND(LEN($D106)=5,$H106="")</formula>
    </cfRule>
    <cfRule type="expression" dxfId="685" priority="159">
      <formula>AND($D106&lt;&gt;"",$H106="")</formula>
    </cfRule>
  </conditionalFormatting>
  <conditionalFormatting sqref="T107 T105">
    <cfRule type="expression" dxfId="684" priority="151">
      <formula>LEN($D105)= 3</formula>
    </cfRule>
    <cfRule type="expression" dxfId="683" priority="152">
      <formula>AND(LEN($D105)=5,$H105="")</formula>
    </cfRule>
    <cfRule type="expression" dxfId="682" priority="153">
      <formula>AND($D105&lt;&gt;"",$H105="")</formula>
    </cfRule>
  </conditionalFormatting>
  <conditionalFormatting sqref="T106">
    <cfRule type="expression" dxfId="681" priority="148">
      <formula>LEN($D106)= 3</formula>
    </cfRule>
    <cfRule type="expression" dxfId="680" priority="149">
      <formula>AND(LEN($D106)=5,$H106="")</formula>
    </cfRule>
    <cfRule type="expression" dxfId="679" priority="150">
      <formula>AND($D106&lt;&gt;"",$H106="")</formula>
    </cfRule>
  </conditionalFormatting>
  <conditionalFormatting sqref="W107 W105">
    <cfRule type="expression" dxfId="678" priority="145">
      <formula>LEN($D105)= 3</formula>
    </cfRule>
    <cfRule type="expression" dxfId="677" priority="146">
      <formula>AND(LEN($D105)=5,$H105="")</formula>
    </cfRule>
    <cfRule type="expression" dxfId="676" priority="147">
      <formula>AND($D105&lt;&gt;"",$H105="")</formula>
    </cfRule>
  </conditionalFormatting>
  <conditionalFormatting sqref="W106">
    <cfRule type="expression" dxfId="675" priority="142">
      <formula>LEN($D106)= 3</formula>
    </cfRule>
    <cfRule type="expression" dxfId="674" priority="143">
      <formula>AND(LEN($D106)=5,$H106="")</formula>
    </cfRule>
    <cfRule type="expression" dxfId="673" priority="144">
      <formula>AND($D106&lt;&gt;"",$H106="")</formula>
    </cfRule>
  </conditionalFormatting>
  <conditionalFormatting sqref="Z107 Z105">
    <cfRule type="expression" dxfId="672" priority="139">
      <formula>LEN($D105)= 3</formula>
    </cfRule>
    <cfRule type="expression" dxfId="671" priority="140">
      <formula>AND(LEN($D105)=5,$H105="")</formula>
    </cfRule>
    <cfRule type="expression" dxfId="670" priority="141">
      <formula>AND($D105&lt;&gt;"",$H105="")</formula>
    </cfRule>
  </conditionalFormatting>
  <conditionalFormatting sqref="W104:Y104">
    <cfRule type="expression" dxfId="669" priority="130">
      <formula>LEN($D104)= 3</formula>
    </cfRule>
    <cfRule type="expression" dxfId="668" priority="131">
      <formula>AND(LEN($D104)=5,$H104="")</formula>
    </cfRule>
    <cfRule type="expression" dxfId="667" priority="132">
      <formula>AND($D104&lt;&gt;"",$H104="")</formula>
    </cfRule>
  </conditionalFormatting>
  <conditionalFormatting sqref="Z104:AI104 A104:C104 E104:V104">
    <cfRule type="expression" dxfId="666" priority="133">
      <formula>LEN($D104)= 3</formula>
    </cfRule>
    <cfRule type="expression" dxfId="665" priority="134">
      <formula>AND(LEN($D104)=5,$H104="")</formula>
    </cfRule>
    <cfRule type="expression" dxfId="664" priority="135">
      <formula>AND($D104&lt;&gt;"",$H104="")</formula>
    </cfRule>
  </conditionalFormatting>
  <conditionalFormatting sqref="X79">
    <cfRule type="expression" dxfId="663" priority="127">
      <formula>LEN($D79)= 3</formula>
    </cfRule>
    <cfRule type="expression" dxfId="662" priority="128">
      <formula>AND(LEN($D79)=5,$H79="")</formula>
    </cfRule>
    <cfRule type="expression" dxfId="661" priority="129">
      <formula>AND($D79&lt;&gt;"",$H79="")</formula>
    </cfRule>
  </conditionalFormatting>
  <conditionalFormatting sqref="X26">
    <cfRule type="expression" dxfId="660" priority="124">
      <formula>LEN($D26)= 3</formula>
    </cfRule>
    <cfRule type="expression" dxfId="659" priority="125">
      <formula>AND(LEN($D26)=5,$H26="")</formula>
    </cfRule>
    <cfRule type="expression" dxfId="658" priority="126">
      <formula>AND($D26&lt;&gt;"",$H26="")</formula>
    </cfRule>
  </conditionalFormatting>
  <conditionalFormatting sqref="AA26">
    <cfRule type="expression" dxfId="657" priority="121">
      <formula>LEN($D26)= 3</formula>
    </cfRule>
    <cfRule type="expression" dxfId="656" priority="122">
      <formula>AND(LEN($D26)=5,$H26="")</formula>
    </cfRule>
    <cfRule type="expression" dxfId="655" priority="123">
      <formula>AND($D26&lt;&gt;"",$H26="")</formula>
    </cfRule>
  </conditionalFormatting>
  <conditionalFormatting sqref="X45">
    <cfRule type="expression" dxfId="654" priority="118">
      <formula>LEN($D45)= 3</formula>
    </cfRule>
    <cfRule type="expression" dxfId="653" priority="119">
      <formula>AND(LEN($D45)=5,$H45="")</formula>
    </cfRule>
    <cfRule type="expression" dxfId="652" priority="120">
      <formula>AND($D45&lt;&gt;"",$H45="")</formula>
    </cfRule>
  </conditionalFormatting>
  <conditionalFormatting sqref="X74">
    <cfRule type="expression" dxfId="651" priority="115">
      <formula>LEN($D74)= 3</formula>
    </cfRule>
    <cfRule type="expression" dxfId="650" priority="116">
      <formula>AND(LEN($D74)=5,$H74="")</formula>
    </cfRule>
    <cfRule type="expression" dxfId="649" priority="117">
      <formula>AND($D74&lt;&gt;"",$H74="")</formula>
    </cfRule>
  </conditionalFormatting>
  <conditionalFormatting sqref="AA74">
    <cfRule type="expression" dxfId="648" priority="112">
      <formula>LEN($D74)= 3</formula>
    </cfRule>
    <cfRule type="expression" dxfId="647" priority="113">
      <formula>AND(LEN($D74)=5,$H74="")</formula>
    </cfRule>
    <cfRule type="expression" dxfId="646" priority="114">
      <formula>AND($D74&lt;&gt;"",$H74="")</formula>
    </cfRule>
  </conditionalFormatting>
  <conditionalFormatting sqref="A116:C116 E116:Q116 V116:W116 S116:T116 Y116:Z116 AB116:AI116">
    <cfRule type="expression" dxfId="645" priority="91">
      <formula>LEN($D116)= 3</formula>
    </cfRule>
    <cfRule type="expression" dxfId="644" priority="92">
      <formula>AND(LEN($D116)=5,$H116="")</formula>
    </cfRule>
    <cfRule type="expression" dxfId="643" priority="93">
      <formula>AND($D116&lt;&gt;"",$H116="")</formula>
    </cfRule>
  </conditionalFormatting>
  <conditionalFormatting sqref="A113:AI113">
    <cfRule type="expression" dxfId="642" priority="88">
      <formula>LEN($D113)= 3</formula>
    </cfRule>
    <cfRule type="expression" dxfId="641" priority="89">
      <formula>AND(LEN($D113)=5,$H113="")</formula>
    </cfRule>
    <cfRule type="expression" dxfId="640" priority="90">
      <formula>AND($D113&lt;&gt;"",$H113="")</formula>
    </cfRule>
  </conditionalFormatting>
  <conditionalFormatting sqref="A117:AI117">
    <cfRule type="expression" dxfId="639" priority="85">
      <formula>LEN($D117)= 3</formula>
    </cfRule>
    <cfRule type="expression" dxfId="638" priority="86">
      <formula>AND(LEN($D117)=5,$H117="")</formula>
    </cfRule>
    <cfRule type="expression" dxfId="637" priority="87">
      <formula>AND($D117&lt;&gt;"",$H117="")</formula>
    </cfRule>
  </conditionalFormatting>
  <conditionalFormatting sqref="A114:P114 A115:C115 E115:P115 AC114:AI115 D115:D116">
    <cfRule type="expression" dxfId="636" priority="82">
      <formula>LEN($D114)= 3</formula>
    </cfRule>
    <cfRule type="expression" dxfId="635" priority="83">
      <formula>AND(LEN($D114)=5,$H114="")</formula>
    </cfRule>
    <cfRule type="expression" dxfId="634" priority="84">
      <formula>AND($D114&lt;&gt;"",$H114="")</formula>
    </cfRule>
  </conditionalFormatting>
  <conditionalFormatting sqref="T114:V115">
    <cfRule type="expression" dxfId="633" priority="79">
      <formula>LEN($D114)= 3</formula>
    </cfRule>
    <cfRule type="expression" dxfId="632" priority="80">
      <formula>AND(LEN($D114)=5,$H114="")</formula>
    </cfRule>
    <cfRule type="expression" dxfId="631" priority="81">
      <formula>AND($D114&lt;&gt;"",$H114="")</formula>
    </cfRule>
  </conditionalFormatting>
  <conditionalFormatting sqref="Q114:S115">
    <cfRule type="expression" dxfId="630" priority="76">
      <formula>LEN($D114)= 3</formula>
    </cfRule>
    <cfRule type="expression" dxfId="629" priority="77">
      <formula>AND(LEN($D114)=5,$H114="")</formula>
    </cfRule>
    <cfRule type="expression" dxfId="628" priority="78">
      <formula>AND($D114&lt;&gt;"",$H114="")</formula>
    </cfRule>
  </conditionalFormatting>
  <conditionalFormatting sqref="W114:Y115">
    <cfRule type="expression" dxfId="627" priority="73">
      <formula>LEN($D114)= 3</formula>
    </cfRule>
    <cfRule type="expression" dxfId="626" priority="74">
      <formula>AND(LEN($D114)=5,$H114="")</formula>
    </cfRule>
    <cfRule type="expression" dxfId="625" priority="75">
      <formula>AND($D114&lt;&gt;"",$H114="")</formula>
    </cfRule>
  </conditionalFormatting>
  <conditionalFormatting sqref="Z114:AB115">
    <cfRule type="expression" dxfId="624" priority="70">
      <formula>LEN($D114)= 3</formula>
    </cfRule>
    <cfRule type="expression" dxfId="623" priority="71">
      <formula>AND(LEN($D114)=5,$H114="")</formula>
    </cfRule>
    <cfRule type="expression" dxfId="622" priority="72">
      <formula>AND($D114&lt;&gt;"",$H114="")</formula>
    </cfRule>
  </conditionalFormatting>
  <conditionalFormatting sqref="U116">
    <cfRule type="expression" dxfId="621" priority="67">
      <formula>LEN($D116)= 3</formula>
    </cfRule>
    <cfRule type="expression" dxfId="620" priority="68">
      <formula>AND(LEN($D116)=5,$H116="")</formula>
    </cfRule>
    <cfRule type="expression" dxfId="619" priority="69">
      <formula>AND($D116&lt;&gt;"",$H116="")</formula>
    </cfRule>
  </conditionalFormatting>
  <conditionalFormatting sqref="R116">
    <cfRule type="expression" dxfId="618" priority="64">
      <formula>LEN($D116)= 3</formula>
    </cfRule>
    <cfRule type="expression" dxfId="617" priority="65">
      <formula>AND(LEN($D116)=5,$H116="")</formula>
    </cfRule>
    <cfRule type="expression" dxfId="616" priority="66">
      <formula>AND($D116&lt;&gt;"",$H116="")</formula>
    </cfRule>
  </conditionalFormatting>
  <conditionalFormatting sqref="X116">
    <cfRule type="expression" dxfId="615" priority="61">
      <formula>LEN($D116)= 3</formula>
    </cfRule>
    <cfRule type="expression" dxfId="614" priority="62">
      <formula>AND(LEN($D116)=5,$H116="")</formula>
    </cfRule>
    <cfRule type="expression" dxfId="613" priority="63">
      <formula>AND($D116&lt;&gt;"",$H116="")</formula>
    </cfRule>
  </conditionalFormatting>
  <conditionalFormatting sqref="AA116">
    <cfRule type="expression" dxfId="612" priority="58">
      <formula>LEN($D116)= 3</formula>
    </cfRule>
    <cfRule type="expression" dxfId="611" priority="59">
      <formula>AND(LEN($D116)=5,$H116="")</formula>
    </cfRule>
    <cfRule type="expression" dxfId="610" priority="60">
      <formula>AND($D116&lt;&gt;"",$H116="")</formula>
    </cfRule>
  </conditionalFormatting>
  <conditionalFormatting sqref="AB92:AB93">
    <cfRule type="expression" dxfId="609" priority="55">
      <formula>LEN($D92)= 3</formula>
    </cfRule>
    <cfRule type="expression" dxfId="608" priority="56">
      <formula>AND(LEN($D92)=5,$H92="")</formula>
    </cfRule>
    <cfRule type="expression" dxfId="607" priority="57">
      <formula>AND($D92&lt;&gt;"",$H92="")</formula>
    </cfRule>
  </conditionalFormatting>
  <conditionalFormatting sqref="AB128:AB130">
    <cfRule type="expression" dxfId="606" priority="52">
      <formula>LEN($D128)= 3</formula>
    </cfRule>
    <cfRule type="expression" dxfId="605" priority="53">
      <formula>AND(LEN($D128)=5,$H128="")</formula>
    </cfRule>
    <cfRule type="expression" dxfId="604" priority="54">
      <formula>AND($D128&lt;&gt;"",$H128="")</formula>
    </cfRule>
  </conditionalFormatting>
  <conditionalFormatting sqref="W33:Y37">
    <cfRule type="expression" dxfId="603" priority="46">
      <formula>LEN($D33)= 3</formula>
    </cfRule>
    <cfRule type="expression" dxfId="602" priority="47">
      <formula>AND(LEN($D33)=5,$H33="")</formula>
    </cfRule>
    <cfRule type="expression" dxfId="601" priority="48">
      <formula>AND($D33&lt;&gt;"",$H33="")</formula>
    </cfRule>
  </conditionalFormatting>
  <conditionalFormatting sqref="Z33:AI37 A33:V34 A37:V37 A35:R36 T35:V36">
    <cfRule type="expression" dxfId="600" priority="49">
      <formula>LEN($D33)= 3</formula>
    </cfRule>
    <cfRule type="expression" dxfId="599" priority="50">
      <formula>AND(LEN($D33)=5,$H33="")</formula>
    </cfRule>
    <cfRule type="expression" dxfId="598" priority="51">
      <formula>AND($D33&lt;&gt;"",$H33="")</formula>
    </cfRule>
  </conditionalFormatting>
  <conditionalFormatting sqref="S35">
    <cfRule type="expression" dxfId="597" priority="34">
      <formula>LEN($D35)= 3</formula>
    </cfRule>
    <cfRule type="expression" dxfId="596" priority="35">
      <formula>AND(LEN($D35)=5,$H35="")</formula>
    </cfRule>
    <cfRule type="expression" dxfId="595" priority="36">
      <formula>AND($D35&lt;&gt;"",$H35="")</formula>
    </cfRule>
  </conditionalFormatting>
  <conditionalFormatting sqref="S36">
    <cfRule type="expression" dxfId="594" priority="37">
      <formula>LEN($D36)= 3</formula>
    </cfRule>
    <cfRule type="expression" dxfId="593" priority="38">
      <formula>AND(LEN($D36)=5,$H36="")</formula>
    </cfRule>
    <cfRule type="expression" dxfId="592" priority="39">
      <formula>AND($D36&lt;&gt;"",$H36="")</formula>
    </cfRule>
  </conditionalFormatting>
  <conditionalFormatting sqref="A86:AI89">
    <cfRule type="expression" dxfId="591" priority="31">
      <formula>LEN($D86)= 3</formula>
    </cfRule>
    <cfRule type="expression" dxfId="590" priority="32">
      <formula>AND(LEN($D86)=5,$H86="")</formula>
    </cfRule>
    <cfRule type="expression" dxfId="589" priority="33">
      <formula>AND($D86&lt;&gt;"",$H86="")</formula>
    </cfRule>
  </conditionalFormatting>
  <conditionalFormatting sqref="W81:Y85">
    <cfRule type="expression" dxfId="588" priority="25">
      <formula>LEN($D81)= 3</formula>
    </cfRule>
    <cfRule type="expression" dxfId="587" priority="26">
      <formula>AND(LEN($D81)=5,$H81="")</formula>
    </cfRule>
    <cfRule type="expression" dxfId="586" priority="27">
      <formula>AND($D81&lt;&gt;"",$H81="")</formula>
    </cfRule>
  </conditionalFormatting>
  <conditionalFormatting sqref="Z81:AI85 A81:V82 A85:V85 A83:R84 T83:V84">
    <cfRule type="expression" dxfId="585" priority="28">
      <formula>LEN($D81)= 3</formula>
    </cfRule>
    <cfRule type="expression" dxfId="584" priority="29">
      <formula>AND(LEN($D81)=5,$H81="")</formula>
    </cfRule>
    <cfRule type="expression" dxfId="583" priority="30">
      <formula>AND($D81&lt;&gt;"",$H81="")</formula>
    </cfRule>
  </conditionalFormatting>
  <conditionalFormatting sqref="S83">
    <cfRule type="expression" dxfId="582" priority="19">
      <formula>LEN($D83)= 3</formula>
    </cfRule>
    <cfRule type="expression" dxfId="581" priority="20">
      <formula>AND(LEN($D83)=5,$H83="")</formula>
    </cfRule>
    <cfRule type="expression" dxfId="580" priority="21">
      <formula>AND($D83&lt;&gt;"",$H83="")</formula>
    </cfRule>
  </conditionalFormatting>
  <conditionalFormatting sqref="S84">
    <cfRule type="expression" dxfId="579" priority="22">
      <formula>LEN($D84)= 3</formula>
    </cfRule>
    <cfRule type="expression" dxfId="578" priority="23">
      <formula>AND(LEN($D84)=5,$H84="")</formula>
    </cfRule>
    <cfRule type="expression" dxfId="577" priority="24">
      <formula>AND($D84&lt;&gt;"",$H84="")</formula>
    </cfRule>
  </conditionalFormatting>
  <conditionalFormatting sqref="O92:O93">
    <cfRule type="expression" dxfId="576" priority="16">
      <formula>LEN($D92)= 3</formula>
    </cfRule>
    <cfRule type="expression" dxfId="575" priority="17">
      <formula>AND(LEN($D92)=5,$H92="")</formula>
    </cfRule>
    <cfRule type="expression" dxfId="574" priority="18">
      <formula>AND($D92&lt;&gt;"",$H92="")</formula>
    </cfRule>
  </conditionalFormatting>
  <conditionalFormatting sqref="O49:O50">
    <cfRule type="expression" dxfId="573" priority="13">
      <formula>LEN($D49)= 3</formula>
    </cfRule>
    <cfRule type="expression" dxfId="572" priority="14">
      <formula>AND(LEN($D49)=5,$H49="")</formula>
    </cfRule>
    <cfRule type="expression" dxfId="571" priority="15">
      <formula>AND($D49&lt;&gt;"",$H49="")</formula>
    </cfRule>
  </conditionalFormatting>
  <conditionalFormatting sqref="A122:AI122 A123:P123 AC123:AI125 E124:P125 E126:AI126 A124:D126">
    <cfRule type="expression" dxfId="570" priority="10">
      <formula>LEN($D122)= 3</formula>
    </cfRule>
    <cfRule type="expression" dxfId="569" priority="11">
      <formula>AND(LEN($D122)=5,$H122="")</formula>
    </cfRule>
    <cfRule type="expression" dxfId="568" priority="12">
      <formula>AND($D122&lt;&gt;"",$H122="")</formula>
    </cfRule>
  </conditionalFormatting>
  <conditionalFormatting sqref="Q123:AB123">
    <cfRule type="expression" dxfId="567" priority="7">
      <formula>LEN($D123)= 3</formula>
    </cfRule>
    <cfRule type="expression" dxfId="566" priority="8">
      <formula>AND(LEN($D123)=5,$H123="")</formula>
    </cfRule>
    <cfRule type="expression" dxfId="565" priority="9">
      <formula>AND($D123&lt;&gt;"",$H123="")</formula>
    </cfRule>
  </conditionalFormatting>
  <conditionalFormatting sqref="Q125:R125 Q124:AB124 T125:AB125">
    <cfRule type="expression" dxfId="564" priority="4">
      <formula>LEN($D124)= 3</formula>
    </cfRule>
    <cfRule type="expression" dxfId="563" priority="5">
      <formula>AND(LEN($D124)=5,$H124="")</formula>
    </cfRule>
    <cfRule type="expression" dxfId="562" priority="6">
      <formula>AND($D124&lt;&gt;"",$H124="")</formula>
    </cfRule>
  </conditionalFormatting>
  <conditionalFormatting sqref="S125">
    <cfRule type="expression" dxfId="561" priority="1">
      <formula>LEN($D125)= 3</formula>
    </cfRule>
    <cfRule type="expression" dxfId="560" priority="2">
      <formula>AND(LEN($D125)=5,$H125="")</formula>
    </cfRule>
    <cfRule type="expression" dxfId="559" priority="3">
      <formula>AND($D125&lt;&gt;"",$H125="")</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0A72B-7E33-4B8D-BFE5-DEDA0765A9B8}">
  <sheetPr filterMode="1">
    <tabColor rgb="FF002060"/>
    <outlinePr summaryBelow="0" summaryRight="0"/>
    <pageSetUpPr fitToPage="1"/>
  </sheetPr>
  <dimension ref="A1:AI140"/>
  <sheetViews>
    <sheetView showGridLines="0" workbookViewId="0">
      <pane xSplit="9" ySplit="9" topLeftCell="J10" activePane="bottomRight" state="frozen"/>
      <selection activeCell="P26" sqref="P26"/>
      <selection pane="topRight" activeCell="P26" sqref="P26"/>
      <selection pane="bottomLeft" activeCell="P26" sqref="P26"/>
      <selection pane="bottomRight" activeCell="M130" sqref="M130"/>
    </sheetView>
  </sheetViews>
  <sheetFormatPr defaultColWidth="9.140625" defaultRowHeight="12.75" x14ac:dyDescent="0.25"/>
  <cols>
    <col min="1" max="1" width="50.7109375" style="3" customWidth="1"/>
    <col min="2" max="2" width="9.7109375" style="4" customWidth="1"/>
    <col min="3" max="3" width="1.7109375" style="3" customWidth="1"/>
    <col min="4" max="4" width="17.7109375" style="3" customWidth="1"/>
    <col min="5" max="5" width="15.7109375" style="3" customWidth="1"/>
    <col min="6" max="6" width="12.7109375" style="115" customWidth="1"/>
    <col min="7" max="7" width="50.7109375" style="3" customWidth="1"/>
    <col min="8" max="8" width="9.7109375" style="4" customWidth="1"/>
    <col min="9" max="9" width="12.7109375" style="2" customWidth="1"/>
    <col min="10" max="10" width="14.7109375" style="2" customWidth="1"/>
    <col min="11" max="11" width="14.7109375" style="410" customWidth="1"/>
    <col min="12" max="13" width="14.7109375" style="2" customWidth="1"/>
    <col min="14" max="14" width="1.7109375" style="40" customWidth="1"/>
    <col min="15" max="15" width="50.7109375" style="3" customWidth="1"/>
    <col min="16" max="16" width="1.7109375" style="40" customWidth="1"/>
    <col min="17" max="17" width="10.7109375" style="440" customWidth="1"/>
    <col min="18" max="18" width="10.7109375" style="471" customWidth="1"/>
    <col min="19" max="20" width="10.7109375" style="440" customWidth="1"/>
    <col min="21" max="21" width="10.7109375" style="471" customWidth="1"/>
    <col min="22" max="23" width="10.7109375" style="440" customWidth="1"/>
    <col min="24" max="24" width="10.7109375" style="471" customWidth="1"/>
    <col min="25" max="26" width="10.7109375" style="440" customWidth="1"/>
    <col min="27" max="27" width="10.7109375" style="471" customWidth="1"/>
    <col min="28" max="28" width="10.7109375" style="440" customWidth="1"/>
    <col min="29" max="29" width="1.7109375" style="3" customWidth="1"/>
    <col min="30" max="35" width="12.7109375" style="499" customWidth="1"/>
    <col min="36" max="16384" width="9.140625" style="3"/>
  </cols>
  <sheetData>
    <row r="1" spans="1:35" s="41" customFormat="1" ht="15" x14ac:dyDescent="0.25">
      <c r="A1" s="487"/>
      <c r="B1" s="487"/>
      <c r="D1" s="726" t="s">
        <v>1531</v>
      </c>
      <c r="E1" s="726"/>
      <c r="F1" s="726"/>
      <c r="G1" s="726"/>
      <c r="H1" s="726"/>
      <c r="I1" s="726"/>
      <c r="K1" s="727"/>
      <c r="L1" s="728"/>
      <c r="M1" s="757" t="str">
        <f>'PSP-RESUMO'!$C$3</f>
        <v>ENCARGOS SOCIAIS SEM DESONERAÇÃO</v>
      </c>
      <c r="O1" s="488"/>
      <c r="Q1" s="394"/>
      <c r="R1" s="489"/>
      <c r="S1" s="394"/>
      <c r="T1" s="394"/>
      <c r="U1" s="489"/>
      <c r="V1" s="394"/>
      <c r="W1" s="394"/>
      <c r="X1" s="489"/>
      <c r="Y1" s="394"/>
      <c r="Z1" s="394"/>
      <c r="AA1" s="489"/>
      <c r="AB1" s="394"/>
      <c r="AD1" s="498"/>
      <c r="AE1" s="498"/>
      <c r="AF1" s="498"/>
      <c r="AG1" s="498"/>
      <c r="AH1" s="498"/>
      <c r="AI1" s="498"/>
    </row>
    <row r="2" spans="1:35" s="41" customFormat="1" ht="15" x14ac:dyDescent="0.25">
      <c r="A2" s="487"/>
      <c r="B2" s="487"/>
      <c r="D2" s="729" t="s">
        <v>1147</v>
      </c>
      <c r="E2" s="744" t="str">
        <f>IF('TRECHO(S) A IMPRIMIR'!$B$1= 1, 'PSP-RESUMO'!$B$2, IF('TRECHO(S) A IMPRIMIR'!$B$1= 2,#REF!,#REF!))</f>
        <v>URBANIZAÇÃO DO SETOR SOL NASCENTE - TRECHOS 1 e 3</v>
      </c>
      <c r="F2" s="730"/>
      <c r="G2" s="730"/>
      <c r="H2" s="730"/>
      <c r="I2" s="1966"/>
      <c r="J2" s="730"/>
      <c r="K2" s="731"/>
      <c r="L2" s="807" t="s">
        <v>156</v>
      </c>
      <c r="M2" s="808" t="str">
        <f>'PSP-RESUMO'!$D$4</f>
        <v>28/JAN/2022</v>
      </c>
      <c r="O2" s="488"/>
      <c r="Q2" s="394"/>
      <c r="R2" s="489"/>
      <c r="S2" s="394"/>
      <c r="T2" s="394"/>
      <c r="U2" s="489"/>
      <c r="V2" s="394"/>
      <c r="W2" s="394"/>
      <c r="X2" s="489"/>
      <c r="Y2" s="394"/>
      <c r="Z2" s="394"/>
      <c r="AA2" s="489"/>
      <c r="AB2" s="394"/>
      <c r="AD2" s="498"/>
      <c r="AE2" s="498"/>
      <c r="AF2" s="498"/>
      <c r="AG2" s="498"/>
      <c r="AH2" s="498"/>
      <c r="AI2" s="498"/>
    </row>
    <row r="3" spans="1:35" s="41" customFormat="1" ht="15" x14ac:dyDescent="0.25">
      <c r="A3" s="487"/>
      <c r="B3" s="487"/>
      <c r="D3" s="741" t="s">
        <v>34</v>
      </c>
      <c r="E3" s="742" t="str">
        <f>'PSP-RESUMO'!B3</f>
        <v>SETOR SOL NASCENTE, CEILÂNDIA/DF</v>
      </c>
      <c r="F3" s="742"/>
      <c r="G3" s="742"/>
      <c r="H3" s="742"/>
      <c r="I3" s="1966"/>
      <c r="J3" s="734"/>
      <c r="K3" s="735"/>
      <c r="L3" s="807" t="s">
        <v>1978</v>
      </c>
      <c r="M3" s="809" t="str">
        <f>'PSP-RESUMO'!$D$18</f>
        <v>JUNHO/2021</v>
      </c>
      <c r="O3" s="488"/>
      <c r="Q3" s="394"/>
      <c r="R3" s="489"/>
      <c r="S3" s="394"/>
      <c r="T3" s="394"/>
      <c r="U3" s="489"/>
      <c r="V3" s="394"/>
      <c r="W3" s="394"/>
      <c r="X3" s="489"/>
      <c r="Y3" s="394"/>
      <c r="Z3" s="394"/>
      <c r="AA3" s="489"/>
      <c r="AB3" s="394"/>
      <c r="AD3" s="498"/>
      <c r="AE3" s="498"/>
      <c r="AF3" s="498"/>
      <c r="AG3" s="498"/>
      <c r="AH3" s="498"/>
      <c r="AI3" s="498"/>
    </row>
    <row r="4" spans="1:35" s="41" customFormat="1" ht="15" x14ac:dyDescent="0.25">
      <c r="A4" s="487"/>
      <c r="B4" s="487"/>
      <c r="D4" s="732" t="s">
        <v>33</v>
      </c>
      <c r="E4" s="742" t="str">
        <f>'PSP-RESUMO'!B4</f>
        <v>ARIA</v>
      </c>
      <c r="F4" s="737"/>
      <c r="G4" s="736"/>
      <c r="H4" s="734"/>
      <c r="I4" s="1966"/>
      <c r="J4" s="736"/>
      <c r="K4" s="738"/>
      <c r="L4" s="807" t="s">
        <v>1979</v>
      </c>
      <c r="M4" s="810">
        <f>IF('PSP-RESUMO'!$C$3 = "ENCARGOS SOCIAIS SEM DESONERAÇÃO", 'BDI obras SD'!$H$23, 'BDI obras CD'!$H$23)</f>
        <v>0.2033513845915047</v>
      </c>
      <c r="O4" s="488"/>
      <c r="Q4" s="394"/>
      <c r="R4" s="489"/>
      <c r="S4" s="394"/>
      <c r="T4" s="394"/>
      <c r="U4" s="489" t="s">
        <v>147</v>
      </c>
      <c r="V4" s="394"/>
      <c r="W4" s="394"/>
      <c r="X4" s="489"/>
      <c r="Y4" s="394"/>
      <c r="Z4" s="394"/>
      <c r="AA4" s="489"/>
      <c r="AB4" s="394"/>
      <c r="AD4" s="498"/>
      <c r="AE4" s="498"/>
      <c r="AF4" s="498"/>
      <c r="AG4" s="498"/>
      <c r="AH4" s="498"/>
      <c r="AI4" s="498"/>
    </row>
    <row r="5" spans="1:35" s="41" customFormat="1" ht="15" customHeight="1" x14ac:dyDescent="0.25">
      <c r="A5" s="487"/>
      <c r="B5" s="487"/>
      <c r="D5" s="1946" t="s">
        <v>1284</v>
      </c>
      <c r="E5" s="1967" t="str">
        <f>$G$9</f>
        <v>OBRA DE ARTE ESPECIAL (PONTE) E OBRA DE ARTE CORRENTE (CANAL) - TRECHOS 1 e 3</v>
      </c>
      <c r="F5" s="1967"/>
      <c r="G5" s="1967"/>
      <c r="H5" s="1967"/>
      <c r="I5" s="1967"/>
      <c r="J5" s="734"/>
      <c r="K5" s="803"/>
      <c r="L5" s="807" t="s">
        <v>1980</v>
      </c>
      <c r="M5" s="811">
        <f>IF('PSP-RESUMO'!$C$3 = "ENCARGOS SOCIAIS SEM DESONERAÇÃO", 'BDI-Difer SD'!$H$23, 'BDI-Difer CD'!$H$23)</f>
        <v>0.11096635744680849</v>
      </c>
      <c r="O5" s="488"/>
      <c r="Q5" s="394"/>
      <c r="R5" s="489"/>
      <c r="S5" s="394"/>
      <c r="T5" s="394"/>
      <c r="U5" s="489"/>
      <c r="V5" s="394"/>
      <c r="W5" s="394"/>
      <c r="X5" s="489"/>
      <c r="Y5" s="394"/>
      <c r="Z5" s="394"/>
      <c r="AA5" s="489"/>
      <c r="AB5" s="394"/>
      <c r="AD5" s="498"/>
      <c r="AE5" s="498"/>
      <c r="AF5" s="498"/>
      <c r="AG5" s="498"/>
      <c r="AH5" s="498"/>
      <c r="AI5" s="498"/>
    </row>
    <row r="6" spans="1:35" s="41" customFormat="1" ht="15" customHeight="1" thickBot="1" x14ac:dyDescent="0.3">
      <c r="A6" s="487"/>
      <c r="B6" s="487"/>
      <c r="D6" s="1947"/>
      <c r="E6" s="1968"/>
      <c r="F6" s="1968"/>
      <c r="G6" s="1968"/>
      <c r="H6" s="1968"/>
      <c r="I6" s="1968"/>
      <c r="J6" s="739"/>
      <c r="K6" s="743"/>
      <c r="L6" s="813" t="s">
        <v>1339</v>
      </c>
      <c r="M6" s="802">
        <f>'01-CO'!M6</f>
        <v>18</v>
      </c>
      <c r="O6" s="488"/>
      <c r="Q6" s="394"/>
      <c r="R6" s="489"/>
      <c r="S6" s="394"/>
      <c r="T6" s="394"/>
      <c r="U6" s="489"/>
      <c r="V6" s="394"/>
      <c r="W6" s="394"/>
      <c r="X6" s="489"/>
      <c r="Y6" s="394"/>
      <c r="Z6" s="394"/>
      <c r="AA6" s="489"/>
      <c r="AB6" s="394"/>
      <c r="AD6" s="498"/>
      <c r="AE6" s="498"/>
      <c r="AF6" s="498"/>
      <c r="AG6" s="498"/>
      <c r="AH6" s="498"/>
      <c r="AI6" s="498"/>
    </row>
    <row r="7" spans="1:35" ht="27" customHeight="1" x14ac:dyDescent="0.25">
      <c r="A7" s="1924" t="s">
        <v>31</v>
      </c>
      <c r="B7" s="1922" t="s">
        <v>1322</v>
      </c>
      <c r="D7" s="1934" t="s">
        <v>0</v>
      </c>
      <c r="E7" s="1924" t="s">
        <v>32</v>
      </c>
      <c r="F7" s="1932" t="s">
        <v>1206</v>
      </c>
      <c r="G7" s="1924" t="s">
        <v>30</v>
      </c>
      <c r="H7" s="1944" t="s">
        <v>1</v>
      </c>
      <c r="I7" s="472" t="s">
        <v>29</v>
      </c>
      <c r="J7" s="1930" t="s">
        <v>1204</v>
      </c>
      <c r="K7" s="1926" t="s">
        <v>1202</v>
      </c>
      <c r="L7" s="1928" t="s">
        <v>1203</v>
      </c>
      <c r="M7" s="1942" t="s">
        <v>1205</v>
      </c>
      <c r="N7" s="215"/>
      <c r="O7" s="1940" t="s">
        <v>160</v>
      </c>
      <c r="P7" s="215"/>
      <c r="Q7" s="465" t="s">
        <v>1283</v>
      </c>
      <c r="R7" s="469"/>
      <c r="S7" s="466"/>
      <c r="T7" s="465" t="s">
        <v>1717</v>
      </c>
      <c r="U7" s="469"/>
      <c r="V7" s="466"/>
      <c r="W7" s="467" t="s">
        <v>1804</v>
      </c>
      <c r="X7" s="469"/>
      <c r="Y7" s="468"/>
      <c r="Z7" s="467" t="s">
        <v>147</v>
      </c>
      <c r="AA7" s="469"/>
      <c r="AB7" s="468"/>
    </row>
    <row r="8" spans="1:35" ht="27" customHeight="1" thickBot="1" x14ac:dyDescent="0.3">
      <c r="A8" s="1925"/>
      <c r="B8" s="1923"/>
      <c r="D8" s="1935"/>
      <c r="E8" s="1925"/>
      <c r="F8" s="1933"/>
      <c r="G8" s="1925"/>
      <c r="H8" s="1945"/>
      <c r="I8" s="473" t="s">
        <v>8</v>
      </c>
      <c r="J8" s="1931"/>
      <c r="K8" s="1927"/>
      <c r="L8" s="1929"/>
      <c r="M8" s="1943"/>
      <c r="N8" s="215"/>
      <c r="O8" s="1941"/>
      <c r="P8" s="215"/>
      <c r="Q8" s="445" t="s">
        <v>1053</v>
      </c>
      <c r="R8" s="470" t="s">
        <v>1054</v>
      </c>
      <c r="S8" s="446" t="s">
        <v>288</v>
      </c>
      <c r="T8" s="445" t="s">
        <v>1053</v>
      </c>
      <c r="U8" s="470" t="s">
        <v>1054</v>
      </c>
      <c r="V8" s="446" t="s">
        <v>288</v>
      </c>
      <c r="W8" s="445" t="s">
        <v>1053</v>
      </c>
      <c r="X8" s="470" t="s">
        <v>1054</v>
      </c>
      <c r="Y8" s="446" t="s">
        <v>288</v>
      </c>
      <c r="Z8" s="445" t="s">
        <v>1053</v>
      </c>
      <c r="AA8" s="470" t="s">
        <v>1054</v>
      </c>
      <c r="AB8" s="446" t="s">
        <v>288</v>
      </c>
      <c r="AD8" s="503" t="s">
        <v>1340</v>
      </c>
      <c r="AE8" s="504" t="s">
        <v>1341</v>
      </c>
      <c r="AF8" s="504" t="s">
        <v>1342</v>
      </c>
      <c r="AG8" s="504" t="s">
        <v>1343</v>
      </c>
      <c r="AH8" s="505" t="s">
        <v>997</v>
      </c>
      <c r="AI8" s="505" t="s">
        <v>1381</v>
      </c>
    </row>
    <row r="9" spans="1:35" ht="24" x14ac:dyDescent="0.25">
      <c r="A9" s="587" t="str">
        <f>IF('TRECHO(S) A IMPRIMIR'!$B$1= 1, "OBRA DE ARTE ESPECIAL (PONTE) E OBRA DE ARTE CORRENTE (CANAL) - TRECHOS 1 e 3", IF('TRECHO(S) A IMPRIMIR'!$B$1= 2, "OBRA DE ARTE ESPECIAL (PONTE) E OBRA DE ARTE CORRENTE (CANAL) - TRECHO 1 (LIMPEZA E MOVIMENTOS DE TERRA JÁ CONSIDERADOS NO ORÇAMENTO DO BUEIRO)", "OBRA DE ARTE ESPECIAL E OBRA DE ARTE CORRENTE - TRECHO 3"))</f>
        <v>OBRA DE ARTE ESPECIAL (PONTE) E OBRA DE ARTE CORRENTE (CANAL) - TRECHOS 1 e 3</v>
      </c>
      <c r="B9" s="369"/>
      <c r="C9" s="588"/>
      <c r="D9" s="589" t="s">
        <v>1532</v>
      </c>
      <c r="E9" s="44"/>
      <c r="F9" s="214"/>
      <c r="G9" s="587" t="s">
        <v>4148</v>
      </c>
      <c r="H9" s="590" t="s">
        <v>21</v>
      </c>
      <c r="I9" s="591" t="s">
        <v>21</v>
      </c>
      <c r="J9" s="592" t="s">
        <v>21</v>
      </c>
      <c r="K9" s="593" t="s">
        <v>21</v>
      </c>
      <c r="L9" s="592" t="s">
        <v>21</v>
      </c>
      <c r="M9" s="594">
        <v>6599348.7318358049</v>
      </c>
      <c r="O9" s="673"/>
      <c r="P9" s="361"/>
      <c r="Q9" s="441"/>
      <c r="R9" s="485"/>
      <c r="S9" s="442"/>
      <c r="T9" s="441"/>
      <c r="U9" s="485"/>
      <c r="V9" s="442"/>
      <c r="W9" s="441"/>
      <c r="X9" s="485"/>
      <c r="Y9" s="442"/>
      <c r="Z9" s="441"/>
      <c r="AA9" s="485"/>
      <c r="AB9" s="442"/>
      <c r="AC9" s="672"/>
      <c r="AD9" s="441" t="s">
        <v>21</v>
      </c>
      <c r="AE9" s="674" t="s">
        <v>21</v>
      </c>
      <c r="AF9" s="674" t="s">
        <v>21</v>
      </c>
      <c r="AG9" s="674" t="s">
        <v>21</v>
      </c>
      <c r="AH9" s="442" t="s">
        <v>21</v>
      </c>
      <c r="AI9" s="442" t="s">
        <v>21</v>
      </c>
    </row>
    <row r="10" spans="1:35" x14ac:dyDescent="0.25">
      <c r="A10" s="587" t="s">
        <v>3218</v>
      </c>
      <c r="B10" s="369"/>
      <c r="C10" s="588"/>
      <c r="D10" s="589" t="s">
        <v>1965</v>
      </c>
      <c r="E10" s="44"/>
      <c r="F10" s="214"/>
      <c r="G10" s="587" t="s">
        <v>3218</v>
      </c>
      <c r="H10" s="590" t="s">
        <v>21</v>
      </c>
      <c r="I10" s="591" t="s">
        <v>21</v>
      </c>
      <c r="J10" s="592" t="s">
        <v>21</v>
      </c>
      <c r="K10" s="593" t="s">
        <v>21</v>
      </c>
      <c r="L10" s="592" t="s">
        <v>21</v>
      </c>
      <c r="M10" s="594">
        <v>5045530.2993469033</v>
      </c>
      <c r="O10" s="673"/>
      <c r="P10" s="361"/>
      <c r="Q10" s="441"/>
      <c r="R10" s="485"/>
      <c r="S10" s="442"/>
      <c r="T10" s="441"/>
      <c r="U10" s="485"/>
      <c r="V10" s="442"/>
      <c r="W10" s="441"/>
      <c r="X10" s="485"/>
      <c r="Y10" s="442"/>
      <c r="Z10" s="441"/>
      <c r="AA10" s="485"/>
      <c r="AB10" s="442"/>
      <c r="AC10" s="672"/>
      <c r="AD10" s="441" t="s">
        <v>21</v>
      </c>
      <c r="AE10" s="674" t="s">
        <v>21</v>
      </c>
      <c r="AF10" s="674" t="s">
        <v>21</v>
      </c>
      <c r="AG10" s="674" t="s">
        <v>21</v>
      </c>
      <c r="AH10" s="442" t="s">
        <v>21</v>
      </c>
      <c r="AI10" s="442" t="s">
        <v>21</v>
      </c>
    </row>
    <row r="11" spans="1:35" x14ac:dyDescent="0.25">
      <c r="A11" s="587" t="s">
        <v>3219</v>
      </c>
      <c r="B11" s="369"/>
      <c r="C11" s="588"/>
      <c r="D11" s="589" t="s">
        <v>1967</v>
      </c>
      <c r="E11" s="44"/>
      <c r="F11" s="214"/>
      <c r="G11" s="587" t="s">
        <v>3219</v>
      </c>
      <c r="H11" s="590" t="s">
        <v>21</v>
      </c>
      <c r="I11" s="591" t="s">
        <v>21</v>
      </c>
      <c r="J11" s="592" t="s">
        <v>21</v>
      </c>
      <c r="K11" s="593" t="s">
        <v>21</v>
      </c>
      <c r="L11" s="592" t="s">
        <v>21</v>
      </c>
      <c r="M11" s="594">
        <v>3536804.8861653302</v>
      </c>
      <c r="O11" s="673"/>
      <c r="P11" s="361"/>
      <c r="Q11" s="441"/>
      <c r="R11" s="485"/>
      <c r="S11" s="442"/>
      <c r="T11" s="441"/>
      <c r="U11" s="485"/>
      <c r="V11" s="442"/>
      <c r="W11" s="441"/>
      <c r="X11" s="485"/>
      <c r="Y11" s="442"/>
      <c r="Z11" s="441"/>
      <c r="AA11" s="485"/>
      <c r="AB11" s="442"/>
      <c r="AC11" s="672"/>
      <c r="AD11" s="441" t="s">
        <v>21</v>
      </c>
      <c r="AE11" s="674" t="s">
        <v>21</v>
      </c>
      <c r="AF11" s="674" t="s">
        <v>21</v>
      </c>
      <c r="AG11" s="674" t="s">
        <v>21</v>
      </c>
      <c r="AH11" s="442" t="s">
        <v>21</v>
      </c>
      <c r="AI11" s="442" t="s">
        <v>21</v>
      </c>
    </row>
    <row r="12" spans="1:35" ht="24" x14ac:dyDescent="0.25">
      <c r="A12" s="587" t="s">
        <v>3724</v>
      </c>
      <c r="B12" s="369" t="s">
        <v>39</v>
      </c>
      <c r="C12" s="588"/>
      <c r="D12" s="589" t="s">
        <v>3555</v>
      </c>
      <c r="E12" s="44" t="s">
        <v>138</v>
      </c>
      <c r="F12" s="214" t="s">
        <v>1112</v>
      </c>
      <c r="G12" s="587" t="s">
        <v>1113</v>
      </c>
      <c r="H12" s="590" t="s">
        <v>41</v>
      </c>
      <c r="I12" s="591">
        <v>1</v>
      </c>
      <c r="J12" s="592">
        <v>10396.48957</v>
      </c>
      <c r="K12" s="593">
        <v>0.2033513845915047</v>
      </c>
      <c r="L12" s="592">
        <v>12510.630118950638</v>
      </c>
      <c r="M12" s="594">
        <v>12510.630118950638</v>
      </c>
      <c r="O12" s="673"/>
      <c r="P12" s="361"/>
      <c r="Q12" s="441"/>
      <c r="R12" s="485"/>
      <c r="S12" s="442"/>
      <c r="T12" s="441">
        <v>1</v>
      </c>
      <c r="U12" s="485"/>
      <c r="V12" s="442"/>
      <c r="W12" s="441"/>
      <c r="X12" s="485"/>
      <c r="Y12" s="442"/>
      <c r="Z12" s="441"/>
      <c r="AA12" s="485"/>
      <c r="AB12" s="442"/>
      <c r="AC12" s="672"/>
      <c r="AD12" s="441">
        <v>2454.4868899840303</v>
      </c>
      <c r="AE12" s="674">
        <v>1271.6781214486225</v>
      </c>
      <c r="AF12" s="674">
        <v>0</v>
      </c>
      <c r="AG12" s="674">
        <v>8784.4651075179845</v>
      </c>
      <c r="AH12" s="442">
        <v>0</v>
      </c>
      <c r="AI12" s="442">
        <v>0</v>
      </c>
    </row>
    <row r="13" spans="1:35" ht="48" x14ac:dyDescent="0.25">
      <c r="A13" s="587" t="s">
        <v>1966</v>
      </c>
      <c r="B13" s="369" t="s">
        <v>26</v>
      </c>
      <c r="C13" s="588"/>
      <c r="D13" s="589" t="s">
        <v>3555</v>
      </c>
      <c r="E13" s="44" t="s">
        <v>138</v>
      </c>
      <c r="F13" s="214" t="s">
        <v>3719</v>
      </c>
      <c r="G13" s="587" t="s">
        <v>4138</v>
      </c>
      <c r="H13" s="590" t="s">
        <v>22</v>
      </c>
      <c r="I13" s="591">
        <v>988</v>
      </c>
      <c r="J13" s="592">
        <v>2959.0903560000006</v>
      </c>
      <c r="K13" s="593">
        <v>0.2033513845915047</v>
      </c>
      <c r="L13" s="592">
        <v>3560.8254770239691</v>
      </c>
      <c r="M13" s="594">
        <v>3518095.5712996814</v>
      </c>
      <c r="O13" s="673" t="s">
        <v>3721</v>
      </c>
      <c r="P13" s="361"/>
      <c r="Q13" s="441"/>
      <c r="R13" s="485"/>
      <c r="S13" s="442"/>
      <c r="T13" s="441">
        <v>988</v>
      </c>
      <c r="U13" s="485"/>
      <c r="V13" s="442"/>
      <c r="W13" s="441"/>
      <c r="X13" s="485"/>
      <c r="Y13" s="442"/>
      <c r="Z13" s="441"/>
      <c r="AA13" s="485"/>
      <c r="AB13" s="442"/>
      <c r="AC13" s="672"/>
      <c r="AD13" s="441">
        <v>80629.217349740051</v>
      </c>
      <c r="AE13" s="674">
        <v>3391328.2746875468</v>
      </c>
      <c r="AF13" s="674">
        <v>44570.448764236804</v>
      </c>
      <c r="AG13" s="674">
        <v>0</v>
      </c>
      <c r="AH13" s="442">
        <v>1567.6304981571586</v>
      </c>
      <c r="AI13" s="442">
        <v>4.6566128730773926E-10</v>
      </c>
    </row>
    <row r="14" spans="1:35" ht="48" x14ac:dyDescent="0.25">
      <c r="A14" s="587" t="s">
        <v>1975</v>
      </c>
      <c r="B14" s="369" t="s">
        <v>23</v>
      </c>
      <c r="C14" s="588"/>
      <c r="D14" s="589" t="s">
        <v>3556</v>
      </c>
      <c r="E14" s="44" t="s">
        <v>27</v>
      </c>
      <c r="F14" s="214">
        <v>100995</v>
      </c>
      <c r="G14" s="587" t="s">
        <v>773</v>
      </c>
      <c r="H14" s="590" t="s">
        <v>55</v>
      </c>
      <c r="I14" s="591">
        <v>142.48178702162835</v>
      </c>
      <c r="J14" s="592">
        <v>3.11</v>
      </c>
      <c r="K14" s="593">
        <v>0.2033513845915047</v>
      </c>
      <c r="L14" s="592">
        <v>3.7424228060795794</v>
      </c>
      <c r="M14" s="594">
        <v>533.22708920071534</v>
      </c>
      <c r="O14" s="673"/>
      <c r="P14" s="361"/>
      <c r="Q14" s="441"/>
      <c r="R14" s="485"/>
      <c r="S14" s="442"/>
      <c r="T14" s="441">
        <v>142.48178702162835</v>
      </c>
      <c r="U14" s="485">
        <v>1.0923072445820432</v>
      </c>
      <c r="V14" s="442"/>
      <c r="W14" s="441"/>
      <c r="X14" s="485"/>
      <c r="Y14" s="442"/>
      <c r="Z14" s="441"/>
      <c r="AA14" s="485"/>
      <c r="AB14" s="442"/>
      <c r="AC14" s="672"/>
      <c r="AD14" s="441">
        <v>53.151253264379996</v>
      </c>
      <c r="AE14" s="674">
        <v>250.32525730966057</v>
      </c>
      <c r="AF14" s="674">
        <v>229.75057862667484</v>
      </c>
      <c r="AG14" s="674">
        <v>0</v>
      </c>
      <c r="AH14" s="442">
        <v>0</v>
      </c>
      <c r="AI14" s="442">
        <v>-1.1368683772161603E-13</v>
      </c>
    </row>
    <row r="15" spans="1:35" ht="36" x14ac:dyDescent="0.25">
      <c r="A15" s="587" t="s">
        <v>1851</v>
      </c>
      <c r="B15" s="369" t="s">
        <v>25</v>
      </c>
      <c r="C15" s="588"/>
      <c r="D15" s="589" t="s">
        <v>3557</v>
      </c>
      <c r="E15" s="44" t="s">
        <v>27</v>
      </c>
      <c r="F15" s="214">
        <v>95879</v>
      </c>
      <c r="G15" s="587" t="s">
        <v>789</v>
      </c>
      <c r="H15" s="590" t="s">
        <v>42</v>
      </c>
      <c r="I15" s="591">
        <v>3134.5993144758236</v>
      </c>
      <c r="J15" s="592">
        <v>1.04</v>
      </c>
      <c r="K15" s="593">
        <v>0.2033513845915047</v>
      </c>
      <c r="L15" s="592">
        <v>1.2514854399751649</v>
      </c>
      <c r="M15" s="594">
        <v>3922.9054022226264</v>
      </c>
      <c r="O15" s="673"/>
      <c r="P15" s="361"/>
      <c r="Q15" s="441"/>
      <c r="R15" s="485"/>
      <c r="S15" s="442"/>
      <c r="T15" s="441">
        <v>3134.5993144758236</v>
      </c>
      <c r="U15" s="485"/>
      <c r="V15" s="442">
        <v>22</v>
      </c>
      <c r="W15" s="441"/>
      <c r="X15" s="485"/>
      <c r="Y15" s="442"/>
      <c r="Z15" s="441"/>
      <c r="AA15" s="485"/>
      <c r="AB15" s="442"/>
      <c r="AC15" s="672"/>
      <c r="AD15" s="441">
        <v>264.04170976498449</v>
      </c>
      <c r="AE15" s="674">
        <v>2263.2146551284382</v>
      </c>
      <c r="AF15" s="674">
        <v>1395.6490373292036</v>
      </c>
      <c r="AG15" s="674">
        <v>0</v>
      </c>
      <c r="AH15" s="442">
        <v>0</v>
      </c>
      <c r="AI15" s="442">
        <v>0</v>
      </c>
    </row>
    <row r="16" spans="1:35" ht="36" hidden="1" x14ac:dyDescent="0.25">
      <c r="A16" s="587" t="s">
        <v>1976</v>
      </c>
      <c r="B16" s="369" t="s">
        <v>25</v>
      </c>
      <c r="C16" s="588"/>
      <c r="D16" s="589" t="s">
        <v>3558</v>
      </c>
      <c r="E16" s="44" t="s">
        <v>27</v>
      </c>
      <c r="F16" s="214">
        <v>93599</v>
      </c>
      <c r="G16" s="587" t="s">
        <v>788</v>
      </c>
      <c r="H16" s="590" t="s">
        <v>42</v>
      </c>
      <c r="I16" s="591">
        <f>IF($F16="","",IF('TRECHO(S) A IMPRIMIR'!$B$1= 1, SUM(Q16, T16, W16, Z16), IF('TRECHO(S) A IMPRIMIR'!$B$1= 2, T16, IF('TRECHO(S) A IMPRIMIR'!$B$1= 3, W16, 0))))</f>
        <v>0</v>
      </c>
      <c r="J16" s="592">
        <v>0.41</v>
      </c>
      <c r="K16" s="593">
        <f t="shared" ref="K9:K40" si="0">IF(AND(F16&lt;&gt;"", J16&lt;&gt;""),
  IF(OR(F16= "CP9001", F16= "CP9091", F16= "CP9092"), 0,
  IF(ISNA(VLOOKUP(F16, $M$139:$M$141, 1, FALSE)), $M$4, $M$5)), "")</f>
        <v>0.2033513845915047</v>
      </c>
      <c r="L16" s="592">
        <f>IF(J16="","",
  IF(AND(J16&lt;&gt;"",K16=""),J16,J16 * (1 + K16)))</f>
        <v>0.4933740676825169</v>
      </c>
      <c r="M16" s="594">
        <f>IF(OR(I16="",L16=""),"",I16*L16)</f>
        <v>0</v>
      </c>
      <c r="O16" s="673"/>
      <c r="P16" s="361"/>
      <c r="Q16" s="441"/>
      <c r="R16" s="485"/>
      <c r="S16" s="442"/>
      <c r="T16" s="441">
        <f>T14 * V16</f>
        <v>0</v>
      </c>
      <c r="U16" s="485"/>
      <c r="V16" s="442">
        <f>IF('MLQ-DMT-TR1'!$E$7 &gt; 30, 'MLQ-DMT-TR1'!$E$7 - 30, 0)</f>
        <v>0</v>
      </c>
      <c r="W16" s="441"/>
      <c r="X16" s="485"/>
      <c r="Y16" s="442"/>
      <c r="Z16" s="441"/>
      <c r="AA16" s="485"/>
      <c r="AB16" s="442"/>
      <c r="AC16" s="672"/>
      <c r="AD16" s="441" t="s">
        <v>21</v>
      </c>
      <c r="AE16" s="674" t="s">
        <v>21</v>
      </c>
      <c r="AF16" s="674" t="s">
        <v>21</v>
      </c>
      <c r="AG16" s="674" t="s">
        <v>21</v>
      </c>
      <c r="AH16" s="442" t="s">
        <v>21</v>
      </c>
      <c r="AI16" s="442" t="str">
        <f>IF(SUM(AD16:AH16)=0,"",M16 - SUM(AD16:AH16))</f>
        <v/>
      </c>
    </row>
    <row r="17" spans="1:35" ht="24" x14ac:dyDescent="0.25">
      <c r="A17" s="587" t="s">
        <v>1977</v>
      </c>
      <c r="B17" s="369" t="s">
        <v>23</v>
      </c>
      <c r="C17" s="588"/>
      <c r="D17" s="589" t="s">
        <v>3559</v>
      </c>
      <c r="E17" s="44" t="s">
        <v>138</v>
      </c>
      <c r="F17" s="214" t="s">
        <v>164</v>
      </c>
      <c r="G17" s="587" t="s">
        <v>3638</v>
      </c>
      <c r="H17" s="590" t="s">
        <v>55</v>
      </c>
      <c r="I17" s="591">
        <v>142.48178702162835</v>
      </c>
      <c r="J17" s="592">
        <v>12.23</v>
      </c>
      <c r="K17" s="593">
        <v>0</v>
      </c>
      <c r="L17" s="592">
        <v>12.23</v>
      </c>
      <c r="M17" s="594">
        <v>1742.5522552745147</v>
      </c>
      <c r="O17" s="673"/>
      <c r="P17" s="361"/>
      <c r="Q17" s="441"/>
      <c r="R17" s="485"/>
      <c r="S17" s="442"/>
      <c r="T17" s="441">
        <v>142.48178702162835</v>
      </c>
      <c r="U17" s="485"/>
      <c r="V17" s="442"/>
      <c r="W17" s="441"/>
      <c r="X17" s="485"/>
      <c r="Y17" s="442"/>
      <c r="Z17" s="441"/>
      <c r="AA17" s="485"/>
      <c r="AB17" s="442"/>
      <c r="AC17" s="672"/>
      <c r="AD17" s="441">
        <v>0</v>
      </c>
      <c r="AE17" s="674">
        <v>0</v>
      </c>
      <c r="AF17" s="674">
        <v>0</v>
      </c>
      <c r="AG17" s="674">
        <v>1742.5522552745147</v>
      </c>
      <c r="AH17" s="442">
        <v>0</v>
      </c>
      <c r="AI17" s="442">
        <v>0</v>
      </c>
    </row>
    <row r="18" spans="1:35" x14ac:dyDescent="0.25">
      <c r="A18" s="587"/>
      <c r="B18" s="369"/>
      <c r="C18" s="588"/>
      <c r="D18" s="589"/>
      <c r="E18" s="44"/>
      <c r="F18" s="214"/>
      <c r="G18" s="587" t="s">
        <v>21</v>
      </c>
      <c r="H18" s="590" t="s">
        <v>21</v>
      </c>
      <c r="I18" s="591" t="s">
        <v>21</v>
      </c>
      <c r="J18" s="592" t="s">
        <v>21</v>
      </c>
      <c r="K18" s="593" t="s">
        <v>21</v>
      </c>
      <c r="L18" s="592" t="s">
        <v>21</v>
      </c>
      <c r="M18" s="594" t="s">
        <v>21</v>
      </c>
      <c r="O18" s="673"/>
      <c r="P18" s="361"/>
      <c r="Q18" s="441"/>
      <c r="R18" s="485"/>
      <c r="S18" s="442"/>
      <c r="T18" s="441"/>
      <c r="U18" s="485"/>
      <c r="V18" s="442"/>
      <c r="W18" s="441"/>
      <c r="X18" s="485"/>
      <c r="Y18" s="442"/>
      <c r="Z18" s="441"/>
      <c r="AA18" s="485"/>
      <c r="AB18" s="442"/>
      <c r="AC18" s="672"/>
      <c r="AD18" s="441" t="s">
        <v>21</v>
      </c>
      <c r="AE18" s="674" t="s">
        <v>21</v>
      </c>
      <c r="AF18" s="674" t="s">
        <v>21</v>
      </c>
      <c r="AG18" s="674" t="s">
        <v>21</v>
      </c>
      <c r="AH18" s="442" t="s">
        <v>21</v>
      </c>
      <c r="AI18" s="442" t="s">
        <v>21</v>
      </c>
    </row>
    <row r="19" spans="1:35" x14ac:dyDescent="0.25">
      <c r="A19" s="587" t="s">
        <v>3307</v>
      </c>
      <c r="B19" s="369"/>
      <c r="C19" s="588"/>
      <c r="D19" s="589" t="s">
        <v>1971</v>
      </c>
      <c r="E19" s="44"/>
      <c r="F19" s="214"/>
      <c r="G19" s="587" t="s">
        <v>3307</v>
      </c>
      <c r="H19" s="590" t="s">
        <v>21</v>
      </c>
      <c r="I19" s="591" t="s">
        <v>21</v>
      </c>
      <c r="J19" s="606" t="s">
        <v>21</v>
      </c>
      <c r="K19" s="593" t="s">
        <v>21</v>
      </c>
      <c r="L19" s="592" t="s">
        <v>21</v>
      </c>
      <c r="M19" s="594">
        <v>363323.80918432772</v>
      </c>
      <c r="O19" s="675"/>
      <c r="P19" s="361"/>
      <c r="Q19" s="441"/>
      <c r="R19" s="485"/>
      <c r="S19" s="442"/>
      <c r="T19" s="441"/>
      <c r="U19" s="485"/>
      <c r="V19" s="442"/>
      <c r="W19" s="441"/>
      <c r="X19" s="485"/>
      <c r="Y19" s="442"/>
      <c r="Z19" s="441"/>
      <c r="AA19" s="485"/>
      <c r="AB19" s="442"/>
      <c r="AC19" s="672"/>
      <c r="AD19" s="441" t="s">
        <v>21</v>
      </c>
      <c r="AE19" s="674" t="s">
        <v>21</v>
      </c>
      <c r="AF19" s="674" t="s">
        <v>21</v>
      </c>
      <c r="AG19" s="674" t="s">
        <v>21</v>
      </c>
      <c r="AH19" s="442" t="s">
        <v>21</v>
      </c>
      <c r="AI19" s="442" t="s">
        <v>21</v>
      </c>
    </row>
    <row r="20" spans="1:35" x14ac:dyDescent="0.25">
      <c r="A20" s="587" t="s">
        <v>3231</v>
      </c>
      <c r="B20" s="369"/>
      <c r="C20" s="588"/>
      <c r="D20" s="589" t="s">
        <v>3560</v>
      </c>
      <c r="E20" s="44"/>
      <c r="F20" s="214"/>
      <c r="G20" s="587" t="s">
        <v>3231</v>
      </c>
      <c r="H20" s="590" t="s">
        <v>21</v>
      </c>
      <c r="I20" s="591" t="s">
        <v>21</v>
      </c>
      <c r="J20" s="606" t="s">
        <v>21</v>
      </c>
      <c r="K20" s="593" t="s">
        <v>21</v>
      </c>
      <c r="L20" s="592" t="s">
        <v>21</v>
      </c>
      <c r="M20" s="594">
        <v>71547.308284998639</v>
      </c>
      <c r="O20" s="673"/>
      <c r="P20" s="361"/>
      <c r="Q20" s="441"/>
      <c r="R20" s="485"/>
      <c r="S20" s="442"/>
      <c r="T20" s="441"/>
      <c r="U20" s="485"/>
      <c r="V20" s="442"/>
      <c r="W20" s="441"/>
      <c r="X20" s="485"/>
      <c r="Y20" s="442"/>
      <c r="Z20" s="441"/>
      <c r="AA20" s="485"/>
      <c r="AB20" s="442"/>
      <c r="AC20" s="672"/>
      <c r="AD20" s="441" t="s">
        <v>21</v>
      </c>
      <c r="AE20" s="674" t="s">
        <v>21</v>
      </c>
      <c r="AF20" s="674" t="s">
        <v>21</v>
      </c>
      <c r="AG20" s="674" t="s">
        <v>21</v>
      </c>
      <c r="AH20" s="442" t="s">
        <v>21</v>
      </c>
      <c r="AI20" s="442" t="s">
        <v>21</v>
      </c>
    </row>
    <row r="21" spans="1:35" ht="36" x14ac:dyDescent="0.25">
      <c r="A21" s="587" t="s">
        <v>1871</v>
      </c>
      <c r="B21" s="369" t="s">
        <v>20</v>
      </c>
      <c r="C21" s="588"/>
      <c r="D21" s="589" t="s">
        <v>3561</v>
      </c>
      <c r="E21" s="44" t="s">
        <v>27</v>
      </c>
      <c r="F21" s="214">
        <v>96534</v>
      </c>
      <c r="G21" s="587" t="s">
        <v>581</v>
      </c>
      <c r="H21" s="590" t="s">
        <v>51</v>
      </c>
      <c r="I21" s="591">
        <v>117.4</v>
      </c>
      <c r="J21" s="606">
        <v>79.489999999999995</v>
      </c>
      <c r="K21" s="593">
        <v>0.2033513845915047</v>
      </c>
      <c r="L21" s="592">
        <v>95.654401561178702</v>
      </c>
      <c r="M21" s="594">
        <v>11229.82674328238</v>
      </c>
      <c r="O21" s="673"/>
      <c r="P21" s="361"/>
      <c r="Q21" s="441"/>
      <c r="R21" s="485"/>
      <c r="S21" s="442"/>
      <c r="T21" s="441">
        <v>117.4</v>
      </c>
      <c r="U21" s="485"/>
      <c r="V21" s="442"/>
      <c r="W21" s="441"/>
      <c r="X21" s="485"/>
      <c r="Y21" s="442"/>
      <c r="Z21" s="441"/>
      <c r="AA21" s="485"/>
      <c r="AB21" s="442"/>
      <c r="AC21" s="672"/>
      <c r="AD21" s="441">
        <v>4746.7880057150333</v>
      </c>
      <c r="AE21" s="674">
        <v>6478.8005339908159</v>
      </c>
      <c r="AF21" s="674">
        <v>0</v>
      </c>
      <c r="AG21" s="674">
        <v>0</v>
      </c>
      <c r="AH21" s="442">
        <v>4.23820357653128</v>
      </c>
      <c r="AI21" s="442">
        <v>0</v>
      </c>
    </row>
    <row r="22" spans="1:35" ht="48" x14ac:dyDescent="0.25">
      <c r="A22" s="587" t="s">
        <v>1865</v>
      </c>
      <c r="B22" s="369" t="s">
        <v>28</v>
      </c>
      <c r="C22" s="588"/>
      <c r="D22" s="589" t="s">
        <v>3562</v>
      </c>
      <c r="E22" s="44" t="s">
        <v>27</v>
      </c>
      <c r="F22" s="214">
        <v>96557</v>
      </c>
      <c r="G22" s="587" t="s">
        <v>541</v>
      </c>
      <c r="H22" s="590" t="s">
        <v>44</v>
      </c>
      <c r="I22" s="591">
        <v>121.7</v>
      </c>
      <c r="J22" s="606">
        <v>411.87</v>
      </c>
      <c r="K22" s="593">
        <v>0.2033513845915047</v>
      </c>
      <c r="L22" s="592">
        <v>495.62433477170305</v>
      </c>
      <c r="M22" s="594">
        <v>60317.481541716261</v>
      </c>
      <c r="O22" s="673"/>
      <c r="P22" s="361"/>
      <c r="Q22" s="441"/>
      <c r="R22" s="485"/>
      <c r="S22" s="442"/>
      <c r="T22" s="441">
        <v>121.7</v>
      </c>
      <c r="U22" s="485"/>
      <c r="V22" s="442"/>
      <c r="W22" s="441"/>
      <c r="X22" s="485"/>
      <c r="Y22" s="442"/>
      <c r="Z22" s="441"/>
      <c r="AA22" s="485"/>
      <c r="AB22" s="442"/>
      <c r="AC22" s="672"/>
      <c r="AD22" s="441">
        <v>1865.7457810509752</v>
      </c>
      <c r="AE22" s="674">
        <v>58429.768581139571</v>
      </c>
      <c r="AF22" s="674">
        <v>11.715829080382891</v>
      </c>
      <c r="AG22" s="674">
        <v>0</v>
      </c>
      <c r="AH22" s="442">
        <v>10.251350445335028</v>
      </c>
      <c r="AI22" s="442">
        <v>-7.2759576141834259E-12</v>
      </c>
    </row>
    <row r="23" spans="1:35" x14ac:dyDescent="0.25">
      <c r="A23" s="587" t="s">
        <v>3239</v>
      </c>
      <c r="B23" s="369"/>
      <c r="C23" s="588"/>
      <c r="D23" s="589" t="s">
        <v>3563</v>
      </c>
      <c r="E23" s="44"/>
      <c r="F23" s="214"/>
      <c r="G23" s="587" t="s">
        <v>3239</v>
      </c>
      <c r="H23" s="590" t="s">
        <v>21</v>
      </c>
      <c r="I23" s="591" t="s">
        <v>21</v>
      </c>
      <c r="J23" s="606" t="s">
        <v>21</v>
      </c>
      <c r="K23" s="593" t="s">
        <v>21</v>
      </c>
      <c r="L23" s="592" t="s">
        <v>21</v>
      </c>
      <c r="M23" s="594">
        <v>16217.820517281856</v>
      </c>
      <c r="O23" s="673"/>
      <c r="P23" s="361"/>
      <c r="Q23" s="441"/>
      <c r="R23" s="485"/>
      <c r="S23" s="442"/>
      <c r="T23" s="441"/>
      <c r="U23" s="485"/>
      <c r="V23" s="442"/>
      <c r="W23" s="441"/>
      <c r="X23" s="485"/>
      <c r="Y23" s="442"/>
      <c r="Z23" s="441"/>
      <c r="AA23" s="485"/>
      <c r="AB23" s="442"/>
      <c r="AC23" s="672"/>
      <c r="AD23" s="441" t="s">
        <v>21</v>
      </c>
      <c r="AE23" s="674" t="s">
        <v>21</v>
      </c>
      <c r="AF23" s="674" t="s">
        <v>21</v>
      </c>
      <c r="AG23" s="674" t="s">
        <v>21</v>
      </c>
      <c r="AH23" s="442" t="s">
        <v>21</v>
      </c>
      <c r="AI23" s="442" t="s">
        <v>21</v>
      </c>
    </row>
    <row r="24" spans="1:35" ht="36" x14ac:dyDescent="0.25">
      <c r="A24" s="587" t="s">
        <v>1871</v>
      </c>
      <c r="B24" s="369" t="s">
        <v>20</v>
      </c>
      <c r="C24" s="588"/>
      <c r="D24" s="589" t="s">
        <v>3564</v>
      </c>
      <c r="E24" s="44" t="s">
        <v>27</v>
      </c>
      <c r="F24" s="214">
        <v>97086</v>
      </c>
      <c r="G24" s="587" t="s">
        <v>583</v>
      </c>
      <c r="H24" s="590" t="s">
        <v>51</v>
      </c>
      <c r="I24" s="591">
        <v>20.100000000000001</v>
      </c>
      <c r="J24" s="606">
        <v>112.19</v>
      </c>
      <c r="K24" s="593">
        <v>0.2033513845915047</v>
      </c>
      <c r="L24" s="592">
        <v>135.00399183732091</v>
      </c>
      <c r="M24" s="594">
        <v>2713.5802359301506</v>
      </c>
      <c r="O24" s="673"/>
      <c r="P24" s="361"/>
      <c r="Q24" s="441"/>
      <c r="R24" s="485"/>
      <c r="S24" s="442"/>
      <c r="T24" s="441">
        <v>20.100000000000001</v>
      </c>
      <c r="U24" s="485"/>
      <c r="V24" s="442"/>
      <c r="W24" s="441"/>
      <c r="X24" s="485"/>
      <c r="Y24" s="442"/>
      <c r="Z24" s="441"/>
      <c r="AA24" s="485"/>
      <c r="AB24" s="442"/>
      <c r="AC24" s="672"/>
      <c r="AD24" s="441">
        <v>1494.2952756552695</v>
      </c>
      <c r="AE24" s="674">
        <v>1219.2849602748809</v>
      </c>
      <c r="AF24" s="674">
        <v>0</v>
      </c>
      <c r="AG24" s="674">
        <v>0</v>
      </c>
      <c r="AH24" s="442">
        <v>0</v>
      </c>
      <c r="AI24" s="442">
        <v>0</v>
      </c>
    </row>
    <row r="25" spans="1:35" ht="24" x14ac:dyDescent="0.25">
      <c r="A25" s="587" t="s">
        <v>1865</v>
      </c>
      <c r="B25" s="369" t="s">
        <v>28</v>
      </c>
      <c r="C25" s="588"/>
      <c r="D25" s="589" t="s">
        <v>3565</v>
      </c>
      <c r="E25" s="44" t="s">
        <v>138</v>
      </c>
      <c r="F25" s="214" t="s">
        <v>3304</v>
      </c>
      <c r="G25" s="587" t="s">
        <v>3303</v>
      </c>
      <c r="H25" s="590" t="s">
        <v>44</v>
      </c>
      <c r="I25" s="591">
        <v>32</v>
      </c>
      <c r="J25" s="606">
        <v>350.69349999999997</v>
      </c>
      <c r="K25" s="593">
        <v>0.2033513845915047</v>
      </c>
      <c r="L25" s="592">
        <v>422.0075087922408</v>
      </c>
      <c r="M25" s="594">
        <v>13504.240281351706</v>
      </c>
      <c r="O25" s="673"/>
      <c r="P25" s="361"/>
      <c r="Q25" s="441"/>
      <c r="R25" s="485"/>
      <c r="S25" s="442"/>
      <c r="T25" s="441">
        <v>32</v>
      </c>
      <c r="U25" s="485"/>
      <c r="V25" s="442"/>
      <c r="W25" s="441"/>
      <c r="X25" s="485"/>
      <c r="Y25" s="442"/>
      <c r="Z25" s="441"/>
      <c r="AA25" s="485"/>
      <c r="AB25" s="442"/>
      <c r="AC25" s="672"/>
      <c r="AD25" s="441">
        <v>0</v>
      </c>
      <c r="AE25" s="674">
        <v>13504.240281351706</v>
      </c>
      <c r="AF25" s="674">
        <v>0</v>
      </c>
      <c r="AG25" s="674">
        <v>0</v>
      </c>
      <c r="AH25" s="442">
        <v>0</v>
      </c>
      <c r="AI25" s="442">
        <v>0</v>
      </c>
    </row>
    <row r="26" spans="1:35" ht="36" x14ac:dyDescent="0.25">
      <c r="A26" s="587" t="s">
        <v>3308</v>
      </c>
      <c r="B26" s="369" t="s">
        <v>28</v>
      </c>
      <c r="C26" s="588"/>
      <c r="D26" s="589" t="s">
        <v>3566</v>
      </c>
      <c r="E26" s="44" t="s">
        <v>27</v>
      </c>
      <c r="F26" s="214">
        <v>92874</v>
      </c>
      <c r="G26" s="587" t="s">
        <v>596</v>
      </c>
      <c r="H26" s="590" t="s">
        <v>44</v>
      </c>
      <c r="I26" s="591">
        <v>32</v>
      </c>
      <c r="J26" s="592">
        <v>30.6</v>
      </c>
      <c r="K26" s="593">
        <v>0.2033513845915047</v>
      </c>
      <c r="L26" s="592">
        <v>36.822552368500048</v>
      </c>
      <c r="M26" s="594">
        <v>1178.3216757920015</v>
      </c>
      <c r="O26" s="673"/>
      <c r="P26" s="361"/>
      <c r="Q26" s="441"/>
      <c r="R26" s="485"/>
      <c r="S26" s="442"/>
      <c r="T26" s="441">
        <v>32</v>
      </c>
      <c r="U26" s="485"/>
      <c r="V26" s="442"/>
      <c r="W26" s="441"/>
      <c r="X26" s="485"/>
      <c r="Y26" s="442"/>
      <c r="Z26" s="441"/>
      <c r="AA26" s="485"/>
      <c r="AB26" s="442"/>
      <c r="AC26" s="672"/>
      <c r="AD26" s="441">
        <v>805.95662334400618</v>
      </c>
      <c r="AE26" s="674">
        <v>366.97403824502527</v>
      </c>
      <c r="AF26" s="674">
        <v>3.4656519876235334</v>
      </c>
      <c r="AG26" s="674">
        <v>0</v>
      </c>
      <c r="AH26" s="442">
        <v>1.9253622153464076</v>
      </c>
      <c r="AI26" s="442">
        <v>2.2737367544323206E-13</v>
      </c>
    </row>
    <row r="27" spans="1:35" x14ac:dyDescent="0.25">
      <c r="A27" s="587"/>
      <c r="B27" s="369"/>
      <c r="C27" s="588"/>
      <c r="D27" s="589"/>
      <c r="E27" s="44"/>
      <c r="F27" s="214"/>
      <c r="G27" s="587" t="s">
        <v>21</v>
      </c>
      <c r="H27" s="590" t="s">
        <v>21</v>
      </c>
      <c r="I27" s="591" t="s">
        <v>21</v>
      </c>
      <c r="J27" s="592" t="s">
        <v>21</v>
      </c>
      <c r="K27" s="593" t="s">
        <v>21</v>
      </c>
      <c r="L27" s="592" t="s">
        <v>21</v>
      </c>
      <c r="M27" s="594" t="s">
        <v>21</v>
      </c>
      <c r="O27" s="673"/>
      <c r="P27" s="361"/>
      <c r="Q27" s="441"/>
      <c r="R27" s="485"/>
      <c r="S27" s="442"/>
      <c r="T27" s="441"/>
      <c r="U27" s="485"/>
      <c r="V27" s="442"/>
      <c r="W27" s="441"/>
      <c r="X27" s="485"/>
      <c r="Y27" s="442"/>
      <c r="Z27" s="441"/>
      <c r="AA27" s="485"/>
      <c r="AB27" s="442"/>
      <c r="AC27" s="672"/>
      <c r="AD27" s="441" t="s">
        <v>21</v>
      </c>
      <c r="AE27" s="674" t="s">
        <v>21</v>
      </c>
      <c r="AF27" s="674" t="s">
        <v>21</v>
      </c>
      <c r="AG27" s="674" t="s">
        <v>21</v>
      </c>
      <c r="AH27" s="442" t="s">
        <v>21</v>
      </c>
      <c r="AI27" s="442" t="s">
        <v>21</v>
      </c>
    </row>
    <row r="28" spans="1:35" x14ac:dyDescent="0.25">
      <c r="A28" s="587" t="s">
        <v>3309</v>
      </c>
      <c r="B28" s="369"/>
      <c r="C28" s="588"/>
      <c r="D28" s="589" t="s">
        <v>1972</v>
      </c>
      <c r="E28" s="44"/>
      <c r="F28" s="214"/>
      <c r="G28" s="587" t="s">
        <v>3309</v>
      </c>
      <c r="H28" s="590" t="s">
        <v>21</v>
      </c>
      <c r="I28" s="591" t="s">
        <v>21</v>
      </c>
      <c r="J28" s="606" t="s">
        <v>21</v>
      </c>
      <c r="K28" s="593" t="s">
        <v>21</v>
      </c>
      <c r="L28" s="592" t="s">
        <v>21</v>
      </c>
      <c r="M28" s="594">
        <v>1277.5935321179697</v>
      </c>
      <c r="O28" s="673"/>
      <c r="P28" s="361"/>
      <c r="Q28" s="441"/>
      <c r="R28" s="485"/>
      <c r="S28" s="442"/>
      <c r="T28" s="441"/>
      <c r="U28" s="485"/>
      <c r="V28" s="442"/>
      <c r="W28" s="441"/>
      <c r="X28" s="485"/>
      <c r="Y28" s="442"/>
      <c r="Z28" s="441"/>
      <c r="AA28" s="485"/>
      <c r="AB28" s="442"/>
      <c r="AC28" s="672"/>
      <c r="AD28" s="441" t="s">
        <v>21</v>
      </c>
      <c r="AE28" s="674" t="s">
        <v>21</v>
      </c>
      <c r="AF28" s="674" t="s">
        <v>21</v>
      </c>
      <c r="AG28" s="674" t="s">
        <v>21</v>
      </c>
      <c r="AH28" s="442" t="s">
        <v>21</v>
      </c>
      <c r="AI28" s="442" t="s">
        <v>21</v>
      </c>
    </row>
    <row r="29" spans="1:35" x14ac:dyDescent="0.25">
      <c r="A29" s="587" t="s">
        <v>1956</v>
      </c>
      <c r="B29" s="369"/>
      <c r="C29" s="588"/>
      <c r="D29" s="589" t="s">
        <v>3567</v>
      </c>
      <c r="E29" s="44"/>
      <c r="F29" s="214"/>
      <c r="G29" s="587" t="s">
        <v>1956</v>
      </c>
      <c r="H29" s="590" t="s">
        <v>21</v>
      </c>
      <c r="I29" s="591" t="s">
        <v>21</v>
      </c>
      <c r="J29" s="592" t="s">
        <v>21</v>
      </c>
      <c r="K29" s="593" t="s">
        <v>21</v>
      </c>
      <c r="L29" s="592" t="s">
        <v>21</v>
      </c>
      <c r="M29" s="594" t="s">
        <v>21</v>
      </c>
      <c r="O29" s="673"/>
      <c r="P29" s="361"/>
      <c r="Q29" s="441"/>
      <c r="R29" s="485"/>
      <c r="S29" s="442"/>
      <c r="T29" s="441"/>
      <c r="U29" s="485"/>
      <c r="V29" s="442"/>
      <c r="W29" s="441"/>
      <c r="X29" s="485"/>
      <c r="Y29" s="442"/>
      <c r="Z29" s="441"/>
      <c r="AA29" s="485"/>
      <c r="AB29" s="442"/>
      <c r="AC29" s="672"/>
      <c r="AD29" s="441" t="s">
        <v>21</v>
      </c>
      <c r="AE29" s="674" t="s">
        <v>21</v>
      </c>
      <c r="AF29" s="674" t="s">
        <v>21</v>
      </c>
      <c r="AG29" s="674" t="s">
        <v>21</v>
      </c>
      <c r="AH29" s="442" t="s">
        <v>21</v>
      </c>
      <c r="AI29" s="442" t="s">
        <v>21</v>
      </c>
    </row>
    <row r="30" spans="1:35" ht="48" x14ac:dyDescent="0.25">
      <c r="A30" s="587" t="s">
        <v>1871</v>
      </c>
      <c r="B30" s="369" t="s">
        <v>20</v>
      </c>
      <c r="C30" s="588"/>
      <c r="D30" s="589" t="s">
        <v>3568</v>
      </c>
      <c r="E30" s="44" t="s">
        <v>27</v>
      </c>
      <c r="F30" s="214">
        <v>92427</v>
      </c>
      <c r="G30" s="587" t="s">
        <v>1164</v>
      </c>
      <c r="H30" s="590" t="s">
        <v>51</v>
      </c>
      <c r="I30" s="591">
        <v>0.9</v>
      </c>
      <c r="J30" s="606">
        <v>49.65</v>
      </c>
      <c r="K30" s="593">
        <v>0.2033513845915047</v>
      </c>
      <c r="L30" s="592">
        <v>59.74639624496821</v>
      </c>
      <c r="M30" s="594">
        <v>53.771756620471393</v>
      </c>
      <c r="O30" s="673"/>
      <c r="P30" s="361"/>
      <c r="Q30" s="441"/>
      <c r="R30" s="485"/>
      <c r="S30" s="442"/>
      <c r="T30" s="441">
        <v>0.9</v>
      </c>
      <c r="U30" s="485"/>
      <c r="V30" s="442"/>
      <c r="W30" s="441"/>
      <c r="X30" s="485"/>
      <c r="Y30" s="442"/>
      <c r="Z30" s="441"/>
      <c r="AA30" s="485"/>
      <c r="AB30" s="442"/>
      <c r="AC30" s="672"/>
      <c r="AD30" s="441">
        <v>19.916668766373995</v>
      </c>
      <c r="AE30" s="674">
        <v>23.349830266613559</v>
      </c>
      <c r="AF30" s="674">
        <v>10.494427425022513</v>
      </c>
      <c r="AG30" s="674">
        <v>0</v>
      </c>
      <c r="AH30" s="442">
        <v>1.0830162461323544E-2</v>
      </c>
      <c r="AI30" s="442">
        <v>0</v>
      </c>
    </row>
    <row r="31" spans="1:35" ht="24" x14ac:dyDescent="0.25">
      <c r="A31" s="587" t="s">
        <v>1865</v>
      </c>
      <c r="B31" s="369" t="s">
        <v>28</v>
      </c>
      <c r="C31" s="588"/>
      <c r="D31" s="589" t="s">
        <v>3569</v>
      </c>
      <c r="E31" s="44" t="s">
        <v>138</v>
      </c>
      <c r="F31" s="214" t="s">
        <v>3304</v>
      </c>
      <c r="G31" s="587" t="s">
        <v>3303</v>
      </c>
      <c r="H31" s="590" t="s">
        <v>44</v>
      </c>
      <c r="I31" s="591">
        <v>2.9</v>
      </c>
      <c r="J31" s="606">
        <v>350.69349999999997</v>
      </c>
      <c r="K31" s="593">
        <v>0.2033513845915047</v>
      </c>
      <c r="L31" s="592">
        <v>422.0075087922408</v>
      </c>
      <c r="M31" s="594">
        <v>1223.8217754974983</v>
      </c>
      <c r="O31" s="673"/>
      <c r="P31" s="361"/>
      <c r="Q31" s="441"/>
      <c r="R31" s="485"/>
      <c r="S31" s="442"/>
      <c r="T31" s="441">
        <v>2.9</v>
      </c>
      <c r="U31" s="485"/>
      <c r="V31" s="442"/>
      <c r="W31" s="441"/>
      <c r="X31" s="485"/>
      <c r="Y31" s="442"/>
      <c r="Z31" s="441"/>
      <c r="AA31" s="485"/>
      <c r="AB31" s="442"/>
      <c r="AC31" s="672"/>
      <c r="AD31" s="441">
        <v>0</v>
      </c>
      <c r="AE31" s="674">
        <v>1223.8217754974985</v>
      </c>
      <c r="AF31" s="674">
        <v>0</v>
      </c>
      <c r="AG31" s="674">
        <v>0</v>
      </c>
      <c r="AH31" s="442">
        <v>0</v>
      </c>
      <c r="AI31" s="442">
        <v>-2.2737367544323206E-13</v>
      </c>
    </row>
    <row r="32" spans="1:35" ht="36" x14ac:dyDescent="0.25">
      <c r="A32" s="587" t="s">
        <v>3308</v>
      </c>
      <c r="B32" s="369" t="s">
        <v>28</v>
      </c>
      <c r="C32" s="588"/>
      <c r="D32" s="589" t="s">
        <v>3570</v>
      </c>
      <c r="E32" s="44" t="s">
        <v>27</v>
      </c>
      <c r="F32" s="214">
        <v>92874</v>
      </c>
      <c r="G32" s="587" t="s">
        <v>596</v>
      </c>
      <c r="H32" s="590" t="s">
        <v>44</v>
      </c>
      <c r="I32" s="591">
        <v>2.9</v>
      </c>
      <c r="J32" s="592">
        <v>30.6</v>
      </c>
      <c r="K32" s="593">
        <v>0.2033513845915047</v>
      </c>
      <c r="L32" s="592">
        <v>36.822552368500048</v>
      </c>
      <c r="M32" s="594">
        <v>106.78540186865014</v>
      </c>
      <c r="O32" s="673"/>
      <c r="P32" s="361"/>
      <c r="Q32" s="441"/>
      <c r="R32" s="485"/>
      <c r="S32" s="442"/>
      <c r="T32" s="441">
        <v>2.9</v>
      </c>
      <c r="U32" s="485"/>
      <c r="V32" s="442"/>
      <c r="W32" s="441"/>
      <c r="X32" s="485"/>
      <c r="Y32" s="442"/>
      <c r="Z32" s="441"/>
      <c r="AA32" s="485"/>
      <c r="AB32" s="442"/>
      <c r="AC32" s="672"/>
      <c r="AD32" s="441">
        <v>73.039818990550557</v>
      </c>
      <c r="AE32" s="674">
        <v>33.257022215955409</v>
      </c>
      <c r="AF32" s="674">
        <v>0.31407471137838272</v>
      </c>
      <c r="AG32" s="674">
        <v>0</v>
      </c>
      <c r="AH32" s="442">
        <v>0.17448595076576817</v>
      </c>
      <c r="AI32" s="442">
        <v>1.4210854715202004E-14</v>
      </c>
    </row>
    <row r="33" spans="1:35" x14ac:dyDescent="0.25">
      <c r="A33" s="587" t="s">
        <v>3253</v>
      </c>
      <c r="B33" s="369"/>
      <c r="C33" s="588"/>
      <c r="D33" s="589" t="s">
        <v>3571</v>
      </c>
      <c r="E33" s="44"/>
      <c r="F33" s="214"/>
      <c r="G33" s="587" t="s">
        <v>3253</v>
      </c>
      <c r="H33" s="590" t="s">
        <v>21</v>
      </c>
      <c r="I33" s="591" t="s">
        <v>21</v>
      </c>
      <c r="J33" s="606" t="s">
        <v>21</v>
      </c>
      <c r="K33" s="593" t="s">
        <v>21</v>
      </c>
      <c r="L33" s="592" t="s">
        <v>21</v>
      </c>
      <c r="M33" s="594">
        <v>92146.915664345535</v>
      </c>
      <c r="O33" s="673"/>
      <c r="P33" s="361"/>
      <c r="Q33" s="441"/>
      <c r="R33" s="485"/>
      <c r="S33" s="442"/>
      <c r="T33" s="441"/>
      <c r="U33" s="485"/>
      <c r="V33" s="442"/>
      <c r="W33" s="441"/>
      <c r="X33" s="485"/>
      <c r="Y33" s="442"/>
      <c r="Z33" s="441"/>
      <c r="AA33" s="485"/>
      <c r="AB33" s="442"/>
      <c r="AC33" s="672"/>
      <c r="AD33" s="441" t="s">
        <v>21</v>
      </c>
      <c r="AE33" s="674" t="s">
        <v>21</v>
      </c>
      <c r="AF33" s="674" t="s">
        <v>21</v>
      </c>
      <c r="AG33" s="674" t="s">
        <v>21</v>
      </c>
      <c r="AH33" s="442" t="s">
        <v>21</v>
      </c>
      <c r="AI33" s="442" t="s">
        <v>21</v>
      </c>
    </row>
    <row r="34" spans="1:35" ht="48" x14ac:dyDescent="0.25">
      <c r="A34" s="587" t="s">
        <v>1871</v>
      </c>
      <c r="B34" s="369" t="s">
        <v>20</v>
      </c>
      <c r="C34" s="588"/>
      <c r="D34" s="589" t="s">
        <v>3572</v>
      </c>
      <c r="E34" s="44" t="s">
        <v>27</v>
      </c>
      <c r="F34" s="214">
        <v>100341</v>
      </c>
      <c r="G34" s="587" t="s">
        <v>582</v>
      </c>
      <c r="H34" s="590" t="s">
        <v>51</v>
      </c>
      <c r="I34" s="591">
        <v>670.9</v>
      </c>
      <c r="J34" s="606">
        <v>29.98</v>
      </c>
      <c r="K34" s="593">
        <v>0.2033513845915047</v>
      </c>
      <c r="L34" s="592">
        <v>36.076474510053309</v>
      </c>
      <c r="M34" s="594">
        <v>24203.706748794764</v>
      </c>
      <c r="O34" s="676"/>
      <c r="P34" s="361"/>
      <c r="Q34" s="441"/>
      <c r="R34" s="485"/>
      <c r="S34" s="442"/>
      <c r="T34" s="441">
        <v>670.9</v>
      </c>
      <c r="U34" s="485"/>
      <c r="V34" s="442"/>
      <c r="W34" s="441"/>
      <c r="X34" s="485"/>
      <c r="Y34" s="442"/>
      <c r="Z34" s="441"/>
      <c r="AA34" s="485"/>
      <c r="AB34" s="442"/>
      <c r="AC34" s="672"/>
      <c r="AD34" s="441">
        <v>9736.3810337046325</v>
      </c>
      <c r="AE34" s="674">
        <v>11407.550912624085</v>
      </c>
      <c r="AF34" s="674">
        <v>3059.7748024660491</v>
      </c>
      <c r="AG34" s="674">
        <v>0</v>
      </c>
      <c r="AH34" s="442">
        <v>0</v>
      </c>
      <c r="AI34" s="442">
        <v>-3.637978807091713E-12</v>
      </c>
    </row>
    <row r="35" spans="1:35" ht="24" x14ac:dyDescent="0.25">
      <c r="A35" s="587" t="s">
        <v>1865</v>
      </c>
      <c r="B35" s="369" t="s">
        <v>28</v>
      </c>
      <c r="C35" s="588"/>
      <c r="D35" s="589" t="s">
        <v>3573</v>
      </c>
      <c r="E35" s="44" t="s">
        <v>138</v>
      </c>
      <c r="F35" s="214" t="s">
        <v>3304</v>
      </c>
      <c r="G35" s="587" t="s">
        <v>3303</v>
      </c>
      <c r="H35" s="590" t="s">
        <v>44</v>
      </c>
      <c r="I35" s="591">
        <v>161</v>
      </c>
      <c r="J35" s="606">
        <v>350.69349999999997</v>
      </c>
      <c r="K35" s="593">
        <v>0.2033513845915047</v>
      </c>
      <c r="L35" s="592">
        <v>422.0075087922408</v>
      </c>
      <c r="M35" s="594">
        <v>67943.208915550771</v>
      </c>
      <c r="O35" s="673"/>
      <c r="P35" s="361"/>
      <c r="Q35" s="441"/>
      <c r="R35" s="485"/>
      <c r="S35" s="442"/>
      <c r="T35" s="441">
        <v>161</v>
      </c>
      <c r="U35" s="485"/>
      <c r="V35" s="442"/>
      <c r="W35" s="441"/>
      <c r="X35" s="485"/>
      <c r="Y35" s="442"/>
      <c r="Z35" s="441"/>
      <c r="AA35" s="485"/>
      <c r="AB35" s="442"/>
      <c r="AC35" s="672"/>
      <c r="AD35" s="441">
        <v>0</v>
      </c>
      <c r="AE35" s="674">
        <v>67943.208915550771</v>
      </c>
      <c r="AF35" s="674">
        <v>0</v>
      </c>
      <c r="AG35" s="674">
        <v>0</v>
      </c>
      <c r="AH35" s="442">
        <v>0</v>
      </c>
      <c r="AI35" s="442">
        <v>0</v>
      </c>
    </row>
    <row r="36" spans="1:35" ht="36" x14ac:dyDescent="0.25">
      <c r="A36" s="587" t="s">
        <v>3308</v>
      </c>
      <c r="B36" s="369" t="s">
        <v>28</v>
      </c>
      <c r="C36" s="588"/>
      <c r="D36" s="589" t="s">
        <v>3574</v>
      </c>
      <c r="E36" s="44" t="s">
        <v>27</v>
      </c>
      <c r="F36" s="214">
        <v>92874</v>
      </c>
      <c r="G36" s="587" t="s">
        <v>596</v>
      </c>
      <c r="H36" s="590" t="s">
        <v>44</v>
      </c>
      <c r="I36" s="591">
        <v>161</v>
      </c>
      <c r="J36" s="592">
        <v>30.6</v>
      </c>
      <c r="K36" s="593">
        <v>0.2033513845915047</v>
      </c>
      <c r="L36" s="592">
        <v>36.822552368500048</v>
      </c>
      <c r="M36" s="594">
        <v>5928.4309313285075</v>
      </c>
      <c r="O36" s="673"/>
      <c r="P36" s="361"/>
      <c r="Q36" s="441"/>
      <c r="R36" s="485"/>
      <c r="S36" s="442"/>
      <c r="T36" s="441">
        <v>161</v>
      </c>
      <c r="U36" s="485"/>
      <c r="V36" s="442"/>
      <c r="W36" s="441"/>
      <c r="X36" s="485"/>
      <c r="Y36" s="442"/>
      <c r="Z36" s="441"/>
      <c r="AA36" s="485"/>
      <c r="AB36" s="442"/>
      <c r="AC36" s="672"/>
      <c r="AD36" s="441">
        <v>4054.969261199531</v>
      </c>
      <c r="AE36" s="674">
        <v>1846.3381299202833</v>
      </c>
      <c r="AF36" s="674">
        <v>17.436561562730905</v>
      </c>
      <c r="AG36" s="674">
        <v>0</v>
      </c>
      <c r="AH36" s="442">
        <v>9.686978645961613</v>
      </c>
      <c r="AI36" s="442">
        <v>0</v>
      </c>
    </row>
    <row r="37" spans="1:35" x14ac:dyDescent="0.25">
      <c r="A37" s="587" t="s">
        <v>3259</v>
      </c>
      <c r="B37" s="369"/>
      <c r="C37" s="588"/>
      <c r="D37" s="589" t="s">
        <v>3575</v>
      </c>
      <c r="E37" s="44"/>
      <c r="F37" s="214"/>
      <c r="G37" s="587" t="s">
        <v>3259</v>
      </c>
      <c r="H37" s="590" t="s">
        <v>21</v>
      </c>
      <c r="I37" s="591" t="s">
        <v>21</v>
      </c>
      <c r="J37" s="606" t="s">
        <v>21</v>
      </c>
      <c r="K37" s="593" t="s">
        <v>21</v>
      </c>
      <c r="L37" s="592" t="s">
        <v>21</v>
      </c>
      <c r="M37" s="594">
        <v>7602.5355436047012</v>
      </c>
      <c r="O37" s="673"/>
      <c r="P37" s="361"/>
      <c r="Q37" s="441"/>
      <c r="R37" s="485"/>
      <c r="S37" s="442"/>
      <c r="T37" s="441"/>
      <c r="U37" s="485"/>
      <c r="V37" s="442"/>
      <c r="W37" s="441"/>
      <c r="X37" s="485"/>
      <c r="Y37" s="442"/>
      <c r="Z37" s="441"/>
      <c r="AA37" s="485"/>
      <c r="AB37" s="442"/>
      <c r="AC37" s="672"/>
      <c r="AD37" s="441" t="s">
        <v>21</v>
      </c>
      <c r="AE37" s="674" t="s">
        <v>21</v>
      </c>
      <c r="AF37" s="674" t="s">
        <v>21</v>
      </c>
      <c r="AG37" s="674" t="s">
        <v>21</v>
      </c>
      <c r="AH37" s="442" t="s">
        <v>21</v>
      </c>
      <c r="AI37" s="442" t="s">
        <v>21</v>
      </c>
    </row>
    <row r="38" spans="1:35" ht="48" x14ac:dyDescent="0.25">
      <c r="A38" s="587" t="s">
        <v>1871</v>
      </c>
      <c r="B38" s="369" t="s">
        <v>20</v>
      </c>
      <c r="C38" s="588"/>
      <c r="D38" s="589" t="s">
        <v>3576</v>
      </c>
      <c r="E38" s="44" t="s">
        <v>27</v>
      </c>
      <c r="F38" s="214">
        <v>100341</v>
      </c>
      <c r="G38" s="587" t="s">
        <v>582</v>
      </c>
      <c r="H38" s="590" t="s">
        <v>51</v>
      </c>
      <c r="I38" s="591">
        <v>84.4</v>
      </c>
      <c r="J38" s="606">
        <v>29.98</v>
      </c>
      <c r="K38" s="593">
        <v>0.2033513845915047</v>
      </c>
      <c r="L38" s="592">
        <v>36.076474510053309</v>
      </c>
      <c r="M38" s="594">
        <v>3044.8544486484993</v>
      </c>
      <c r="O38" s="673"/>
      <c r="P38" s="361"/>
      <c r="Q38" s="441"/>
      <c r="R38" s="485"/>
      <c r="S38" s="442"/>
      <c r="T38" s="441">
        <v>84.4</v>
      </c>
      <c r="U38" s="485"/>
      <c r="V38" s="442"/>
      <c r="W38" s="441"/>
      <c r="X38" s="485"/>
      <c r="Y38" s="442"/>
      <c r="Z38" s="441"/>
      <c r="AA38" s="485"/>
      <c r="AB38" s="442"/>
      <c r="AC38" s="672"/>
      <c r="AD38" s="441">
        <v>1224.8480537258474</v>
      </c>
      <c r="AE38" s="674">
        <v>1435.0831674250601</v>
      </c>
      <c r="AF38" s="674">
        <v>384.92322749759222</v>
      </c>
      <c r="AG38" s="674">
        <v>0</v>
      </c>
      <c r="AH38" s="442">
        <v>0</v>
      </c>
      <c r="AI38" s="442">
        <v>-4.5474735088646412E-13</v>
      </c>
    </row>
    <row r="39" spans="1:35" ht="24" x14ac:dyDescent="0.25">
      <c r="A39" s="587" t="s">
        <v>1865</v>
      </c>
      <c r="B39" s="369" t="s">
        <v>28</v>
      </c>
      <c r="C39" s="588"/>
      <c r="D39" s="589" t="s">
        <v>3577</v>
      </c>
      <c r="E39" s="44" t="s">
        <v>138</v>
      </c>
      <c r="F39" s="214" t="s">
        <v>3304</v>
      </c>
      <c r="G39" s="587" t="s">
        <v>3303</v>
      </c>
      <c r="H39" s="590" t="s">
        <v>44</v>
      </c>
      <c r="I39" s="591">
        <v>10.8</v>
      </c>
      <c r="J39" s="606">
        <v>350.69349999999997</v>
      </c>
      <c r="K39" s="593">
        <v>0.2033513845915047</v>
      </c>
      <c r="L39" s="592">
        <v>422.0075087922408</v>
      </c>
      <c r="M39" s="594">
        <v>4557.6810949562014</v>
      </c>
      <c r="O39" s="673"/>
      <c r="P39" s="361"/>
      <c r="Q39" s="441"/>
      <c r="R39" s="485"/>
      <c r="S39" s="442"/>
      <c r="T39" s="441">
        <v>10.8</v>
      </c>
      <c r="U39" s="485"/>
      <c r="V39" s="442"/>
      <c r="W39" s="441"/>
      <c r="X39" s="485"/>
      <c r="Y39" s="442"/>
      <c r="Z39" s="441"/>
      <c r="AA39" s="485"/>
      <c r="AB39" s="442"/>
      <c r="AC39" s="672"/>
      <c r="AD39" s="441">
        <v>0</v>
      </c>
      <c r="AE39" s="674">
        <v>4557.6810949562014</v>
      </c>
      <c r="AF39" s="674">
        <v>0</v>
      </c>
      <c r="AG39" s="674">
        <v>0</v>
      </c>
      <c r="AH39" s="442">
        <v>0</v>
      </c>
      <c r="AI39" s="442">
        <v>0</v>
      </c>
    </row>
    <row r="40" spans="1:35" ht="36" x14ac:dyDescent="0.25">
      <c r="A40" s="587" t="s">
        <v>3308</v>
      </c>
      <c r="B40" s="369" t="s">
        <v>28</v>
      </c>
      <c r="C40" s="588"/>
      <c r="D40" s="589" t="s">
        <v>3578</v>
      </c>
      <c r="E40" s="44" t="s">
        <v>27</v>
      </c>
      <c r="F40" s="214">
        <v>92874</v>
      </c>
      <c r="G40" s="587" t="s">
        <v>596</v>
      </c>
      <c r="H40" s="590" t="s">
        <v>44</v>
      </c>
      <c r="I40" s="591">
        <v>10.8</v>
      </c>
      <c r="J40" s="592">
        <v>30.6</v>
      </c>
      <c r="K40" s="593">
        <v>0.2033513845915047</v>
      </c>
      <c r="L40" s="592">
        <v>36.822552368500048</v>
      </c>
      <c r="M40" s="594">
        <v>397.68356557980053</v>
      </c>
      <c r="O40" s="673"/>
      <c r="P40" s="361"/>
      <c r="Q40" s="441"/>
      <c r="R40" s="485"/>
      <c r="S40" s="442"/>
      <c r="T40" s="441">
        <v>10.8</v>
      </c>
      <c r="U40" s="485"/>
      <c r="V40" s="442"/>
      <c r="W40" s="441"/>
      <c r="X40" s="485"/>
      <c r="Y40" s="442"/>
      <c r="Z40" s="441"/>
      <c r="AA40" s="485"/>
      <c r="AB40" s="442"/>
      <c r="AC40" s="672"/>
      <c r="AD40" s="441">
        <v>272.01036037860212</v>
      </c>
      <c r="AE40" s="674">
        <v>123.85373790769604</v>
      </c>
      <c r="AF40" s="674">
        <v>1.1696575458229426</v>
      </c>
      <c r="AG40" s="674">
        <v>0</v>
      </c>
      <c r="AH40" s="442">
        <v>0.64980974767941257</v>
      </c>
      <c r="AI40" s="442">
        <v>5.6843418860808015E-14</v>
      </c>
    </row>
    <row r="41" spans="1:35" x14ac:dyDescent="0.25">
      <c r="A41" s="587"/>
      <c r="B41" s="369"/>
      <c r="C41" s="588"/>
      <c r="D41" s="589"/>
      <c r="E41" s="44"/>
      <c r="F41" s="214"/>
      <c r="G41" s="587" t="s">
        <v>21</v>
      </c>
      <c r="H41" s="590" t="s">
        <v>21</v>
      </c>
      <c r="I41" s="591" t="s">
        <v>21</v>
      </c>
      <c r="J41" s="592" t="s">
        <v>21</v>
      </c>
      <c r="K41" s="593" t="s">
        <v>21</v>
      </c>
      <c r="L41" s="592" t="s">
        <v>21</v>
      </c>
      <c r="M41" s="594" t="s">
        <v>21</v>
      </c>
      <c r="O41" s="673"/>
      <c r="P41" s="361"/>
      <c r="Q41" s="441"/>
      <c r="R41" s="485"/>
      <c r="S41" s="442"/>
      <c r="T41" s="441"/>
      <c r="U41" s="485"/>
      <c r="V41" s="442"/>
      <c r="W41" s="441"/>
      <c r="X41" s="485"/>
      <c r="Y41" s="442"/>
      <c r="Z41" s="441"/>
      <c r="AA41" s="485"/>
      <c r="AB41" s="442"/>
      <c r="AC41" s="672"/>
      <c r="AD41" s="441" t="s">
        <v>21</v>
      </c>
      <c r="AE41" s="674" t="s">
        <v>21</v>
      </c>
      <c r="AF41" s="674" t="s">
        <v>21</v>
      </c>
      <c r="AG41" s="674" t="s">
        <v>21</v>
      </c>
      <c r="AH41" s="442" t="s">
        <v>21</v>
      </c>
      <c r="AI41" s="442" t="s">
        <v>21</v>
      </c>
    </row>
    <row r="42" spans="1:35" x14ac:dyDescent="0.25">
      <c r="A42" s="587" t="s">
        <v>1868</v>
      </c>
      <c r="B42" s="369"/>
      <c r="C42" s="588"/>
      <c r="D42" s="589" t="s">
        <v>1973</v>
      </c>
      <c r="E42" s="44"/>
      <c r="F42" s="214"/>
      <c r="G42" s="587" t="s">
        <v>1868</v>
      </c>
      <c r="H42" s="590" t="s">
        <v>21</v>
      </c>
      <c r="I42" s="591" t="s">
        <v>21</v>
      </c>
      <c r="J42" s="606" t="s">
        <v>21</v>
      </c>
      <c r="K42" s="593" t="s">
        <v>21</v>
      </c>
      <c r="L42" s="592" t="s">
        <v>21</v>
      </c>
      <c r="M42" s="594">
        <v>166920.41406741005</v>
      </c>
      <c r="O42" s="673"/>
      <c r="P42" s="361"/>
      <c r="Q42" s="441"/>
      <c r="R42" s="485"/>
      <c r="S42" s="442"/>
      <c r="T42" s="441"/>
      <c r="U42" s="485"/>
      <c r="V42" s="442"/>
      <c r="W42" s="441"/>
      <c r="X42" s="485"/>
      <c r="Y42" s="442"/>
      <c r="Z42" s="441"/>
      <c r="AA42" s="485"/>
      <c r="AB42" s="442"/>
      <c r="AC42" s="672"/>
      <c r="AD42" s="441" t="s">
        <v>21</v>
      </c>
      <c r="AE42" s="674" t="s">
        <v>21</v>
      </c>
      <c r="AF42" s="674" t="s">
        <v>21</v>
      </c>
      <c r="AG42" s="674" t="s">
        <v>21</v>
      </c>
      <c r="AH42" s="442" t="s">
        <v>21</v>
      </c>
      <c r="AI42" s="442" t="s">
        <v>21</v>
      </c>
    </row>
    <row r="43" spans="1:35" x14ac:dyDescent="0.25">
      <c r="A43" s="587" t="s">
        <v>1954</v>
      </c>
      <c r="B43" s="369"/>
      <c r="C43" s="588"/>
      <c r="D43" s="589" t="s">
        <v>3579</v>
      </c>
      <c r="E43" s="44"/>
      <c r="F43" s="214"/>
      <c r="G43" s="587" t="s">
        <v>1954</v>
      </c>
      <c r="H43" s="590" t="s">
        <v>21</v>
      </c>
      <c r="I43" s="591" t="s">
        <v>21</v>
      </c>
      <c r="J43" s="606" t="s">
        <v>21</v>
      </c>
      <c r="K43" s="593" t="s">
        <v>21</v>
      </c>
      <c r="L43" s="592" t="s">
        <v>21</v>
      </c>
      <c r="M43" s="594">
        <v>158986.1735112913</v>
      </c>
      <c r="O43" s="673"/>
      <c r="P43" s="361"/>
      <c r="Q43" s="441"/>
      <c r="R43" s="485"/>
      <c r="S43" s="442"/>
      <c r="T43" s="441"/>
      <c r="U43" s="485"/>
      <c r="V43" s="442"/>
      <c r="W43" s="441"/>
      <c r="X43" s="485"/>
      <c r="Y43" s="442"/>
      <c r="Z43" s="441"/>
      <c r="AA43" s="485"/>
      <c r="AB43" s="442"/>
      <c r="AC43" s="672"/>
      <c r="AD43" s="441" t="s">
        <v>21</v>
      </c>
      <c r="AE43" s="674" t="s">
        <v>21</v>
      </c>
      <c r="AF43" s="674" t="s">
        <v>21</v>
      </c>
      <c r="AG43" s="674" t="s">
        <v>21</v>
      </c>
      <c r="AH43" s="442" t="s">
        <v>21</v>
      </c>
      <c r="AI43" s="442" t="s">
        <v>21</v>
      </c>
    </row>
    <row r="44" spans="1:35" ht="36" x14ac:dyDescent="0.25">
      <c r="A44" s="587" t="s">
        <v>1871</v>
      </c>
      <c r="B44" s="369" t="s">
        <v>20</v>
      </c>
      <c r="C44" s="588"/>
      <c r="D44" s="589" t="s">
        <v>3580</v>
      </c>
      <c r="E44" s="44" t="s">
        <v>27</v>
      </c>
      <c r="F44" s="214">
        <v>92508</v>
      </c>
      <c r="G44" s="587" t="s">
        <v>1160</v>
      </c>
      <c r="H44" s="590" t="s">
        <v>51</v>
      </c>
      <c r="I44" s="591">
        <v>254.1</v>
      </c>
      <c r="J44" s="606">
        <v>84.56</v>
      </c>
      <c r="K44" s="593">
        <v>0.2033513845915047</v>
      </c>
      <c r="L44" s="592">
        <v>101.75539308105765</v>
      </c>
      <c r="M44" s="594">
        <v>25856.045381896747</v>
      </c>
      <c r="O44" s="673"/>
      <c r="P44" s="361"/>
      <c r="Q44" s="441"/>
      <c r="R44" s="485"/>
      <c r="S44" s="442"/>
      <c r="T44" s="441">
        <v>254.1</v>
      </c>
      <c r="U44" s="485"/>
      <c r="V44" s="442"/>
      <c r="W44" s="441"/>
      <c r="X44" s="485"/>
      <c r="Y44" s="442"/>
      <c r="Z44" s="441"/>
      <c r="AA44" s="485"/>
      <c r="AB44" s="442"/>
      <c r="AC44" s="672"/>
      <c r="AD44" s="441">
        <v>7451.6535709179725</v>
      </c>
      <c r="AE44" s="674">
        <v>11194.297793652315</v>
      </c>
      <c r="AF44" s="674">
        <v>7210.094017326458</v>
      </c>
      <c r="AG44" s="674">
        <v>0</v>
      </c>
      <c r="AH44" s="442">
        <v>0</v>
      </c>
      <c r="AI44" s="442">
        <v>3.637978807091713E-12</v>
      </c>
    </row>
    <row r="45" spans="1:35" ht="24" x14ac:dyDescent="0.25">
      <c r="A45" s="587" t="s">
        <v>3311</v>
      </c>
      <c r="B45" s="369" t="s">
        <v>26</v>
      </c>
      <c r="C45" s="588"/>
      <c r="D45" s="589" t="s">
        <v>3581</v>
      </c>
      <c r="E45" s="44" t="s">
        <v>27</v>
      </c>
      <c r="F45" s="214">
        <v>90455</v>
      </c>
      <c r="G45" s="587" t="s">
        <v>615</v>
      </c>
      <c r="H45" s="590" t="s">
        <v>41</v>
      </c>
      <c r="I45" s="591">
        <v>6</v>
      </c>
      <c r="J45" s="592">
        <v>6.12</v>
      </c>
      <c r="K45" s="593">
        <v>0.2033513845915047</v>
      </c>
      <c r="L45" s="592">
        <v>7.3645104737000091</v>
      </c>
      <c r="M45" s="594">
        <v>44.187062842200056</v>
      </c>
      <c r="O45" s="673"/>
      <c r="P45" s="361"/>
      <c r="Q45" s="441"/>
      <c r="R45" s="485"/>
      <c r="S45" s="442"/>
      <c r="T45" s="441">
        <v>6</v>
      </c>
      <c r="U45" s="485"/>
      <c r="V45" s="442"/>
      <c r="W45" s="441"/>
      <c r="X45" s="485"/>
      <c r="Y45" s="442"/>
      <c r="Z45" s="441"/>
      <c r="AA45" s="485"/>
      <c r="AB45" s="442"/>
      <c r="AC45" s="672"/>
      <c r="AD45" s="441">
        <v>20.938314091892181</v>
      </c>
      <c r="AE45" s="674">
        <v>23.248748750307872</v>
      </c>
      <c r="AF45" s="674">
        <v>0</v>
      </c>
      <c r="AG45" s="674">
        <v>0</v>
      </c>
      <c r="AH45" s="442">
        <v>0</v>
      </c>
      <c r="AI45" s="442">
        <v>7.1054273576010019E-15</v>
      </c>
    </row>
    <row r="46" spans="1:35" ht="24" x14ac:dyDescent="0.25">
      <c r="A46" s="587" t="s">
        <v>3726</v>
      </c>
      <c r="B46" s="369" t="s">
        <v>26</v>
      </c>
      <c r="C46" s="588"/>
      <c r="D46" s="589" t="s">
        <v>3582</v>
      </c>
      <c r="E46" s="44" t="s">
        <v>138</v>
      </c>
      <c r="F46" s="214" t="s">
        <v>3723</v>
      </c>
      <c r="G46" s="587" t="s">
        <v>3730</v>
      </c>
      <c r="H46" s="590" t="s">
        <v>22</v>
      </c>
      <c r="I46" s="591">
        <v>64.400000000000006</v>
      </c>
      <c r="J46" s="592">
        <v>770.01732766427187</v>
      </c>
      <c r="K46" s="593">
        <v>0.2033513845915047</v>
      </c>
      <c r="L46" s="592">
        <v>926.60141740425195</v>
      </c>
      <c r="M46" s="594">
        <v>59673.131280833833</v>
      </c>
      <c r="O46" s="673"/>
      <c r="P46" s="361"/>
      <c r="Q46" s="441"/>
      <c r="R46" s="485"/>
      <c r="S46" s="442"/>
      <c r="T46" s="441">
        <v>64.400000000000006</v>
      </c>
      <c r="U46" s="485"/>
      <c r="V46" s="442"/>
      <c r="W46" s="441"/>
      <c r="X46" s="485"/>
      <c r="Y46" s="442"/>
      <c r="Z46" s="441"/>
      <c r="AA46" s="485"/>
      <c r="AB46" s="442"/>
      <c r="AC46" s="672"/>
      <c r="AD46" s="441">
        <v>1138.413730473409</v>
      </c>
      <c r="AE46" s="674">
        <v>58534.717550360423</v>
      </c>
      <c r="AF46" s="674">
        <v>0</v>
      </c>
      <c r="AG46" s="674">
        <v>0</v>
      </c>
      <c r="AH46" s="442">
        <v>-1.3766024616702471E-13</v>
      </c>
      <c r="AI46" s="442">
        <v>0</v>
      </c>
    </row>
    <row r="47" spans="1:35" ht="24" x14ac:dyDescent="0.25">
      <c r="A47" s="587" t="s">
        <v>1865</v>
      </c>
      <c r="B47" s="369" t="s">
        <v>28</v>
      </c>
      <c r="C47" s="588"/>
      <c r="D47" s="589" t="s">
        <v>3583</v>
      </c>
      <c r="E47" s="44" t="s">
        <v>138</v>
      </c>
      <c r="F47" s="214" t="s">
        <v>3304</v>
      </c>
      <c r="G47" s="587" t="s">
        <v>3303</v>
      </c>
      <c r="H47" s="590" t="s">
        <v>44</v>
      </c>
      <c r="I47" s="591">
        <v>160</v>
      </c>
      <c r="J47" s="606">
        <v>350.69349999999997</v>
      </c>
      <c r="K47" s="593">
        <v>0.2033513845915047</v>
      </c>
      <c r="L47" s="592">
        <v>422.0075087922408</v>
      </c>
      <c r="M47" s="594">
        <v>67521.201406758526</v>
      </c>
      <c r="O47" s="677"/>
      <c r="P47" s="361"/>
      <c r="Q47" s="441"/>
      <c r="R47" s="485"/>
      <c r="S47" s="442"/>
      <c r="T47" s="441">
        <v>160</v>
      </c>
      <c r="U47" s="485"/>
      <c r="V47" s="442"/>
      <c r="W47" s="441"/>
      <c r="X47" s="485"/>
      <c r="Y47" s="442"/>
      <c r="Z47" s="441"/>
      <c r="AA47" s="485"/>
      <c r="AB47" s="442"/>
      <c r="AC47" s="672"/>
      <c r="AD47" s="441">
        <v>0</v>
      </c>
      <c r="AE47" s="674">
        <v>67521.201406758526</v>
      </c>
      <c r="AF47" s="674">
        <v>0</v>
      </c>
      <c r="AG47" s="674">
        <v>0</v>
      </c>
      <c r="AH47" s="442">
        <v>0</v>
      </c>
      <c r="AI47" s="442">
        <v>0</v>
      </c>
    </row>
    <row r="48" spans="1:35" ht="36" x14ac:dyDescent="0.25">
      <c r="A48" s="587" t="s">
        <v>3308</v>
      </c>
      <c r="B48" s="369" t="s">
        <v>28</v>
      </c>
      <c r="C48" s="588"/>
      <c r="D48" s="589" t="s">
        <v>3732</v>
      </c>
      <c r="E48" s="44" t="s">
        <v>27</v>
      </c>
      <c r="F48" s="214">
        <v>92874</v>
      </c>
      <c r="G48" s="587" t="s">
        <v>596</v>
      </c>
      <c r="H48" s="590" t="s">
        <v>44</v>
      </c>
      <c r="I48" s="591">
        <v>160</v>
      </c>
      <c r="J48" s="592">
        <v>30.6</v>
      </c>
      <c r="K48" s="593">
        <v>0.2033513845915047</v>
      </c>
      <c r="L48" s="592">
        <v>36.822552368500048</v>
      </c>
      <c r="M48" s="594">
        <v>5891.6083789600079</v>
      </c>
      <c r="O48" s="673"/>
      <c r="P48" s="361"/>
      <c r="Q48" s="441"/>
      <c r="R48" s="485"/>
      <c r="S48" s="442"/>
      <c r="T48" s="441">
        <v>160</v>
      </c>
      <c r="U48" s="485"/>
      <c r="V48" s="442"/>
      <c r="W48" s="441"/>
      <c r="X48" s="485"/>
      <c r="Y48" s="442"/>
      <c r="Z48" s="441"/>
      <c r="AA48" s="485"/>
      <c r="AB48" s="442"/>
      <c r="AC48" s="672"/>
      <c r="AD48" s="441">
        <v>4029.7831167200311</v>
      </c>
      <c r="AE48" s="674">
        <v>1834.8701912251263</v>
      </c>
      <c r="AF48" s="674">
        <v>17.328259938117665</v>
      </c>
      <c r="AG48" s="674">
        <v>0</v>
      </c>
      <c r="AH48" s="442">
        <v>9.6268110767320376</v>
      </c>
      <c r="AI48" s="442">
        <v>9.0949470177292824E-13</v>
      </c>
    </row>
    <row r="49" spans="1:35" x14ac:dyDescent="0.25">
      <c r="A49" s="587" t="s">
        <v>1955</v>
      </c>
      <c r="B49" s="369"/>
      <c r="C49" s="588"/>
      <c r="D49" s="589" t="s">
        <v>3579</v>
      </c>
      <c r="E49" s="44"/>
      <c r="F49" s="214"/>
      <c r="G49" s="587" t="s">
        <v>1955</v>
      </c>
      <c r="H49" s="590" t="s">
        <v>21</v>
      </c>
      <c r="I49" s="591" t="s">
        <v>21</v>
      </c>
      <c r="J49" s="606" t="s">
        <v>21</v>
      </c>
      <c r="K49" s="593" t="s">
        <v>21</v>
      </c>
      <c r="L49" s="592" t="s">
        <v>21</v>
      </c>
      <c r="M49" s="594">
        <v>4213.3942615378637</v>
      </c>
      <c r="O49" s="677"/>
      <c r="P49" s="361"/>
      <c r="Q49" s="441"/>
      <c r="R49" s="485"/>
      <c r="S49" s="442"/>
      <c r="T49" s="441"/>
      <c r="U49" s="485"/>
      <c r="V49" s="442"/>
      <c r="W49" s="441"/>
      <c r="X49" s="485"/>
      <c r="Y49" s="442"/>
      <c r="Z49" s="441"/>
      <c r="AA49" s="485"/>
      <c r="AB49" s="442"/>
      <c r="AC49" s="672"/>
      <c r="AD49" s="441" t="s">
        <v>21</v>
      </c>
      <c r="AE49" s="674" t="s">
        <v>21</v>
      </c>
      <c r="AF49" s="674" t="s">
        <v>21</v>
      </c>
      <c r="AG49" s="674" t="s">
        <v>21</v>
      </c>
      <c r="AH49" s="442" t="s">
        <v>21</v>
      </c>
      <c r="AI49" s="442" t="s">
        <v>21</v>
      </c>
    </row>
    <row r="50" spans="1:35" ht="48" x14ac:dyDescent="0.25">
      <c r="A50" s="587" t="s">
        <v>1871</v>
      </c>
      <c r="B50" s="369" t="s">
        <v>20</v>
      </c>
      <c r="C50" s="588"/>
      <c r="D50" s="589" t="s">
        <v>3584</v>
      </c>
      <c r="E50" s="44" t="s">
        <v>27</v>
      </c>
      <c r="F50" s="214">
        <v>100341</v>
      </c>
      <c r="G50" s="587" t="s">
        <v>582</v>
      </c>
      <c r="H50" s="590" t="s">
        <v>51</v>
      </c>
      <c r="I50" s="591">
        <v>28.1</v>
      </c>
      <c r="J50" s="606">
        <v>29.98</v>
      </c>
      <c r="K50" s="593">
        <v>0.2033513845915047</v>
      </c>
      <c r="L50" s="592">
        <v>36.076474510053309</v>
      </c>
      <c r="M50" s="594">
        <v>1013.748933732498</v>
      </c>
      <c r="O50" s="678"/>
      <c r="P50" s="361"/>
      <c r="Q50" s="441"/>
      <c r="R50" s="485"/>
      <c r="S50" s="442"/>
      <c r="T50" s="441">
        <v>28.1</v>
      </c>
      <c r="U50" s="485"/>
      <c r="V50" s="442"/>
      <c r="W50" s="441"/>
      <c r="X50" s="485"/>
      <c r="Y50" s="442"/>
      <c r="Z50" s="441"/>
      <c r="AA50" s="485"/>
      <c r="AB50" s="442"/>
      <c r="AC50" s="672"/>
      <c r="AD50" s="441">
        <v>407.79893731867668</v>
      </c>
      <c r="AE50" s="674">
        <v>477.7942773062108</v>
      </c>
      <c r="AF50" s="674">
        <v>128.15571910761068</v>
      </c>
      <c r="AG50" s="674">
        <v>0</v>
      </c>
      <c r="AH50" s="442">
        <v>0</v>
      </c>
      <c r="AI50" s="442">
        <v>-1.1368683772161603E-13</v>
      </c>
    </row>
    <row r="51" spans="1:35" ht="36" x14ac:dyDescent="0.25">
      <c r="A51" s="587" t="s">
        <v>3312</v>
      </c>
      <c r="B51" s="369" t="s">
        <v>26</v>
      </c>
      <c r="C51" s="588"/>
      <c r="D51" s="589" t="s">
        <v>3581</v>
      </c>
      <c r="E51" s="44" t="s">
        <v>27</v>
      </c>
      <c r="F51" s="214">
        <v>90454</v>
      </c>
      <c r="G51" s="587" t="s">
        <v>616</v>
      </c>
      <c r="H51" s="590" t="s">
        <v>41</v>
      </c>
      <c r="I51" s="591">
        <v>6</v>
      </c>
      <c r="J51" s="592">
        <v>4.67</v>
      </c>
      <c r="K51" s="593">
        <v>0.2033513845915047</v>
      </c>
      <c r="L51" s="592">
        <v>5.6196509660423271</v>
      </c>
      <c r="M51" s="594">
        <v>33.717905796253959</v>
      </c>
      <c r="O51" s="673"/>
      <c r="P51" s="361"/>
      <c r="Q51" s="441"/>
      <c r="R51" s="485"/>
      <c r="S51" s="442"/>
      <c r="T51" s="441">
        <v>6</v>
      </c>
      <c r="U51" s="485"/>
      <c r="V51" s="442"/>
      <c r="W51" s="441"/>
      <c r="X51" s="485"/>
      <c r="Y51" s="442"/>
      <c r="Z51" s="441"/>
      <c r="AA51" s="485"/>
      <c r="AB51" s="442"/>
      <c r="AC51" s="672"/>
      <c r="AD51" s="441">
        <v>14.368015532022566</v>
      </c>
      <c r="AE51" s="674">
        <v>19.349890264231398</v>
      </c>
      <c r="AF51" s="674">
        <v>0</v>
      </c>
      <c r="AG51" s="674">
        <v>0</v>
      </c>
      <c r="AH51" s="442">
        <v>0</v>
      </c>
      <c r="AI51" s="442">
        <v>-7.1054273576010019E-15</v>
      </c>
    </row>
    <row r="52" spans="1:35" ht="24" x14ac:dyDescent="0.25">
      <c r="A52" s="587" t="s">
        <v>1865</v>
      </c>
      <c r="B52" s="369" t="s">
        <v>28</v>
      </c>
      <c r="C52" s="588"/>
      <c r="D52" s="589" t="s">
        <v>3585</v>
      </c>
      <c r="E52" s="44" t="s">
        <v>138</v>
      </c>
      <c r="F52" s="214" t="s">
        <v>3304</v>
      </c>
      <c r="G52" s="587" t="s">
        <v>3303</v>
      </c>
      <c r="H52" s="590" t="s">
        <v>44</v>
      </c>
      <c r="I52" s="591">
        <v>6.9</v>
      </c>
      <c r="J52" s="606">
        <v>350.69349999999997</v>
      </c>
      <c r="K52" s="593">
        <v>0.2033513845915047</v>
      </c>
      <c r="L52" s="592">
        <v>422.0075087922408</v>
      </c>
      <c r="M52" s="594">
        <v>2911.8518106664615</v>
      </c>
      <c r="O52" s="677"/>
      <c r="P52" s="361"/>
      <c r="Q52" s="441"/>
      <c r="R52" s="485"/>
      <c r="S52" s="442"/>
      <c r="T52" s="441">
        <v>6.9</v>
      </c>
      <c r="U52" s="485"/>
      <c r="V52" s="442"/>
      <c r="W52" s="441"/>
      <c r="X52" s="485"/>
      <c r="Y52" s="442"/>
      <c r="Z52" s="441"/>
      <c r="AA52" s="485"/>
      <c r="AB52" s="442"/>
      <c r="AC52" s="672"/>
      <c r="AD52" s="441">
        <v>0</v>
      </c>
      <c r="AE52" s="674">
        <v>2911.8518106664615</v>
      </c>
      <c r="AF52" s="674">
        <v>0</v>
      </c>
      <c r="AG52" s="674">
        <v>0</v>
      </c>
      <c r="AH52" s="442">
        <v>0</v>
      </c>
      <c r="AI52" s="442">
        <v>0</v>
      </c>
    </row>
    <row r="53" spans="1:35" ht="36" x14ac:dyDescent="0.25">
      <c r="A53" s="587" t="s">
        <v>3308</v>
      </c>
      <c r="B53" s="369" t="s">
        <v>28</v>
      </c>
      <c r="C53" s="588"/>
      <c r="D53" s="589" t="s">
        <v>3586</v>
      </c>
      <c r="E53" s="44" t="s">
        <v>27</v>
      </c>
      <c r="F53" s="214">
        <v>92874</v>
      </c>
      <c r="G53" s="587" t="s">
        <v>596</v>
      </c>
      <c r="H53" s="590" t="s">
        <v>44</v>
      </c>
      <c r="I53" s="591">
        <v>6.9</v>
      </c>
      <c r="J53" s="592">
        <v>30.6</v>
      </c>
      <c r="K53" s="593">
        <v>0.2033513845915047</v>
      </c>
      <c r="L53" s="592">
        <v>36.822552368500048</v>
      </c>
      <c r="M53" s="594">
        <v>254.07561134265035</v>
      </c>
      <c r="O53" s="673"/>
      <c r="P53" s="361"/>
      <c r="Q53" s="441"/>
      <c r="R53" s="485"/>
      <c r="S53" s="442"/>
      <c r="T53" s="441">
        <v>6.9</v>
      </c>
      <c r="U53" s="485"/>
      <c r="V53" s="442"/>
      <c r="W53" s="441"/>
      <c r="X53" s="485"/>
      <c r="Y53" s="442"/>
      <c r="Z53" s="441"/>
      <c r="AA53" s="485"/>
      <c r="AB53" s="442"/>
      <c r="AC53" s="672"/>
      <c r="AD53" s="441">
        <v>173.78439690855134</v>
      </c>
      <c r="AE53" s="674">
        <v>79.128776996583582</v>
      </c>
      <c r="AF53" s="674">
        <v>0.7472812098313244</v>
      </c>
      <c r="AG53" s="674">
        <v>0</v>
      </c>
      <c r="AH53" s="442">
        <v>0.41515622768406918</v>
      </c>
      <c r="AI53" s="442">
        <v>2.8421709430404007E-14</v>
      </c>
    </row>
    <row r="54" spans="1:35" x14ac:dyDescent="0.25">
      <c r="A54" s="587" t="s">
        <v>1953</v>
      </c>
      <c r="B54" s="369"/>
      <c r="C54" s="588"/>
      <c r="D54" s="589" t="s">
        <v>3587</v>
      </c>
      <c r="E54" s="44"/>
      <c r="F54" s="214"/>
      <c r="G54" s="587" t="s">
        <v>1953</v>
      </c>
      <c r="H54" s="590" t="s">
        <v>21</v>
      </c>
      <c r="I54" s="591" t="s">
        <v>21</v>
      </c>
      <c r="J54" s="606" t="s">
        <v>21</v>
      </c>
      <c r="K54" s="593" t="s">
        <v>21</v>
      </c>
      <c r="L54" s="592" t="s">
        <v>21</v>
      </c>
      <c r="M54" s="594">
        <v>3720.8462945808692</v>
      </c>
      <c r="O54" s="679"/>
      <c r="P54" s="361"/>
      <c r="Q54" s="441"/>
      <c r="R54" s="485"/>
      <c r="S54" s="442"/>
      <c r="T54" s="441"/>
      <c r="U54" s="485"/>
      <c r="V54" s="442"/>
      <c r="W54" s="441"/>
      <c r="X54" s="485"/>
      <c r="Y54" s="442"/>
      <c r="Z54" s="441"/>
      <c r="AA54" s="485"/>
      <c r="AB54" s="442"/>
      <c r="AC54" s="672"/>
      <c r="AD54" s="441" t="s">
        <v>21</v>
      </c>
      <c r="AE54" s="674" t="s">
        <v>21</v>
      </c>
      <c r="AF54" s="674" t="s">
        <v>21</v>
      </c>
      <c r="AG54" s="674" t="s">
        <v>21</v>
      </c>
      <c r="AH54" s="442" t="s">
        <v>21</v>
      </c>
      <c r="AI54" s="442" t="s">
        <v>21</v>
      </c>
    </row>
    <row r="55" spans="1:35" ht="48" x14ac:dyDescent="0.25">
      <c r="A55" s="587" t="s">
        <v>1871</v>
      </c>
      <c r="B55" s="369" t="s">
        <v>20</v>
      </c>
      <c r="C55" s="588"/>
      <c r="D55" s="589" t="s">
        <v>3588</v>
      </c>
      <c r="E55" s="44" t="s">
        <v>27</v>
      </c>
      <c r="F55" s="214">
        <v>100341</v>
      </c>
      <c r="G55" s="587" t="s">
        <v>582</v>
      </c>
      <c r="H55" s="590" t="s">
        <v>51</v>
      </c>
      <c r="I55" s="591">
        <v>28.1</v>
      </c>
      <c r="J55" s="606">
        <v>29.98</v>
      </c>
      <c r="K55" s="593">
        <v>0.2033513845915047</v>
      </c>
      <c r="L55" s="592">
        <v>36.076474510053309</v>
      </c>
      <c r="M55" s="594">
        <v>1013.748933732498</v>
      </c>
      <c r="O55" s="677"/>
      <c r="P55" s="361"/>
      <c r="Q55" s="441"/>
      <c r="R55" s="485"/>
      <c r="S55" s="442"/>
      <c r="T55" s="441">
        <v>28.1</v>
      </c>
      <c r="U55" s="485"/>
      <c r="V55" s="442"/>
      <c r="W55" s="441"/>
      <c r="X55" s="485"/>
      <c r="Y55" s="442"/>
      <c r="Z55" s="441"/>
      <c r="AA55" s="485"/>
      <c r="AB55" s="442"/>
      <c r="AC55" s="672"/>
      <c r="AD55" s="441">
        <v>407.79893731867668</v>
      </c>
      <c r="AE55" s="674">
        <v>477.7942773062108</v>
      </c>
      <c r="AF55" s="674">
        <v>128.15571910761068</v>
      </c>
      <c r="AG55" s="674">
        <v>0</v>
      </c>
      <c r="AH55" s="442">
        <v>0</v>
      </c>
      <c r="AI55" s="442">
        <v>-1.1368683772161603E-13</v>
      </c>
    </row>
    <row r="56" spans="1:35" ht="24" x14ac:dyDescent="0.25">
      <c r="A56" s="587" t="s">
        <v>1865</v>
      </c>
      <c r="B56" s="369" t="s">
        <v>28</v>
      </c>
      <c r="C56" s="588"/>
      <c r="D56" s="589" t="s">
        <v>3589</v>
      </c>
      <c r="E56" s="44" t="s">
        <v>138</v>
      </c>
      <c r="F56" s="214" t="s">
        <v>3304</v>
      </c>
      <c r="G56" s="587" t="s">
        <v>3303</v>
      </c>
      <c r="H56" s="590" t="s">
        <v>44</v>
      </c>
      <c r="I56" s="591">
        <v>5.9</v>
      </c>
      <c r="J56" s="606">
        <v>350.69349999999997</v>
      </c>
      <c r="K56" s="593">
        <v>0.2033513845915047</v>
      </c>
      <c r="L56" s="592">
        <v>422.0075087922408</v>
      </c>
      <c r="M56" s="594">
        <v>2489.8443018742209</v>
      </c>
      <c r="O56" s="678"/>
      <c r="P56" s="361"/>
      <c r="Q56" s="441"/>
      <c r="R56" s="485"/>
      <c r="S56" s="442"/>
      <c r="T56" s="441">
        <v>5.9</v>
      </c>
      <c r="U56" s="485"/>
      <c r="V56" s="442"/>
      <c r="W56" s="441"/>
      <c r="X56" s="485"/>
      <c r="Y56" s="442"/>
      <c r="Z56" s="441"/>
      <c r="AA56" s="485"/>
      <c r="AB56" s="442"/>
      <c r="AC56" s="672"/>
      <c r="AD56" s="441">
        <v>0</v>
      </c>
      <c r="AE56" s="674">
        <v>2489.8443018742209</v>
      </c>
      <c r="AF56" s="674">
        <v>0</v>
      </c>
      <c r="AG56" s="674">
        <v>0</v>
      </c>
      <c r="AH56" s="442">
        <v>0</v>
      </c>
      <c r="AI56" s="442">
        <v>0</v>
      </c>
    </row>
    <row r="57" spans="1:35" ht="36" x14ac:dyDescent="0.25">
      <c r="A57" s="587" t="s">
        <v>3308</v>
      </c>
      <c r="B57" s="369" t="s">
        <v>28</v>
      </c>
      <c r="C57" s="588"/>
      <c r="D57" s="589" t="s">
        <v>3590</v>
      </c>
      <c r="E57" s="44" t="s">
        <v>27</v>
      </c>
      <c r="F57" s="214">
        <v>92874</v>
      </c>
      <c r="G57" s="587" t="s">
        <v>596</v>
      </c>
      <c r="H57" s="590" t="s">
        <v>44</v>
      </c>
      <c r="I57" s="591">
        <v>5.9</v>
      </c>
      <c r="J57" s="592">
        <v>30.6</v>
      </c>
      <c r="K57" s="593">
        <v>0.2033513845915047</v>
      </c>
      <c r="L57" s="592">
        <v>36.822552368500048</v>
      </c>
      <c r="M57" s="594">
        <v>217.25305897415029</v>
      </c>
      <c r="O57" s="673"/>
      <c r="P57" s="361"/>
      <c r="Q57" s="441"/>
      <c r="R57" s="485"/>
      <c r="S57" s="442"/>
      <c r="T57" s="441">
        <v>5.9</v>
      </c>
      <c r="U57" s="485"/>
      <c r="V57" s="442"/>
      <c r="W57" s="441"/>
      <c r="X57" s="485"/>
      <c r="Y57" s="442"/>
      <c r="Z57" s="441"/>
      <c r="AA57" s="485"/>
      <c r="AB57" s="442"/>
      <c r="AC57" s="672"/>
      <c r="AD57" s="441">
        <v>148.59825242905114</v>
      </c>
      <c r="AE57" s="674">
        <v>67.660838301426537</v>
      </c>
      <c r="AF57" s="674">
        <v>0.63897958521808906</v>
      </c>
      <c r="AG57" s="674">
        <v>0</v>
      </c>
      <c r="AH57" s="442">
        <v>0.35498865845449395</v>
      </c>
      <c r="AI57" s="442">
        <v>2.8421709430404007E-14</v>
      </c>
    </row>
    <row r="58" spans="1:35" x14ac:dyDescent="0.25">
      <c r="A58" s="587"/>
      <c r="B58" s="369"/>
      <c r="C58" s="588"/>
      <c r="D58" s="589"/>
      <c r="E58" s="44"/>
      <c r="F58" s="214"/>
      <c r="G58" s="587" t="s">
        <v>21</v>
      </c>
      <c r="H58" s="590" t="s">
        <v>21</v>
      </c>
      <c r="I58" s="591" t="s">
        <v>21</v>
      </c>
      <c r="J58" s="606" t="s">
        <v>21</v>
      </c>
      <c r="K58" s="593" t="s">
        <v>21</v>
      </c>
      <c r="L58" s="592" t="s">
        <v>21</v>
      </c>
      <c r="M58" s="594" t="s">
        <v>21</v>
      </c>
      <c r="O58" s="673"/>
      <c r="P58" s="361"/>
      <c r="Q58" s="441"/>
      <c r="R58" s="485"/>
      <c r="S58" s="442"/>
      <c r="T58" s="441"/>
      <c r="U58" s="485"/>
      <c r="V58" s="442"/>
      <c r="W58" s="441"/>
      <c r="X58" s="485"/>
      <c r="Y58" s="442"/>
      <c r="Z58" s="441"/>
      <c r="AA58" s="485"/>
      <c r="AB58" s="442"/>
      <c r="AC58" s="672"/>
      <c r="AD58" s="441" t="s">
        <v>21</v>
      </c>
      <c r="AE58" s="674" t="s">
        <v>21</v>
      </c>
      <c r="AF58" s="674" t="s">
        <v>21</v>
      </c>
      <c r="AG58" s="674" t="s">
        <v>21</v>
      </c>
      <c r="AH58" s="442" t="s">
        <v>21</v>
      </c>
      <c r="AI58" s="442" t="s">
        <v>21</v>
      </c>
    </row>
    <row r="59" spans="1:35" x14ac:dyDescent="0.25">
      <c r="A59" s="587" t="s">
        <v>3310</v>
      </c>
      <c r="B59" s="369"/>
      <c r="C59" s="588"/>
      <c r="D59" s="589" t="s">
        <v>1974</v>
      </c>
      <c r="E59" s="44"/>
      <c r="F59" s="214"/>
      <c r="G59" s="587" t="s">
        <v>3310</v>
      </c>
      <c r="H59" s="590" t="s">
        <v>21</v>
      </c>
      <c r="I59" s="591" t="s">
        <v>21</v>
      </c>
      <c r="J59" s="606" t="s">
        <v>21</v>
      </c>
      <c r="K59" s="593" t="s">
        <v>21</v>
      </c>
      <c r="L59" s="592" t="s">
        <v>21</v>
      </c>
      <c r="M59" s="594">
        <v>1145401.6039972454</v>
      </c>
      <c r="O59" s="673"/>
      <c r="P59" s="361"/>
      <c r="Q59" s="441"/>
      <c r="R59" s="485"/>
      <c r="S59" s="442"/>
      <c r="T59" s="441"/>
      <c r="U59" s="485"/>
      <c r="V59" s="442"/>
      <c r="W59" s="441"/>
      <c r="X59" s="485"/>
      <c r="Y59" s="442"/>
      <c r="Z59" s="441"/>
      <c r="AA59" s="485"/>
      <c r="AB59" s="442"/>
      <c r="AC59" s="672"/>
      <c r="AD59" s="441" t="s">
        <v>21</v>
      </c>
      <c r="AE59" s="674" t="s">
        <v>21</v>
      </c>
      <c r="AF59" s="674" t="s">
        <v>21</v>
      </c>
      <c r="AG59" s="674" t="s">
        <v>21</v>
      </c>
      <c r="AH59" s="442" t="s">
        <v>21</v>
      </c>
      <c r="AI59" s="442" t="s">
        <v>21</v>
      </c>
    </row>
    <row r="60" spans="1:35" ht="48" x14ac:dyDescent="0.25">
      <c r="A60" s="587" t="s">
        <v>1957</v>
      </c>
      <c r="B60" s="369" t="s">
        <v>1880</v>
      </c>
      <c r="C60" s="588"/>
      <c r="D60" s="589" t="s">
        <v>3591</v>
      </c>
      <c r="E60" s="44" t="s">
        <v>27</v>
      </c>
      <c r="F60" s="214">
        <v>92916</v>
      </c>
      <c r="G60" s="587" t="s">
        <v>507</v>
      </c>
      <c r="H60" s="590" t="s">
        <v>54</v>
      </c>
      <c r="I60" s="591">
        <v>687</v>
      </c>
      <c r="J60" s="606">
        <v>16.38</v>
      </c>
      <c r="K60" s="593">
        <v>0.2033513845915047</v>
      </c>
      <c r="L60" s="592">
        <v>19.710895679608846</v>
      </c>
      <c r="M60" s="594">
        <v>13541.385331891277</v>
      </c>
      <c r="O60" s="673"/>
      <c r="P60" s="361"/>
      <c r="Q60" s="441"/>
      <c r="R60" s="485"/>
      <c r="S60" s="442"/>
      <c r="T60" s="441">
        <v>687</v>
      </c>
      <c r="U60" s="485"/>
      <c r="V60" s="442"/>
      <c r="W60" s="441"/>
      <c r="X60" s="485"/>
      <c r="Y60" s="442"/>
      <c r="Z60" s="441"/>
      <c r="AA60" s="485"/>
      <c r="AB60" s="442"/>
      <c r="AC60" s="672"/>
      <c r="AD60" s="441">
        <v>2827.3222121531239</v>
      </c>
      <c r="AE60" s="674">
        <v>10714.063119738155</v>
      </c>
      <c r="AF60" s="674">
        <v>0</v>
      </c>
      <c r="AG60" s="674">
        <v>0</v>
      </c>
      <c r="AH60" s="442">
        <v>0</v>
      </c>
      <c r="AI60" s="442">
        <v>-1.8189894035458565E-12</v>
      </c>
    </row>
    <row r="61" spans="1:35" ht="48" x14ac:dyDescent="0.25">
      <c r="A61" s="587" t="s">
        <v>1959</v>
      </c>
      <c r="B61" s="369" t="s">
        <v>1880</v>
      </c>
      <c r="C61" s="588"/>
      <c r="D61" s="589" t="s">
        <v>3592</v>
      </c>
      <c r="E61" s="44" t="s">
        <v>27</v>
      </c>
      <c r="F61" s="214">
        <v>92917</v>
      </c>
      <c r="G61" s="587" t="s">
        <v>508</v>
      </c>
      <c r="H61" s="590" t="s">
        <v>54</v>
      </c>
      <c r="I61" s="591">
        <v>1278</v>
      </c>
      <c r="J61" s="606">
        <v>15.38</v>
      </c>
      <c r="K61" s="593">
        <v>0.2033513845915047</v>
      </c>
      <c r="L61" s="592">
        <v>18.507544295017343</v>
      </c>
      <c r="M61" s="594">
        <v>23652.641609032165</v>
      </c>
      <c r="O61" s="673"/>
      <c r="P61" s="361"/>
      <c r="Q61" s="441"/>
      <c r="R61" s="485"/>
      <c r="S61" s="442"/>
      <c r="T61" s="441">
        <v>1278</v>
      </c>
      <c r="U61" s="485"/>
      <c r="V61" s="442"/>
      <c r="W61" s="441"/>
      <c r="X61" s="485"/>
      <c r="Y61" s="442"/>
      <c r="Z61" s="441"/>
      <c r="AA61" s="485"/>
      <c r="AB61" s="442"/>
      <c r="AC61" s="672"/>
      <c r="AD61" s="441">
        <v>3629.4040440387453</v>
      </c>
      <c r="AE61" s="674">
        <v>20023.237564993415</v>
      </c>
      <c r="AF61" s="674">
        <v>0</v>
      </c>
      <c r="AG61" s="674">
        <v>0</v>
      </c>
      <c r="AH61" s="442">
        <v>0</v>
      </c>
      <c r="AI61" s="442">
        <v>7.2759576141834259E-12</v>
      </c>
    </row>
    <row r="62" spans="1:35" ht="48" x14ac:dyDescent="0.25">
      <c r="A62" s="587" t="s">
        <v>1960</v>
      </c>
      <c r="B62" s="369" t="s">
        <v>1880</v>
      </c>
      <c r="C62" s="588"/>
      <c r="D62" s="589" t="s">
        <v>3593</v>
      </c>
      <c r="E62" s="44" t="s">
        <v>27</v>
      </c>
      <c r="F62" s="214">
        <v>92919</v>
      </c>
      <c r="G62" s="587" t="s">
        <v>502</v>
      </c>
      <c r="H62" s="590" t="s">
        <v>54</v>
      </c>
      <c r="I62" s="591">
        <v>4545</v>
      </c>
      <c r="J62" s="606">
        <v>13.76</v>
      </c>
      <c r="K62" s="593">
        <v>0.2033513845915047</v>
      </c>
      <c r="L62" s="592">
        <v>16.558115051979104</v>
      </c>
      <c r="M62" s="594">
        <v>75256.632911245033</v>
      </c>
      <c r="O62" s="673"/>
      <c r="P62" s="361"/>
      <c r="Q62" s="441"/>
      <c r="R62" s="485"/>
      <c r="S62" s="442"/>
      <c r="T62" s="441">
        <v>4545</v>
      </c>
      <c r="U62" s="485"/>
      <c r="V62" s="442"/>
      <c r="W62" s="441"/>
      <c r="X62" s="485"/>
      <c r="Y62" s="442"/>
      <c r="Z62" s="441"/>
      <c r="AA62" s="485"/>
      <c r="AB62" s="442"/>
      <c r="AC62" s="672"/>
      <c r="AD62" s="441">
        <v>9188.3098321868929</v>
      </c>
      <c r="AE62" s="674">
        <v>66068.323079058129</v>
      </c>
      <c r="AF62" s="674">
        <v>0</v>
      </c>
      <c r="AG62" s="674">
        <v>0</v>
      </c>
      <c r="AH62" s="442">
        <v>0</v>
      </c>
      <c r="AI62" s="442">
        <v>1.4551915228366852E-11</v>
      </c>
    </row>
    <row r="63" spans="1:35" ht="48" x14ac:dyDescent="0.25">
      <c r="A63" s="587" t="s">
        <v>1961</v>
      </c>
      <c r="B63" s="369" t="s">
        <v>1880</v>
      </c>
      <c r="C63" s="588"/>
      <c r="D63" s="589" t="s">
        <v>3594</v>
      </c>
      <c r="E63" s="44" t="s">
        <v>27</v>
      </c>
      <c r="F63" s="214">
        <v>92921</v>
      </c>
      <c r="G63" s="587" t="s">
        <v>503</v>
      </c>
      <c r="H63" s="590" t="s">
        <v>54</v>
      </c>
      <c r="I63" s="591">
        <v>8317</v>
      </c>
      <c r="J63" s="606">
        <v>11.58</v>
      </c>
      <c r="K63" s="593">
        <v>0.2033513845915047</v>
      </c>
      <c r="L63" s="592">
        <v>13.934809033569625</v>
      </c>
      <c r="M63" s="594">
        <v>115895.80673219857</v>
      </c>
      <c r="O63" s="673"/>
      <c r="P63" s="361"/>
      <c r="Q63" s="441"/>
      <c r="R63" s="485"/>
      <c r="S63" s="442"/>
      <c r="T63" s="441">
        <v>8317</v>
      </c>
      <c r="U63" s="485"/>
      <c r="V63" s="442"/>
      <c r="W63" s="441"/>
      <c r="X63" s="485"/>
      <c r="Y63" s="442"/>
      <c r="Z63" s="441"/>
      <c r="AA63" s="485"/>
      <c r="AB63" s="442"/>
      <c r="AC63" s="672"/>
      <c r="AD63" s="441">
        <v>11709.679954807627</v>
      </c>
      <c r="AE63" s="674">
        <v>104186.12677739093</v>
      </c>
      <c r="AF63" s="674">
        <v>0</v>
      </c>
      <c r="AG63" s="674">
        <v>0</v>
      </c>
      <c r="AH63" s="442">
        <v>0</v>
      </c>
      <c r="AI63" s="442">
        <v>1.4551915228366852E-11</v>
      </c>
    </row>
    <row r="64" spans="1:35" ht="48" x14ac:dyDescent="0.25">
      <c r="A64" s="587" t="s">
        <v>1962</v>
      </c>
      <c r="B64" s="369" t="s">
        <v>1880</v>
      </c>
      <c r="C64" s="588"/>
      <c r="D64" s="589" t="s">
        <v>3595</v>
      </c>
      <c r="E64" s="44" t="s">
        <v>27</v>
      </c>
      <c r="F64" s="214">
        <v>92922</v>
      </c>
      <c r="G64" s="587" t="s">
        <v>504</v>
      </c>
      <c r="H64" s="590" t="s">
        <v>54</v>
      </c>
      <c r="I64" s="591">
        <v>19732</v>
      </c>
      <c r="J64" s="606">
        <v>11</v>
      </c>
      <c r="K64" s="593">
        <v>0.2033513845915047</v>
      </c>
      <c r="L64" s="592">
        <v>13.236865230506552</v>
      </c>
      <c r="M64" s="594">
        <v>261189.82472835528</v>
      </c>
      <c r="O64" s="673"/>
      <c r="P64" s="361"/>
      <c r="Q64" s="441"/>
      <c r="R64" s="485"/>
      <c r="S64" s="442"/>
      <c r="T64" s="441">
        <v>19732</v>
      </c>
      <c r="U64" s="485"/>
      <c r="V64" s="442"/>
      <c r="W64" s="441"/>
      <c r="X64" s="485"/>
      <c r="Y64" s="442"/>
      <c r="Z64" s="441"/>
      <c r="AA64" s="485"/>
      <c r="AB64" s="442"/>
      <c r="AC64" s="672"/>
      <c r="AD64" s="441">
        <v>18283.28773098487</v>
      </c>
      <c r="AE64" s="674">
        <v>242906.53699737042</v>
      </c>
      <c r="AF64" s="674">
        <v>0</v>
      </c>
      <c r="AG64" s="674">
        <v>0</v>
      </c>
      <c r="AH64" s="442">
        <v>0</v>
      </c>
      <c r="AI64" s="442">
        <v>0</v>
      </c>
    </row>
    <row r="65" spans="1:35" ht="48" x14ac:dyDescent="0.25">
      <c r="A65" s="587" t="s">
        <v>1963</v>
      </c>
      <c r="B65" s="369" t="s">
        <v>1880</v>
      </c>
      <c r="C65" s="588"/>
      <c r="D65" s="589" t="s">
        <v>3596</v>
      </c>
      <c r="E65" s="44" t="s">
        <v>27</v>
      </c>
      <c r="F65" s="214">
        <v>92923</v>
      </c>
      <c r="G65" s="587" t="s">
        <v>505</v>
      </c>
      <c r="H65" s="590" t="s">
        <v>54</v>
      </c>
      <c r="I65" s="591">
        <v>15750</v>
      </c>
      <c r="J65" s="606">
        <v>12.32</v>
      </c>
      <c r="K65" s="593">
        <v>0.2033513845915047</v>
      </c>
      <c r="L65" s="592">
        <v>14.825289058167339</v>
      </c>
      <c r="M65" s="594">
        <v>233498.3026661356</v>
      </c>
      <c r="O65" s="673"/>
      <c r="P65" s="361"/>
      <c r="Q65" s="441"/>
      <c r="R65" s="485"/>
      <c r="S65" s="442"/>
      <c r="T65" s="441">
        <v>15750</v>
      </c>
      <c r="U65" s="485"/>
      <c r="V65" s="442"/>
      <c r="W65" s="441"/>
      <c r="X65" s="485"/>
      <c r="Y65" s="442"/>
      <c r="Z65" s="441"/>
      <c r="AA65" s="485"/>
      <c r="AB65" s="442"/>
      <c r="AC65" s="672"/>
      <c r="AD65" s="441">
        <v>9286.8643105849369</v>
      </c>
      <c r="AE65" s="674">
        <v>224211.43835555064</v>
      </c>
      <c r="AF65" s="674">
        <v>0</v>
      </c>
      <c r="AG65" s="674">
        <v>0</v>
      </c>
      <c r="AH65" s="442">
        <v>0</v>
      </c>
      <c r="AI65" s="442">
        <v>2.9103830456733704E-11</v>
      </c>
    </row>
    <row r="66" spans="1:35" ht="48" x14ac:dyDescent="0.25">
      <c r="A66" s="587" t="s">
        <v>1964</v>
      </c>
      <c r="B66" s="369" t="s">
        <v>1880</v>
      </c>
      <c r="C66" s="588"/>
      <c r="D66" s="589" t="s">
        <v>3597</v>
      </c>
      <c r="E66" s="44" t="s">
        <v>27</v>
      </c>
      <c r="F66" s="214">
        <v>92924</v>
      </c>
      <c r="G66" s="587" t="s">
        <v>506</v>
      </c>
      <c r="H66" s="590" t="s">
        <v>54</v>
      </c>
      <c r="I66" s="591">
        <v>29225</v>
      </c>
      <c r="J66" s="606">
        <v>12.01</v>
      </c>
      <c r="K66" s="593">
        <v>0.2033513845915047</v>
      </c>
      <c r="L66" s="592">
        <v>14.452250128943971</v>
      </c>
      <c r="M66" s="594">
        <v>422367.01001838758</v>
      </c>
      <c r="O66" s="673"/>
      <c r="P66" s="361"/>
      <c r="Q66" s="441"/>
      <c r="R66" s="485"/>
      <c r="S66" s="442"/>
      <c r="T66" s="441">
        <v>29225</v>
      </c>
      <c r="U66" s="485"/>
      <c r="V66" s="442"/>
      <c r="W66" s="441"/>
      <c r="X66" s="485"/>
      <c r="Y66" s="442"/>
      <c r="Z66" s="441"/>
      <c r="AA66" s="485"/>
      <c r="AB66" s="442"/>
      <c r="AC66" s="672"/>
      <c r="AD66" s="441">
        <v>9495.3449379654176</v>
      </c>
      <c r="AE66" s="674">
        <v>412871.66508042213</v>
      </c>
      <c r="AF66" s="674">
        <v>0</v>
      </c>
      <c r="AG66" s="674">
        <v>0</v>
      </c>
      <c r="AH66" s="442">
        <v>0</v>
      </c>
      <c r="AI66" s="442">
        <v>5.8207660913467407E-11</v>
      </c>
    </row>
    <row r="67" spans="1:35" x14ac:dyDescent="0.25">
      <c r="A67" s="587"/>
      <c r="B67" s="369"/>
      <c r="C67" s="588"/>
      <c r="D67" s="589"/>
      <c r="E67" s="44"/>
      <c r="F67" s="214"/>
      <c r="G67" s="587" t="s">
        <v>21</v>
      </c>
      <c r="H67" s="590" t="s">
        <v>21</v>
      </c>
      <c r="I67" s="591" t="s">
        <v>21</v>
      </c>
      <c r="J67" s="606" t="s">
        <v>21</v>
      </c>
      <c r="K67" s="593" t="s">
        <v>21</v>
      </c>
      <c r="L67" s="592" t="s">
        <v>21</v>
      </c>
      <c r="M67" s="594" t="s">
        <v>21</v>
      </c>
      <c r="O67" s="673"/>
      <c r="P67" s="361"/>
      <c r="Q67" s="441"/>
      <c r="R67" s="485"/>
      <c r="S67" s="442"/>
      <c r="T67" s="441"/>
      <c r="U67" s="485"/>
      <c r="V67" s="442"/>
      <c r="W67" s="441"/>
      <c r="X67" s="485"/>
      <c r="Y67" s="442"/>
      <c r="Z67" s="441"/>
      <c r="AA67" s="485"/>
      <c r="AB67" s="442"/>
      <c r="AC67" s="672"/>
      <c r="AD67" s="441" t="s">
        <v>21</v>
      </c>
      <c r="AE67" s="674" t="s">
        <v>21</v>
      </c>
      <c r="AF67" s="674" t="s">
        <v>21</v>
      </c>
      <c r="AG67" s="674" t="s">
        <v>21</v>
      </c>
      <c r="AH67" s="442" t="s">
        <v>21</v>
      </c>
      <c r="AI67" s="442" t="s">
        <v>21</v>
      </c>
    </row>
    <row r="68" spans="1:35" ht="24" x14ac:dyDescent="0.25">
      <c r="A68" s="587" t="s">
        <v>3725</v>
      </c>
      <c r="B68" s="369"/>
      <c r="C68" s="588"/>
      <c r="D68" s="589" t="s">
        <v>3503</v>
      </c>
      <c r="E68" s="44"/>
      <c r="F68" s="214"/>
      <c r="G68" s="587" t="s">
        <v>3725</v>
      </c>
      <c r="H68" s="590" t="s">
        <v>21</v>
      </c>
      <c r="I68" s="591" t="s">
        <v>21</v>
      </c>
      <c r="J68" s="606" t="s">
        <v>21</v>
      </c>
      <c r="K68" s="593" t="s">
        <v>21</v>
      </c>
      <c r="L68" s="592" t="s">
        <v>21</v>
      </c>
      <c r="M68" s="594">
        <v>1553818.4324889011</v>
      </c>
      <c r="O68" s="673" t="s">
        <v>3502</v>
      </c>
      <c r="P68" s="361"/>
      <c r="Q68" s="441"/>
      <c r="R68" s="485"/>
      <c r="S68" s="442"/>
      <c r="T68" s="441"/>
      <c r="U68" s="485"/>
      <c r="V68" s="442"/>
      <c r="W68" s="441"/>
      <c r="X68" s="485"/>
      <c r="Y68" s="442"/>
      <c r="Z68" s="441"/>
      <c r="AA68" s="485"/>
      <c r="AB68" s="442"/>
      <c r="AC68" s="672"/>
      <c r="AD68" s="441" t="s">
        <v>21</v>
      </c>
      <c r="AE68" s="674" t="s">
        <v>21</v>
      </c>
      <c r="AF68" s="674" t="s">
        <v>21</v>
      </c>
      <c r="AG68" s="674" t="s">
        <v>21</v>
      </c>
      <c r="AH68" s="442" t="s">
        <v>21</v>
      </c>
      <c r="AI68" s="442" t="s">
        <v>21</v>
      </c>
    </row>
    <row r="69" spans="1:35" x14ac:dyDescent="0.25">
      <c r="A69" s="587" t="s">
        <v>3505</v>
      </c>
      <c r="B69" s="369"/>
      <c r="C69" s="588"/>
      <c r="D69" s="589" t="s">
        <v>3504</v>
      </c>
      <c r="E69" s="44"/>
      <c r="F69" s="214"/>
      <c r="G69" s="587" t="s">
        <v>3505</v>
      </c>
      <c r="H69" s="590" t="s">
        <v>21</v>
      </c>
      <c r="I69" s="591" t="s">
        <v>21</v>
      </c>
      <c r="J69" s="606" t="s">
        <v>21</v>
      </c>
      <c r="K69" s="593" t="s">
        <v>21</v>
      </c>
      <c r="L69" s="592" t="s">
        <v>21</v>
      </c>
      <c r="M69" s="594">
        <v>28085.108211649473</v>
      </c>
      <c r="O69" s="673"/>
      <c r="P69" s="361"/>
      <c r="Q69" s="441"/>
      <c r="R69" s="485"/>
      <c r="S69" s="442"/>
      <c r="T69" s="441"/>
      <c r="U69" s="485"/>
      <c r="V69" s="442"/>
      <c r="W69" s="441"/>
      <c r="X69" s="485"/>
      <c r="Y69" s="442"/>
      <c r="Z69" s="441"/>
      <c r="AA69" s="485"/>
      <c r="AB69" s="442"/>
      <c r="AC69" s="672"/>
      <c r="AD69" s="441" t="s">
        <v>21</v>
      </c>
      <c r="AE69" s="674" t="s">
        <v>21</v>
      </c>
      <c r="AF69" s="674" t="s">
        <v>21</v>
      </c>
      <c r="AG69" s="674" t="s">
        <v>21</v>
      </c>
      <c r="AH69" s="442" t="s">
        <v>21</v>
      </c>
      <c r="AI69" s="442" t="s">
        <v>21</v>
      </c>
    </row>
    <row r="70" spans="1:35" ht="36" x14ac:dyDescent="0.25">
      <c r="A70" s="587" t="s">
        <v>1542</v>
      </c>
      <c r="B70" s="369" t="s">
        <v>20</v>
      </c>
      <c r="C70" s="588"/>
      <c r="D70" s="589" t="s">
        <v>3506</v>
      </c>
      <c r="E70" s="44" t="s">
        <v>27</v>
      </c>
      <c r="F70" s="214">
        <v>98525</v>
      </c>
      <c r="G70" s="587" t="s">
        <v>597</v>
      </c>
      <c r="H70" s="590" t="s">
        <v>51</v>
      </c>
      <c r="I70" s="591">
        <v>1981</v>
      </c>
      <c r="J70" s="606">
        <v>0.3</v>
      </c>
      <c r="K70" s="593">
        <v>0.2033513845915047</v>
      </c>
      <c r="L70" s="592">
        <v>0.3610054153774514</v>
      </c>
      <c r="M70" s="594">
        <v>715.15172786273126</v>
      </c>
      <c r="O70" s="675">
        <v>0.1</v>
      </c>
      <c r="P70" s="361"/>
      <c r="Q70" s="441"/>
      <c r="R70" s="485"/>
      <c r="S70" s="442"/>
      <c r="T70" s="441">
        <v>1981</v>
      </c>
      <c r="U70" s="485"/>
      <c r="V70" s="442"/>
      <c r="W70" s="441"/>
      <c r="X70" s="485"/>
      <c r="Y70" s="442"/>
      <c r="Z70" s="441"/>
      <c r="AA70" s="485"/>
      <c r="AB70" s="442"/>
      <c r="AC70" s="672"/>
      <c r="AD70" s="441">
        <v>381.41425486012332</v>
      </c>
      <c r="AE70" s="674">
        <v>47.676781857515415</v>
      </c>
      <c r="AF70" s="674">
        <v>286.06069114509251</v>
      </c>
      <c r="AG70" s="674">
        <v>0</v>
      </c>
      <c r="AH70" s="442">
        <v>0</v>
      </c>
      <c r="AI70" s="442">
        <v>0</v>
      </c>
    </row>
    <row r="71" spans="1:35" ht="36" x14ac:dyDescent="0.25">
      <c r="A71" s="587" t="s">
        <v>3507</v>
      </c>
      <c r="B71" s="369" t="s">
        <v>39</v>
      </c>
      <c r="C71" s="588"/>
      <c r="D71" s="589" t="s">
        <v>3511</v>
      </c>
      <c r="E71" s="44" t="s">
        <v>27</v>
      </c>
      <c r="F71" s="214">
        <v>98529</v>
      </c>
      <c r="G71" s="587" t="s">
        <v>549</v>
      </c>
      <c r="H71" s="590" t="s">
        <v>41</v>
      </c>
      <c r="I71" s="591">
        <v>56</v>
      </c>
      <c r="J71" s="606">
        <v>62.89</v>
      </c>
      <c r="K71" s="593">
        <v>0.2033513845915047</v>
      </c>
      <c r="L71" s="592">
        <v>75.678768576959726</v>
      </c>
      <c r="M71" s="594">
        <v>4238.0110403097442</v>
      </c>
      <c r="O71" s="673" t="s">
        <v>3509</v>
      </c>
      <c r="P71" s="361"/>
      <c r="Q71" s="441"/>
      <c r="R71" s="485"/>
      <c r="S71" s="442"/>
      <c r="T71" s="441">
        <v>56</v>
      </c>
      <c r="U71" s="485"/>
      <c r="V71" s="442"/>
      <c r="W71" s="441"/>
      <c r="X71" s="485"/>
      <c r="Y71" s="442"/>
      <c r="Z71" s="441"/>
      <c r="AA71" s="485"/>
      <c r="AB71" s="442"/>
      <c r="AC71" s="672"/>
      <c r="AD71" s="441">
        <v>2979.2092239162639</v>
      </c>
      <c r="AE71" s="674">
        <v>1258.8018163934812</v>
      </c>
      <c r="AF71" s="674">
        <v>0</v>
      </c>
      <c r="AG71" s="674">
        <v>0</v>
      </c>
      <c r="AH71" s="442">
        <v>0</v>
      </c>
      <c r="AI71" s="442">
        <v>-9.0949470177292824E-13</v>
      </c>
    </row>
    <row r="72" spans="1:35" ht="36" x14ac:dyDescent="0.25">
      <c r="A72" s="587" t="s">
        <v>3508</v>
      </c>
      <c r="B72" s="369" t="s">
        <v>39</v>
      </c>
      <c r="C72" s="588"/>
      <c r="D72" s="589" t="s">
        <v>3512</v>
      </c>
      <c r="E72" s="44" t="s">
        <v>27</v>
      </c>
      <c r="F72" s="214">
        <v>98526</v>
      </c>
      <c r="G72" s="587" t="s">
        <v>636</v>
      </c>
      <c r="H72" s="590" t="s">
        <v>41</v>
      </c>
      <c r="I72" s="591">
        <v>56</v>
      </c>
      <c r="J72" s="606">
        <v>63.71</v>
      </c>
      <c r="K72" s="593">
        <v>0.2033513845915047</v>
      </c>
      <c r="L72" s="592">
        <v>76.665516712324759</v>
      </c>
      <c r="M72" s="594">
        <v>4293.2689358901862</v>
      </c>
      <c r="O72" s="673" t="s">
        <v>3510</v>
      </c>
      <c r="P72" s="361"/>
      <c r="Q72" s="441"/>
      <c r="R72" s="485"/>
      <c r="S72" s="442"/>
      <c r="T72" s="441">
        <v>56</v>
      </c>
      <c r="U72" s="485"/>
      <c r="V72" s="442"/>
      <c r="W72" s="441"/>
      <c r="X72" s="485"/>
      <c r="Y72" s="442"/>
      <c r="Z72" s="441"/>
      <c r="AA72" s="485"/>
      <c r="AB72" s="442"/>
      <c r="AC72" s="672"/>
      <c r="AD72" s="441">
        <v>2116.6469514410733</v>
      </c>
      <c r="AE72" s="674">
        <v>1125.374214869975</v>
      </c>
      <c r="AF72" s="674">
        <v>1051.2477695791385</v>
      </c>
      <c r="AG72" s="674">
        <v>0</v>
      </c>
      <c r="AH72" s="442">
        <v>0</v>
      </c>
      <c r="AI72" s="442">
        <v>-9.0949470177292824E-13</v>
      </c>
    </row>
    <row r="73" spans="1:35" ht="48" x14ac:dyDescent="0.25">
      <c r="A73" s="587" t="s">
        <v>1052</v>
      </c>
      <c r="B73" s="369" t="s">
        <v>23</v>
      </c>
      <c r="C73" s="588"/>
      <c r="D73" s="589" t="s">
        <v>3513</v>
      </c>
      <c r="E73" s="44" t="s">
        <v>27</v>
      </c>
      <c r="F73" s="214">
        <v>100999</v>
      </c>
      <c r="G73" s="587" t="s">
        <v>769</v>
      </c>
      <c r="H73" s="590" t="s">
        <v>55</v>
      </c>
      <c r="I73" s="591">
        <v>364.35</v>
      </c>
      <c r="J73" s="606">
        <v>4.24</v>
      </c>
      <c r="K73" s="593">
        <v>0.2033513845915047</v>
      </c>
      <c r="L73" s="592">
        <v>5.1022098706679806</v>
      </c>
      <c r="M73" s="594">
        <v>1858.9901663778789</v>
      </c>
      <c r="O73" s="673"/>
      <c r="P73" s="361"/>
      <c r="Q73" s="441"/>
      <c r="R73" s="485"/>
      <c r="S73" s="442"/>
      <c r="T73" s="441">
        <v>364.35</v>
      </c>
      <c r="U73" s="485">
        <v>1.5</v>
      </c>
      <c r="V73" s="442"/>
      <c r="W73" s="441"/>
      <c r="X73" s="485"/>
      <c r="Y73" s="442"/>
      <c r="Z73" s="441"/>
      <c r="AA73" s="485"/>
      <c r="AB73" s="442"/>
      <c r="AC73" s="672"/>
      <c r="AD73" s="441">
        <v>197.29848463916164</v>
      </c>
      <c r="AE73" s="674">
        <v>850.57568933327468</v>
      </c>
      <c r="AF73" s="674">
        <v>811.1159924054424</v>
      </c>
      <c r="AG73" s="674">
        <v>0</v>
      </c>
      <c r="AH73" s="442">
        <v>0</v>
      </c>
      <c r="AI73" s="442">
        <v>2.2737367544323206E-13</v>
      </c>
    </row>
    <row r="74" spans="1:35" ht="36" x14ac:dyDescent="0.25">
      <c r="A74" s="587" t="s">
        <v>1543</v>
      </c>
      <c r="B74" s="369" t="s">
        <v>25</v>
      </c>
      <c r="C74" s="588"/>
      <c r="D74" s="589" t="s">
        <v>3514</v>
      </c>
      <c r="E74" s="44" t="s">
        <v>27</v>
      </c>
      <c r="F74" s="214">
        <v>95879</v>
      </c>
      <c r="G74" s="587" t="s">
        <v>789</v>
      </c>
      <c r="H74" s="590" t="s">
        <v>42</v>
      </c>
      <c r="I74" s="591">
        <v>8015.7000000000007</v>
      </c>
      <c r="J74" s="606">
        <v>1.04</v>
      </c>
      <c r="K74" s="593">
        <v>0.2033513845915047</v>
      </c>
      <c r="L74" s="592">
        <v>1.2514854399751649</v>
      </c>
      <c r="M74" s="594">
        <v>10031.531841208931</v>
      </c>
      <c r="O74" s="673"/>
      <c r="P74" s="361"/>
      <c r="Q74" s="441"/>
      <c r="R74" s="485"/>
      <c r="S74" s="442"/>
      <c r="T74" s="441">
        <v>8015.7000000000007</v>
      </c>
      <c r="U74" s="485"/>
      <c r="V74" s="442">
        <v>22</v>
      </c>
      <c r="W74" s="441"/>
      <c r="X74" s="485"/>
      <c r="Y74" s="442"/>
      <c r="Z74" s="441"/>
      <c r="AA74" s="485"/>
      <c r="AB74" s="442"/>
      <c r="AC74" s="672"/>
      <c r="AD74" s="441">
        <v>675.19925854290886</v>
      </c>
      <c r="AE74" s="674">
        <v>5787.4222160820746</v>
      </c>
      <c r="AF74" s="674">
        <v>3568.9103665839461</v>
      </c>
      <c r="AG74" s="674">
        <v>0</v>
      </c>
      <c r="AH74" s="442">
        <v>0</v>
      </c>
      <c r="AI74" s="442">
        <v>1.8189894035458565E-12</v>
      </c>
    </row>
    <row r="75" spans="1:35" ht="36" hidden="1" x14ac:dyDescent="0.25">
      <c r="A75" s="587" t="s">
        <v>1544</v>
      </c>
      <c r="B75" s="369" t="s">
        <v>25</v>
      </c>
      <c r="C75" s="588"/>
      <c r="D75" s="589" t="s">
        <v>3515</v>
      </c>
      <c r="E75" s="44" t="s">
        <v>27</v>
      </c>
      <c r="F75" s="214">
        <v>93599</v>
      </c>
      <c r="G75" s="587" t="s">
        <v>788</v>
      </c>
      <c r="H75" s="590" t="s">
        <v>42</v>
      </c>
      <c r="I75" s="591">
        <f>IF($F75="","",IF('TRECHO(S) A IMPRIMIR'!$B$1= 1, SUM(Q75, T75, W75, Z75), IF('TRECHO(S) A IMPRIMIR'!$B$1= 2, T75, IF('TRECHO(S) A IMPRIMIR'!$B$1= 3, W75, 0))))</f>
        <v>0</v>
      </c>
      <c r="J75" s="606">
        <v>0.41</v>
      </c>
      <c r="K75" s="593">
        <f t="shared" ref="K73:K104" si="1">IF(AND(F75&lt;&gt;"", J75&lt;&gt;""),
  IF(OR(F75= "CP9001", F75= "CP9091", F75= "CP9092"), 0,
  IF(ISNA(VLOOKUP(F75, $M$139:$M$141, 1, FALSE)), $M$4, $M$5)), "")</f>
        <v>0.2033513845915047</v>
      </c>
      <c r="L75" s="592">
        <f t="shared" ref="L68:L122" si="2">IF(J75="","",
  IF(AND(J75&lt;&gt;"",K75=""),J75,J75 * (1 + K75)))</f>
        <v>0.4933740676825169</v>
      </c>
      <c r="M75" s="594">
        <f t="shared" ref="M70:M122" si="3">IF(OR(I75="",L75=""),"",I75*L75)</f>
        <v>0</v>
      </c>
      <c r="O75" s="673"/>
      <c r="P75" s="361"/>
      <c r="Q75" s="441"/>
      <c r="R75" s="485"/>
      <c r="S75" s="442"/>
      <c r="T75" s="441">
        <f>T73 * V75</f>
        <v>0</v>
      </c>
      <c r="U75" s="485"/>
      <c r="V75" s="442">
        <f>IF('MLQ-DMT-TR1'!$E$7 &gt; 30, 'MLQ-DMT-TR1'!$E$7 - 30, 0)</f>
        <v>0</v>
      </c>
      <c r="W75" s="441"/>
      <c r="X75" s="485"/>
      <c r="Y75" s="442"/>
      <c r="Z75" s="441"/>
      <c r="AA75" s="485"/>
      <c r="AB75" s="442"/>
      <c r="AC75" s="672"/>
      <c r="AD75" s="441" t="s">
        <v>21</v>
      </c>
      <c r="AE75" s="674" t="s">
        <v>21</v>
      </c>
      <c r="AF75" s="674" t="s">
        <v>21</v>
      </c>
      <c r="AG75" s="674" t="s">
        <v>21</v>
      </c>
      <c r="AH75" s="442" t="s">
        <v>21</v>
      </c>
      <c r="AI75" s="442" t="str">
        <f t="shared" ref="AI68:AI122" si="4">IF(SUM(AD75:AH75)=0,"",M75 - SUM(AD75:AH75))</f>
        <v/>
      </c>
    </row>
    <row r="76" spans="1:35" ht="24" x14ac:dyDescent="0.25">
      <c r="A76" s="587" t="s">
        <v>1545</v>
      </c>
      <c r="B76" s="369" t="s">
        <v>23</v>
      </c>
      <c r="C76" s="588"/>
      <c r="D76" s="589" t="s">
        <v>3516</v>
      </c>
      <c r="E76" s="44" t="s">
        <v>138</v>
      </c>
      <c r="F76" s="214" t="s">
        <v>3637</v>
      </c>
      <c r="G76" s="587" t="s">
        <v>3640</v>
      </c>
      <c r="H76" s="590" t="s">
        <v>55</v>
      </c>
      <c r="I76" s="591">
        <v>364.35</v>
      </c>
      <c r="J76" s="606">
        <v>19.07</v>
      </c>
      <c r="K76" s="593">
        <v>0</v>
      </c>
      <c r="L76" s="592">
        <v>19.07</v>
      </c>
      <c r="M76" s="594">
        <v>6948.1545000000006</v>
      </c>
      <c r="O76" s="673"/>
      <c r="P76" s="361"/>
      <c r="Q76" s="441"/>
      <c r="R76" s="485"/>
      <c r="S76" s="442"/>
      <c r="T76" s="441">
        <v>364.35</v>
      </c>
      <c r="U76" s="485"/>
      <c r="V76" s="442"/>
      <c r="W76" s="441"/>
      <c r="X76" s="485"/>
      <c r="Y76" s="442"/>
      <c r="Z76" s="441"/>
      <c r="AA76" s="485"/>
      <c r="AB76" s="442"/>
      <c r="AC76" s="672"/>
      <c r="AD76" s="441">
        <v>0</v>
      </c>
      <c r="AE76" s="674">
        <v>0</v>
      </c>
      <c r="AF76" s="674">
        <v>0</v>
      </c>
      <c r="AG76" s="674">
        <v>6948.1545000000006</v>
      </c>
      <c r="AH76" s="442">
        <v>0</v>
      </c>
      <c r="AI76" s="442">
        <v>0</v>
      </c>
    </row>
    <row r="77" spans="1:35" x14ac:dyDescent="0.25">
      <c r="A77" s="587"/>
      <c r="B77" s="369"/>
      <c r="C77" s="588"/>
      <c r="D77" s="589"/>
      <c r="E77" s="44"/>
      <c r="F77" s="214"/>
      <c r="G77" s="587" t="s">
        <v>21</v>
      </c>
      <c r="H77" s="590" t="s">
        <v>21</v>
      </c>
      <c r="I77" s="591" t="s">
        <v>21</v>
      </c>
      <c r="J77" s="606" t="s">
        <v>21</v>
      </c>
      <c r="K77" s="593" t="s">
        <v>21</v>
      </c>
      <c r="L77" s="592" t="s">
        <v>21</v>
      </c>
      <c r="M77" s="594" t="s">
        <v>21</v>
      </c>
      <c r="O77" s="673"/>
      <c r="P77" s="361"/>
      <c r="Q77" s="441"/>
      <c r="R77" s="485"/>
      <c r="S77" s="442"/>
      <c r="T77" s="441"/>
      <c r="U77" s="485"/>
      <c r="V77" s="442"/>
      <c r="W77" s="441"/>
      <c r="X77" s="485"/>
      <c r="Y77" s="442"/>
      <c r="Z77" s="441"/>
      <c r="AA77" s="485"/>
      <c r="AB77" s="442"/>
      <c r="AC77" s="672"/>
      <c r="AD77" s="441" t="s">
        <v>21</v>
      </c>
      <c r="AE77" s="674" t="s">
        <v>21</v>
      </c>
      <c r="AF77" s="674" t="s">
        <v>21</v>
      </c>
      <c r="AG77" s="674" t="s">
        <v>21</v>
      </c>
      <c r="AH77" s="442" t="s">
        <v>21</v>
      </c>
      <c r="AI77" s="442" t="s">
        <v>21</v>
      </c>
    </row>
    <row r="78" spans="1:35" ht="36" x14ac:dyDescent="0.25">
      <c r="A78" s="1708" t="s">
        <v>3789</v>
      </c>
      <c r="B78" s="369"/>
      <c r="C78" s="588"/>
      <c r="D78" s="589" t="s">
        <v>3518</v>
      </c>
      <c r="E78" s="44"/>
      <c r="F78" s="214"/>
      <c r="G78" s="587" t="s">
        <v>3789</v>
      </c>
      <c r="H78" s="590" t="s">
        <v>21</v>
      </c>
      <c r="I78" s="591" t="s">
        <v>21</v>
      </c>
      <c r="J78" s="606" t="s">
        <v>21</v>
      </c>
      <c r="K78" s="593" t="s">
        <v>21</v>
      </c>
      <c r="L78" s="592" t="s">
        <v>21</v>
      </c>
      <c r="M78" s="594">
        <v>363850.66944092966</v>
      </c>
      <c r="O78" s="673"/>
      <c r="P78" s="361"/>
      <c r="Q78" s="441"/>
      <c r="R78" s="485"/>
      <c r="S78" s="442"/>
      <c r="T78" s="441"/>
      <c r="U78" s="485"/>
      <c r="V78" s="442"/>
      <c r="W78" s="441"/>
      <c r="X78" s="485"/>
      <c r="Y78" s="442"/>
      <c r="Z78" s="441"/>
      <c r="AA78" s="485"/>
      <c r="AB78" s="442"/>
      <c r="AC78" s="672"/>
      <c r="AD78" s="441" t="s">
        <v>21</v>
      </c>
      <c r="AE78" s="674" t="s">
        <v>21</v>
      </c>
      <c r="AF78" s="674" t="s">
        <v>21</v>
      </c>
      <c r="AG78" s="674" t="s">
        <v>21</v>
      </c>
      <c r="AH78" s="442" t="s">
        <v>21</v>
      </c>
      <c r="AI78" s="442" t="s">
        <v>21</v>
      </c>
    </row>
    <row r="79" spans="1:35" ht="60" x14ac:dyDescent="0.25">
      <c r="A79" s="587" t="s">
        <v>1282</v>
      </c>
      <c r="B79" s="369" t="s">
        <v>28</v>
      </c>
      <c r="C79" s="588"/>
      <c r="D79" s="589" t="s">
        <v>3519</v>
      </c>
      <c r="E79" s="44" t="s">
        <v>27</v>
      </c>
      <c r="F79" s="214">
        <v>101145</v>
      </c>
      <c r="G79" s="587" t="s">
        <v>1081</v>
      </c>
      <c r="H79" s="590" t="s">
        <v>44</v>
      </c>
      <c r="I79" s="591">
        <v>10162.68</v>
      </c>
      <c r="J79" s="606">
        <v>10.75</v>
      </c>
      <c r="K79" s="593">
        <v>0.2033513845915047</v>
      </c>
      <c r="L79" s="592">
        <v>12.936027384358676</v>
      </c>
      <c r="M79" s="594">
        <v>131464.70677847424</v>
      </c>
      <c r="O79" s="673"/>
      <c r="P79" s="361"/>
      <c r="Q79" s="441"/>
      <c r="R79" s="485"/>
      <c r="S79" s="442"/>
      <c r="T79" s="441">
        <v>10162.68</v>
      </c>
      <c r="U79" s="485">
        <v>1.0923072445820432</v>
      </c>
      <c r="V79" s="442"/>
      <c r="W79" s="441"/>
      <c r="X79" s="485"/>
      <c r="Y79" s="442"/>
      <c r="Z79" s="441"/>
      <c r="AA79" s="485"/>
      <c r="AB79" s="442"/>
      <c r="AC79" s="672"/>
      <c r="AD79" s="441">
        <v>16264.935815383324</v>
      </c>
      <c r="AE79" s="674">
        <v>58822.812986461489</v>
      </c>
      <c r="AF79" s="674">
        <v>56376.957976629419</v>
      </c>
      <c r="AG79" s="674">
        <v>0</v>
      </c>
      <c r="AH79" s="442">
        <v>0</v>
      </c>
      <c r="AI79" s="442">
        <v>2.9103830456733704E-11</v>
      </c>
    </row>
    <row r="80" spans="1:35" ht="24" hidden="1" x14ac:dyDescent="0.25">
      <c r="A80" s="587" t="s">
        <v>3736</v>
      </c>
      <c r="B80" s="369" t="s">
        <v>20</v>
      </c>
      <c r="C80" s="588"/>
      <c r="D80" s="589" t="s">
        <v>3521</v>
      </c>
      <c r="E80" s="44" t="s">
        <v>27</v>
      </c>
      <c r="F80" s="214">
        <v>100575</v>
      </c>
      <c r="G80" s="587" t="s">
        <v>634</v>
      </c>
      <c r="H80" s="590" t="s">
        <v>51</v>
      </c>
      <c r="I80" s="591">
        <f>IF($F80="","",IF('TRECHO(S) A IMPRIMIR'!$B$1= 1, SUM(Q80, T80, W80, Z80), IF('TRECHO(S) A IMPRIMIR'!$B$1= 2, T80, IF('TRECHO(S) A IMPRIMIR'!$B$1= 3, W80, 0))))</f>
        <v>0</v>
      </c>
      <c r="J80" s="606">
        <v>7.0000000000000007E-2</v>
      </c>
      <c r="K80" s="593">
        <f t="shared" si="1"/>
        <v>0.2033513845915047</v>
      </c>
      <c r="L80" s="592">
        <f t="shared" ref="L78:L85" si="5">IF(J80="","",
  IF(AND(J80&lt;&gt;"",K80=""),J80,J80 * (1 + K80)))</f>
        <v>8.4234596921405336E-2</v>
      </c>
      <c r="M80" s="594">
        <f t="shared" ref="M79:M85" si="6">IF(OR(I80="",L80=""),"",I80*L80)</f>
        <v>0</v>
      </c>
      <c r="O80" s="673"/>
      <c r="P80" s="361"/>
      <c r="Q80" s="441"/>
      <c r="R80" s="485"/>
      <c r="S80" s="442"/>
      <c r="T80" s="441"/>
      <c r="U80" s="485"/>
      <c r="V80" s="442"/>
      <c r="W80" s="441"/>
      <c r="X80" s="485"/>
      <c r="Y80" s="442"/>
      <c r="Z80" s="441"/>
      <c r="AA80" s="485"/>
      <c r="AB80" s="442"/>
      <c r="AC80" s="672"/>
      <c r="AD80" s="441" t="s">
        <v>21</v>
      </c>
      <c r="AE80" s="674" t="s">
        <v>21</v>
      </c>
      <c r="AF80" s="674" t="s">
        <v>21</v>
      </c>
      <c r="AG80" s="674" t="s">
        <v>21</v>
      </c>
      <c r="AH80" s="442" t="s">
        <v>21</v>
      </c>
      <c r="AI80" s="442" t="str">
        <f t="shared" ref="AI78:AI85" si="7">IF(SUM(AD80:AH80)=0,"",M80 - SUM(AD80:AH80))</f>
        <v/>
      </c>
    </row>
    <row r="81" spans="1:35" ht="36" x14ac:dyDescent="0.25">
      <c r="A81" s="587" t="s">
        <v>1005</v>
      </c>
      <c r="B81" s="369" t="s">
        <v>28</v>
      </c>
      <c r="C81" s="588"/>
      <c r="D81" s="589" t="s">
        <v>3522</v>
      </c>
      <c r="E81" s="44" t="s">
        <v>27</v>
      </c>
      <c r="F81" s="214">
        <v>96386</v>
      </c>
      <c r="G81" s="587" t="s">
        <v>575</v>
      </c>
      <c r="H81" s="590" t="s">
        <v>44</v>
      </c>
      <c r="I81" s="591">
        <v>1267.3599999999999</v>
      </c>
      <c r="J81" s="606">
        <v>5.51</v>
      </c>
      <c r="K81" s="593">
        <v>0.2033513845915047</v>
      </c>
      <c r="L81" s="592">
        <v>6.6304661290991911</v>
      </c>
      <c r="M81" s="594">
        <v>8403.1875533751499</v>
      </c>
      <c r="O81" s="673"/>
      <c r="P81" s="361"/>
      <c r="Q81" s="441"/>
      <c r="R81" s="485"/>
      <c r="S81" s="442"/>
      <c r="T81" s="441">
        <v>1267.3599999999999</v>
      </c>
      <c r="U81" s="485">
        <v>1.7415</v>
      </c>
      <c r="V81" s="442"/>
      <c r="W81" s="441"/>
      <c r="X81" s="485"/>
      <c r="Y81" s="442"/>
      <c r="Z81" s="441"/>
      <c r="AA81" s="485"/>
      <c r="AB81" s="442"/>
      <c r="AC81" s="672"/>
      <c r="AD81" s="441">
        <v>1997.8540281164148</v>
      </c>
      <c r="AE81" s="674">
        <v>2302.8699102715927</v>
      </c>
      <c r="AF81" s="674">
        <v>4102.4636149871421</v>
      </c>
      <c r="AG81" s="674">
        <v>0</v>
      </c>
      <c r="AH81" s="442">
        <v>0</v>
      </c>
      <c r="AI81" s="442">
        <v>0</v>
      </c>
    </row>
    <row r="82" spans="1:35" ht="48" x14ac:dyDescent="0.25">
      <c r="A82" s="587" t="s">
        <v>1079</v>
      </c>
      <c r="B82" s="369" t="s">
        <v>28</v>
      </c>
      <c r="C82" s="588"/>
      <c r="D82" s="589" t="s">
        <v>3733</v>
      </c>
      <c r="E82" s="44" t="s">
        <v>27</v>
      </c>
      <c r="F82" s="214">
        <v>100995</v>
      </c>
      <c r="G82" s="587" t="s">
        <v>773</v>
      </c>
      <c r="H82" s="590" t="s">
        <v>55</v>
      </c>
      <c r="I82" s="591">
        <v>8893.6615483690402</v>
      </c>
      <c r="J82" s="606">
        <v>3.11</v>
      </c>
      <c r="K82" s="593">
        <v>0.2033513845915047</v>
      </c>
      <c r="L82" s="592">
        <v>3.7424228060795794</v>
      </c>
      <c r="M82" s="594">
        <v>33283.841808169323</v>
      </c>
      <c r="O82" s="673"/>
      <c r="P82" s="361"/>
      <c r="Q82" s="441"/>
      <c r="R82" s="485"/>
      <c r="S82" s="442"/>
      <c r="T82" s="441">
        <v>8893.6615483690402</v>
      </c>
      <c r="U82" s="485"/>
      <c r="V82" s="442"/>
      <c r="W82" s="441"/>
      <c r="X82" s="485"/>
      <c r="Y82" s="442"/>
      <c r="Z82" s="441"/>
      <c r="AA82" s="485"/>
      <c r="AB82" s="442"/>
      <c r="AC82" s="672"/>
      <c r="AD82" s="441">
        <v>3317.6819808786145</v>
      </c>
      <c r="AE82" s="674">
        <v>15625.211909944441</v>
      </c>
      <c r="AF82" s="674">
        <v>14340.947917346268</v>
      </c>
      <c r="AG82" s="674">
        <v>0</v>
      </c>
      <c r="AH82" s="442">
        <v>0</v>
      </c>
      <c r="AI82" s="442">
        <v>0</v>
      </c>
    </row>
    <row r="83" spans="1:35" ht="36" x14ac:dyDescent="0.25">
      <c r="A83" s="587" t="s">
        <v>1274</v>
      </c>
      <c r="B83" s="369" t="s">
        <v>28</v>
      </c>
      <c r="C83" s="588"/>
      <c r="D83" s="589" t="s">
        <v>3734</v>
      </c>
      <c r="E83" s="44" t="s">
        <v>27</v>
      </c>
      <c r="F83" s="214">
        <v>95879</v>
      </c>
      <c r="G83" s="587" t="s">
        <v>789</v>
      </c>
      <c r="H83" s="590" t="s">
        <v>42</v>
      </c>
      <c r="I83" s="591">
        <v>152378.06786205622</v>
      </c>
      <c r="J83" s="606">
        <v>1.04</v>
      </c>
      <c r="K83" s="593">
        <v>0.2033513845915047</v>
      </c>
      <c r="L83" s="592">
        <v>1.2514854399751649</v>
      </c>
      <c r="M83" s="594">
        <v>190698.93330091098</v>
      </c>
      <c r="O83" s="673"/>
      <c r="P83" s="361"/>
      <c r="Q83" s="441"/>
      <c r="R83" s="485"/>
      <c r="S83" s="442"/>
      <c r="T83" s="441">
        <v>152378.06786205622</v>
      </c>
      <c r="U83" s="485"/>
      <c r="V83" s="442">
        <v>17.133333333333333</v>
      </c>
      <c r="W83" s="441"/>
      <c r="X83" s="485"/>
      <c r="Y83" s="442"/>
      <c r="Z83" s="441"/>
      <c r="AA83" s="485"/>
      <c r="AB83" s="442"/>
      <c r="AC83" s="672"/>
      <c r="AD83" s="441">
        <v>12835.505126022856</v>
      </c>
      <c r="AE83" s="674">
        <v>110018.61536591017</v>
      </c>
      <c r="AF83" s="674">
        <v>67844.812808977935</v>
      </c>
      <c r="AG83" s="674">
        <v>0</v>
      </c>
      <c r="AH83" s="442">
        <v>0</v>
      </c>
      <c r="AI83" s="442">
        <v>2.9103830456733704E-11</v>
      </c>
    </row>
    <row r="84" spans="1:35" ht="36" hidden="1" x14ac:dyDescent="0.25">
      <c r="A84" s="587" t="s">
        <v>1275</v>
      </c>
      <c r="B84" s="369" t="s">
        <v>28</v>
      </c>
      <c r="C84" s="588"/>
      <c r="D84" s="589" t="s">
        <v>3735</v>
      </c>
      <c r="E84" s="44" t="s">
        <v>27</v>
      </c>
      <c r="F84" s="214">
        <v>93599</v>
      </c>
      <c r="G84" s="587" t="s">
        <v>788</v>
      </c>
      <c r="H84" s="590" t="s">
        <v>42</v>
      </c>
      <c r="I84" s="591">
        <f>IF($F84="","",IF('TRECHO(S) A IMPRIMIR'!$B$1= 1, SUM(Q84, T84, W84, Z84), IF('TRECHO(S) A IMPRIMIR'!$B$1= 2, T84, IF('TRECHO(S) A IMPRIMIR'!$B$1= 3, W84, 0))))</f>
        <v>0</v>
      </c>
      <c r="J84" s="606">
        <v>0.41</v>
      </c>
      <c r="K84" s="593">
        <f t="shared" si="1"/>
        <v>0.2033513845915047</v>
      </c>
      <c r="L84" s="592">
        <f t="shared" si="5"/>
        <v>0.4933740676825169</v>
      </c>
      <c r="M84" s="594">
        <f t="shared" si="6"/>
        <v>0</v>
      </c>
      <c r="O84" s="673"/>
      <c r="P84" s="361"/>
      <c r="Q84" s="441"/>
      <c r="R84" s="485"/>
      <c r="S84" s="442"/>
      <c r="T84" s="441">
        <f>T82 * V84</f>
        <v>0</v>
      </c>
      <c r="U84" s="485"/>
      <c r="V84" s="442">
        <f>IF('MLQ-DMT-TR1'!$E$15 &gt; 30, 'MLQ-DMT-TR1'!$E$15 - 30, 0)</f>
        <v>0</v>
      </c>
      <c r="W84" s="441"/>
      <c r="X84" s="485"/>
      <c r="Y84" s="442"/>
      <c r="Z84" s="441"/>
      <c r="AA84" s="485"/>
      <c r="AB84" s="442"/>
      <c r="AC84" s="672"/>
      <c r="AD84" s="441" t="s">
        <v>21</v>
      </c>
      <c r="AE84" s="674" t="s">
        <v>21</v>
      </c>
      <c r="AF84" s="674" t="s">
        <v>21</v>
      </c>
      <c r="AG84" s="674" t="s">
        <v>21</v>
      </c>
      <c r="AH84" s="442" t="s">
        <v>21</v>
      </c>
      <c r="AI84" s="442" t="str">
        <f t="shared" si="7"/>
        <v/>
      </c>
    </row>
    <row r="85" spans="1:35" x14ac:dyDescent="0.25">
      <c r="A85" s="587"/>
      <c r="B85" s="369"/>
      <c r="C85" s="588"/>
      <c r="D85" s="589"/>
      <c r="E85" s="44"/>
      <c r="F85" s="214"/>
      <c r="G85" s="587" t="s">
        <v>21</v>
      </c>
      <c r="H85" s="590" t="s">
        <v>21</v>
      </c>
      <c r="I85" s="591" t="s">
        <v>21</v>
      </c>
      <c r="J85" s="606" t="s">
        <v>21</v>
      </c>
      <c r="K85" s="593" t="s">
        <v>21</v>
      </c>
      <c r="L85" s="592" t="s">
        <v>21</v>
      </c>
      <c r="M85" s="594" t="s">
        <v>21</v>
      </c>
      <c r="O85" s="673"/>
      <c r="P85" s="361"/>
      <c r="Q85" s="441"/>
      <c r="R85" s="485"/>
      <c r="S85" s="442"/>
      <c r="T85" s="441"/>
      <c r="U85" s="485"/>
      <c r="V85" s="442"/>
      <c r="W85" s="441"/>
      <c r="X85" s="485"/>
      <c r="Y85" s="442"/>
      <c r="Z85" s="441"/>
      <c r="AA85" s="485"/>
      <c r="AB85" s="442"/>
      <c r="AC85" s="672"/>
      <c r="AD85" s="441" t="s">
        <v>21</v>
      </c>
      <c r="AE85" s="674" t="s">
        <v>21</v>
      </c>
      <c r="AF85" s="674" t="s">
        <v>21</v>
      </c>
      <c r="AG85" s="674" t="s">
        <v>21</v>
      </c>
      <c r="AH85" s="442" t="s">
        <v>21</v>
      </c>
      <c r="AI85" s="442" t="s">
        <v>21</v>
      </c>
    </row>
    <row r="86" spans="1:35" ht="36" x14ac:dyDescent="0.25">
      <c r="A86" s="587" t="s">
        <v>3542</v>
      </c>
      <c r="B86" s="369"/>
      <c r="C86" s="588"/>
      <c r="D86" s="589" t="s">
        <v>3528</v>
      </c>
      <c r="E86" s="44"/>
      <c r="F86" s="214"/>
      <c r="G86" s="587" t="s">
        <v>3542</v>
      </c>
      <c r="H86" s="590" t="s">
        <v>21</v>
      </c>
      <c r="I86" s="591" t="s">
        <v>21</v>
      </c>
      <c r="J86" s="606" t="s">
        <v>21</v>
      </c>
      <c r="K86" s="593" t="s">
        <v>21</v>
      </c>
      <c r="L86" s="592" t="s">
        <v>21</v>
      </c>
      <c r="M86" s="594">
        <v>48025.041375027271</v>
      </c>
      <c r="O86" s="673" t="s">
        <v>3541</v>
      </c>
      <c r="P86" s="361"/>
      <c r="Q86" s="441"/>
      <c r="R86" s="485"/>
      <c r="S86" s="442"/>
      <c r="T86" s="441"/>
      <c r="U86" s="485"/>
      <c r="V86" s="442"/>
      <c r="W86" s="441"/>
      <c r="X86" s="485"/>
      <c r="Y86" s="442"/>
      <c r="Z86" s="441"/>
      <c r="AA86" s="485"/>
      <c r="AB86" s="442"/>
      <c r="AC86" s="672"/>
      <c r="AD86" s="441" t="s">
        <v>21</v>
      </c>
      <c r="AE86" s="674" t="s">
        <v>21</v>
      </c>
      <c r="AF86" s="674" t="s">
        <v>21</v>
      </c>
      <c r="AG86" s="674" t="s">
        <v>21</v>
      </c>
      <c r="AH86" s="442" t="s">
        <v>21</v>
      </c>
      <c r="AI86" s="442" t="s">
        <v>21</v>
      </c>
    </row>
    <row r="87" spans="1:35" ht="24" x14ac:dyDescent="0.25">
      <c r="A87" s="587" t="s">
        <v>925</v>
      </c>
      <c r="B87" s="369" t="s">
        <v>28</v>
      </c>
      <c r="C87" s="588"/>
      <c r="D87" s="589" t="s">
        <v>3531</v>
      </c>
      <c r="E87" s="44" t="s">
        <v>27</v>
      </c>
      <c r="F87" s="214">
        <v>93358</v>
      </c>
      <c r="G87" s="587" t="s">
        <v>1293</v>
      </c>
      <c r="H87" s="590" t="s">
        <v>44</v>
      </c>
      <c r="I87" s="591">
        <v>224</v>
      </c>
      <c r="J87" s="606">
        <v>69.66</v>
      </c>
      <c r="K87" s="593">
        <v>0.2033513845915047</v>
      </c>
      <c r="L87" s="592">
        <v>83.825457450644208</v>
      </c>
      <c r="M87" s="594">
        <v>18776.902468944303</v>
      </c>
      <c r="O87" s="673" t="s">
        <v>3543</v>
      </c>
      <c r="P87" s="361"/>
      <c r="Q87" s="441"/>
      <c r="R87" s="485"/>
      <c r="S87" s="442"/>
      <c r="T87" s="441">
        <v>224</v>
      </c>
      <c r="U87" s="485">
        <v>1.0923072445820432</v>
      </c>
      <c r="V87" s="442"/>
      <c r="W87" s="441"/>
      <c r="X87" s="485"/>
      <c r="Y87" s="442"/>
      <c r="Z87" s="441"/>
      <c r="AA87" s="485"/>
      <c r="AB87" s="442"/>
      <c r="AC87" s="672"/>
      <c r="AD87" s="441">
        <v>12372.377595816015</v>
      </c>
      <c r="AE87" s="674">
        <v>6404.5248731282909</v>
      </c>
      <c r="AF87" s="674">
        <v>0</v>
      </c>
      <c r="AG87" s="674">
        <v>0</v>
      </c>
      <c r="AH87" s="442">
        <v>0</v>
      </c>
      <c r="AI87" s="442">
        <v>-3.637978807091713E-12</v>
      </c>
    </row>
    <row r="88" spans="1:35" ht="72" x14ac:dyDescent="0.25">
      <c r="A88" s="587" t="s">
        <v>1111</v>
      </c>
      <c r="B88" s="369" t="s">
        <v>28</v>
      </c>
      <c r="C88" s="588"/>
      <c r="D88" s="589" t="s">
        <v>3532</v>
      </c>
      <c r="E88" s="44" t="s">
        <v>27</v>
      </c>
      <c r="F88" s="214">
        <v>101266</v>
      </c>
      <c r="G88" s="587" t="s">
        <v>561</v>
      </c>
      <c r="H88" s="590" t="s">
        <v>44</v>
      </c>
      <c r="I88" s="591">
        <v>616</v>
      </c>
      <c r="J88" s="606">
        <v>7.84</v>
      </c>
      <c r="K88" s="593">
        <v>0.2033513845915047</v>
      </c>
      <c r="L88" s="592">
        <v>9.4342748551973958</v>
      </c>
      <c r="M88" s="594">
        <v>5811.5133108015962</v>
      </c>
      <c r="O88" s="673" t="s">
        <v>3544</v>
      </c>
      <c r="P88" s="361"/>
      <c r="Q88" s="441"/>
      <c r="R88" s="485"/>
      <c r="S88" s="442"/>
      <c r="T88" s="441">
        <v>616</v>
      </c>
      <c r="U88" s="485"/>
      <c r="V88" s="442"/>
      <c r="W88" s="441"/>
      <c r="X88" s="485"/>
      <c r="Y88" s="442"/>
      <c r="Z88" s="441"/>
      <c r="AA88" s="485"/>
      <c r="AB88" s="442"/>
      <c r="AC88" s="672"/>
      <c r="AD88" s="441">
        <v>689.37594120478116</v>
      </c>
      <c r="AE88" s="674">
        <v>2994.7083897498023</v>
      </c>
      <c r="AF88" s="674">
        <v>2127.4289798470131</v>
      </c>
      <c r="AG88" s="674">
        <v>0</v>
      </c>
      <c r="AH88" s="442">
        <v>0</v>
      </c>
      <c r="AI88" s="442">
        <v>0</v>
      </c>
    </row>
    <row r="89" spans="1:35" ht="24" x14ac:dyDescent="0.25">
      <c r="A89" s="587" t="s">
        <v>3529</v>
      </c>
      <c r="B89" s="369" t="s">
        <v>3538</v>
      </c>
      <c r="C89" s="588"/>
      <c r="D89" s="589" t="s">
        <v>3533</v>
      </c>
      <c r="E89" s="44" t="s">
        <v>27</v>
      </c>
      <c r="F89" s="214">
        <v>100206</v>
      </c>
      <c r="G89" s="587" t="s">
        <v>658</v>
      </c>
      <c r="H89" s="590" t="s">
        <v>43</v>
      </c>
      <c r="I89" s="591">
        <v>22.400000000000002</v>
      </c>
      <c r="J89" s="606">
        <v>869.47</v>
      </c>
      <c r="K89" s="593">
        <v>0.2033513845915047</v>
      </c>
      <c r="L89" s="592">
        <v>1046.2779283607756</v>
      </c>
      <c r="M89" s="594">
        <v>23436.625595281377</v>
      </c>
      <c r="O89" s="673" t="s">
        <v>3530</v>
      </c>
      <c r="P89" s="361"/>
      <c r="Q89" s="441"/>
      <c r="R89" s="485"/>
      <c r="S89" s="442"/>
      <c r="T89" s="441">
        <v>22.400000000000002</v>
      </c>
      <c r="U89" s="485"/>
      <c r="V89" s="442">
        <v>0.1</v>
      </c>
      <c r="W89" s="441"/>
      <c r="X89" s="485"/>
      <c r="Y89" s="442"/>
      <c r="Z89" s="441"/>
      <c r="AA89" s="485"/>
      <c r="AB89" s="442"/>
      <c r="AC89" s="672"/>
      <c r="AD89" s="441">
        <v>15438.786474465318</v>
      </c>
      <c r="AE89" s="674">
        <v>7997.8391208160565</v>
      </c>
      <c r="AF89" s="674">
        <v>0</v>
      </c>
      <c r="AG89" s="674">
        <v>0</v>
      </c>
      <c r="AH89" s="442">
        <v>0</v>
      </c>
      <c r="AI89" s="442">
        <v>3.637978807091713E-12</v>
      </c>
    </row>
    <row r="90" spans="1:35" x14ac:dyDescent="0.25">
      <c r="A90" s="587"/>
      <c r="B90" s="369"/>
      <c r="C90" s="588"/>
      <c r="D90" s="589"/>
      <c r="E90" s="44"/>
      <c r="F90" s="214"/>
      <c r="G90" s="587" t="s">
        <v>21</v>
      </c>
      <c r="H90" s="590" t="s">
        <v>21</v>
      </c>
      <c r="I90" s="591" t="s">
        <v>21</v>
      </c>
      <c r="J90" s="606" t="s">
        <v>21</v>
      </c>
      <c r="K90" s="593" t="s">
        <v>21</v>
      </c>
      <c r="L90" s="592" t="s">
        <v>21</v>
      </c>
      <c r="M90" s="594" t="s">
        <v>21</v>
      </c>
      <c r="O90" s="673"/>
      <c r="P90" s="361"/>
      <c r="Q90" s="441"/>
      <c r="R90" s="485"/>
      <c r="S90" s="442"/>
      <c r="T90" s="441"/>
      <c r="U90" s="485"/>
      <c r="V90" s="442"/>
      <c r="W90" s="441"/>
      <c r="X90" s="485"/>
      <c r="Y90" s="442"/>
      <c r="Z90" s="441"/>
      <c r="AA90" s="485"/>
      <c r="AB90" s="442"/>
      <c r="AC90" s="672"/>
      <c r="AD90" s="441" t="s">
        <v>21</v>
      </c>
      <c r="AE90" s="674" t="s">
        <v>21</v>
      </c>
      <c r="AF90" s="674" t="s">
        <v>21</v>
      </c>
      <c r="AG90" s="674" t="s">
        <v>21</v>
      </c>
      <c r="AH90" s="442" t="s">
        <v>21</v>
      </c>
      <c r="AI90" s="442" t="s">
        <v>21</v>
      </c>
    </row>
    <row r="91" spans="1:35" ht="24" x14ac:dyDescent="0.25">
      <c r="A91" s="587" t="s">
        <v>3520</v>
      </c>
      <c r="B91" s="369"/>
      <c r="C91" s="588"/>
      <c r="D91" s="589" t="s">
        <v>3539</v>
      </c>
      <c r="E91" s="44"/>
      <c r="F91" s="214"/>
      <c r="G91" s="587" t="s">
        <v>3520</v>
      </c>
      <c r="H91" s="590" t="s">
        <v>21</v>
      </c>
      <c r="I91" s="591" t="s">
        <v>21</v>
      </c>
      <c r="J91" s="606" t="s">
        <v>21</v>
      </c>
      <c r="K91" s="593" t="s">
        <v>21</v>
      </c>
      <c r="L91" s="592" t="s">
        <v>21</v>
      </c>
      <c r="M91" s="594">
        <v>69855.405394271642</v>
      </c>
      <c r="O91" s="673"/>
      <c r="P91" s="361"/>
      <c r="Q91" s="441"/>
      <c r="R91" s="485"/>
      <c r="S91" s="442"/>
      <c r="T91" s="441"/>
      <c r="U91" s="485"/>
      <c r="V91" s="442"/>
      <c r="W91" s="441"/>
      <c r="X91" s="485"/>
      <c r="Y91" s="442"/>
      <c r="Z91" s="441"/>
      <c r="AA91" s="485"/>
      <c r="AB91" s="442"/>
      <c r="AC91" s="672"/>
      <c r="AD91" s="441" t="s">
        <v>21</v>
      </c>
      <c r="AE91" s="674" t="s">
        <v>21</v>
      </c>
      <c r="AF91" s="674" t="s">
        <v>21</v>
      </c>
      <c r="AG91" s="674" t="s">
        <v>21</v>
      </c>
      <c r="AH91" s="442" t="s">
        <v>21</v>
      </c>
      <c r="AI91" s="442" t="s">
        <v>21</v>
      </c>
    </row>
    <row r="92" spans="1:35" x14ac:dyDescent="0.25">
      <c r="A92" s="587" t="s">
        <v>3523</v>
      </c>
      <c r="B92" s="369" t="s">
        <v>26</v>
      </c>
      <c r="C92" s="588"/>
      <c r="D92" s="589" t="s">
        <v>3540</v>
      </c>
      <c r="E92" s="44" t="s">
        <v>27</v>
      </c>
      <c r="F92" s="214">
        <v>99063</v>
      </c>
      <c r="G92" s="587" t="s">
        <v>53</v>
      </c>
      <c r="H92" s="590" t="s">
        <v>22</v>
      </c>
      <c r="I92" s="591">
        <v>45</v>
      </c>
      <c r="J92" s="606">
        <v>4.53</v>
      </c>
      <c r="K92" s="593">
        <v>0.2033513845915047</v>
      </c>
      <c r="L92" s="592">
        <v>5.4511817721995168</v>
      </c>
      <c r="M92" s="594">
        <v>245.30317974897827</v>
      </c>
      <c r="O92" s="673"/>
      <c r="P92" s="361"/>
      <c r="Q92" s="441"/>
      <c r="R92" s="485"/>
      <c r="S92" s="442"/>
      <c r="T92" s="441">
        <v>45</v>
      </c>
      <c r="U92" s="485"/>
      <c r="V92" s="442"/>
      <c r="W92" s="441"/>
      <c r="X92" s="485"/>
      <c r="Y92" s="442"/>
      <c r="Z92" s="441"/>
      <c r="AA92" s="485"/>
      <c r="AB92" s="442"/>
      <c r="AC92" s="672"/>
      <c r="AD92" s="441">
        <v>113.71670584389719</v>
      </c>
      <c r="AE92" s="674">
        <v>131.58647390508105</v>
      </c>
      <c r="AF92" s="674">
        <v>0</v>
      </c>
      <c r="AG92" s="674">
        <v>0</v>
      </c>
      <c r="AH92" s="442">
        <v>0</v>
      </c>
      <c r="AI92" s="442">
        <v>2.8421709430404007E-14</v>
      </c>
    </row>
    <row r="93" spans="1:35" ht="24" x14ac:dyDescent="0.25">
      <c r="A93" s="587" t="s">
        <v>3525</v>
      </c>
      <c r="B93" s="369" t="s">
        <v>26</v>
      </c>
      <c r="C93" s="588"/>
      <c r="D93" s="589" t="s">
        <v>3546</v>
      </c>
      <c r="E93" s="44" t="s">
        <v>138</v>
      </c>
      <c r="F93" s="214" t="s">
        <v>2350</v>
      </c>
      <c r="G93" s="587" t="s">
        <v>2365</v>
      </c>
      <c r="H93" s="590" t="s">
        <v>22</v>
      </c>
      <c r="I93" s="591">
        <v>45</v>
      </c>
      <c r="J93" s="606">
        <v>1132.6864999999998</v>
      </c>
      <c r="K93" s="593">
        <v>0.11096635744680849</v>
      </c>
      <c r="L93" s="592">
        <v>1258.3765950341742</v>
      </c>
      <c r="M93" s="594">
        <v>56626.946776537843</v>
      </c>
      <c r="O93" s="673"/>
      <c r="P93" s="361"/>
      <c r="Q93" s="441"/>
      <c r="R93" s="485"/>
      <c r="S93" s="442"/>
      <c r="T93" s="441">
        <v>45</v>
      </c>
      <c r="U93" s="485">
        <v>2.1800000000000002</v>
      </c>
      <c r="V93" s="442"/>
      <c r="W93" s="441"/>
      <c r="X93" s="485"/>
      <c r="Y93" s="442"/>
      <c r="Z93" s="441"/>
      <c r="AA93" s="485"/>
      <c r="AB93" s="442"/>
      <c r="AC93" s="672"/>
      <c r="AD93" s="441">
        <v>0</v>
      </c>
      <c r="AE93" s="674">
        <v>56626.946776537836</v>
      </c>
      <c r="AF93" s="674">
        <v>0</v>
      </c>
      <c r="AG93" s="674">
        <v>0</v>
      </c>
      <c r="AH93" s="442">
        <v>0</v>
      </c>
      <c r="AI93" s="442">
        <v>7.2759576141834259E-12</v>
      </c>
    </row>
    <row r="94" spans="1:35" ht="36" x14ac:dyDescent="0.25">
      <c r="A94" s="587" t="s">
        <v>3526</v>
      </c>
      <c r="B94" s="369" t="s">
        <v>23</v>
      </c>
      <c r="C94" s="588"/>
      <c r="D94" s="589" t="s">
        <v>3547</v>
      </c>
      <c r="E94" s="44" t="s">
        <v>27</v>
      </c>
      <c r="F94" s="214">
        <v>101468</v>
      </c>
      <c r="G94" s="587" t="s">
        <v>777</v>
      </c>
      <c r="H94" s="590" t="s">
        <v>55</v>
      </c>
      <c r="I94" s="591">
        <v>98.100000000000009</v>
      </c>
      <c r="J94" s="606">
        <v>11.05</v>
      </c>
      <c r="K94" s="593">
        <v>0.2033513845915047</v>
      </c>
      <c r="L94" s="592">
        <v>13.297032799736128</v>
      </c>
      <c r="M94" s="594">
        <v>1304.4389176541142</v>
      </c>
      <c r="O94" s="673"/>
      <c r="P94" s="361"/>
      <c r="Q94" s="441"/>
      <c r="R94" s="485"/>
      <c r="S94" s="442"/>
      <c r="T94" s="441">
        <v>98.100000000000009</v>
      </c>
      <c r="U94" s="485"/>
      <c r="V94" s="442"/>
      <c r="W94" s="441"/>
      <c r="X94" s="485"/>
      <c r="Y94" s="442"/>
      <c r="Z94" s="441"/>
      <c r="AA94" s="485"/>
      <c r="AB94" s="442"/>
      <c r="AC94" s="672"/>
      <c r="AD94" s="441">
        <v>278.59509915508681</v>
      </c>
      <c r="AE94" s="674">
        <v>776.76091205104717</v>
      </c>
      <c r="AF94" s="674">
        <v>249.08290644798018</v>
      </c>
      <c r="AG94" s="674">
        <v>0</v>
      </c>
      <c r="AH94" s="442">
        <v>0</v>
      </c>
      <c r="AI94" s="442">
        <v>0</v>
      </c>
    </row>
    <row r="95" spans="1:35" ht="48" x14ac:dyDescent="0.25">
      <c r="A95" s="587" t="s">
        <v>3527</v>
      </c>
      <c r="B95" s="369" t="s">
        <v>25</v>
      </c>
      <c r="C95" s="588"/>
      <c r="D95" s="589" t="s">
        <v>3548</v>
      </c>
      <c r="E95" s="44" t="s">
        <v>27</v>
      </c>
      <c r="F95" s="214">
        <v>100952</v>
      </c>
      <c r="G95" s="587" t="s">
        <v>797</v>
      </c>
      <c r="H95" s="590" t="s">
        <v>42</v>
      </c>
      <c r="I95" s="591">
        <v>784.80000000000007</v>
      </c>
      <c r="J95" s="606">
        <v>1.81</v>
      </c>
      <c r="K95" s="593">
        <v>0.2033513845915047</v>
      </c>
      <c r="L95" s="592">
        <v>2.1780660061106234</v>
      </c>
      <c r="M95" s="594">
        <v>1709.3462015956175</v>
      </c>
      <c r="O95" s="673"/>
      <c r="P95" s="361"/>
      <c r="Q95" s="441"/>
      <c r="R95" s="485"/>
      <c r="S95" s="442"/>
      <c r="T95" s="441">
        <v>784.80000000000007</v>
      </c>
      <c r="U95" s="485"/>
      <c r="V95" s="442">
        <v>8</v>
      </c>
      <c r="W95" s="441"/>
      <c r="X95" s="485"/>
      <c r="Y95" s="442"/>
      <c r="Z95" s="441"/>
      <c r="AA95" s="485"/>
      <c r="AB95" s="442"/>
      <c r="AC95" s="672"/>
      <c r="AD95" s="441">
        <v>160.54632832666022</v>
      </c>
      <c r="AE95" s="674">
        <v>1171.043806617992</v>
      </c>
      <c r="AF95" s="674">
        <v>377.75606665096524</v>
      </c>
      <c r="AG95" s="674">
        <v>0</v>
      </c>
      <c r="AH95" s="442">
        <v>0</v>
      </c>
      <c r="AI95" s="442">
        <v>0</v>
      </c>
    </row>
    <row r="96" spans="1:35" ht="48" hidden="1" x14ac:dyDescent="0.25">
      <c r="A96" s="587" t="s">
        <v>1851</v>
      </c>
      <c r="B96" s="369" t="s">
        <v>25</v>
      </c>
      <c r="C96" s="588"/>
      <c r="D96" s="589" t="s">
        <v>3549</v>
      </c>
      <c r="E96" s="44" t="s">
        <v>27</v>
      </c>
      <c r="F96" s="214">
        <v>100953</v>
      </c>
      <c r="G96" s="587" t="s">
        <v>796</v>
      </c>
      <c r="H96" s="590" t="s">
        <v>42</v>
      </c>
      <c r="I96" s="591">
        <f>IF($F96="","",IF('TRECHO(S) A IMPRIMIR'!$B$1= 1, SUM(Q96, T96, W96, Z96), IF('TRECHO(S) A IMPRIMIR'!$B$1= 2, T96, IF('TRECHO(S) A IMPRIMIR'!$B$1= 3, W96, 0))))</f>
        <v>0</v>
      </c>
      <c r="J96" s="606">
        <v>0.71</v>
      </c>
      <c r="K96" s="593">
        <f t="shared" si="1"/>
        <v>0.2033513845915047</v>
      </c>
      <c r="L96" s="592">
        <f t="shared" ref="L91:L111" si="8">IF(J96="","",
  IF(AND(J96&lt;&gt;"",K96=""),J96,J96 * (1 + K96)))</f>
        <v>0.85437948305996825</v>
      </c>
      <c r="M96" s="594">
        <f t="shared" ref="M92:M111" si="9">IF(OR(I96="",L96=""),"",I96*L96)</f>
        <v>0</v>
      </c>
      <c r="O96" s="673"/>
      <c r="P96" s="361"/>
      <c r="Q96" s="441"/>
      <c r="R96" s="485"/>
      <c r="S96" s="442"/>
      <c r="T96" s="441">
        <f>SUM(T94) * V96</f>
        <v>0</v>
      </c>
      <c r="U96" s="485"/>
      <c r="V96" s="442">
        <f>IF('MLQ-DMT-TR1'!$E$11&gt; 30, 'MLQ-DMT-TR1'!$E$11 - 30, 0)</f>
        <v>0</v>
      </c>
      <c r="W96" s="441"/>
      <c r="X96" s="485"/>
      <c r="Y96" s="442"/>
      <c r="Z96" s="441"/>
      <c r="AA96" s="485"/>
      <c r="AB96" s="442"/>
      <c r="AC96" s="672"/>
      <c r="AD96" s="441" t="s">
        <v>21</v>
      </c>
      <c r="AE96" s="674" t="s">
        <v>21</v>
      </c>
      <c r="AF96" s="674" t="s">
        <v>21</v>
      </c>
      <c r="AG96" s="674" t="s">
        <v>21</v>
      </c>
      <c r="AH96" s="442" t="s">
        <v>21</v>
      </c>
      <c r="AI96" s="442" t="str">
        <f t="shared" ref="AI91:AI111" si="10">IF(SUM(AD96:AH96)=0,"",M96 - SUM(AD96:AH96))</f>
        <v/>
      </c>
    </row>
    <row r="97" spans="1:35" ht="48" x14ac:dyDescent="0.25">
      <c r="A97" s="587" t="s">
        <v>1976</v>
      </c>
      <c r="B97" s="369" t="s">
        <v>25</v>
      </c>
      <c r="C97" s="588"/>
      <c r="D97" s="589" t="s">
        <v>3737</v>
      </c>
      <c r="E97" s="44" t="s">
        <v>27</v>
      </c>
      <c r="F97" s="214">
        <v>100954</v>
      </c>
      <c r="G97" s="587" t="s">
        <v>794</v>
      </c>
      <c r="H97" s="590" t="s">
        <v>42</v>
      </c>
      <c r="I97" s="591">
        <v>98.100000000000009</v>
      </c>
      <c r="J97" s="606">
        <v>5.41</v>
      </c>
      <c r="K97" s="593">
        <v>0.2033513845915047</v>
      </c>
      <c r="L97" s="592">
        <v>6.5101309906400404</v>
      </c>
      <c r="M97" s="594">
        <v>638.64385018178803</v>
      </c>
      <c r="O97" s="673"/>
      <c r="P97" s="361"/>
      <c r="Q97" s="441"/>
      <c r="R97" s="485"/>
      <c r="S97" s="442"/>
      <c r="T97" s="441">
        <v>98.100000000000009</v>
      </c>
      <c r="U97" s="485"/>
      <c r="V97" s="442">
        <v>1</v>
      </c>
      <c r="W97" s="441"/>
      <c r="X97" s="485"/>
      <c r="Y97" s="442"/>
      <c r="Z97" s="441"/>
      <c r="AA97" s="485"/>
      <c r="AB97" s="442"/>
      <c r="AC97" s="672"/>
      <c r="AD97" s="441">
        <v>61.385360830781849</v>
      </c>
      <c r="AE97" s="674">
        <v>424.97557498233584</v>
      </c>
      <c r="AF97" s="674">
        <v>152.28291436867036</v>
      </c>
      <c r="AG97" s="674">
        <v>0</v>
      </c>
      <c r="AH97" s="442">
        <v>0</v>
      </c>
      <c r="AI97" s="442">
        <v>0</v>
      </c>
    </row>
    <row r="98" spans="1:35" ht="60" x14ac:dyDescent="0.25">
      <c r="A98" s="587" t="s">
        <v>3524</v>
      </c>
      <c r="B98" s="369" t="s">
        <v>26</v>
      </c>
      <c r="C98" s="588"/>
      <c r="D98" s="589" t="s">
        <v>3738</v>
      </c>
      <c r="E98" s="44" t="s">
        <v>27</v>
      </c>
      <c r="F98" s="214">
        <v>92819</v>
      </c>
      <c r="G98" s="587" t="s">
        <v>518</v>
      </c>
      <c r="H98" s="590" t="s">
        <v>22</v>
      </c>
      <c r="I98" s="591">
        <v>45</v>
      </c>
      <c r="J98" s="606">
        <v>172.31</v>
      </c>
      <c r="K98" s="593">
        <v>0.2033513845915047</v>
      </c>
      <c r="L98" s="592">
        <v>207.34947707896217</v>
      </c>
      <c r="M98" s="594">
        <v>9330.7264685532973</v>
      </c>
      <c r="O98" s="673"/>
      <c r="P98" s="361"/>
      <c r="Q98" s="441"/>
      <c r="R98" s="485"/>
      <c r="S98" s="442"/>
      <c r="T98" s="441">
        <v>45</v>
      </c>
      <c r="U98" s="485"/>
      <c r="V98" s="442"/>
      <c r="W98" s="441"/>
      <c r="X98" s="485"/>
      <c r="Y98" s="442"/>
      <c r="Z98" s="441"/>
      <c r="AA98" s="485"/>
      <c r="AB98" s="442"/>
      <c r="AC98" s="672"/>
      <c r="AD98" s="441">
        <v>3721.2438217107692</v>
      </c>
      <c r="AE98" s="674">
        <v>3264.2109658429154</v>
      </c>
      <c r="AF98" s="674">
        <v>2345.2716809996132</v>
      </c>
      <c r="AG98" s="674">
        <v>0</v>
      </c>
      <c r="AH98" s="442">
        <v>0</v>
      </c>
      <c r="AI98" s="442">
        <v>0</v>
      </c>
    </row>
    <row r="99" spans="1:35" x14ac:dyDescent="0.25">
      <c r="A99" s="587"/>
      <c r="B99" s="369"/>
      <c r="C99" s="588"/>
      <c r="D99" s="589"/>
      <c r="E99" s="44"/>
      <c r="F99" s="214"/>
      <c r="G99" s="587" t="s">
        <v>21</v>
      </c>
      <c r="H99" s="590" t="s">
        <v>21</v>
      </c>
      <c r="I99" s="591" t="s">
        <v>21</v>
      </c>
      <c r="J99" s="606" t="s">
        <v>21</v>
      </c>
      <c r="K99" s="593" t="s">
        <v>21</v>
      </c>
      <c r="L99" s="592" t="s">
        <v>21</v>
      </c>
      <c r="M99" s="594" t="s">
        <v>21</v>
      </c>
      <c r="O99" s="673"/>
      <c r="P99" s="361"/>
      <c r="Q99" s="441"/>
      <c r="R99" s="485"/>
      <c r="S99" s="442"/>
      <c r="T99" s="441"/>
      <c r="U99" s="485"/>
      <c r="V99" s="442"/>
      <c r="W99" s="441"/>
      <c r="X99" s="485"/>
      <c r="Y99" s="442"/>
      <c r="Z99" s="441"/>
      <c r="AA99" s="485"/>
      <c r="AB99" s="442"/>
      <c r="AC99" s="672"/>
      <c r="AD99" s="441" t="s">
        <v>21</v>
      </c>
      <c r="AE99" s="674" t="s">
        <v>21</v>
      </c>
      <c r="AF99" s="674" t="s">
        <v>21</v>
      </c>
      <c r="AG99" s="674" t="s">
        <v>21</v>
      </c>
      <c r="AH99" s="442" t="s">
        <v>21</v>
      </c>
      <c r="AI99" s="442" t="s">
        <v>21</v>
      </c>
    </row>
    <row r="100" spans="1:35" ht="48" x14ac:dyDescent="0.25">
      <c r="A100" s="1708" t="s">
        <v>3764</v>
      </c>
      <c r="B100" s="369"/>
      <c r="C100" s="588"/>
      <c r="D100" s="589" t="s">
        <v>3551</v>
      </c>
      <c r="E100" s="44"/>
      <c r="F100" s="214"/>
      <c r="G100" s="587" t="s">
        <v>3764</v>
      </c>
      <c r="H100" s="590" t="s">
        <v>21</v>
      </c>
      <c r="I100" s="591" t="s">
        <v>21</v>
      </c>
      <c r="J100" s="606" t="s">
        <v>21</v>
      </c>
      <c r="K100" s="593" t="s">
        <v>21</v>
      </c>
      <c r="L100" s="592" t="s">
        <v>21</v>
      </c>
      <c r="M100" s="594">
        <v>473442.63248930522</v>
      </c>
      <c r="O100" s="673"/>
      <c r="P100" s="361"/>
      <c r="Q100" s="441"/>
      <c r="R100" s="485"/>
      <c r="S100" s="442"/>
      <c r="T100" s="441"/>
      <c r="U100" s="485"/>
      <c r="V100" s="442"/>
      <c r="W100" s="441"/>
      <c r="X100" s="485"/>
      <c r="Y100" s="442"/>
      <c r="Z100" s="441"/>
      <c r="AA100" s="485"/>
      <c r="AB100" s="442"/>
      <c r="AC100" s="672"/>
      <c r="AD100" s="441" t="s">
        <v>21</v>
      </c>
      <c r="AE100" s="674" t="s">
        <v>21</v>
      </c>
      <c r="AF100" s="674" t="s">
        <v>21</v>
      </c>
      <c r="AG100" s="674" t="s">
        <v>21</v>
      </c>
      <c r="AH100" s="442" t="s">
        <v>21</v>
      </c>
      <c r="AI100" s="442" t="s">
        <v>21</v>
      </c>
    </row>
    <row r="101" spans="1:35" x14ac:dyDescent="0.25">
      <c r="A101" s="587" t="s">
        <v>2731</v>
      </c>
      <c r="B101" s="369" t="s">
        <v>20</v>
      </c>
      <c r="C101" s="588"/>
      <c r="D101" s="589" t="s">
        <v>3552</v>
      </c>
      <c r="E101" s="44" t="s">
        <v>27</v>
      </c>
      <c r="F101" s="214" t="s">
        <v>568</v>
      </c>
      <c r="G101" s="587" t="s">
        <v>74</v>
      </c>
      <c r="H101" s="590" t="s">
        <v>51</v>
      </c>
      <c r="I101" s="591">
        <v>200.45</v>
      </c>
      <c r="J101" s="606">
        <v>6.44</v>
      </c>
      <c r="K101" s="593">
        <v>0.2033513845915047</v>
      </c>
      <c r="L101" s="592">
        <v>7.7495829167692909</v>
      </c>
      <c r="M101" s="594">
        <v>1553.4038956664042</v>
      </c>
      <c r="O101" s="673"/>
      <c r="P101" s="361"/>
      <c r="Q101" s="441"/>
      <c r="R101" s="485"/>
      <c r="S101" s="442"/>
      <c r="T101" s="441">
        <v>200.45</v>
      </c>
      <c r="U101" s="485"/>
      <c r="V101" s="442"/>
      <c r="W101" s="441"/>
      <c r="X101" s="485"/>
      <c r="Y101" s="442"/>
      <c r="Z101" s="441"/>
      <c r="AA101" s="485"/>
      <c r="AB101" s="442"/>
      <c r="AC101" s="672"/>
      <c r="AD101" s="441">
        <v>53.06659270910076</v>
      </c>
      <c r="AE101" s="674">
        <v>1500.3373029573033</v>
      </c>
      <c r="AF101" s="674">
        <v>0</v>
      </c>
      <c r="AG101" s="674">
        <v>0</v>
      </c>
      <c r="AH101" s="442">
        <v>0</v>
      </c>
      <c r="AI101" s="442">
        <v>0</v>
      </c>
    </row>
    <row r="102" spans="1:35" ht="36" x14ac:dyDescent="0.25">
      <c r="A102" s="587" t="s">
        <v>3534</v>
      </c>
      <c r="B102" s="369" t="s">
        <v>25</v>
      </c>
      <c r="C102" s="588"/>
      <c r="D102" s="589" t="s">
        <v>3739</v>
      </c>
      <c r="E102" s="44" t="s">
        <v>27</v>
      </c>
      <c r="F102" s="214">
        <v>95879</v>
      </c>
      <c r="G102" s="587" t="s">
        <v>789</v>
      </c>
      <c r="H102" s="590" t="s">
        <v>42</v>
      </c>
      <c r="I102" s="591">
        <v>24412.41</v>
      </c>
      <c r="J102" s="606">
        <v>1.04</v>
      </c>
      <c r="K102" s="593">
        <v>0.2033513845915047</v>
      </c>
      <c r="L102" s="592">
        <v>1.2514854399751649</v>
      </c>
      <c r="M102" s="594">
        <v>30551.775669704115</v>
      </c>
      <c r="O102" s="673"/>
      <c r="P102" s="361"/>
      <c r="Q102" s="441"/>
      <c r="R102" s="485"/>
      <c r="S102" s="442"/>
      <c r="T102" s="441">
        <v>24412.41</v>
      </c>
      <c r="U102" s="485"/>
      <c r="V102" s="442">
        <v>30</v>
      </c>
      <c r="W102" s="441"/>
      <c r="X102" s="485"/>
      <c r="Y102" s="442"/>
      <c r="Z102" s="441"/>
      <c r="AA102" s="485"/>
      <c r="AB102" s="442"/>
      <c r="AC102" s="672"/>
      <c r="AD102" s="441">
        <v>2056.3695162300851</v>
      </c>
      <c r="AE102" s="674">
        <v>17626.024424829298</v>
      </c>
      <c r="AF102" s="674">
        <v>10869.381728644732</v>
      </c>
      <c r="AG102" s="674">
        <v>0</v>
      </c>
      <c r="AH102" s="442">
        <v>0</v>
      </c>
      <c r="AI102" s="442">
        <v>-3.637978807091713E-12</v>
      </c>
    </row>
    <row r="103" spans="1:35" ht="36" x14ac:dyDescent="0.25">
      <c r="A103" s="587" t="s">
        <v>3535</v>
      </c>
      <c r="B103" s="369" t="s">
        <v>25</v>
      </c>
      <c r="C103" s="588"/>
      <c r="D103" s="589" t="s">
        <v>3740</v>
      </c>
      <c r="E103" s="44" t="s">
        <v>27</v>
      </c>
      <c r="F103" s="214">
        <v>93599</v>
      </c>
      <c r="G103" s="587" t="s">
        <v>788</v>
      </c>
      <c r="H103" s="590" t="s">
        <v>42</v>
      </c>
      <c r="I103" s="591">
        <v>21971.168999999998</v>
      </c>
      <c r="J103" s="606">
        <v>0.41</v>
      </c>
      <c r="K103" s="593">
        <v>0.2033513845915047</v>
      </c>
      <c r="L103" s="592">
        <v>0.4933740676825169</v>
      </c>
      <c r="M103" s="594">
        <v>10840.005021270017</v>
      </c>
      <c r="O103" s="673"/>
      <c r="P103" s="361"/>
      <c r="Q103" s="441"/>
      <c r="R103" s="485"/>
      <c r="S103" s="442"/>
      <c r="T103" s="441">
        <v>21971.168999999998</v>
      </c>
      <c r="U103" s="485"/>
      <c r="V103" s="442">
        <v>27</v>
      </c>
      <c r="W103" s="441"/>
      <c r="X103" s="485"/>
      <c r="Y103" s="442"/>
      <c r="Z103" s="441"/>
      <c r="AA103" s="485"/>
      <c r="AB103" s="442"/>
      <c r="AC103" s="672"/>
      <c r="AD103" s="441">
        <v>528.78073274487883</v>
      </c>
      <c r="AE103" s="674">
        <v>6609.7591593109855</v>
      </c>
      <c r="AF103" s="674">
        <v>3701.4651292141521</v>
      </c>
      <c r="AG103" s="674">
        <v>0</v>
      </c>
      <c r="AH103" s="442">
        <v>0</v>
      </c>
      <c r="AI103" s="442">
        <v>0</v>
      </c>
    </row>
    <row r="104" spans="1:35" ht="36" x14ac:dyDescent="0.25">
      <c r="A104" s="587" t="s">
        <v>3536</v>
      </c>
      <c r="B104" s="369" t="s">
        <v>25</v>
      </c>
      <c r="C104" s="588"/>
      <c r="D104" s="589" t="s">
        <v>3741</v>
      </c>
      <c r="E104" s="44" t="s">
        <v>27</v>
      </c>
      <c r="F104" s="214">
        <v>100943</v>
      </c>
      <c r="G104" s="587" t="s">
        <v>786</v>
      </c>
      <c r="H104" s="590" t="s">
        <v>42</v>
      </c>
      <c r="I104" s="591">
        <v>813.74699999999996</v>
      </c>
      <c r="J104" s="606">
        <v>3.1</v>
      </c>
      <c r="K104" s="593">
        <v>0.2033513845915047</v>
      </c>
      <c r="L104" s="592">
        <v>3.7303892922336646</v>
      </c>
      <c r="M104" s="594">
        <v>3035.5930953872676</v>
      </c>
      <c r="O104" s="673"/>
      <c r="P104" s="361"/>
      <c r="Q104" s="441"/>
      <c r="R104" s="485"/>
      <c r="S104" s="442"/>
      <c r="T104" s="441">
        <v>813.74699999999996</v>
      </c>
      <c r="U104" s="485"/>
      <c r="V104" s="442">
        <v>1</v>
      </c>
      <c r="W104" s="441"/>
      <c r="X104" s="485"/>
      <c r="Y104" s="442"/>
      <c r="Z104" s="441"/>
      <c r="AA104" s="485"/>
      <c r="AB104" s="442"/>
      <c r="AC104" s="672"/>
      <c r="AD104" s="441">
        <v>215.4291874145803</v>
      </c>
      <c r="AE104" s="674">
        <v>1694.0567919419266</v>
      </c>
      <c r="AF104" s="674">
        <v>1126.1071160307604</v>
      </c>
      <c r="AG104" s="674">
        <v>0</v>
      </c>
      <c r="AH104" s="442">
        <v>0</v>
      </c>
      <c r="AI104" s="442">
        <v>0</v>
      </c>
    </row>
    <row r="105" spans="1:35" ht="60" x14ac:dyDescent="0.25">
      <c r="A105" s="587" t="s">
        <v>1874</v>
      </c>
      <c r="B105" s="369" t="s">
        <v>28</v>
      </c>
      <c r="C105" s="588"/>
      <c r="D105" s="589" t="s">
        <v>3742</v>
      </c>
      <c r="E105" s="44" t="s">
        <v>27</v>
      </c>
      <c r="F105" s="214">
        <v>92746</v>
      </c>
      <c r="G105" s="587" t="s">
        <v>610</v>
      </c>
      <c r="H105" s="590" t="s">
        <v>44</v>
      </c>
      <c r="I105" s="591">
        <v>493.18</v>
      </c>
      <c r="J105" s="606">
        <v>653.84</v>
      </c>
      <c r="K105" s="593">
        <v>0.2033513845915047</v>
      </c>
      <c r="L105" s="592">
        <v>786.79926930130944</v>
      </c>
      <c r="M105" s="594">
        <v>388033.66363401979</v>
      </c>
      <c r="O105" s="673"/>
      <c r="P105" s="361"/>
      <c r="Q105" s="441"/>
      <c r="R105" s="485"/>
      <c r="S105" s="442"/>
      <c r="T105" s="441">
        <v>493.18</v>
      </c>
      <c r="U105" s="485">
        <v>1.65</v>
      </c>
      <c r="V105" s="442"/>
      <c r="W105" s="441"/>
      <c r="X105" s="485"/>
      <c r="Y105" s="442"/>
      <c r="Z105" s="441"/>
      <c r="AA105" s="485"/>
      <c r="AB105" s="442"/>
      <c r="AC105" s="672"/>
      <c r="AD105" s="441">
        <v>36860.349394819787</v>
      </c>
      <c r="AE105" s="674">
        <v>336609.5890073714</v>
      </c>
      <c r="AF105" s="674">
        <v>14563.72523182865</v>
      </c>
      <c r="AG105" s="674">
        <v>0</v>
      </c>
      <c r="AH105" s="442">
        <v>0</v>
      </c>
      <c r="AI105" s="442">
        <v>0</v>
      </c>
    </row>
    <row r="106" spans="1:35" ht="24" x14ac:dyDescent="0.25">
      <c r="A106" s="587" t="s">
        <v>3537</v>
      </c>
      <c r="B106" s="369" t="s">
        <v>3538</v>
      </c>
      <c r="C106" s="588"/>
      <c r="D106" s="589" t="s">
        <v>3743</v>
      </c>
      <c r="E106" s="44" t="s">
        <v>27</v>
      </c>
      <c r="F106" s="214">
        <v>100206</v>
      </c>
      <c r="G106" s="587" t="s">
        <v>658</v>
      </c>
      <c r="H106" s="590" t="s">
        <v>43</v>
      </c>
      <c r="I106" s="591">
        <v>15.216999999999999</v>
      </c>
      <c r="J106" s="606">
        <v>869.47</v>
      </c>
      <c r="K106" s="593">
        <v>0.2033513845915047</v>
      </c>
      <c r="L106" s="592">
        <v>1046.2779283607756</v>
      </c>
      <c r="M106" s="594">
        <v>15921.211235865921</v>
      </c>
      <c r="O106" s="673" t="s">
        <v>3530</v>
      </c>
      <c r="P106" s="361"/>
      <c r="Q106" s="441"/>
      <c r="R106" s="485"/>
      <c r="S106" s="442"/>
      <c r="T106" s="441">
        <v>15.216999999999999</v>
      </c>
      <c r="U106" s="485"/>
      <c r="V106" s="442">
        <v>0.1</v>
      </c>
      <c r="W106" s="441"/>
      <c r="X106" s="485"/>
      <c r="Y106" s="442"/>
      <c r="Z106" s="441"/>
      <c r="AA106" s="485"/>
      <c r="AB106" s="442"/>
      <c r="AC106" s="672"/>
      <c r="AD106" s="441">
        <v>10488.036329550834</v>
      </c>
      <c r="AE106" s="674">
        <v>5433.1749063150846</v>
      </c>
      <c r="AF106" s="674">
        <v>0</v>
      </c>
      <c r="AG106" s="674">
        <v>0</v>
      </c>
      <c r="AH106" s="442">
        <v>0</v>
      </c>
      <c r="AI106" s="442">
        <v>3.637978807091713E-12</v>
      </c>
    </row>
    <row r="107" spans="1:35" ht="24" x14ac:dyDescent="0.25">
      <c r="A107" s="587" t="s">
        <v>1866</v>
      </c>
      <c r="B107" s="369" t="s">
        <v>28</v>
      </c>
      <c r="C107" s="588"/>
      <c r="D107" s="589" t="s">
        <v>3744</v>
      </c>
      <c r="E107" s="44" t="s">
        <v>27</v>
      </c>
      <c r="F107" s="214">
        <v>93382</v>
      </c>
      <c r="G107" s="587" t="s">
        <v>40</v>
      </c>
      <c r="H107" s="590" t="s">
        <v>44</v>
      </c>
      <c r="I107" s="591">
        <v>152.16999999999999</v>
      </c>
      <c r="J107" s="606">
        <v>25.09</v>
      </c>
      <c r="K107" s="593">
        <v>0.2033513845915047</v>
      </c>
      <c r="L107" s="592">
        <v>30.192086239400854</v>
      </c>
      <c r="M107" s="594">
        <v>4594.3297630496272</v>
      </c>
      <c r="O107" s="673"/>
      <c r="P107" s="361"/>
      <c r="Q107" s="441"/>
      <c r="R107" s="485"/>
      <c r="S107" s="442"/>
      <c r="T107" s="441">
        <v>152.16999999999999</v>
      </c>
      <c r="U107" s="485"/>
      <c r="V107" s="442"/>
      <c r="W107" s="441"/>
      <c r="X107" s="485"/>
      <c r="Y107" s="442"/>
      <c r="Z107" s="441"/>
      <c r="AA107" s="485"/>
      <c r="AB107" s="442"/>
      <c r="AC107" s="672"/>
      <c r="AD107" s="441">
        <v>2739.3851436916075</v>
      </c>
      <c r="AE107" s="674">
        <v>1682.8174779763281</v>
      </c>
      <c r="AF107" s="674">
        <v>172.1271413816919</v>
      </c>
      <c r="AG107" s="674">
        <v>0</v>
      </c>
      <c r="AH107" s="442">
        <v>0</v>
      </c>
      <c r="AI107" s="442">
        <v>0</v>
      </c>
    </row>
    <row r="108" spans="1:35" ht="48" x14ac:dyDescent="0.25">
      <c r="A108" s="587" t="s">
        <v>3545</v>
      </c>
      <c r="B108" s="369" t="s">
        <v>28</v>
      </c>
      <c r="C108" s="588"/>
      <c r="D108" s="589" t="s">
        <v>3745</v>
      </c>
      <c r="E108" s="44" t="s">
        <v>27</v>
      </c>
      <c r="F108" s="214">
        <v>100994</v>
      </c>
      <c r="G108" s="587" t="s">
        <v>772</v>
      </c>
      <c r="H108" s="590" t="s">
        <v>55</v>
      </c>
      <c r="I108" s="591">
        <v>751.32169204086676</v>
      </c>
      <c r="J108" s="606">
        <v>3.1</v>
      </c>
      <c r="K108" s="593">
        <v>0.2033513845915047</v>
      </c>
      <c r="L108" s="592">
        <v>3.7303892922336646</v>
      </c>
      <c r="M108" s="594">
        <v>2802.7223950121283</v>
      </c>
      <c r="O108" s="673"/>
      <c r="P108" s="361"/>
      <c r="Q108" s="441"/>
      <c r="R108" s="485"/>
      <c r="S108" s="442"/>
      <c r="T108" s="441">
        <v>751.32169204086676</v>
      </c>
      <c r="U108" s="485">
        <v>1.0923072445820432</v>
      </c>
      <c r="V108" s="442"/>
      <c r="W108" s="441"/>
      <c r="X108" s="485"/>
      <c r="Y108" s="442"/>
      <c r="Z108" s="441"/>
      <c r="AA108" s="485"/>
      <c r="AB108" s="442"/>
      <c r="AC108" s="672"/>
      <c r="AD108" s="441">
        <v>361.64159935640367</v>
      </c>
      <c r="AE108" s="674">
        <v>1319.9918376508731</v>
      </c>
      <c r="AF108" s="674">
        <v>1121.0889580048513</v>
      </c>
      <c r="AG108" s="674">
        <v>0</v>
      </c>
      <c r="AH108" s="442">
        <v>0</v>
      </c>
      <c r="AI108" s="442">
        <v>4.5474735088646412E-13</v>
      </c>
    </row>
    <row r="109" spans="1:35" ht="36" x14ac:dyDescent="0.25">
      <c r="A109" s="587" t="s">
        <v>1851</v>
      </c>
      <c r="B109" s="369" t="s">
        <v>25</v>
      </c>
      <c r="C109" s="588"/>
      <c r="D109" s="589" t="s">
        <v>3746</v>
      </c>
      <c r="E109" s="44" t="s">
        <v>27</v>
      </c>
      <c r="F109" s="214">
        <v>95879</v>
      </c>
      <c r="G109" s="587" t="s">
        <v>789</v>
      </c>
      <c r="H109" s="590" t="s">
        <v>42</v>
      </c>
      <c r="I109" s="591">
        <v>12872.644990300183</v>
      </c>
      <c r="J109" s="606">
        <v>1.04</v>
      </c>
      <c r="K109" s="593">
        <v>0.2033513845915047</v>
      </c>
      <c r="L109" s="592">
        <v>1.2514854399751649</v>
      </c>
      <c r="M109" s="594">
        <v>16109.927779329928</v>
      </c>
      <c r="O109" s="673"/>
      <c r="P109" s="361"/>
      <c r="Q109" s="441"/>
      <c r="R109" s="485"/>
      <c r="S109" s="442"/>
      <c r="T109" s="441">
        <v>12872.644990300183</v>
      </c>
      <c r="U109" s="485"/>
      <c r="V109" s="584">
        <v>17.133333333333333</v>
      </c>
      <c r="W109" s="441"/>
      <c r="X109" s="485"/>
      <c r="Y109" s="442"/>
      <c r="Z109" s="441"/>
      <c r="AA109" s="485"/>
      <c r="AB109" s="442"/>
      <c r="AC109" s="672"/>
      <c r="AD109" s="441">
        <v>1084.3220620702837</v>
      </c>
      <c r="AE109" s="674">
        <v>9294.1891034595719</v>
      </c>
      <c r="AF109" s="674">
        <v>5731.4166138000701</v>
      </c>
      <c r="AG109" s="674">
        <v>0</v>
      </c>
      <c r="AH109" s="442">
        <v>0</v>
      </c>
      <c r="AI109" s="442">
        <v>1.8189894035458565E-12</v>
      </c>
    </row>
    <row r="110" spans="1:35" ht="36" hidden="1" x14ac:dyDescent="0.25">
      <c r="A110" s="587" t="s">
        <v>1976</v>
      </c>
      <c r="B110" s="369" t="s">
        <v>25</v>
      </c>
      <c r="C110" s="588"/>
      <c r="D110" s="589" t="s">
        <v>3747</v>
      </c>
      <c r="E110" s="44" t="s">
        <v>27</v>
      </c>
      <c r="F110" s="214">
        <v>93599</v>
      </c>
      <c r="G110" s="587" t="s">
        <v>788</v>
      </c>
      <c r="H110" s="590" t="s">
        <v>42</v>
      </c>
      <c r="I110" s="591">
        <f>IF($F110="","",IF('TRECHO(S) A IMPRIMIR'!$B$1= 1, SUM(Q110, T110, W110, Z110), IF('TRECHO(S) A IMPRIMIR'!$B$1= 2, T110, IF('TRECHO(S) A IMPRIMIR'!$B$1= 3, W110, 0))))</f>
        <v>0</v>
      </c>
      <c r="J110" s="606">
        <v>0.41</v>
      </c>
      <c r="K110" s="593">
        <f t="shared" ref="K105:K123" si="11">IF(AND(F110&lt;&gt;"", J110&lt;&gt;""),
  IF(OR(F110= "CP9001", F110= "CP9091", F110= "CP9092"), 0,
  IF(ISNA(VLOOKUP(F110, $M$139:$M$141, 1, FALSE)), $M$4, $M$5)), "")</f>
        <v>0.2033513845915047</v>
      </c>
      <c r="L110" s="592">
        <f>IF(J110="","",
  IF(AND(J110&lt;&gt;"",K110=""),J110,J110 * (1 + K110)))</f>
        <v>0.4933740676825169</v>
      </c>
      <c r="M110" s="594">
        <f>IF(OR(I110="",L110=""),"",I110*L110)</f>
        <v>0</v>
      </c>
      <c r="O110" s="673"/>
      <c r="P110" s="361"/>
      <c r="Q110" s="441"/>
      <c r="R110" s="485"/>
      <c r="S110" s="442"/>
      <c r="T110" s="441">
        <f>T108 * V110</f>
        <v>0</v>
      </c>
      <c r="U110" s="485"/>
      <c r="V110" s="584">
        <f>IF('MLQ-DMT-TR1'!$E$15 &gt; 30, 'MLQ-DMT-TR1'!$E$15 - 30, 0)</f>
        <v>0</v>
      </c>
      <c r="W110" s="441"/>
      <c r="X110" s="485"/>
      <c r="Y110" s="442"/>
      <c r="Z110" s="441"/>
      <c r="AA110" s="485"/>
      <c r="AB110" s="442"/>
      <c r="AC110" s="672"/>
      <c r="AD110" s="441" t="s">
        <v>21</v>
      </c>
      <c r="AE110" s="674" t="s">
        <v>21</v>
      </c>
      <c r="AF110" s="674" t="s">
        <v>21</v>
      </c>
      <c r="AG110" s="674" t="s">
        <v>21</v>
      </c>
      <c r="AH110" s="442" t="s">
        <v>21</v>
      </c>
      <c r="AI110" s="442" t="str">
        <f>IF(SUM(AD110:AH110)=0,"",M110 - SUM(AD110:AH110))</f>
        <v/>
      </c>
    </row>
    <row r="111" spans="1:35" x14ac:dyDescent="0.25">
      <c r="A111" s="587"/>
      <c r="B111" s="369"/>
      <c r="C111" s="588"/>
      <c r="D111" s="589"/>
      <c r="E111" s="44"/>
      <c r="F111" s="214"/>
      <c r="G111" s="587" t="s">
        <v>21</v>
      </c>
      <c r="H111" s="590" t="s">
        <v>21</v>
      </c>
      <c r="I111" s="591" t="s">
        <v>21</v>
      </c>
      <c r="J111" s="606" t="s">
        <v>21</v>
      </c>
      <c r="K111" s="593" t="s">
        <v>21</v>
      </c>
      <c r="L111" s="592" t="s">
        <v>21</v>
      </c>
      <c r="M111" s="594" t="s">
        <v>21</v>
      </c>
      <c r="O111" s="673"/>
      <c r="P111" s="361"/>
      <c r="Q111" s="441"/>
      <c r="R111" s="485"/>
      <c r="S111" s="442"/>
      <c r="T111" s="441"/>
      <c r="U111" s="485"/>
      <c r="V111" s="442"/>
      <c r="W111" s="441"/>
      <c r="X111" s="485"/>
      <c r="Y111" s="442"/>
      <c r="Z111" s="441"/>
      <c r="AA111" s="485"/>
      <c r="AB111" s="442"/>
      <c r="AC111" s="672"/>
      <c r="AD111" s="441" t="s">
        <v>21</v>
      </c>
      <c r="AE111" s="674" t="s">
        <v>21</v>
      </c>
      <c r="AF111" s="674" t="s">
        <v>21</v>
      </c>
      <c r="AG111" s="674" t="s">
        <v>21</v>
      </c>
      <c r="AH111" s="442" t="s">
        <v>21</v>
      </c>
      <c r="AI111" s="442" t="s">
        <v>21</v>
      </c>
    </row>
    <row r="112" spans="1:35" x14ac:dyDescent="0.25">
      <c r="A112" s="587" t="s">
        <v>3517</v>
      </c>
      <c r="B112" s="369"/>
      <c r="C112" s="588"/>
      <c r="D112" s="589" t="s">
        <v>3748</v>
      </c>
      <c r="E112" s="44"/>
      <c r="F112" s="214"/>
      <c r="G112" s="587" t="s">
        <v>3517</v>
      </c>
      <c r="H112" s="590" t="s">
        <v>21</v>
      </c>
      <c r="I112" s="591" t="s">
        <v>21</v>
      </c>
      <c r="J112" s="606" t="s">
        <v>21</v>
      </c>
      <c r="K112" s="593" t="s">
        <v>21</v>
      </c>
      <c r="L112" s="592" t="s">
        <v>21</v>
      </c>
      <c r="M112" s="594">
        <v>566908.94441525487</v>
      </c>
      <c r="O112" s="673"/>
      <c r="P112" s="361"/>
      <c r="Q112" s="441"/>
      <c r="R112" s="485"/>
      <c r="S112" s="442"/>
      <c r="T112" s="441"/>
      <c r="U112" s="485"/>
      <c r="V112" s="442"/>
      <c r="W112" s="441"/>
      <c r="X112" s="485"/>
      <c r="Y112" s="442"/>
      <c r="Z112" s="441"/>
      <c r="AA112" s="485"/>
      <c r="AB112" s="442"/>
      <c r="AC112" s="672"/>
      <c r="AD112" s="441" t="s">
        <v>21</v>
      </c>
      <c r="AE112" s="674" t="s">
        <v>21</v>
      </c>
      <c r="AF112" s="674" t="s">
        <v>21</v>
      </c>
      <c r="AG112" s="674" t="s">
        <v>21</v>
      </c>
      <c r="AH112" s="442" t="s">
        <v>21</v>
      </c>
      <c r="AI112" s="442" t="s">
        <v>21</v>
      </c>
    </row>
    <row r="113" spans="1:35" ht="24" x14ac:dyDescent="0.25">
      <c r="A113" s="587" t="s">
        <v>3673</v>
      </c>
      <c r="B113" s="369" t="s">
        <v>20</v>
      </c>
      <c r="C113" s="588"/>
      <c r="D113" s="589" t="s">
        <v>3749</v>
      </c>
      <c r="E113" s="44" t="s">
        <v>27</v>
      </c>
      <c r="F113" s="214">
        <v>100575</v>
      </c>
      <c r="G113" s="587" t="s">
        <v>634</v>
      </c>
      <c r="H113" s="590" t="s">
        <v>51</v>
      </c>
      <c r="I113" s="591">
        <v>2159.25</v>
      </c>
      <c r="J113" s="606">
        <v>7.0000000000000007E-2</v>
      </c>
      <c r="K113" s="593">
        <v>0.2033513845915047</v>
      </c>
      <c r="L113" s="592">
        <v>8.4234596921405336E-2</v>
      </c>
      <c r="M113" s="594">
        <v>181.88355340254446</v>
      </c>
      <c r="O113" s="673"/>
      <c r="P113" s="361"/>
      <c r="Q113" s="441"/>
      <c r="R113" s="485"/>
      <c r="S113" s="442"/>
      <c r="T113" s="441">
        <v>2159.25</v>
      </c>
      <c r="U113" s="485"/>
      <c r="V113" s="442"/>
      <c r="W113" s="441"/>
      <c r="X113" s="485"/>
      <c r="Y113" s="442"/>
      <c r="Z113" s="441"/>
      <c r="AA113" s="485"/>
      <c r="AB113" s="442"/>
      <c r="AC113" s="672"/>
      <c r="AD113" s="441">
        <v>77.950094315376205</v>
      </c>
      <c r="AE113" s="674">
        <v>0</v>
      </c>
      <c r="AF113" s="674">
        <v>103.93345908716827</v>
      </c>
      <c r="AG113" s="674">
        <v>0</v>
      </c>
      <c r="AH113" s="442">
        <v>0</v>
      </c>
      <c r="AI113" s="442">
        <v>0</v>
      </c>
    </row>
    <row r="114" spans="1:35" x14ac:dyDescent="0.25">
      <c r="A114" s="587" t="s">
        <v>2731</v>
      </c>
      <c r="B114" s="369" t="s">
        <v>20</v>
      </c>
      <c r="C114" s="588"/>
      <c r="D114" s="589" t="s">
        <v>3749</v>
      </c>
      <c r="E114" s="44" t="s">
        <v>27</v>
      </c>
      <c r="F114" s="214" t="s">
        <v>568</v>
      </c>
      <c r="G114" s="587" t="s">
        <v>74</v>
      </c>
      <c r="H114" s="590" t="s">
        <v>51</v>
      </c>
      <c r="I114" s="591">
        <v>2262.6999999999998</v>
      </c>
      <c r="J114" s="606">
        <v>6.44</v>
      </c>
      <c r="K114" s="593">
        <v>0.2033513845915047</v>
      </c>
      <c r="L114" s="592">
        <v>7.7495829167692909</v>
      </c>
      <c r="M114" s="594">
        <v>17534.981265773873</v>
      </c>
      <c r="O114" s="673"/>
      <c r="P114" s="361"/>
      <c r="Q114" s="441"/>
      <c r="R114" s="485"/>
      <c r="S114" s="442"/>
      <c r="T114" s="441">
        <v>2262.6999999999998</v>
      </c>
      <c r="U114" s="485"/>
      <c r="V114" s="442"/>
      <c r="W114" s="441"/>
      <c r="X114" s="485"/>
      <c r="Y114" s="442"/>
      <c r="Z114" s="441"/>
      <c r="AA114" s="485"/>
      <c r="AB114" s="442"/>
      <c r="AC114" s="672"/>
      <c r="AD114" s="441">
        <v>599.02109914134348</v>
      </c>
      <c r="AE114" s="674">
        <v>16935.960166632529</v>
      </c>
      <c r="AF114" s="674">
        <v>0</v>
      </c>
      <c r="AG114" s="674">
        <v>0</v>
      </c>
      <c r="AH114" s="442">
        <v>0</v>
      </c>
      <c r="AI114" s="442">
        <v>0</v>
      </c>
    </row>
    <row r="115" spans="1:35" ht="36" x14ac:dyDescent="0.25">
      <c r="A115" s="587" t="s">
        <v>3534</v>
      </c>
      <c r="B115" s="369" t="s">
        <v>25</v>
      </c>
      <c r="C115" s="588"/>
      <c r="D115" s="589" t="s">
        <v>3750</v>
      </c>
      <c r="E115" s="44" t="s">
        <v>27</v>
      </c>
      <c r="F115" s="214">
        <v>95879</v>
      </c>
      <c r="G115" s="587" t="s">
        <v>789</v>
      </c>
      <c r="H115" s="590" t="s">
        <v>42</v>
      </c>
      <c r="I115" s="591">
        <v>20860.735499999999</v>
      </c>
      <c r="J115" s="606">
        <v>1.04</v>
      </c>
      <c r="K115" s="593">
        <v>0.2033513845915047</v>
      </c>
      <c r="L115" s="592">
        <v>1.2514854399751649</v>
      </c>
      <c r="M115" s="594">
        <v>26106.906745423039</v>
      </c>
      <c r="O115" s="673"/>
      <c r="P115" s="361"/>
      <c r="Q115" s="441"/>
      <c r="R115" s="485"/>
      <c r="S115" s="442"/>
      <c r="T115" s="441">
        <v>20860.735499999999</v>
      </c>
      <c r="U115" s="485"/>
      <c r="V115" s="442">
        <v>30</v>
      </c>
      <c r="W115" s="441"/>
      <c r="X115" s="485"/>
      <c r="Y115" s="442"/>
      <c r="Z115" s="441"/>
      <c r="AA115" s="485"/>
      <c r="AB115" s="442"/>
      <c r="AC115" s="672"/>
      <c r="AD115" s="441">
        <v>1757.1956463265508</v>
      </c>
      <c r="AE115" s="674">
        <v>15061.676968513291</v>
      </c>
      <c r="AF115" s="674">
        <v>9288.0341305831971</v>
      </c>
      <c r="AG115" s="674">
        <v>0</v>
      </c>
      <c r="AH115" s="442">
        <v>0</v>
      </c>
      <c r="AI115" s="442">
        <v>0</v>
      </c>
    </row>
    <row r="116" spans="1:35" ht="36" x14ac:dyDescent="0.25">
      <c r="A116" s="587" t="s">
        <v>3535</v>
      </c>
      <c r="B116" s="369" t="s">
        <v>25</v>
      </c>
      <c r="C116" s="588"/>
      <c r="D116" s="589" t="s">
        <v>3751</v>
      </c>
      <c r="E116" s="44" t="s">
        <v>27</v>
      </c>
      <c r="F116" s="214">
        <v>93599</v>
      </c>
      <c r="G116" s="587" t="s">
        <v>788</v>
      </c>
      <c r="H116" s="590" t="s">
        <v>42</v>
      </c>
      <c r="I116" s="591">
        <v>18774.661949999998</v>
      </c>
      <c r="J116" s="606">
        <v>0.41</v>
      </c>
      <c r="K116" s="593">
        <v>0.2033513845915047</v>
      </c>
      <c r="L116" s="592">
        <v>0.4933740676825169</v>
      </c>
      <c r="M116" s="594">
        <v>9262.9313356356743</v>
      </c>
      <c r="O116" s="673"/>
      <c r="P116" s="361"/>
      <c r="Q116" s="441"/>
      <c r="R116" s="485"/>
      <c r="S116" s="442"/>
      <c r="T116" s="441">
        <v>18774.661949999998</v>
      </c>
      <c r="U116" s="485"/>
      <c r="V116" s="442">
        <v>27</v>
      </c>
      <c r="W116" s="441"/>
      <c r="X116" s="485"/>
      <c r="Y116" s="442"/>
      <c r="Z116" s="441"/>
      <c r="AA116" s="485"/>
      <c r="AB116" s="442"/>
      <c r="AC116" s="672"/>
      <c r="AD116" s="441">
        <v>451.85030905539872</v>
      </c>
      <c r="AE116" s="674">
        <v>5648.1288631924845</v>
      </c>
      <c r="AF116" s="674">
        <v>3162.9521633877912</v>
      </c>
      <c r="AG116" s="674">
        <v>0</v>
      </c>
      <c r="AH116" s="442">
        <v>0</v>
      </c>
      <c r="AI116" s="442">
        <v>0</v>
      </c>
    </row>
    <row r="117" spans="1:35" ht="36" x14ac:dyDescent="0.25">
      <c r="A117" s="587" t="s">
        <v>3536</v>
      </c>
      <c r="B117" s="369" t="s">
        <v>25</v>
      </c>
      <c r="C117" s="588"/>
      <c r="D117" s="589" t="s">
        <v>3752</v>
      </c>
      <c r="E117" s="44" t="s">
        <v>27</v>
      </c>
      <c r="F117" s="214">
        <v>100943</v>
      </c>
      <c r="G117" s="587" t="s">
        <v>786</v>
      </c>
      <c r="H117" s="590" t="s">
        <v>42</v>
      </c>
      <c r="I117" s="591">
        <v>695.35784999999998</v>
      </c>
      <c r="J117" s="606">
        <v>3.1</v>
      </c>
      <c r="K117" s="593">
        <v>0.2033513845915047</v>
      </c>
      <c r="L117" s="592">
        <v>3.7303892922336646</v>
      </c>
      <c r="M117" s="594">
        <v>2593.9554779106224</v>
      </c>
      <c r="O117" s="673"/>
      <c r="P117" s="361"/>
      <c r="Q117" s="441"/>
      <c r="R117" s="485"/>
      <c r="S117" s="442"/>
      <c r="T117" s="441">
        <v>695.35784999999998</v>
      </c>
      <c r="U117" s="485"/>
      <c r="V117" s="442">
        <v>1</v>
      </c>
      <c r="W117" s="441"/>
      <c r="X117" s="485"/>
      <c r="Y117" s="442"/>
      <c r="Z117" s="441"/>
      <c r="AA117" s="485"/>
      <c r="AB117" s="442"/>
      <c r="AC117" s="672"/>
      <c r="AD117" s="441">
        <v>184.0871629484958</v>
      </c>
      <c r="AE117" s="674">
        <v>1447.5945086404442</v>
      </c>
      <c r="AF117" s="674">
        <v>962.27380632168251</v>
      </c>
      <c r="AG117" s="674">
        <v>0</v>
      </c>
      <c r="AH117" s="442">
        <v>0</v>
      </c>
      <c r="AI117" s="442">
        <v>0</v>
      </c>
    </row>
    <row r="118" spans="1:35" ht="48" x14ac:dyDescent="0.25">
      <c r="A118" s="587" t="s">
        <v>1394</v>
      </c>
      <c r="B118" s="369" t="s">
        <v>20</v>
      </c>
      <c r="C118" s="588"/>
      <c r="D118" s="589" t="s">
        <v>3753</v>
      </c>
      <c r="E118" s="44" t="s">
        <v>27</v>
      </c>
      <c r="F118" s="214">
        <v>92756</v>
      </c>
      <c r="G118" s="587" t="s">
        <v>629</v>
      </c>
      <c r="H118" s="590" t="s">
        <v>51</v>
      </c>
      <c r="I118" s="591">
        <v>1832.3</v>
      </c>
      <c r="J118" s="606">
        <v>231.86</v>
      </c>
      <c r="K118" s="593">
        <v>0.2033513845915047</v>
      </c>
      <c r="L118" s="592">
        <v>279.00905203138632</v>
      </c>
      <c r="M118" s="594">
        <v>511228.28603710915</v>
      </c>
      <c r="O118" s="1590">
        <v>0.23</v>
      </c>
      <c r="P118" s="361"/>
      <c r="Q118" s="441"/>
      <c r="R118" s="485"/>
      <c r="S118" s="442"/>
      <c r="T118" s="441">
        <v>1832.3</v>
      </c>
      <c r="U118" s="485">
        <v>1.65</v>
      </c>
      <c r="V118" s="442"/>
      <c r="W118" s="441"/>
      <c r="X118" s="485"/>
      <c r="Y118" s="442"/>
      <c r="Z118" s="441"/>
      <c r="AA118" s="485"/>
      <c r="AB118" s="442"/>
      <c r="AC118" s="672"/>
      <c r="AD118" s="441">
        <v>78869.299540875494</v>
      </c>
      <c r="AE118" s="674">
        <v>400035.14161870396</v>
      </c>
      <c r="AF118" s="674">
        <v>32323.844877529627</v>
      </c>
      <c r="AG118" s="674">
        <v>0</v>
      </c>
      <c r="AH118" s="442">
        <v>0</v>
      </c>
      <c r="AI118" s="442">
        <v>5.8207660913467407E-11</v>
      </c>
    </row>
    <row r="119" spans="1:35" x14ac:dyDescent="0.25">
      <c r="A119" s="587"/>
      <c r="B119" s="369"/>
      <c r="C119" s="588"/>
      <c r="D119" s="589"/>
      <c r="E119" s="44"/>
      <c r="F119" s="214"/>
      <c r="G119" s="587" t="s">
        <v>21</v>
      </c>
      <c r="H119" s="590" t="s">
        <v>21</v>
      </c>
      <c r="I119" s="591" t="s">
        <v>21</v>
      </c>
      <c r="J119" s="606" t="s">
        <v>21</v>
      </c>
      <c r="K119" s="593" t="s">
        <v>21</v>
      </c>
      <c r="L119" s="592" t="s">
        <v>21</v>
      </c>
      <c r="M119" s="594" t="s">
        <v>21</v>
      </c>
      <c r="O119" s="673"/>
      <c r="P119" s="361"/>
      <c r="Q119" s="441"/>
      <c r="R119" s="485"/>
      <c r="S119" s="442"/>
      <c r="T119" s="441"/>
      <c r="U119" s="485"/>
      <c r="V119" s="442"/>
      <c r="W119" s="441"/>
      <c r="X119" s="485"/>
      <c r="Y119" s="442"/>
      <c r="Z119" s="441"/>
      <c r="AA119" s="485"/>
      <c r="AB119" s="442"/>
      <c r="AC119" s="672"/>
      <c r="AD119" s="441" t="s">
        <v>21</v>
      </c>
      <c r="AE119" s="674" t="s">
        <v>21</v>
      </c>
      <c r="AF119" s="674" t="s">
        <v>21</v>
      </c>
      <c r="AG119" s="674" t="s">
        <v>21</v>
      </c>
      <c r="AH119" s="442" t="s">
        <v>21</v>
      </c>
      <c r="AI119" s="442" t="s">
        <v>21</v>
      </c>
    </row>
    <row r="120" spans="1:35" ht="24" x14ac:dyDescent="0.25">
      <c r="A120" s="587" t="s">
        <v>3550</v>
      </c>
      <c r="B120" s="369"/>
      <c r="C120" s="588"/>
      <c r="D120" s="589" t="s">
        <v>3754</v>
      </c>
      <c r="E120" s="44"/>
      <c r="F120" s="214"/>
      <c r="G120" s="587" t="s">
        <v>3550</v>
      </c>
      <c r="H120" s="590" t="s">
        <v>21</v>
      </c>
      <c r="I120" s="591" t="s">
        <v>21</v>
      </c>
      <c r="J120" s="606" t="s">
        <v>21</v>
      </c>
      <c r="K120" s="593" t="s">
        <v>21</v>
      </c>
      <c r="L120" s="592" t="s">
        <v>21</v>
      </c>
      <c r="M120" s="594">
        <v>3650.6311624629393</v>
      </c>
      <c r="O120" s="673" t="s">
        <v>3554</v>
      </c>
      <c r="P120" s="361"/>
      <c r="Q120" s="441"/>
      <c r="R120" s="485"/>
      <c r="S120" s="442"/>
      <c r="T120" s="441"/>
      <c r="U120" s="485"/>
      <c r="V120" s="442"/>
      <c r="W120" s="441"/>
      <c r="X120" s="485"/>
      <c r="Y120" s="442"/>
      <c r="Z120" s="441"/>
      <c r="AA120" s="485"/>
      <c r="AB120" s="442"/>
      <c r="AC120" s="672"/>
      <c r="AD120" s="441" t="s">
        <v>21</v>
      </c>
      <c r="AE120" s="674" t="s">
        <v>21</v>
      </c>
      <c r="AF120" s="674" t="s">
        <v>21</v>
      </c>
      <c r="AG120" s="674" t="s">
        <v>21</v>
      </c>
      <c r="AH120" s="442" t="s">
        <v>21</v>
      </c>
      <c r="AI120" s="442" t="s">
        <v>21</v>
      </c>
    </row>
    <row r="121" spans="1:35" ht="48" x14ac:dyDescent="0.25">
      <c r="A121" s="587" t="s">
        <v>3553</v>
      </c>
      <c r="B121" s="369" t="s">
        <v>28</v>
      </c>
      <c r="C121" s="588"/>
      <c r="D121" s="589" t="s">
        <v>3755</v>
      </c>
      <c r="E121" s="44" t="s">
        <v>27</v>
      </c>
      <c r="F121" s="214">
        <v>94990</v>
      </c>
      <c r="G121" s="587" t="s">
        <v>569</v>
      </c>
      <c r="H121" s="590" t="s">
        <v>44</v>
      </c>
      <c r="I121" s="591">
        <v>4.5</v>
      </c>
      <c r="J121" s="606">
        <v>674.16</v>
      </c>
      <c r="K121" s="593">
        <v>0.2033513845915047</v>
      </c>
      <c r="L121" s="592">
        <v>811.25136943620873</v>
      </c>
      <c r="M121" s="594">
        <v>3650.6311624629393</v>
      </c>
      <c r="O121" s="675">
        <v>0.1</v>
      </c>
      <c r="P121" s="361"/>
      <c r="Q121" s="441"/>
      <c r="R121" s="485"/>
      <c r="S121" s="442"/>
      <c r="T121" s="441">
        <v>4.5</v>
      </c>
      <c r="U121" s="485"/>
      <c r="V121" s="442"/>
      <c r="W121" s="441"/>
      <c r="X121" s="485"/>
      <c r="Y121" s="442"/>
      <c r="Z121" s="441"/>
      <c r="AA121" s="485"/>
      <c r="AB121" s="442"/>
      <c r="AC121" s="672"/>
      <c r="AD121" s="441">
        <v>998.75758218325711</v>
      </c>
      <c r="AE121" s="674">
        <v>2643.3719027475431</v>
      </c>
      <c r="AF121" s="674">
        <v>4.1696125476095638</v>
      </c>
      <c r="AG121" s="674">
        <v>0</v>
      </c>
      <c r="AH121" s="442">
        <v>4.332064984529417</v>
      </c>
      <c r="AI121" s="442">
        <v>0</v>
      </c>
    </row>
    <row r="122" spans="1:35" x14ac:dyDescent="0.25">
      <c r="A122" s="587"/>
      <c r="B122" s="369"/>
      <c r="C122" s="588"/>
      <c r="D122" s="589"/>
      <c r="E122" s="44"/>
      <c r="F122" s="214"/>
      <c r="G122" s="587" t="s">
        <v>21</v>
      </c>
      <c r="H122" s="590" t="s">
        <v>21</v>
      </c>
      <c r="I122" s="591" t="s">
        <v>21</v>
      </c>
      <c r="J122" s="606" t="s">
        <v>21</v>
      </c>
      <c r="K122" s="593" t="s">
        <v>21</v>
      </c>
      <c r="L122" s="592" t="s">
        <v>21</v>
      </c>
      <c r="M122" s="594" t="s">
        <v>21</v>
      </c>
      <c r="O122" s="673"/>
      <c r="P122" s="361"/>
      <c r="Q122" s="441"/>
      <c r="R122" s="485"/>
      <c r="S122" s="442"/>
      <c r="T122" s="441"/>
      <c r="U122" s="485"/>
      <c r="V122" s="442"/>
      <c r="W122" s="441"/>
      <c r="X122" s="485"/>
      <c r="Y122" s="442"/>
      <c r="Z122" s="441"/>
      <c r="AA122" s="485"/>
      <c r="AB122" s="442"/>
      <c r="AC122" s="672"/>
      <c r="AD122" s="441" t="s">
        <v>21</v>
      </c>
      <c r="AE122" s="674" t="s">
        <v>21</v>
      </c>
      <c r="AF122" s="674" t="s">
        <v>21</v>
      </c>
      <c r="AG122" s="674" t="s">
        <v>21</v>
      </c>
      <c r="AH122" s="442" t="s">
        <v>21</v>
      </c>
      <c r="AI122" s="442" t="s">
        <v>21</v>
      </c>
    </row>
    <row r="123" spans="1:35" ht="13.5" thickBot="1" x14ac:dyDescent="0.3">
      <c r="A123" s="587"/>
      <c r="B123" s="369"/>
      <c r="C123" s="588"/>
      <c r="D123" s="609"/>
      <c r="E123" s="483"/>
      <c r="F123" s="484"/>
      <c r="G123" s="610" t="s">
        <v>21</v>
      </c>
      <c r="H123" s="611" t="s">
        <v>21</v>
      </c>
      <c r="I123" s="612" t="s">
        <v>21</v>
      </c>
      <c r="J123" s="762" t="s">
        <v>21</v>
      </c>
      <c r="K123" s="614" t="s">
        <v>21</v>
      </c>
      <c r="L123" s="613" t="s">
        <v>21</v>
      </c>
      <c r="M123" s="615" t="s">
        <v>21</v>
      </c>
      <c r="O123" s="673"/>
      <c r="P123" s="361"/>
      <c r="Q123" s="443"/>
      <c r="R123" s="486"/>
      <c r="S123" s="444"/>
      <c r="T123" s="443"/>
      <c r="U123" s="486"/>
      <c r="V123" s="444"/>
      <c r="W123" s="443"/>
      <c r="X123" s="486"/>
      <c r="Y123" s="444"/>
      <c r="Z123" s="443"/>
      <c r="AA123" s="486"/>
      <c r="AB123" s="444"/>
      <c r="AC123" s="672"/>
      <c r="AD123" s="443" t="s">
        <v>21</v>
      </c>
      <c r="AE123" s="687" t="s">
        <v>21</v>
      </c>
      <c r="AF123" s="687" t="s">
        <v>21</v>
      </c>
      <c r="AG123" s="687" t="s">
        <v>21</v>
      </c>
      <c r="AH123" s="444" t="s">
        <v>21</v>
      </c>
      <c r="AI123" s="444" t="s">
        <v>21</v>
      </c>
    </row>
    <row r="124" spans="1:35" x14ac:dyDescent="0.25">
      <c r="A124" s="616"/>
      <c r="B124" s="617"/>
      <c r="C124" s="588"/>
      <c r="D124" s="651" t="s">
        <v>1383</v>
      </c>
      <c r="E124" s="515" t="s">
        <v>1384</v>
      </c>
      <c r="F124" s="516"/>
      <c r="G124" s="652"/>
      <c r="H124" s="652"/>
      <c r="I124" s="653"/>
      <c r="J124" s="654"/>
      <c r="K124" s="655"/>
      <c r="L124" s="654"/>
      <c r="M124" s="656"/>
      <c r="O124" s="688"/>
      <c r="P124" s="361"/>
      <c r="AC124" s="672"/>
      <c r="AD124" s="797">
        <v>396835.51282430365</v>
      </c>
      <c r="AE124" s="798">
        <v>5889493.6283657849</v>
      </c>
      <c r="AF124" s="798">
        <v>293935.12224307482</v>
      </c>
      <c r="AG124" s="798">
        <v>17475.1718627925</v>
      </c>
      <c r="AH124" s="799">
        <v>1609.2965398486392</v>
      </c>
      <c r="AI124" s="800">
        <v>7.0672001584171085E-10</v>
      </c>
    </row>
    <row r="125" spans="1:35" x14ac:dyDescent="0.25">
      <c r="A125" s="623"/>
      <c r="B125" s="624"/>
      <c r="C125" s="588"/>
      <c r="D125" s="625" t="s">
        <v>1385</v>
      </c>
      <c r="E125" s="519"/>
      <c r="F125" s="520"/>
      <c r="G125" s="657"/>
      <c r="H125" s="519"/>
      <c r="I125" s="658"/>
      <c r="J125" s="659"/>
      <c r="K125" s="660"/>
      <c r="L125" s="659"/>
      <c r="M125" s="661"/>
      <c r="O125" s="688"/>
      <c r="P125" s="361"/>
      <c r="AC125" s="672"/>
      <c r="AD125" s="440"/>
      <c r="AE125" s="440"/>
      <c r="AF125" s="440"/>
      <c r="AG125" s="440"/>
      <c r="AH125" s="440"/>
      <c r="AI125" s="440"/>
    </row>
    <row r="126" spans="1:35" x14ac:dyDescent="0.25">
      <c r="A126" s="623"/>
      <c r="B126" s="624"/>
      <c r="C126" s="588"/>
      <c r="D126" s="631" t="s">
        <v>1386</v>
      </c>
      <c r="E126" s="525"/>
      <c r="F126" s="526"/>
      <c r="G126" s="662"/>
      <c r="H126" s="525"/>
      <c r="I126" s="663"/>
      <c r="J126" s="664"/>
      <c r="K126" s="665"/>
      <c r="L126" s="664"/>
      <c r="M126" s="666"/>
      <c r="O126" s="688"/>
      <c r="P126" s="361"/>
      <c r="AC126" s="672"/>
      <c r="AD126" s="440"/>
      <c r="AE126" s="440"/>
      <c r="AF126" s="440"/>
      <c r="AG126" s="440"/>
      <c r="AH126" s="440"/>
      <c r="AI126" s="440"/>
    </row>
    <row r="127" spans="1:35" x14ac:dyDescent="0.25">
      <c r="A127" s="623"/>
      <c r="B127" s="624"/>
      <c r="C127" s="588"/>
      <c r="D127" s="631" t="s">
        <v>1535</v>
      </c>
      <c r="E127" s="525"/>
      <c r="F127" s="526"/>
      <c r="G127" s="662"/>
      <c r="H127" s="525"/>
      <c r="I127" s="663"/>
      <c r="J127" s="664"/>
      <c r="K127" s="665"/>
      <c r="L127" s="664"/>
      <c r="M127" s="666"/>
      <c r="O127" s="688"/>
      <c r="P127" s="361"/>
      <c r="AC127" s="672"/>
      <c r="AD127" s="440"/>
      <c r="AE127" s="440"/>
      <c r="AF127" s="440"/>
      <c r="AG127" s="440"/>
      <c r="AH127" s="440"/>
      <c r="AI127" s="440"/>
    </row>
    <row r="128" spans="1:35" x14ac:dyDescent="0.25">
      <c r="A128" s="623"/>
      <c r="B128" s="624"/>
      <c r="C128" s="588"/>
      <c r="D128" s="631"/>
      <c r="E128" s="525"/>
      <c r="F128" s="526"/>
      <c r="G128" s="662"/>
      <c r="H128" s="525"/>
      <c r="I128" s="663"/>
      <c r="J128" s="664"/>
      <c r="K128" s="665"/>
      <c r="L128" s="664"/>
      <c r="M128" s="666"/>
      <c r="O128" s="688"/>
      <c r="P128" s="361"/>
      <c r="AC128" s="672"/>
      <c r="AD128" s="440"/>
      <c r="AE128" s="440"/>
      <c r="AF128" s="440"/>
      <c r="AG128" s="440"/>
      <c r="AH128" s="440"/>
      <c r="AI128" s="440"/>
    </row>
    <row r="129" spans="1:35" ht="13.5" thickBot="1" x14ac:dyDescent="0.3">
      <c r="A129" s="623"/>
      <c r="B129" s="624"/>
      <c r="C129" s="588"/>
      <c r="D129" s="637"/>
      <c r="E129" s="527"/>
      <c r="F129" s="528"/>
      <c r="G129" s="667"/>
      <c r="H129" s="527"/>
      <c r="I129" s="668"/>
      <c r="J129" s="669"/>
      <c r="K129" s="670"/>
      <c r="L129" s="669"/>
      <c r="M129" s="671"/>
      <c r="O129" s="688"/>
      <c r="P129" s="361"/>
      <c r="AC129" s="672"/>
      <c r="AD129" s="440"/>
      <c r="AE129" s="440"/>
      <c r="AF129" s="440"/>
      <c r="AG129" s="440"/>
      <c r="AH129" s="440"/>
      <c r="AI129" s="440"/>
    </row>
    <row r="130" spans="1:35" x14ac:dyDescent="0.25">
      <c r="A130" s="643"/>
      <c r="B130" s="644"/>
      <c r="C130" s="588"/>
      <c r="D130" s="123" t="str">
        <f>'PSP-RESUMO'!$A$16</f>
        <v>RRT DO ORÇAMENTO: 0</v>
      </c>
      <c r="E130" s="588"/>
      <c r="F130" s="645"/>
      <c r="G130" s="588"/>
      <c r="H130" s="646"/>
      <c r="I130" s="647"/>
      <c r="J130" s="648"/>
      <c r="K130" s="649"/>
      <c r="L130" s="648"/>
      <c r="M130" s="650"/>
      <c r="O130" s="672"/>
      <c r="P130" s="361"/>
      <c r="AC130" s="672"/>
      <c r="AD130" s="440"/>
      <c r="AE130" s="440"/>
      <c r="AF130" s="440"/>
      <c r="AG130" s="440"/>
      <c r="AH130" s="440"/>
      <c r="AI130" s="440"/>
    </row>
    <row r="131" spans="1:35" x14ac:dyDescent="0.25">
      <c r="A131" s="643"/>
      <c r="B131" s="644"/>
      <c r="C131" s="588"/>
      <c r="D131" s="693"/>
      <c r="E131" s="588"/>
      <c r="F131" s="645"/>
      <c r="G131" s="588"/>
      <c r="H131" s="646"/>
      <c r="I131" s="647"/>
      <c r="J131" s="643"/>
      <c r="K131" s="694"/>
      <c r="L131" s="647"/>
      <c r="M131" s="647"/>
      <c r="O131" s="672"/>
      <c r="P131" s="361"/>
      <c r="AC131" s="672"/>
      <c r="AD131" s="440"/>
      <c r="AE131" s="440"/>
      <c r="AF131" s="440"/>
      <c r="AG131" s="440"/>
      <c r="AH131" s="440"/>
      <c r="AI131" s="440"/>
    </row>
    <row r="132" spans="1:35" x14ac:dyDescent="0.25">
      <c r="A132" s="492"/>
      <c r="B132" s="644"/>
      <c r="C132" s="588"/>
      <c r="D132" s="588"/>
      <c r="E132" s="588"/>
      <c r="F132" s="645"/>
      <c r="G132" s="588"/>
      <c r="H132" s="646"/>
      <c r="I132" s="647"/>
      <c r="J132" s="492"/>
      <c r="K132" s="354" t="s">
        <v>135</v>
      </c>
      <c r="L132" s="354"/>
      <c r="M132" s="355"/>
      <c r="O132" s="672"/>
      <c r="P132" s="361"/>
      <c r="AC132" s="672"/>
      <c r="AD132" s="440"/>
      <c r="AE132" s="440"/>
      <c r="AF132" s="440"/>
      <c r="AG132" s="440"/>
      <c r="AH132" s="440"/>
      <c r="AI132" s="440"/>
    </row>
    <row r="133" spans="1:35" x14ac:dyDescent="0.25">
      <c r="A133" s="492"/>
      <c r="B133" s="644"/>
      <c r="C133" s="588"/>
      <c r="D133" s="695"/>
      <c r="E133" s="695"/>
      <c r="F133" s="696"/>
      <c r="G133" s="695"/>
      <c r="H133" s="644"/>
      <c r="I133" s="643"/>
      <c r="J133" s="492"/>
      <c r="K133" s="492" t="s">
        <v>136</v>
      </c>
      <c r="L133" s="492"/>
      <c r="M133" s="383"/>
      <c r="O133" s="672"/>
      <c r="P133" s="361"/>
      <c r="AC133" s="672"/>
      <c r="AD133" s="440"/>
      <c r="AE133" s="440"/>
      <c r="AF133" s="440"/>
      <c r="AG133" s="440"/>
      <c r="AH133" s="440"/>
      <c r="AI133" s="440"/>
    </row>
    <row r="134" spans="1:35" s="40" customFormat="1" x14ac:dyDescent="0.25">
      <c r="A134" s="491"/>
      <c r="B134" s="284"/>
      <c r="C134" s="3"/>
      <c r="D134" s="493"/>
      <c r="E134" s="493"/>
      <c r="F134" s="494"/>
      <c r="G134" s="493"/>
      <c r="H134" s="495"/>
      <c r="I134" s="496"/>
      <c r="J134" s="496"/>
      <c r="K134" s="497"/>
      <c r="L134" s="496"/>
      <c r="M134" s="496"/>
      <c r="O134" s="3"/>
      <c r="Q134" s="440"/>
      <c r="R134" s="471"/>
      <c r="S134" s="440"/>
      <c r="T134" s="440"/>
      <c r="U134" s="471"/>
      <c r="V134" s="440"/>
      <c r="W134" s="440"/>
      <c r="X134" s="471"/>
      <c r="Y134" s="440"/>
      <c r="Z134" s="440"/>
      <c r="AA134" s="471"/>
      <c r="AB134" s="440"/>
      <c r="AD134" s="498"/>
      <c r="AE134" s="498"/>
      <c r="AF134" s="498"/>
      <c r="AG134" s="498"/>
      <c r="AH134" s="498"/>
      <c r="AI134" s="498"/>
    </row>
    <row r="135" spans="1:35" s="40" customFormat="1" x14ac:dyDescent="0.25">
      <c r="A135" s="491"/>
      <c r="B135" s="284"/>
      <c r="C135" s="3"/>
      <c r="D135" s="116"/>
      <c r="E135" s="118"/>
      <c r="F135" s="117"/>
      <c r="G135" s="118"/>
      <c r="H135" s="119"/>
      <c r="I135" s="120"/>
      <c r="J135" s="121" t="s">
        <v>417</v>
      </c>
      <c r="K135" s="407"/>
      <c r="L135" s="121"/>
      <c r="M135" s="128">
        <v>26920027.92902039</v>
      </c>
      <c r="O135" s="3"/>
      <c r="Q135" s="440"/>
      <c r="R135" s="471"/>
      <c r="S135" s="440"/>
      <c r="T135" s="440"/>
      <c r="U135" s="471"/>
      <c r="V135" s="440"/>
      <c r="W135" s="440"/>
      <c r="X135" s="471"/>
      <c r="Y135" s="440"/>
      <c r="Z135" s="440"/>
      <c r="AA135" s="471"/>
      <c r="AB135" s="440"/>
      <c r="AD135" s="498"/>
      <c r="AE135" s="498"/>
      <c r="AF135" s="498"/>
      <c r="AG135" s="498"/>
      <c r="AH135" s="498"/>
      <c r="AI135" s="498"/>
    </row>
    <row r="136" spans="1:35" s="40" customFormat="1" x14ac:dyDescent="0.25">
      <c r="A136" s="283"/>
      <c r="B136" s="284"/>
      <c r="C136" s="3"/>
      <c r="D136" s="3"/>
      <c r="E136" s="3"/>
      <c r="F136" s="115"/>
      <c r="G136" s="3"/>
      <c r="H136" s="4"/>
      <c r="I136" s="2"/>
      <c r="J136" s="279" t="s">
        <v>392</v>
      </c>
      <c r="K136" s="408"/>
      <c r="L136" s="279"/>
      <c r="M136" s="2">
        <v>6599348.7318358049</v>
      </c>
      <c r="O136" s="141"/>
      <c r="Q136" s="440"/>
      <c r="R136" s="471"/>
      <c r="S136" s="440"/>
      <c r="T136" s="440"/>
      <c r="U136" s="471"/>
      <c r="V136" s="440"/>
      <c r="W136" s="440"/>
      <c r="X136" s="471"/>
      <c r="Y136" s="440"/>
      <c r="Z136" s="440"/>
      <c r="AA136" s="471"/>
      <c r="AB136" s="440"/>
      <c r="AD136" s="498"/>
      <c r="AE136" s="498"/>
      <c r="AF136" s="498"/>
      <c r="AG136" s="498"/>
      <c r="AH136" s="498"/>
      <c r="AI136" s="498"/>
    </row>
    <row r="137" spans="1:35" s="40" customFormat="1" x14ac:dyDescent="0.25">
      <c r="A137" s="3"/>
      <c r="B137" s="4"/>
      <c r="C137" s="3"/>
      <c r="D137" s="3"/>
      <c r="E137" s="3"/>
      <c r="F137" s="115"/>
      <c r="G137" s="3"/>
      <c r="H137" s="4"/>
      <c r="I137" s="2"/>
      <c r="J137" s="279" t="s">
        <v>393</v>
      </c>
      <c r="K137" s="408"/>
      <c r="L137" s="279"/>
      <c r="M137" s="2">
        <v>-20320679.197184585</v>
      </c>
      <c r="O137" s="141"/>
      <c r="Q137" s="440"/>
      <c r="R137" s="471"/>
      <c r="S137" s="440"/>
      <c r="T137" s="440"/>
      <c r="U137" s="471"/>
      <c r="V137" s="440"/>
      <c r="W137" s="440"/>
      <c r="X137" s="471"/>
      <c r="Y137" s="440"/>
      <c r="Z137" s="440"/>
      <c r="AA137" s="471"/>
      <c r="AB137" s="440"/>
      <c r="AD137" s="498"/>
      <c r="AE137" s="498"/>
      <c r="AF137" s="498"/>
      <c r="AG137" s="498"/>
      <c r="AH137" s="498"/>
      <c r="AI137" s="498"/>
    </row>
    <row r="138" spans="1:35" s="40" customFormat="1" x14ac:dyDescent="0.25">
      <c r="A138" s="3"/>
      <c r="B138" s="4"/>
      <c r="C138" s="3"/>
      <c r="D138" s="3"/>
      <c r="E138" s="3"/>
      <c r="F138" s="115"/>
      <c r="G138" s="3"/>
      <c r="H138" s="4"/>
      <c r="I138" s="2"/>
      <c r="J138" s="144"/>
      <c r="K138" s="409"/>
      <c r="L138" s="144"/>
      <c r="M138" s="144"/>
      <c r="O138" s="141"/>
      <c r="Q138" s="440"/>
      <c r="R138" s="471"/>
      <c r="S138" s="440"/>
      <c r="T138" s="440"/>
      <c r="U138" s="471"/>
      <c r="V138" s="440"/>
      <c r="W138" s="440"/>
      <c r="X138" s="471"/>
      <c r="Y138" s="440"/>
      <c r="Z138" s="440"/>
      <c r="AA138" s="471"/>
      <c r="AB138" s="440"/>
      <c r="AD138" s="498"/>
      <c r="AE138" s="498"/>
      <c r="AF138" s="498"/>
      <c r="AG138" s="498"/>
      <c r="AH138" s="498"/>
      <c r="AI138" s="498"/>
    </row>
    <row r="140" spans="1:35" x14ac:dyDescent="0.25">
      <c r="M140" s="1493" t="s">
        <v>2350</v>
      </c>
      <c r="N140" s="361"/>
      <c r="O140" s="361" t="str">
        <f>VLOOKUP(M140, $F$7:$G$123, 2, FALSE)</f>
        <v>FORNECIMENTO DE TUBO DE CONCRETO Ø 1500 MM - PA-3</v>
      </c>
    </row>
  </sheetData>
  <autoFilter ref="A7:AI123" xr:uid="{AAA0A72B-7E33-4B8D-BFE5-DEDA0765A9B8}">
    <filterColumn colId="8">
      <filters blank="1">
        <filter val="0,90"/>
        <filter val="1,00"/>
        <filter val="1.267,36"/>
        <filter val="1.278,00"/>
        <filter val="1.832,30"/>
        <filter val="1.981,00"/>
        <filter val="10,80"/>
        <filter val="10.162,68"/>
        <filter val="117,40"/>
        <filter val="12.872,64"/>
        <filter val="121,70"/>
        <filter val="142,48"/>
        <filter val="15,22"/>
        <filter val="15.750,00"/>
        <filter val="152,17"/>
        <filter val="152.378,07"/>
        <filter val="160,00"/>
        <filter val="161,00"/>
        <filter val="18.774,66"/>
        <filter val="19.732,00"/>
        <filter val="2,90"/>
        <filter val="2.159,25"/>
        <filter val="2.262,70"/>
        <filter val="20,10"/>
        <filter val="20.860,74"/>
        <filter val="200,45"/>
        <filter val="21.971,17"/>
        <filter val="22,40"/>
        <filter val="224,00"/>
        <filter val="24.412,41"/>
        <filter val="254,10"/>
        <filter val="28,10"/>
        <filter val="29.225,00"/>
        <filter val="3.134,60"/>
        <filter val="32,00"/>
        <filter val="364,35"/>
        <filter val="4,50"/>
        <filter val="4.545,00"/>
        <filter val="45,00"/>
        <filter val="493,18"/>
        <filter val="5,90"/>
        <filter val="56,00"/>
        <filter val="6,00"/>
        <filter val="6,90"/>
        <filter val="616,00"/>
        <filter val="64,40"/>
        <filter val="670,90"/>
        <filter val="687,00"/>
        <filter val="695,36"/>
        <filter val="751,32"/>
        <filter val="784,80"/>
        <filter val="8.015,70"/>
        <filter val="8.317,00"/>
        <filter val="8.893,66"/>
        <filter val="813,75"/>
        <filter val="84,40"/>
        <filter val="98,10"/>
        <filter val="988,00"/>
        <filter val="SERVIÇO"/>
      </filters>
    </filterColumn>
  </autoFilter>
  <mergeCells count="15">
    <mergeCell ref="I2:I4"/>
    <mergeCell ref="O7:O8"/>
    <mergeCell ref="A7:A8"/>
    <mergeCell ref="B7:B8"/>
    <mergeCell ref="D7:D8"/>
    <mergeCell ref="E7:E8"/>
    <mergeCell ref="F7:F8"/>
    <mergeCell ref="G7:G8"/>
    <mergeCell ref="H7:H8"/>
    <mergeCell ref="J7:J8"/>
    <mergeCell ref="K7:K8"/>
    <mergeCell ref="L7:L8"/>
    <mergeCell ref="M7:M8"/>
    <mergeCell ref="D5:D6"/>
    <mergeCell ref="E5:I6"/>
  </mergeCells>
  <phoneticPr fontId="45" type="noConversion"/>
  <conditionalFormatting sqref="A9:V9 A28:V28 A25:C25 E25:V25 A30:V30 A33:V34 A31:C31 E31:V31 D31:D32 A37:V38 A35:C35 G35:V35 A43:V43 A49:V49 A44:D44 G44:V44 D35:D36 A39:C39 E39:V39 D39:D40 A54:V54 A50:D50 G50:V50 A55:D55 G55:V56 A52:C52 D52:D53 A56:C56 D56:D57 A58:V67 G47:V47 A47:C47 G52:V52 Z52:AI52 Z47:AI47 Z58:AI67 Z54:AI56 Z49:AI50 Z43:AI44 Z37:AI39 Z33:AI35 Z30:AI31 Z28:AI28 Z18:AI25 Z9:AI9 Z123:AI123 A90:AI90 A106:C106 G106:N106 P106:AI106 A111:AI111 A114:AI114 D115:D118 W115:AI122 A122:V123 Z11:AI11 A11:V11 D14:D17 A18:V24 D25:D26 A13:V13 Z13:AI13 D45:D48 A85:AI86 A81:C84 E81:AI84 D80:D84 A109:C110 E109:AI110 D102:D110">
    <cfRule type="expression" dxfId="558" priority="310">
      <formula>LEN($D9)= 3</formula>
    </cfRule>
    <cfRule type="expression" dxfId="557" priority="311">
      <formula>AND(LEN($D9)=5,$H9="")</formula>
    </cfRule>
    <cfRule type="expression" dxfId="556" priority="312">
      <formula>AND($D9&lt;&gt;"",$H9="")</formula>
    </cfRule>
  </conditionalFormatting>
  <conditionalFormatting sqref="A14:C16 E14:V16 Z14:AI16">
    <cfRule type="expression" dxfId="555" priority="298">
      <formula>LEN($D14)= 3</formula>
    </cfRule>
    <cfRule type="expression" dxfId="554" priority="299">
      <formula>AND(LEN($D14)=5,$H14="")</formula>
    </cfRule>
    <cfRule type="expression" dxfId="553" priority="300">
      <formula>AND($D14&lt;&gt;"",$H14="")</formula>
    </cfRule>
  </conditionalFormatting>
  <conditionalFormatting sqref="A17:C17 E17:V17 Z17:AI17">
    <cfRule type="expression" dxfId="552" priority="295">
      <formula>LEN($D17)= 3</formula>
    </cfRule>
    <cfRule type="expression" dxfId="551" priority="296">
      <formula>AND(LEN($D17)=5,$H17="")</formula>
    </cfRule>
    <cfRule type="expression" dxfId="550" priority="297">
      <formula>AND($D17&lt;&gt;"",$H17="")</formula>
    </cfRule>
  </conditionalFormatting>
  <conditionalFormatting sqref="A26:C26 E26:V26 Z26:AI26">
    <cfRule type="expression" dxfId="549" priority="292">
      <formula>LEN($D26)= 3</formula>
    </cfRule>
    <cfRule type="expression" dxfId="548" priority="293">
      <formula>AND(LEN($D26)=5,$H26="")</formula>
    </cfRule>
    <cfRule type="expression" dxfId="547" priority="294">
      <formula>AND($D26&lt;&gt;"",$H26="")</formula>
    </cfRule>
  </conditionalFormatting>
  <conditionalFormatting sqref="A27:V27 Z27:AI27">
    <cfRule type="expression" dxfId="546" priority="289">
      <formula>LEN($D27)= 3</formula>
    </cfRule>
    <cfRule type="expression" dxfId="545" priority="290">
      <formula>AND(LEN($D27)=5,$H27="")</formula>
    </cfRule>
    <cfRule type="expression" dxfId="544" priority="291">
      <formula>AND($D27&lt;&gt;"",$H27="")</formula>
    </cfRule>
  </conditionalFormatting>
  <conditionalFormatting sqref="A29:V29 Z29:AI29">
    <cfRule type="expression" dxfId="543" priority="286">
      <formula>LEN($D29)= 3</formula>
    </cfRule>
    <cfRule type="expression" dxfId="542" priority="287">
      <formula>AND(LEN($D29)=5,$H29="")</formula>
    </cfRule>
    <cfRule type="expression" dxfId="541" priority="288">
      <formula>AND($D29&lt;&gt;"",$H29="")</formula>
    </cfRule>
  </conditionalFormatting>
  <conditionalFormatting sqref="E35:F35">
    <cfRule type="expression" dxfId="540" priority="271">
      <formula>LEN($D35)= 3</formula>
    </cfRule>
    <cfRule type="expression" dxfId="539" priority="272">
      <formula>AND(LEN($D35)=5,$H35="")</formula>
    </cfRule>
    <cfRule type="expression" dxfId="538" priority="273">
      <formula>AND($D35&lt;&gt;"",$H35="")</formula>
    </cfRule>
  </conditionalFormatting>
  <conditionalFormatting sqref="A32:C32 E32:V32 Z32:AI32">
    <cfRule type="expression" dxfId="537" priority="280">
      <formula>LEN($D32)= 3</formula>
    </cfRule>
    <cfRule type="expression" dxfId="536" priority="281">
      <formula>AND(LEN($D32)=5,$H32="")</formula>
    </cfRule>
    <cfRule type="expression" dxfId="535" priority="282">
      <formula>AND($D32&lt;&gt;"",$H32="")</formula>
    </cfRule>
  </conditionalFormatting>
  <conditionalFormatting sqref="A40:C40 G40:V40 Z40:AI40">
    <cfRule type="expression" dxfId="534" priority="262">
      <formula>LEN($D40)= 3</formula>
    </cfRule>
    <cfRule type="expression" dxfId="533" priority="263">
      <formula>AND(LEN($D40)=5,$H40="")</formula>
    </cfRule>
    <cfRule type="expression" dxfId="532" priority="264">
      <formula>AND($D40&lt;&gt;"",$H40="")</formula>
    </cfRule>
  </conditionalFormatting>
  <conditionalFormatting sqref="A36:C36 G36:V36 Z36:AI36">
    <cfRule type="expression" dxfId="531" priority="274">
      <formula>LEN($D36)= 3</formula>
    </cfRule>
    <cfRule type="expression" dxfId="530" priority="275">
      <formula>AND(LEN($D36)=5,$H36="")</formula>
    </cfRule>
    <cfRule type="expression" dxfId="529" priority="276">
      <formula>AND($D36&lt;&gt;"",$H36="")</formula>
    </cfRule>
  </conditionalFormatting>
  <conditionalFormatting sqref="A48:C48 G48:V48 Z48:AI48">
    <cfRule type="expression" dxfId="528" priority="247">
      <formula>LEN($D48)= 3</formula>
    </cfRule>
    <cfRule type="expression" dxfId="527" priority="248">
      <formula>AND(LEN($D48)=5,$H48="")</formula>
    </cfRule>
    <cfRule type="expression" dxfId="526" priority="249">
      <formula>AND($D48&lt;&gt;"",$H48="")</formula>
    </cfRule>
  </conditionalFormatting>
  <conditionalFormatting sqref="E36:F36">
    <cfRule type="expression" dxfId="525" priority="268">
      <formula>LEN($D36)= 3</formula>
    </cfRule>
    <cfRule type="expression" dxfId="524" priority="269">
      <formula>AND(LEN($D36)=5,$H36="")</formula>
    </cfRule>
    <cfRule type="expression" dxfId="523" priority="270">
      <formula>AND($D36&lt;&gt;"",$H36="")</formula>
    </cfRule>
  </conditionalFormatting>
  <conditionalFormatting sqref="A42:V42 Z42:AI42">
    <cfRule type="expression" dxfId="522" priority="256">
      <formula>LEN($D42)= 3</formula>
    </cfRule>
    <cfRule type="expression" dxfId="521" priority="257">
      <formula>AND(LEN($D42)=5,$H42="")</formula>
    </cfRule>
    <cfRule type="expression" dxfId="520" priority="258">
      <formula>AND($D42&lt;&gt;"",$H42="")</formula>
    </cfRule>
  </conditionalFormatting>
  <conditionalFormatting sqref="E40:F40">
    <cfRule type="expression" dxfId="519" priority="259">
      <formula>LEN($D40)= 3</formula>
    </cfRule>
    <cfRule type="expression" dxfId="518" priority="260">
      <formula>AND(LEN($D40)=5,$H40="")</formula>
    </cfRule>
    <cfRule type="expression" dxfId="517" priority="261">
      <formula>AND($D40&lt;&gt;"",$H40="")</formula>
    </cfRule>
  </conditionalFormatting>
  <conditionalFormatting sqref="E44:F44 E47:F47">
    <cfRule type="expression" dxfId="516" priority="241">
      <formula>LEN($D44)= 3</formula>
    </cfRule>
    <cfRule type="expression" dxfId="515" priority="242">
      <formula>AND(LEN($D44)=5,$H44="")</formula>
    </cfRule>
    <cfRule type="expression" dxfId="514" priority="243">
      <formula>AND($D44&lt;&gt;"",$H44="")</formula>
    </cfRule>
  </conditionalFormatting>
  <conditionalFormatting sqref="A41:V41 Z41:AI41">
    <cfRule type="expression" dxfId="513" priority="253">
      <formula>LEN($D41)= 3</formula>
    </cfRule>
    <cfRule type="expression" dxfId="512" priority="254">
      <formula>AND(LEN($D41)=5,$H41="")</formula>
    </cfRule>
    <cfRule type="expression" dxfId="511" priority="255">
      <formula>AND($D41&lt;&gt;"",$H41="")</formula>
    </cfRule>
  </conditionalFormatting>
  <conditionalFormatting sqref="E48:F48">
    <cfRule type="expression" dxfId="510" priority="238">
      <formula>LEN($D48)= 3</formula>
    </cfRule>
    <cfRule type="expression" dxfId="509" priority="239">
      <formula>AND(LEN($D48)=5,$H48="")</formula>
    </cfRule>
    <cfRule type="expression" dxfId="508" priority="240">
      <formula>AND($D48&lt;&gt;"",$H48="")</formula>
    </cfRule>
  </conditionalFormatting>
  <conditionalFormatting sqref="E50:F50 E52:F52">
    <cfRule type="expression" dxfId="507" priority="226">
      <formula>LEN($D50)= 3</formula>
    </cfRule>
    <cfRule type="expression" dxfId="506" priority="227">
      <formula>AND(LEN($D50)=5,$H50="")</formula>
    </cfRule>
    <cfRule type="expression" dxfId="505" priority="228">
      <formula>AND($D50&lt;&gt;"",$H50="")</formula>
    </cfRule>
  </conditionalFormatting>
  <conditionalFormatting sqref="E53:F53">
    <cfRule type="expression" dxfId="504" priority="223">
      <formula>LEN($D53)= 3</formula>
    </cfRule>
    <cfRule type="expression" dxfId="503" priority="224">
      <formula>AND(LEN($D53)=5,$H53="")</formula>
    </cfRule>
    <cfRule type="expression" dxfId="502" priority="225">
      <formula>AND($D53&lt;&gt;"",$H53="")</formula>
    </cfRule>
  </conditionalFormatting>
  <conditionalFormatting sqref="A53:C53 G53:V53 Z53:AI53">
    <cfRule type="expression" dxfId="501" priority="232">
      <formula>LEN($D53)= 3</formula>
    </cfRule>
    <cfRule type="expression" dxfId="500" priority="233">
      <formula>AND(LEN($D53)=5,$H53="")</formula>
    </cfRule>
    <cfRule type="expression" dxfId="499" priority="234">
      <formula>AND($D53&lt;&gt;"",$H53="")</formula>
    </cfRule>
  </conditionalFormatting>
  <conditionalFormatting sqref="E57:F57">
    <cfRule type="expression" dxfId="498" priority="208">
      <formula>LEN($D57)= 3</formula>
    </cfRule>
    <cfRule type="expression" dxfId="497" priority="209">
      <formula>AND(LEN($D57)=5,$H57="")</formula>
    </cfRule>
    <cfRule type="expression" dxfId="496" priority="210">
      <formula>AND($D57&lt;&gt;"",$H57="")</formula>
    </cfRule>
  </conditionalFormatting>
  <conditionalFormatting sqref="E55:F56">
    <cfRule type="expression" dxfId="495" priority="211">
      <formula>LEN($D55)= 3</formula>
    </cfRule>
    <cfRule type="expression" dxfId="494" priority="212">
      <formula>AND(LEN($D55)=5,$H55="")</formula>
    </cfRule>
    <cfRule type="expression" dxfId="493" priority="213">
      <formula>AND($D55&lt;&gt;"",$H55="")</formula>
    </cfRule>
  </conditionalFormatting>
  <conditionalFormatting sqref="A57:C57 G57:V57 Z57:AI57">
    <cfRule type="expression" dxfId="492" priority="217">
      <formula>LEN($D57)= 3</formula>
    </cfRule>
    <cfRule type="expression" dxfId="491" priority="218">
      <formula>AND(LEN($D57)=5,$H57="")</formula>
    </cfRule>
    <cfRule type="expression" dxfId="490" priority="219">
      <formula>AND($D57&lt;&gt;"",$H57="")</formula>
    </cfRule>
  </conditionalFormatting>
  <conditionalFormatting sqref="A45:C45 E45:V45 Z45:AI45">
    <cfRule type="expression" dxfId="489" priority="205">
      <formula>LEN($D45)= 3</formula>
    </cfRule>
    <cfRule type="expression" dxfId="488" priority="206">
      <formula>AND(LEN($D45)=5,$H45="")</formula>
    </cfRule>
    <cfRule type="expression" dxfId="487" priority="207">
      <formula>AND($D45&lt;&gt;"",$H45="")</formula>
    </cfRule>
  </conditionalFormatting>
  <conditionalFormatting sqref="D51">
    <cfRule type="expression" dxfId="486" priority="202">
      <formula>LEN($D51)= 3</formula>
    </cfRule>
    <cfRule type="expression" dxfId="485" priority="203">
      <formula>AND(LEN($D51)=5,$H51="")</formula>
    </cfRule>
    <cfRule type="expression" dxfId="484" priority="204">
      <formula>AND($D51&lt;&gt;"",$H51="")</formula>
    </cfRule>
  </conditionalFormatting>
  <conditionalFormatting sqref="A51:C51 E51:V51 Z51:AI51">
    <cfRule type="expression" dxfId="483" priority="199">
      <formula>LEN($D51)= 3</formula>
    </cfRule>
    <cfRule type="expression" dxfId="482" priority="200">
      <formula>AND(LEN($D51)=5,$H51="")</formula>
    </cfRule>
    <cfRule type="expression" dxfId="481" priority="201">
      <formula>AND($D51&lt;&gt;"",$H51="")</formula>
    </cfRule>
  </conditionalFormatting>
  <conditionalFormatting sqref="W9:Y9 W28:Y28 W18:Y25 W30:Y31 W33:Y35 W43:Y44 W37:Y39 W49:Y50 W54:Y56 W58:Y67 W47:Y47 W52:Y52 W123:Y123 W11:Y11 W13:Y13">
    <cfRule type="expression" dxfId="480" priority="196">
      <formula>LEN($D9)= 3</formula>
    </cfRule>
    <cfRule type="expression" dxfId="479" priority="197">
      <formula>AND(LEN($D9)=5,$H9="")</formula>
    </cfRule>
    <cfRule type="expression" dxfId="478" priority="198">
      <formula>AND($D9&lt;&gt;"",$H9="")</formula>
    </cfRule>
  </conditionalFormatting>
  <conditionalFormatting sqref="W14:Y16">
    <cfRule type="expression" dxfId="477" priority="193">
      <formula>LEN($D14)= 3</formula>
    </cfRule>
    <cfRule type="expression" dxfId="476" priority="194">
      <formula>AND(LEN($D14)=5,$H14="")</formula>
    </cfRule>
    <cfRule type="expression" dxfId="475" priority="195">
      <formula>AND($D14&lt;&gt;"",$H14="")</formula>
    </cfRule>
  </conditionalFormatting>
  <conditionalFormatting sqref="W17:Y17">
    <cfRule type="expression" dxfId="474" priority="190">
      <formula>LEN($D17)= 3</formula>
    </cfRule>
    <cfRule type="expression" dxfId="473" priority="191">
      <formula>AND(LEN($D17)=5,$H17="")</formula>
    </cfRule>
    <cfRule type="expression" dxfId="472" priority="192">
      <formula>AND($D17&lt;&gt;"",$H17="")</formula>
    </cfRule>
  </conditionalFormatting>
  <conditionalFormatting sqref="W26:Y26">
    <cfRule type="expression" dxfId="471" priority="187">
      <formula>LEN($D26)= 3</formula>
    </cfRule>
    <cfRule type="expression" dxfId="470" priority="188">
      <formula>AND(LEN($D26)=5,$H26="")</formula>
    </cfRule>
    <cfRule type="expression" dxfId="469" priority="189">
      <formula>AND($D26&lt;&gt;"",$H26="")</formula>
    </cfRule>
  </conditionalFormatting>
  <conditionalFormatting sqref="W27:Y27">
    <cfRule type="expression" dxfId="468" priority="184">
      <formula>LEN($D27)= 3</formula>
    </cfRule>
    <cfRule type="expression" dxfId="467" priority="185">
      <formula>AND(LEN($D27)=5,$H27="")</formula>
    </cfRule>
    <cfRule type="expression" dxfId="466" priority="186">
      <formula>AND($D27&lt;&gt;"",$H27="")</formula>
    </cfRule>
  </conditionalFormatting>
  <conditionalFormatting sqref="W29:Y29">
    <cfRule type="expression" dxfId="465" priority="181">
      <formula>LEN($D29)= 3</formula>
    </cfRule>
    <cfRule type="expression" dxfId="464" priority="182">
      <formula>AND(LEN($D29)=5,$H29="")</formula>
    </cfRule>
    <cfRule type="expression" dxfId="463" priority="183">
      <formula>AND($D29&lt;&gt;"",$H29="")</formula>
    </cfRule>
  </conditionalFormatting>
  <conditionalFormatting sqref="W32:Y32">
    <cfRule type="expression" dxfId="462" priority="178">
      <formula>LEN($D32)= 3</formula>
    </cfRule>
    <cfRule type="expression" dxfId="461" priority="179">
      <formula>AND(LEN($D32)=5,$H32="")</formula>
    </cfRule>
    <cfRule type="expression" dxfId="460" priority="180">
      <formula>AND($D32&lt;&gt;"",$H32="")</formula>
    </cfRule>
  </conditionalFormatting>
  <conditionalFormatting sqref="W40:Y40">
    <cfRule type="expression" dxfId="459" priority="172">
      <formula>LEN($D40)= 3</formula>
    </cfRule>
    <cfRule type="expression" dxfId="458" priority="173">
      <formula>AND(LEN($D40)=5,$H40="")</formula>
    </cfRule>
    <cfRule type="expression" dxfId="457" priority="174">
      <formula>AND($D40&lt;&gt;"",$H40="")</formula>
    </cfRule>
  </conditionalFormatting>
  <conditionalFormatting sqref="W36:Y36">
    <cfRule type="expression" dxfId="456" priority="175">
      <formula>LEN($D36)= 3</formula>
    </cfRule>
    <cfRule type="expression" dxfId="455" priority="176">
      <formula>AND(LEN($D36)=5,$H36="")</formula>
    </cfRule>
    <cfRule type="expression" dxfId="454" priority="177">
      <formula>AND($D36&lt;&gt;"",$H36="")</formula>
    </cfRule>
  </conditionalFormatting>
  <conditionalFormatting sqref="W48:Y48">
    <cfRule type="expression" dxfId="453" priority="163">
      <formula>LEN($D48)= 3</formula>
    </cfRule>
    <cfRule type="expression" dxfId="452" priority="164">
      <formula>AND(LEN($D48)=5,$H48="")</formula>
    </cfRule>
    <cfRule type="expression" dxfId="451" priority="165">
      <formula>AND($D48&lt;&gt;"",$H48="")</formula>
    </cfRule>
  </conditionalFormatting>
  <conditionalFormatting sqref="W42:Y42">
    <cfRule type="expression" dxfId="450" priority="169">
      <formula>LEN($D42)= 3</formula>
    </cfRule>
    <cfRule type="expression" dxfId="449" priority="170">
      <formula>AND(LEN($D42)=5,$H42="")</formula>
    </cfRule>
    <cfRule type="expression" dxfId="448" priority="171">
      <formula>AND($D42&lt;&gt;"",$H42="")</formula>
    </cfRule>
  </conditionalFormatting>
  <conditionalFormatting sqref="W41:Y41">
    <cfRule type="expression" dxfId="447" priority="166">
      <formula>LEN($D41)= 3</formula>
    </cfRule>
    <cfRule type="expression" dxfId="446" priority="167">
      <formula>AND(LEN($D41)=5,$H41="")</formula>
    </cfRule>
    <cfRule type="expression" dxfId="445" priority="168">
      <formula>AND($D41&lt;&gt;"",$H41="")</formula>
    </cfRule>
  </conditionalFormatting>
  <conditionalFormatting sqref="W53:Y53">
    <cfRule type="expression" dxfId="444" priority="160">
      <formula>LEN($D53)= 3</formula>
    </cfRule>
    <cfRule type="expression" dxfId="443" priority="161">
      <formula>AND(LEN($D53)=5,$H53="")</formula>
    </cfRule>
    <cfRule type="expression" dxfId="442" priority="162">
      <formula>AND($D53&lt;&gt;"",$H53="")</formula>
    </cfRule>
  </conditionalFormatting>
  <conditionalFormatting sqref="W57:Y57">
    <cfRule type="expression" dxfId="441" priority="157">
      <formula>LEN($D57)= 3</formula>
    </cfRule>
    <cfRule type="expression" dxfId="440" priority="158">
      <formula>AND(LEN($D57)=5,$H57="")</formula>
    </cfRule>
    <cfRule type="expression" dxfId="439" priority="159">
      <formula>AND($D57&lt;&gt;"",$H57="")</formula>
    </cfRule>
  </conditionalFormatting>
  <conditionalFormatting sqref="W45:Y45">
    <cfRule type="expression" dxfId="438" priority="154">
      <formula>LEN($D45)= 3</formula>
    </cfRule>
    <cfRule type="expression" dxfId="437" priority="155">
      <formula>AND(LEN($D45)=5,$H45="")</formula>
    </cfRule>
    <cfRule type="expression" dxfId="436" priority="156">
      <formula>AND($D45&lt;&gt;"",$H45="")</formula>
    </cfRule>
  </conditionalFormatting>
  <conditionalFormatting sqref="W51:Y51">
    <cfRule type="expression" dxfId="435" priority="151">
      <formula>LEN($D51)= 3</formula>
    </cfRule>
    <cfRule type="expression" dxfId="434" priority="152">
      <formula>AND(LEN($D51)=5,$H51="")</formula>
    </cfRule>
    <cfRule type="expression" dxfId="433" priority="153">
      <formula>AND($D51&lt;&gt;"",$H51="")</formula>
    </cfRule>
  </conditionalFormatting>
  <conditionalFormatting sqref="A68:V69 Z68:AI70 A77:V77 A70:N70 P70:V70 Z73:AI77 A73:C76 E73:V76 D71:D76 Z112:AI112 A112:V112 A119:V120 C115:C117 A118:C118 V118 G115:S117 E118:T118 A121:N121 P121:V121">
    <cfRule type="expression" dxfId="432" priority="148">
      <formula>LEN($D68)= 3</formula>
    </cfRule>
    <cfRule type="expression" dxfId="431" priority="149">
      <formula>AND(LEN($D68)=5,$H68="")</formula>
    </cfRule>
    <cfRule type="expression" dxfId="430" priority="150">
      <formula>AND($D68&lt;&gt;"",$H68="")</formula>
    </cfRule>
  </conditionalFormatting>
  <conditionalFormatting sqref="W68:Y70 W73:Y77 W112:Y112">
    <cfRule type="expression" dxfId="429" priority="145">
      <formula>LEN($D68)= 3</formula>
    </cfRule>
    <cfRule type="expression" dxfId="428" priority="146">
      <formula>AND(LEN($D68)=5,$H68="")</formula>
    </cfRule>
    <cfRule type="expression" dxfId="427" priority="147">
      <formula>AND($D68&lt;&gt;"",$H68="")</formula>
    </cfRule>
  </conditionalFormatting>
  <conditionalFormatting sqref="O70">
    <cfRule type="expression" dxfId="426" priority="142">
      <formula>LEN($D70)= 3</formula>
    </cfRule>
    <cfRule type="expression" dxfId="425" priority="143">
      <formula>AND(LEN($D70)=5,$H70="")</formula>
    </cfRule>
    <cfRule type="expression" dxfId="424" priority="144">
      <formula>AND($D70&lt;&gt;"",$H70="")</formula>
    </cfRule>
  </conditionalFormatting>
  <conditionalFormatting sqref="Z71:AI72 A71:C72 V71:V72 E71:T72">
    <cfRule type="expression" dxfId="423" priority="139">
      <formula>LEN($D71)= 3</formula>
    </cfRule>
    <cfRule type="expression" dxfId="422" priority="140">
      <formula>AND(LEN($D71)=5,$H71="")</formula>
    </cfRule>
    <cfRule type="expression" dxfId="421" priority="141">
      <formula>AND($D71&lt;&gt;"",$H71="")</formula>
    </cfRule>
  </conditionalFormatting>
  <conditionalFormatting sqref="W71:Y72">
    <cfRule type="expression" dxfId="420" priority="136">
      <formula>LEN($D71)= 3</formula>
    </cfRule>
    <cfRule type="expression" dxfId="419" priority="137">
      <formula>AND(LEN($D71)=5,$H71="")</formula>
    </cfRule>
    <cfRule type="expression" dxfId="418" priority="138">
      <formula>AND($D71&lt;&gt;"",$H71="")</formula>
    </cfRule>
  </conditionalFormatting>
  <conditionalFormatting sqref="U71:U72">
    <cfRule type="expression" dxfId="417" priority="133">
      <formula>LEN($D71)= 3</formula>
    </cfRule>
    <cfRule type="expression" dxfId="416" priority="134">
      <formula>AND(LEN($D71)=5,$H71="")</formula>
    </cfRule>
    <cfRule type="expression" dxfId="415" priority="135">
      <formula>AND($D71&lt;&gt;"",$H71="")</formula>
    </cfRule>
  </conditionalFormatting>
  <conditionalFormatting sqref="Z91:AI102 A102:C102 E102:V102 A91:V101">
    <cfRule type="expression" dxfId="414" priority="130">
      <formula>LEN($D91)= 3</formula>
    </cfRule>
    <cfRule type="expression" dxfId="413" priority="131">
      <formula>AND(LEN($D91)=5,$H91="")</formula>
    </cfRule>
    <cfRule type="expression" dxfId="412" priority="132">
      <formula>AND($D91&lt;&gt;"",$H91="")</formula>
    </cfRule>
  </conditionalFormatting>
  <conditionalFormatting sqref="W91:Y102">
    <cfRule type="expression" dxfId="411" priority="127">
      <formula>LEN($D91)= 3</formula>
    </cfRule>
    <cfRule type="expression" dxfId="410" priority="128">
      <formula>AND(LEN($D91)=5,$H91="")</formula>
    </cfRule>
    <cfRule type="expression" dxfId="409" priority="129">
      <formula>AND($D91&lt;&gt;"",$H91="")</formula>
    </cfRule>
  </conditionalFormatting>
  <conditionalFormatting sqref="A87:T87 Z87:AI87 V87 D88:D89">
    <cfRule type="expression" dxfId="408" priority="118">
      <formula>LEN($D87)= 3</formula>
    </cfRule>
    <cfRule type="expression" dxfId="407" priority="119">
      <formula>AND(LEN($D87)=5,$H87="")</formula>
    </cfRule>
    <cfRule type="expression" dxfId="406" priority="120">
      <formula>AND($D87&lt;&gt;"",$H87="")</formula>
    </cfRule>
  </conditionalFormatting>
  <conditionalFormatting sqref="W87:Y87">
    <cfRule type="expression" dxfId="405" priority="115">
      <formula>LEN($D87)= 3</formula>
    </cfRule>
    <cfRule type="expression" dxfId="404" priority="116">
      <formula>AND(LEN($D87)=5,$H87="")</formula>
    </cfRule>
    <cfRule type="expression" dxfId="403" priority="117">
      <formula>AND($D87&lt;&gt;"",$H87="")</formula>
    </cfRule>
  </conditionalFormatting>
  <conditionalFormatting sqref="Z89:AI89 A89 E89:V89 C89">
    <cfRule type="expression" dxfId="402" priority="112">
      <formula>LEN($D89)= 3</formula>
    </cfRule>
    <cfRule type="expression" dxfId="401" priority="113">
      <formula>AND(LEN($D89)=5,$H89="")</formula>
    </cfRule>
    <cfRule type="expression" dxfId="400" priority="114">
      <formula>AND($D89&lt;&gt;"",$H89="")</formula>
    </cfRule>
  </conditionalFormatting>
  <conditionalFormatting sqref="W89:Y89">
    <cfRule type="expression" dxfId="399" priority="109">
      <formula>LEN($D89)= 3</formula>
    </cfRule>
    <cfRule type="expression" dxfId="398" priority="110">
      <formula>AND(LEN($D89)=5,$H89="")</formula>
    </cfRule>
    <cfRule type="expression" dxfId="397" priority="111">
      <formula>AND($D89&lt;&gt;"",$H89="")</formula>
    </cfRule>
  </conditionalFormatting>
  <conditionalFormatting sqref="U87">
    <cfRule type="expression" dxfId="396" priority="103">
      <formula>LEN($D87)= 3</formula>
    </cfRule>
    <cfRule type="expression" dxfId="395" priority="104">
      <formula>AND(LEN($D87)=5,$H87="")</formula>
    </cfRule>
    <cfRule type="expression" dxfId="394" priority="105">
      <formula>AND($D87&lt;&gt;"",$H87="")</formula>
    </cfRule>
  </conditionalFormatting>
  <conditionalFormatting sqref="Z103:AI105 A103:C103 A105:C105 B104:C104 E103:V105">
    <cfRule type="expression" dxfId="393" priority="100">
      <formula>LEN($D103)= 3</formula>
    </cfRule>
    <cfRule type="expression" dxfId="392" priority="101">
      <formula>AND(LEN($D103)=5,$H103="")</formula>
    </cfRule>
    <cfRule type="expression" dxfId="391" priority="102">
      <formula>AND($D103&lt;&gt;"",$H103="")</formula>
    </cfRule>
  </conditionalFormatting>
  <conditionalFormatting sqref="W103:Y105">
    <cfRule type="expression" dxfId="390" priority="97">
      <formula>LEN($D103)= 3</formula>
    </cfRule>
    <cfRule type="expression" dxfId="389" priority="98">
      <formula>AND(LEN($D103)=5,$H103="")</formula>
    </cfRule>
    <cfRule type="expression" dxfId="388" priority="99">
      <formula>AND($D103&lt;&gt;"",$H103="")</formula>
    </cfRule>
  </conditionalFormatting>
  <conditionalFormatting sqref="A104">
    <cfRule type="expression" dxfId="387" priority="88">
      <formula>LEN($D104)= 3</formula>
    </cfRule>
    <cfRule type="expression" dxfId="386" priority="89">
      <formula>AND(LEN($D104)=5,$H104="")</formula>
    </cfRule>
    <cfRule type="expression" dxfId="385" priority="90">
      <formula>AND($D104&lt;&gt;"",$H104="")</formula>
    </cfRule>
  </conditionalFormatting>
  <conditionalFormatting sqref="A107:C107 V107:AI107 E107:T107">
    <cfRule type="expression" dxfId="384" priority="85">
      <formula>LEN($D107)= 3</formula>
    </cfRule>
    <cfRule type="expression" dxfId="383" priority="86">
      <formula>AND(LEN($D107)=5,$H107="")</formula>
    </cfRule>
    <cfRule type="expression" dxfId="382" priority="87">
      <formula>AND($D107&lt;&gt;"",$H107="")</formula>
    </cfRule>
  </conditionalFormatting>
  <conditionalFormatting sqref="E106:F106">
    <cfRule type="expression" dxfId="381" priority="82">
      <formula>LEN($D106)= 3</formula>
    </cfRule>
    <cfRule type="expression" dxfId="380" priority="83">
      <formula>AND(LEN($D106)=5,$H106="")</formula>
    </cfRule>
    <cfRule type="expression" dxfId="379" priority="84">
      <formula>AND($D106&lt;&gt;"",$H106="")</formula>
    </cfRule>
  </conditionalFormatting>
  <conditionalFormatting sqref="B89">
    <cfRule type="expression" dxfId="378" priority="79">
      <formula>LEN($D89)= 3</formula>
    </cfRule>
    <cfRule type="expression" dxfId="377" priority="80">
      <formula>AND(LEN($D89)=5,$H89="")</formula>
    </cfRule>
    <cfRule type="expression" dxfId="376" priority="81">
      <formula>AND($D89&lt;&gt;"",$H89="")</formula>
    </cfRule>
  </conditionalFormatting>
  <conditionalFormatting sqref="O106">
    <cfRule type="expression" dxfId="375" priority="76">
      <formula>LEN($D106)= 3</formula>
    </cfRule>
    <cfRule type="expression" dxfId="374" priority="77">
      <formula>AND(LEN($D106)=5,$H106="")</formula>
    </cfRule>
    <cfRule type="expression" dxfId="373" priority="78">
      <formula>AND($D106&lt;&gt;"",$H106="")</formula>
    </cfRule>
  </conditionalFormatting>
  <conditionalFormatting sqref="U107">
    <cfRule type="expression" dxfId="372" priority="73">
      <formula>LEN($D107)= 3</formula>
    </cfRule>
    <cfRule type="expression" dxfId="371" priority="74">
      <formula>AND(LEN($D107)=5,$H107="")</formula>
    </cfRule>
    <cfRule type="expression" dxfId="370" priority="75">
      <formula>AND($D107&lt;&gt;"",$H107="")</formula>
    </cfRule>
  </conditionalFormatting>
  <conditionalFormatting sqref="A88:C88 P88:AI88 E88:N88">
    <cfRule type="expression" dxfId="369" priority="70">
      <formula>LEN($D88)= 3</formula>
    </cfRule>
    <cfRule type="expression" dxfId="368" priority="71">
      <formula>AND(LEN($D88)=5,$H88="")</formula>
    </cfRule>
    <cfRule type="expression" dxfId="367" priority="72">
      <formula>AND($D88&lt;&gt;"",$H88="")</formula>
    </cfRule>
  </conditionalFormatting>
  <conditionalFormatting sqref="O88">
    <cfRule type="expression" dxfId="366" priority="67">
      <formula>LEN($D88)= 3</formula>
    </cfRule>
    <cfRule type="expression" dxfId="365" priority="68">
      <formula>AND(LEN($D88)=5,$H88="")</formula>
    </cfRule>
    <cfRule type="expression" dxfId="364" priority="69">
      <formula>AND($D88&lt;&gt;"",$H88="")</formula>
    </cfRule>
  </conditionalFormatting>
  <conditionalFormatting sqref="A108:C108 E108:T108 V108:AI108">
    <cfRule type="expression" dxfId="363" priority="64">
      <formula>LEN($D108)= 3</formula>
    </cfRule>
    <cfRule type="expression" dxfId="362" priority="65">
      <formula>AND(LEN($D108)=5,$H108="")</formula>
    </cfRule>
    <cfRule type="expression" dxfId="361" priority="66">
      <formula>AND($D108&lt;&gt;"",$H108="")</formula>
    </cfRule>
  </conditionalFormatting>
  <conditionalFormatting sqref="U108">
    <cfRule type="expression" dxfId="360" priority="61">
      <formula>LEN($D108)= 3</formula>
    </cfRule>
    <cfRule type="expression" dxfId="359" priority="62">
      <formula>AND(LEN($D108)=5,$H108="")</formula>
    </cfRule>
    <cfRule type="expression" dxfId="358" priority="63">
      <formula>AND($D108&lt;&gt;"",$H108="")</formula>
    </cfRule>
  </conditionalFormatting>
  <conditionalFormatting sqref="T115:V115">
    <cfRule type="expression" dxfId="357" priority="58">
      <formula>LEN($D115)= 3</formula>
    </cfRule>
    <cfRule type="expression" dxfId="356" priority="59">
      <formula>AND(LEN($D115)=5,$H115="")</formula>
    </cfRule>
    <cfRule type="expression" dxfId="355" priority="60">
      <formula>AND($D115&lt;&gt;"",$H115="")</formula>
    </cfRule>
  </conditionalFormatting>
  <conditionalFormatting sqref="T116:V117">
    <cfRule type="expression" dxfId="354" priority="55">
      <formula>LEN($D116)= 3</formula>
    </cfRule>
    <cfRule type="expression" dxfId="353" priority="56">
      <formula>AND(LEN($D116)=5,$H116="")</formula>
    </cfRule>
    <cfRule type="expression" dxfId="352" priority="57">
      <formula>AND($D116&lt;&gt;"",$H116="")</formula>
    </cfRule>
  </conditionalFormatting>
  <conditionalFormatting sqref="U118">
    <cfRule type="expression" dxfId="351" priority="52">
      <formula>LEN($D118)= 3</formula>
    </cfRule>
    <cfRule type="expression" dxfId="350" priority="53">
      <formula>AND(LEN($D118)=5,$H118="")</formula>
    </cfRule>
    <cfRule type="expression" dxfId="349" priority="54">
      <formula>AND($D118&lt;&gt;"",$H118="")</formula>
    </cfRule>
  </conditionalFormatting>
  <conditionalFormatting sqref="E115:F115">
    <cfRule type="expression" dxfId="348" priority="49">
      <formula>LEN($D115)= 3</formula>
    </cfRule>
    <cfRule type="expression" dxfId="347" priority="50">
      <formula>AND(LEN($D115)=5,$H115="")</formula>
    </cfRule>
    <cfRule type="expression" dxfId="346" priority="51">
      <formula>AND($D115&lt;&gt;"",$H115="")</formula>
    </cfRule>
  </conditionalFormatting>
  <conditionalFormatting sqref="E116:F117">
    <cfRule type="expression" dxfId="345" priority="46">
      <formula>LEN($D116)= 3</formula>
    </cfRule>
    <cfRule type="expression" dxfId="344" priority="47">
      <formula>AND(LEN($D116)=5,$H116="")</formula>
    </cfRule>
    <cfRule type="expression" dxfId="343" priority="48">
      <formula>AND($D116&lt;&gt;"",$H116="")</formula>
    </cfRule>
  </conditionalFormatting>
  <conditionalFormatting sqref="A115:B115">
    <cfRule type="expression" dxfId="342" priority="43">
      <formula>LEN($D115)= 3</formula>
    </cfRule>
    <cfRule type="expression" dxfId="341" priority="44">
      <formula>AND(LEN($D115)=5,$H115="")</formula>
    </cfRule>
    <cfRule type="expression" dxfId="340" priority="45">
      <formula>AND($D115&lt;&gt;"",$H115="")</formula>
    </cfRule>
  </conditionalFormatting>
  <conditionalFormatting sqref="A116:B116 B117">
    <cfRule type="expression" dxfId="339" priority="40">
      <formula>LEN($D116)= 3</formula>
    </cfRule>
    <cfRule type="expression" dxfId="338" priority="41">
      <formula>AND(LEN($D116)=5,$H116="")</formula>
    </cfRule>
    <cfRule type="expression" dxfId="337" priority="42">
      <formula>AND($D116&lt;&gt;"",$H116="")</formula>
    </cfRule>
  </conditionalFormatting>
  <conditionalFormatting sqref="A117">
    <cfRule type="expression" dxfId="336" priority="37">
      <formula>LEN($D117)= 3</formula>
    </cfRule>
    <cfRule type="expression" dxfId="335" priority="38">
      <formula>AND(LEN($D117)=5,$H117="")</formula>
    </cfRule>
    <cfRule type="expression" dxfId="334" priority="39">
      <formula>AND($D117&lt;&gt;"",$H117="")</formula>
    </cfRule>
  </conditionalFormatting>
  <conditionalFormatting sqref="O121">
    <cfRule type="expression" dxfId="333" priority="34">
      <formula>LEN($D121)= 3</formula>
    </cfRule>
    <cfRule type="expression" dxfId="332" priority="35">
      <formula>AND(LEN($D121)=5,$H121="")</formula>
    </cfRule>
    <cfRule type="expression" dxfId="331" priority="36">
      <formula>AND($D121&lt;&gt;"",$H121="")</formula>
    </cfRule>
  </conditionalFormatting>
  <conditionalFormatting sqref="A10:V10 Z10:AI10">
    <cfRule type="expression" dxfId="330" priority="31">
      <formula>LEN($D10)= 3</formula>
    </cfRule>
    <cfRule type="expression" dxfId="329" priority="32">
      <formula>AND(LEN($D10)=5,$H10="")</formula>
    </cfRule>
    <cfRule type="expression" dxfId="328" priority="33">
      <formula>AND($D10&lt;&gt;"",$H10="")</formula>
    </cfRule>
  </conditionalFormatting>
  <conditionalFormatting sqref="W10:Y10">
    <cfRule type="expression" dxfId="327" priority="28">
      <formula>LEN($D10)= 3</formula>
    </cfRule>
    <cfRule type="expression" dxfId="326" priority="29">
      <formula>AND(LEN($D10)=5,$H10="")</formula>
    </cfRule>
    <cfRule type="expression" dxfId="325" priority="30">
      <formula>AND($D10&lt;&gt;"",$H10="")</formula>
    </cfRule>
  </conditionalFormatting>
  <conditionalFormatting sqref="A113:AI113">
    <cfRule type="expression" dxfId="324" priority="25">
      <formula>LEN($D113)= 3</formula>
    </cfRule>
    <cfRule type="expression" dxfId="323" priority="26">
      <formula>AND(LEN($D113)=5,$H113="")</formula>
    </cfRule>
    <cfRule type="expression" dxfId="322" priority="27">
      <formula>AND($D113&lt;&gt;"",$H113="")</formula>
    </cfRule>
  </conditionalFormatting>
  <conditionalFormatting sqref="Z12:AI12 A12:V12">
    <cfRule type="expression" dxfId="321" priority="22">
      <formula>LEN($D12)= 3</formula>
    </cfRule>
    <cfRule type="expression" dxfId="320" priority="23">
      <formula>AND(LEN($D12)=5,$H12="")</formula>
    </cfRule>
    <cfRule type="expression" dxfId="319" priority="24">
      <formula>AND($D12&lt;&gt;"",$H12="")</formula>
    </cfRule>
  </conditionalFormatting>
  <conditionalFormatting sqref="W12:Y12">
    <cfRule type="expression" dxfId="318" priority="19">
      <formula>LEN($D12)= 3</formula>
    </cfRule>
    <cfRule type="expression" dxfId="317" priority="20">
      <formula>AND(LEN($D12)=5,$H12="")</formula>
    </cfRule>
    <cfRule type="expression" dxfId="316" priority="21">
      <formula>AND($D12&lt;&gt;"",$H12="")</formula>
    </cfRule>
  </conditionalFormatting>
  <conditionalFormatting sqref="A46:C46 Z46:AI46 E46:V46">
    <cfRule type="expression" dxfId="315" priority="16">
      <formula>LEN($D46)= 3</formula>
    </cfRule>
    <cfRule type="expression" dxfId="314" priority="17">
      <formula>AND(LEN($D46)=5,$H46="")</formula>
    </cfRule>
    <cfRule type="expression" dxfId="313" priority="18">
      <formula>AND($D46&lt;&gt;"",$H46="")</formula>
    </cfRule>
  </conditionalFormatting>
  <conditionalFormatting sqref="W46:Y46">
    <cfRule type="expression" dxfId="312" priority="13">
      <formula>LEN($D46)= 3</formula>
    </cfRule>
    <cfRule type="expression" dxfId="311" priority="14">
      <formula>AND(LEN($D46)=5,$H46="")</formula>
    </cfRule>
    <cfRule type="expression" dxfId="310" priority="15">
      <formula>AND($D46&lt;&gt;"",$H46="")</formula>
    </cfRule>
  </conditionalFormatting>
  <conditionalFormatting sqref="Z78:AI79 A78:V79">
    <cfRule type="expression" dxfId="309" priority="10">
      <formula>LEN($D78)= 3</formula>
    </cfRule>
    <cfRule type="expression" dxfId="308" priority="11">
      <formula>AND(LEN($D78)=5,$H78="")</formula>
    </cfRule>
    <cfRule type="expression" dxfId="307" priority="12">
      <formula>AND($D78&lt;&gt;"",$H78="")</formula>
    </cfRule>
  </conditionalFormatting>
  <conditionalFormatting sqref="W78:Y79">
    <cfRule type="expression" dxfId="306" priority="7">
      <formula>LEN($D78)= 3</formula>
    </cfRule>
    <cfRule type="expression" dxfId="305" priority="8">
      <formula>AND(LEN($D78)=5,$H78="")</formula>
    </cfRule>
    <cfRule type="expression" dxfId="304" priority="9">
      <formula>AND($D78&lt;&gt;"",$H78="")</formula>
    </cfRule>
  </conditionalFormatting>
  <conditionalFormatting sqref="A80:C80 Z80:AI80 E80:V80">
    <cfRule type="expression" dxfId="303" priority="4">
      <formula>LEN($D80)= 3</formula>
    </cfRule>
    <cfRule type="expression" dxfId="302" priority="5">
      <formula>AND(LEN($D80)=5,$H80="")</formula>
    </cfRule>
    <cfRule type="expression" dxfId="301" priority="6">
      <formula>AND($D80&lt;&gt;"",$H80="")</formula>
    </cfRule>
  </conditionalFormatting>
  <conditionalFormatting sqref="W80:Y80">
    <cfRule type="expression" dxfId="300" priority="1">
      <formula>LEN($D80)= 3</formula>
    </cfRule>
    <cfRule type="expression" dxfId="299" priority="2">
      <formula>AND(LEN($D80)=5,$H80="")</formula>
    </cfRule>
    <cfRule type="expression" dxfId="298" priority="3">
      <formula>AND($D80&lt;&gt;"",$H80="")</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9525A-EB44-4AE4-8064-7AD6E62B4C1C}">
  <sheetPr filterMode="1">
    <tabColor rgb="FF002060"/>
    <outlinePr summaryBelow="0" summaryRight="0"/>
    <pageSetUpPr fitToPage="1"/>
  </sheetPr>
  <dimension ref="A1:AI39"/>
  <sheetViews>
    <sheetView showGridLines="0" workbookViewId="0">
      <pane xSplit="9" ySplit="9" topLeftCell="J16" activePane="bottomRight" state="frozen"/>
      <selection activeCell="P26" sqref="P26"/>
      <selection pane="topRight" activeCell="P26" sqref="P26"/>
      <selection pane="bottomLeft" activeCell="P26" sqref="P26"/>
      <selection pane="bottomRight" activeCell="M34" sqref="M34"/>
    </sheetView>
  </sheetViews>
  <sheetFormatPr defaultColWidth="9.140625" defaultRowHeight="12.75" x14ac:dyDescent="0.25"/>
  <cols>
    <col min="1" max="1" width="50.7109375" style="141" customWidth="1"/>
    <col min="2" max="2" width="9.7109375" style="140" customWidth="1"/>
    <col min="3" max="3" width="1.7109375" style="141" customWidth="1"/>
    <col min="4" max="4" width="17.7109375" style="141" customWidth="1"/>
    <col min="5" max="5" width="15.7109375" style="143" customWidth="1"/>
    <col min="6" max="6" width="12.7109375" style="141" customWidth="1"/>
    <col min="7" max="7" width="50.7109375" style="141" customWidth="1"/>
    <col min="8" max="8" width="9.7109375" style="140" customWidth="1"/>
    <col min="9" max="9" width="12.7109375" style="144" customWidth="1"/>
    <col min="10" max="10" width="14.7109375" style="144" customWidth="1"/>
    <col min="11" max="11" width="14.7109375" style="409" customWidth="1"/>
    <col min="12" max="13" width="14.7109375" style="144" customWidth="1"/>
    <col min="14" max="14" width="1.7109375" style="141" customWidth="1"/>
    <col min="15" max="15" width="50.7109375" style="141" customWidth="1"/>
    <col min="16" max="16" width="1.7109375" style="141" customWidth="1"/>
    <col min="17" max="17" width="14.7109375" style="140" customWidth="1"/>
    <col min="18" max="28" width="14.7109375" style="141" customWidth="1"/>
    <col min="29" max="29" width="1.7109375" style="141" customWidth="1"/>
    <col min="30" max="35" width="12.7109375" style="144" customWidth="1"/>
    <col min="36" max="16384" width="9.140625" style="141"/>
  </cols>
  <sheetData>
    <row r="1" spans="1:35" s="137" customFormat="1" ht="18" x14ac:dyDescent="0.25">
      <c r="A1" s="230"/>
      <c r="B1" s="230"/>
      <c r="D1" s="726" t="s">
        <v>1531</v>
      </c>
      <c r="E1" s="726"/>
      <c r="F1" s="726"/>
      <c r="G1" s="726"/>
      <c r="H1" s="726"/>
      <c r="I1" s="726"/>
      <c r="J1" s="231"/>
      <c r="K1" s="727"/>
      <c r="L1" s="728"/>
      <c r="M1" s="757" t="str">
        <f>'PSP-RESUMO'!$C$3</f>
        <v>ENCARGOS SOCIAIS SEM DESONERAÇÃO</v>
      </c>
      <c r="O1" s="43"/>
      <c r="AD1" s="819"/>
      <c r="AE1" s="819"/>
      <c r="AF1" s="819"/>
      <c r="AG1" s="819"/>
      <c r="AH1" s="819"/>
      <c r="AI1" s="819"/>
    </row>
    <row r="2" spans="1:35" s="137" customFormat="1" ht="15" x14ac:dyDescent="0.25">
      <c r="A2" s="129"/>
      <c r="D2" s="729" t="s">
        <v>1147</v>
      </c>
      <c r="E2" s="744" t="str">
        <f>IF('TRECHO(S) A IMPRIMIR'!$B$1= 1, 'PSP-RESUMO'!$B$2, IF('TRECHO(S) A IMPRIMIR'!$B$1= 2,#REF!,#REF!))</f>
        <v>URBANIZAÇÃO DO SETOR SOL NASCENTE - TRECHOS 1 e 3</v>
      </c>
      <c r="F2" s="730"/>
      <c r="G2" s="730"/>
      <c r="H2" s="730"/>
      <c r="I2" s="730"/>
      <c r="J2" s="126"/>
      <c r="K2" s="731"/>
      <c r="L2" s="807" t="s">
        <v>156</v>
      </c>
      <c r="M2" s="808" t="str">
        <f>'PSP-RESUMO'!$D$4</f>
        <v>28/JAN/2022</v>
      </c>
      <c r="AD2" s="819"/>
      <c r="AE2" s="819"/>
      <c r="AF2" s="819"/>
      <c r="AG2" s="819"/>
      <c r="AH2" s="819"/>
      <c r="AI2" s="819"/>
    </row>
    <row r="3" spans="1:35" s="137" customFormat="1" ht="18" x14ac:dyDescent="0.25">
      <c r="A3" s="130"/>
      <c r="D3" s="1408" t="s">
        <v>34</v>
      </c>
      <c r="E3" s="742" t="str">
        <f>'PSP-RESUMO'!B3</f>
        <v>SETOR SOL NASCENTE, CEILÂNDIA/DF</v>
      </c>
      <c r="F3" s="733"/>
      <c r="G3" s="733"/>
      <c r="H3" s="733"/>
      <c r="I3" s="734"/>
      <c r="J3" s="126"/>
      <c r="K3" s="735"/>
      <c r="L3" s="807" t="s">
        <v>1978</v>
      </c>
      <c r="M3" s="809" t="str">
        <f>'PSP-RESUMO'!$D$18</f>
        <v>JUNHO/2021</v>
      </c>
      <c r="AD3" s="819"/>
      <c r="AE3" s="819"/>
      <c r="AF3" s="819"/>
      <c r="AG3" s="819"/>
      <c r="AH3" s="819"/>
      <c r="AI3" s="819"/>
    </row>
    <row r="4" spans="1:35" s="137" customFormat="1" ht="15" x14ac:dyDescent="0.25">
      <c r="A4" s="129"/>
      <c r="D4" s="1408" t="s">
        <v>33</v>
      </c>
      <c r="E4" s="742" t="str">
        <f>'PSP-RESUMO'!B4</f>
        <v>ARIA</v>
      </c>
      <c r="F4" s="737"/>
      <c r="G4" s="736"/>
      <c r="H4" s="734"/>
      <c r="I4" s="736"/>
      <c r="J4" s="282"/>
      <c r="K4" s="738"/>
      <c r="L4" s="807" t="s">
        <v>1979</v>
      </c>
      <c r="M4" s="810">
        <f>IF('PSP-RESUMO'!$C$3 = "ENCARGOS SOCIAIS SEM DESONERAÇÃO", 'BDI obras SD'!$H$23, 'BDI obras CD'!$H$23)</f>
        <v>0.2033513845915047</v>
      </c>
      <c r="AD4" s="819"/>
      <c r="AE4" s="819"/>
      <c r="AF4" s="819"/>
      <c r="AG4" s="819"/>
      <c r="AH4" s="819"/>
      <c r="AI4" s="819"/>
    </row>
    <row r="5" spans="1:35" s="137" customFormat="1" ht="15" customHeight="1" x14ac:dyDescent="0.25">
      <c r="A5" s="129"/>
      <c r="B5" s="139"/>
      <c r="D5" s="1936" t="s">
        <v>1284</v>
      </c>
      <c r="E5" s="1938" t="str">
        <f>$G$9</f>
        <v>SINALIZAÇÃO VIÁRIA - TRECHOS 1 e 3</v>
      </c>
      <c r="F5" s="1938"/>
      <c r="G5" s="1938"/>
      <c r="H5" s="1938"/>
      <c r="I5" s="1938"/>
      <c r="J5" s="805"/>
      <c r="K5" s="803"/>
      <c r="L5" s="807" t="s">
        <v>1980</v>
      </c>
      <c r="M5" s="811">
        <f>IF('PSP-RESUMO'!$C$3 = "ENCARGOS SOCIAIS SEM DESONERAÇÃO", 'BDI-Difer SD'!$H$23, 'BDI-Difer CD'!$H$23)</f>
        <v>0.11096635744680849</v>
      </c>
      <c r="AD5" s="819"/>
      <c r="AE5" s="819"/>
      <c r="AF5" s="819"/>
      <c r="AG5" s="819"/>
      <c r="AH5" s="819"/>
      <c r="AI5" s="819"/>
    </row>
    <row r="6" spans="1:35" s="137" customFormat="1" ht="15" customHeight="1" thickBot="1" x14ac:dyDescent="0.3">
      <c r="A6" s="129"/>
      <c r="B6" s="139"/>
      <c r="D6" s="1937"/>
      <c r="E6" s="1939"/>
      <c r="F6" s="1939"/>
      <c r="G6" s="1939"/>
      <c r="H6" s="1939"/>
      <c r="I6" s="1939"/>
      <c r="J6" s="806"/>
      <c r="K6" s="743"/>
      <c r="L6" s="813" t="s">
        <v>1339</v>
      </c>
      <c r="M6" s="802">
        <f>'01-CO'!M6</f>
        <v>18</v>
      </c>
      <c r="AD6" s="819"/>
      <c r="AE6" s="819"/>
      <c r="AF6" s="819"/>
      <c r="AG6" s="819"/>
      <c r="AH6" s="819"/>
      <c r="AI6" s="819"/>
    </row>
    <row r="7" spans="1:35" ht="27" customHeight="1" x14ac:dyDescent="0.25">
      <c r="A7" s="1962" t="s">
        <v>31</v>
      </c>
      <c r="B7" s="1962" t="s">
        <v>1</v>
      </c>
      <c r="D7" s="1964" t="s">
        <v>0</v>
      </c>
      <c r="E7" s="1958" t="s">
        <v>32</v>
      </c>
      <c r="F7" s="1962" t="s">
        <v>1206</v>
      </c>
      <c r="G7" s="1962" t="s">
        <v>30</v>
      </c>
      <c r="H7" s="1962" t="s">
        <v>1</v>
      </c>
      <c r="I7" s="753" t="s">
        <v>29</v>
      </c>
      <c r="J7" s="1954" t="s">
        <v>1204</v>
      </c>
      <c r="K7" s="1950" t="s">
        <v>1202</v>
      </c>
      <c r="L7" s="1952" t="s">
        <v>1203</v>
      </c>
      <c r="M7" s="1970" t="s">
        <v>1205</v>
      </c>
      <c r="O7" s="1956" t="s">
        <v>160</v>
      </c>
      <c r="Q7" s="755" t="s">
        <v>418</v>
      </c>
      <c r="R7" s="750"/>
      <c r="S7" s="751"/>
      <c r="T7" s="752" t="s">
        <v>1717</v>
      </c>
      <c r="U7" s="750"/>
      <c r="V7" s="751"/>
      <c r="W7" s="752" t="s">
        <v>1804</v>
      </c>
      <c r="X7" s="750"/>
      <c r="Y7" s="751"/>
      <c r="Z7" s="750" t="s">
        <v>147</v>
      </c>
      <c r="AA7" s="750"/>
      <c r="AB7" s="751"/>
    </row>
    <row r="8" spans="1:35" ht="27" customHeight="1" thickBot="1" x14ac:dyDescent="0.3">
      <c r="A8" s="1963"/>
      <c r="B8" s="1963"/>
      <c r="D8" s="1965"/>
      <c r="E8" s="1959"/>
      <c r="F8" s="1963"/>
      <c r="G8" s="1963"/>
      <c r="H8" s="1963"/>
      <c r="I8" s="754" t="s">
        <v>8</v>
      </c>
      <c r="J8" s="1955"/>
      <c r="K8" s="1951"/>
      <c r="L8" s="1953"/>
      <c r="M8" s="1971"/>
      <c r="O8" s="1969"/>
      <c r="Q8" s="747" t="s">
        <v>1053</v>
      </c>
      <c r="R8" s="745" t="s">
        <v>1054</v>
      </c>
      <c r="S8" s="746" t="s">
        <v>288</v>
      </c>
      <c r="T8" s="749" t="s">
        <v>1053</v>
      </c>
      <c r="U8" s="745" t="s">
        <v>1054</v>
      </c>
      <c r="V8" s="746" t="s">
        <v>288</v>
      </c>
      <c r="W8" s="749" t="s">
        <v>1053</v>
      </c>
      <c r="X8" s="745" t="s">
        <v>1054</v>
      </c>
      <c r="Y8" s="746" t="s">
        <v>288</v>
      </c>
      <c r="Z8" s="748" t="s">
        <v>1053</v>
      </c>
      <c r="AA8" s="745" t="s">
        <v>1054</v>
      </c>
      <c r="AB8" s="746" t="s">
        <v>288</v>
      </c>
      <c r="AD8" s="503" t="s">
        <v>1340</v>
      </c>
      <c r="AE8" s="504" t="s">
        <v>1341</v>
      </c>
      <c r="AF8" s="504" t="s">
        <v>1342</v>
      </c>
      <c r="AG8" s="504" t="s">
        <v>1343</v>
      </c>
      <c r="AH8" s="505" t="s">
        <v>997</v>
      </c>
      <c r="AI8" s="505" t="s">
        <v>1381</v>
      </c>
    </row>
    <row r="9" spans="1:35" s="3" customFormat="1" x14ac:dyDescent="0.25">
      <c r="A9" s="587" t="str">
        <f>IF('TRECHO(S) A IMPRIMIR'!$B$1= 1, "SINALIZAÇÃO VIÁRIA - TRECHOS 1 e 3", IF('TRECHO(S) A IMPRIMIR'!$B$1= 2, "SINALIZAÇÃO VIÁRIA - TRECHO 1", "SINALIZAÇÃO VIÁRIA - TRECHO 3"))</f>
        <v>SINALIZAÇÃO VIÁRIA - TRECHOS 1 e 3</v>
      </c>
      <c r="B9" s="369"/>
      <c r="C9" s="588"/>
      <c r="D9" s="589" t="s">
        <v>1533</v>
      </c>
      <c r="E9" s="44"/>
      <c r="F9" s="214" t="str">
        <f>IF(E9="","",IF(LEN(E9)&lt;=4,"NOVACAP",IF(AND(LEN(E9)=5,E9&lt;50000),"DER-DF",IF(LEN(E9)=5,"CPU NOVA",IF(OR(MID(E9,3,1)="S",MID(E9,3,1)="A"),"SICRO2","SINAPI")))))</f>
        <v/>
      </c>
      <c r="G9" s="587" t="s">
        <v>4147</v>
      </c>
      <c r="H9" s="590" t="s">
        <v>21</v>
      </c>
      <c r="I9" s="591" t="s">
        <v>21</v>
      </c>
      <c r="J9" s="592" t="s">
        <v>21</v>
      </c>
      <c r="K9" s="593" t="s">
        <v>21</v>
      </c>
      <c r="L9" s="592" t="s">
        <v>21</v>
      </c>
      <c r="M9" s="594">
        <v>405272.52654953004</v>
      </c>
      <c r="N9" s="40"/>
      <c r="O9" s="673"/>
      <c r="P9" s="361"/>
      <c r="Q9" s="441"/>
      <c r="R9" s="485"/>
      <c r="S9" s="442"/>
      <c r="T9" s="441"/>
      <c r="U9" s="485"/>
      <c r="V9" s="442"/>
      <c r="W9" s="441"/>
      <c r="X9" s="485"/>
      <c r="Y9" s="442"/>
      <c r="Z9" s="441"/>
      <c r="AA9" s="485"/>
      <c r="AB9" s="442"/>
      <c r="AD9" s="441" t="s">
        <v>21</v>
      </c>
      <c r="AE9" s="674" t="s">
        <v>21</v>
      </c>
      <c r="AF9" s="674" t="s">
        <v>21</v>
      </c>
      <c r="AG9" s="674" t="s">
        <v>21</v>
      </c>
      <c r="AH9" s="442" t="s">
        <v>21</v>
      </c>
      <c r="AI9" s="442" t="s">
        <v>21</v>
      </c>
    </row>
    <row r="10" spans="1:35" s="3" customFormat="1" x14ac:dyDescent="0.25">
      <c r="A10" s="587" t="s">
        <v>754</v>
      </c>
      <c r="B10" s="369"/>
      <c r="C10" s="588"/>
      <c r="D10" s="589" t="s">
        <v>1703</v>
      </c>
      <c r="E10" s="44"/>
      <c r="F10" s="214"/>
      <c r="G10" s="587" t="s">
        <v>754</v>
      </c>
      <c r="H10" s="590" t="s">
        <v>21</v>
      </c>
      <c r="I10" s="591" t="s">
        <v>21</v>
      </c>
      <c r="J10" s="592" t="s">
        <v>21</v>
      </c>
      <c r="K10" s="593" t="s">
        <v>21</v>
      </c>
      <c r="L10" s="592" t="s">
        <v>21</v>
      </c>
      <c r="M10" s="594">
        <v>236484.89404165684</v>
      </c>
      <c r="N10" s="40"/>
      <c r="O10" s="673"/>
      <c r="P10" s="361"/>
      <c r="Q10" s="441"/>
      <c r="R10" s="485"/>
      <c r="S10" s="442"/>
      <c r="T10" s="441"/>
      <c r="U10" s="485"/>
      <c r="V10" s="442"/>
      <c r="W10" s="441"/>
      <c r="X10" s="485"/>
      <c r="Y10" s="442"/>
      <c r="Z10" s="441"/>
      <c r="AA10" s="485"/>
      <c r="AB10" s="442"/>
      <c r="AD10" s="441" t="s">
        <v>21</v>
      </c>
      <c r="AE10" s="674" t="s">
        <v>21</v>
      </c>
      <c r="AF10" s="674" t="s">
        <v>21</v>
      </c>
      <c r="AG10" s="674" t="s">
        <v>21</v>
      </c>
      <c r="AH10" s="442" t="s">
        <v>21</v>
      </c>
      <c r="AI10" s="442" t="s">
        <v>21</v>
      </c>
    </row>
    <row r="11" spans="1:35" s="3" customFormat="1" ht="36" x14ac:dyDescent="0.25">
      <c r="A11" s="587" t="s">
        <v>4093</v>
      </c>
      <c r="B11" s="369" t="s">
        <v>20</v>
      </c>
      <c r="C11" s="588"/>
      <c r="D11" s="589" t="s">
        <v>1704</v>
      </c>
      <c r="E11" s="44" t="s">
        <v>27</v>
      </c>
      <c r="F11" s="214">
        <v>72947</v>
      </c>
      <c r="G11" s="587" t="s">
        <v>58</v>
      </c>
      <c r="H11" s="590" t="s">
        <v>51</v>
      </c>
      <c r="I11" s="591">
        <v>8979.4110000000001</v>
      </c>
      <c r="J11" s="592">
        <v>16.46</v>
      </c>
      <c r="K11" s="593">
        <v>0.2033513845915047</v>
      </c>
      <c r="L11" s="592">
        <v>19.807163790376169</v>
      </c>
      <c r="M11" s="594">
        <v>177856.66441810547</v>
      </c>
      <c r="N11" s="40"/>
      <c r="O11" s="673"/>
      <c r="P11" s="361"/>
      <c r="Q11" s="441"/>
      <c r="R11" s="485"/>
      <c r="S11" s="442"/>
      <c r="T11" s="441">
        <v>4156.5370000000003</v>
      </c>
      <c r="U11" s="485"/>
      <c r="V11" s="442"/>
      <c r="W11" s="441">
        <v>4822.8740000000007</v>
      </c>
      <c r="X11" s="485"/>
      <c r="Y11" s="442"/>
      <c r="Z11" s="441"/>
      <c r="AA11" s="485"/>
      <c r="AB11" s="442"/>
      <c r="AD11" s="441">
        <v>4862.423996849785</v>
      </c>
      <c r="AE11" s="674">
        <v>169860.67828995248</v>
      </c>
      <c r="AF11" s="674">
        <v>3133.5621313031943</v>
      </c>
      <c r="AG11" s="674">
        <v>0</v>
      </c>
      <c r="AH11" s="442">
        <v>0</v>
      </c>
      <c r="AI11" s="442">
        <v>2.9103830456733704E-11</v>
      </c>
    </row>
    <row r="12" spans="1:35" s="3" customFormat="1" ht="36" x14ac:dyDescent="0.25">
      <c r="A12" s="587" t="s">
        <v>4094</v>
      </c>
      <c r="B12" s="369" t="s">
        <v>20</v>
      </c>
      <c r="C12" s="588"/>
      <c r="D12" s="589" t="s">
        <v>4095</v>
      </c>
      <c r="E12" s="44" t="s">
        <v>138</v>
      </c>
      <c r="F12" s="214" t="s">
        <v>4096</v>
      </c>
      <c r="G12" s="587" t="s">
        <v>4098</v>
      </c>
      <c r="H12" s="590" t="s">
        <v>51</v>
      </c>
      <c r="I12" s="591">
        <v>161</v>
      </c>
      <c r="J12" s="592">
        <v>302.61359999999996</v>
      </c>
      <c r="K12" s="593">
        <v>0.2033513845915047</v>
      </c>
      <c r="L12" s="592">
        <v>364.15049455621971</v>
      </c>
      <c r="M12" s="594">
        <v>58628.229623551371</v>
      </c>
      <c r="N12" s="40"/>
      <c r="O12" s="673"/>
      <c r="P12" s="361"/>
      <c r="Q12" s="441"/>
      <c r="R12" s="485"/>
      <c r="S12" s="442"/>
      <c r="T12" s="441">
        <v>80.5</v>
      </c>
      <c r="U12" s="485"/>
      <c r="V12" s="442"/>
      <c r="W12" s="441">
        <v>80.5</v>
      </c>
      <c r="X12" s="485"/>
      <c r="Y12" s="442"/>
      <c r="Z12" s="441"/>
      <c r="AA12" s="485"/>
      <c r="AB12" s="442"/>
      <c r="AD12" s="441">
        <v>506.20275612337002</v>
      </c>
      <c r="AE12" s="674">
        <v>57915.267995208596</v>
      </c>
      <c r="AF12" s="674">
        <v>206.75887221940468</v>
      </c>
      <c r="AG12" s="674">
        <v>0</v>
      </c>
      <c r="AH12" s="442">
        <v>-2.1509413463597609E-14</v>
      </c>
      <c r="AI12" s="442">
        <v>0</v>
      </c>
    </row>
    <row r="13" spans="1:35" s="3" customFormat="1" x14ac:dyDescent="0.25">
      <c r="A13" s="587"/>
      <c r="B13" s="369"/>
      <c r="C13" s="588"/>
      <c r="D13" s="589"/>
      <c r="E13" s="44"/>
      <c r="F13" s="214"/>
      <c r="G13" s="587" t="s">
        <v>21</v>
      </c>
      <c r="H13" s="590" t="s">
        <v>21</v>
      </c>
      <c r="I13" s="591" t="s">
        <v>21</v>
      </c>
      <c r="J13" s="592" t="s">
        <v>21</v>
      </c>
      <c r="K13" s="593" t="s">
        <v>21</v>
      </c>
      <c r="L13" s="592" t="s">
        <v>21</v>
      </c>
      <c r="M13" s="594" t="s">
        <v>21</v>
      </c>
      <c r="N13" s="40"/>
      <c r="O13" s="673"/>
      <c r="P13" s="361"/>
      <c r="Q13" s="441"/>
      <c r="R13" s="485"/>
      <c r="S13" s="442"/>
      <c r="T13" s="441"/>
      <c r="U13" s="485"/>
      <c r="V13" s="442"/>
      <c r="W13" s="441"/>
      <c r="X13" s="485"/>
      <c r="Y13" s="442"/>
      <c r="Z13" s="441"/>
      <c r="AA13" s="485"/>
      <c r="AB13" s="442"/>
      <c r="AD13" s="441" t="s">
        <v>21</v>
      </c>
      <c r="AE13" s="674" t="s">
        <v>21</v>
      </c>
      <c r="AF13" s="674" t="s">
        <v>21</v>
      </c>
      <c r="AG13" s="674" t="s">
        <v>21</v>
      </c>
      <c r="AH13" s="442" t="s">
        <v>21</v>
      </c>
      <c r="AI13" s="442" t="s">
        <v>21</v>
      </c>
    </row>
    <row r="14" spans="1:35" s="3" customFormat="1" x14ac:dyDescent="0.25">
      <c r="A14" s="587" t="s">
        <v>753</v>
      </c>
      <c r="B14" s="369"/>
      <c r="C14" s="588"/>
      <c r="D14" s="589" t="s">
        <v>1705</v>
      </c>
      <c r="E14" s="44"/>
      <c r="F14" s="214"/>
      <c r="G14" s="587" t="s">
        <v>753</v>
      </c>
      <c r="H14" s="590" t="s">
        <v>21</v>
      </c>
      <c r="I14" s="591" t="s">
        <v>21</v>
      </c>
      <c r="J14" s="592" t="s">
        <v>21</v>
      </c>
      <c r="K14" s="593" t="s">
        <v>21</v>
      </c>
      <c r="L14" s="592" t="s">
        <v>21</v>
      </c>
      <c r="M14" s="594">
        <v>168787.63250787318</v>
      </c>
      <c r="N14" s="40"/>
      <c r="O14" s="673"/>
      <c r="P14" s="361"/>
      <c r="Q14" s="441"/>
      <c r="R14" s="485"/>
      <c r="S14" s="442"/>
      <c r="T14" s="441"/>
      <c r="U14" s="485"/>
      <c r="V14" s="442"/>
      <c r="W14" s="441"/>
      <c r="X14" s="485"/>
      <c r="Y14" s="442"/>
      <c r="Z14" s="441"/>
      <c r="AA14" s="485"/>
      <c r="AB14" s="442"/>
      <c r="AD14" s="441" t="s">
        <v>21</v>
      </c>
      <c r="AE14" s="674" t="s">
        <v>21</v>
      </c>
      <c r="AF14" s="674" t="s">
        <v>21</v>
      </c>
      <c r="AG14" s="674" t="s">
        <v>21</v>
      </c>
      <c r="AH14" s="442" t="s">
        <v>21</v>
      </c>
      <c r="AI14" s="442" t="s">
        <v>21</v>
      </c>
    </row>
    <row r="15" spans="1:35" s="3" customFormat="1" x14ac:dyDescent="0.25">
      <c r="A15" s="587" t="s">
        <v>755</v>
      </c>
      <c r="B15" s="369"/>
      <c r="C15" s="588"/>
      <c r="D15" s="589" t="s">
        <v>1706</v>
      </c>
      <c r="E15" s="44"/>
      <c r="F15" s="214"/>
      <c r="G15" s="587" t="s">
        <v>755</v>
      </c>
      <c r="H15" s="590" t="s">
        <v>21</v>
      </c>
      <c r="I15" s="591" t="s">
        <v>21</v>
      </c>
      <c r="J15" s="592" t="s">
        <v>21</v>
      </c>
      <c r="K15" s="593" t="s">
        <v>21</v>
      </c>
      <c r="L15" s="592" t="s">
        <v>21</v>
      </c>
      <c r="M15" s="594">
        <v>100755.07890715671</v>
      </c>
      <c r="N15" s="40"/>
      <c r="O15" s="673"/>
      <c r="P15" s="361"/>
      <c r="Q15" s="441"/>
      <c r="R15" s="485"/>
      <c r="S15" s="442"/>
      <c r="T15" s="441"/>
      <c r="U15" s="485"/>
      <c r="V15" s="442"/>
      <c r="W15" s="441"/>
      <c r="X15" s="485"/>
      <c r="Y15" s="442"/>
      <c r="Z15" s="441"/>
      <c r="AA15" s="485"/>
      <c r="AB15" s="442"/>
      <c r="AD15" s="441" t="s">
        <v>21</v>
      </c>
      <c r="AE15" s="674" t="s">
        <v>21</v>
      </c>
      <c r="AF15" s="674" t="s">
        <v>21</v>
      </c>
      <c r="AG15" s="674" t="s">
        <v>21</v>
      </c>
      <c r="AH15" s="442" t="s">
        <v>21</v>
      </c>
      <c r="AI15" s="442" t="s">
        <v>21</v>
      </c>
    </row>
    <row r="16" spans="1:35" s="3" customFormat="1" ht="36" x14ac:dyDescent="0.25">
      <c r="A16" s="587" t="s">
        <v>840</v>
      </c>
      <c r="B16" s="369" t="s">
        <v>41</v>
      </c>
      <c r="C16" s="588"/>
      <c r="D16" s="589" t="s">
        <v>1707</v>
      </c>
      <c r="E16" s="44" t="s">
        <v>138</v>
      </c>
      <c r="F16" s="214" t="s">
        <v>834</v>
      </c>
      <c r="G16" s="587" t="s">
        <v>835</v>
      </c>
      <c r="H16" s="590" t="s">
        <v>41</v>
      </c>
      <c r="I16" s="591">
        <v>341</v>
      </c>
      <c r="J16" s="592">
        <v>245.53878725184802</v>
      </c>
      <c r="K16" s="593">
        <v>0.2033513845915047</v>
      </c>
      <c r="L16" s="592">
        <v>295.46943961043024</v>
      </c>
      <c r="M16" s="594">
        <v>100755.07890715671</v>
      </c>
      <c r="N16" s="40"/>
      <c r="O16" s="673"/>
      <c r="P16" s="361"/>
      <c r="Q16" s="441"/>
      <c r="R16" s="485"/>
      <c r="S16" s="442"/>
      <c r="T16" s="441">
        <v>221</v>
      </c>
      <c r="U16" s="485"/>
      <c r="V16" s="442"/>
      <c r="W16" s="441">
        <v>120</v>
      </c>
      <c r="X16" s="485"/>
      <c r="Y16" s="442"/>
      <c r="Z16" s="441"/>
      <c r="AA16" s="485"/>
      <c r="AB16" s="442"/>
      <c r="AD16" s="441">
        <v>4852.2795312522858</v>
      </c>
      <c r="AE16" s="674">
        <v>94003.734498350153</v>
      </c>
      <c r="AF16" s="674">
        <v>1887.2470042764428</v>
      </c>
      <c r="AG16" s="674">
        <v>0</v>
      </c>
      <c r="AH16" s="442">
        <v>11.817873277796961</v>
      </c>
      <c r="AI16" s="442">
        <v>2.9103830456733704E-11</v>
      </c>
    </row>
    <row r="17" spans="1:35" s="3" customFormat="1" x14ac:dyDescent="0.25">
      <c r="A17" s="587"/>
      <c r="B17" s="369"/>
      <c r="C17" s="588"/>
      <c r="D17" s="589"/>
      <c r="E17" s="44"/>
      <c r="F17" s="214"/>
      <c r="G17" s="587" t="s">
        <v>21</v>
      </c>
      <c r="H17" s="590" t="s">
        <v>21</v>
      </c>
      <c r="I17" s="591" t="s">
        <v>21</v>
      </c>
      <c r="J17" s="592" t="s">
        <v>21</v>
      </c>
      <c r="K17" s="593" t="s">
        <v>21</v>
      </c>
      <c r="L17" s="592" t="s">
        <v>21</v>
      </c>
      <c r="M17" s="594" t="s">
        <v>21</v>
      </c>
      <c r="N17" s="40"/>
      <c r="O17" s="673"/>
      <c r="P17" s="361"/>
      <c r="Q17" s="441"/>
      <c r="R17" s="485"/>
      <c r="S17" s="442"/>
      <c r="T17" s="441"/>
      <c r="U17" s="485"/>
      <c r="V17" s="442"/>
      <c r="W17" s="441"/>
      <c r="X17" s="485"/>
      <c r="Y17" s="442"/>
      <c r="Z17" s="441"/>
      <c r="AA17" s="485"/>
      <c r="AB17" s="442"/>
      <c r="AD17" s="441" t="s">
        <v>21</v>
      </c>
      <c r="AE17" s="674" t="s">
        <v>21</v>
      </c>
      <c r="AF17" s="674" t="s">
        <v>21</v>
      </c>
      <c r="AG17" s="674" t="s">
        <v>21</v>
      </c>
      <c r="AH17" s="442" t="s">
        <v>21</v>
      </c>
      <c r="AI17" s="442" t="s">
        <v>21</v>
      </c>
    </row>
    <row r="18" spans="1:35" s="3" customFormat="1" x14ac:dyDescent="0.25">
      <c r="A18" s="587" t="s">
        <v>756</v>
      </c>
      <c r="B18" s="369"/>
      <c r="C18" s="588"/>
      <c r="D18" s="589" t="s">
        <v>1708</v>
      </c>
      <c r="E18" s="44"/>
      <c r="F18" s="214"/>
      <c r="G18" s="587" t="s">
        <v>756</v>
      </c>
      <c r="H18" s="590" t="s">
        <v>21</v>
      </c>
      <c r="I18" s="591" t="s">
        <v>21</v>
      </c>
      <c r="J18" s="592" t="s">
        <v>21</v>
      </c>
      <c r="K18" s="593" t="s">
        <v>21</v>
      </c>
      <c r="L18" s="592" t="s">
        <v>21</v>
      </c>
      <c r="M18" s="594">
        <v>68032.553600716463</v>
      </c>
      <c r="N18" s="40"/>
      <c r="O18" s="673"/>
      <c r="P18" s="361"/>
      <c r="Q18" s="441"/>
      <c r="R18" s="485"/>
      <c r="S18" s="442"/>
      <c r="T18" s="441"/>
      <c r="U18" s="485"/>
      <c r="V18" s="442"/>
      <c r="W18" s="441"/>
      <c r="X18" s="485"/>
      <c r="Y18" s="442"/>
      <c r="Z18" s="441"/>
      <c r="AA18" s="485"/>
      <c r="AB18" s="442"/>
      <c r="AD18" s="441" t="s">
        <v>21</v>
      </c>
      <c r="AE18" s="674" t="s">
        <v>21</v>
      </c>
      <c r="AF18" s="674" t="s">
        <v>21</v>
      </c>
      <c r="AG18" s="674" t="s">
        <v>21</v>
      </c>
      <c r="AH18" s="442" t="s">
        <v>21</v>
      </c>
      <c r="AI18" s="442" t="s">
        <v>21</v>
      </c>
    </row>
    <row r="19" spans="1:35" s="3" customFormat="1" ht="36" x14ac:dyDescent="0.25">
      <c r="A19" s="587" t="s">
        <v>757</v>
      </c>
      <c r="B19" s="369" t="s">
        <v>39</v>
      </c>
      <c r="C19" s="588"/>
      <c r="D19" s="589" t="s">
        <v>1709</v>
      </c>
      <c r="E19" s="44" t="s">
        <v>138</v>
      </c>
      <c r="F19" s="214" t="s">
        <v>843</v>
      </c>
      <c r="G19" s="587" t="s">
        <v>844</v>
      </c>
      <c r="H19" s="590" t="s">
        <v>41</v>
      </c>
      <c r="I19" s="591">
        <v>339</v>
      </c>
      <c r="J19" s="592">
        <v>166.01133213014651</v>
      </c>
      <c r="K19" s="593">
        <v>0.2033513845915047</v>
      </c>
      <c r="L19" s="592">
        <v>199.76996637669197</v>
      </c>
      <c r="M19" s="594">
        <v>67722.018601698583</v>
      </c>
      <c r="N19" s="40"/>
      <c r="O19" s="673"/>
      <c r="P19" s="361"/>
      <c r="Q19" s="441"/>
      <c r="R19" s="485"/>
      <c r="S19" s="442"/>
      <c r="T19" s="441">
        <v>219</v>
      </c>
      <c r="U19" s="485"/>
      <c r="V19" s="442"/>
      <c r="W19" s="441">
        <v>120</v>
      </c>
      <c r="X19" s="485"/>
      <c r="Y19" s="442"/>
      <c r="Z19" s="441"/>
      <c r="AA19" s="485"/>
      <c r="AB19" s="442"/>
      <c r="AD19" s="441">
        <v>9548.4341914009492</v>
      </c>
      <c r="AE19" s="674">
        <v>55006.984956674838</v>
      </c>
      <c r="AF19" s="674">
        <v>3166.5994536227727</v>
      </c>
      <c r="AG19" s="674">
        <v>0</v>
      </c>
      <c r="AH19" s="442">
        <v>1.123333710596558E-11</v>
      </c>
      <c r="AI19" s="442">
        <v>1.4551915228366852E-11</v>
      </c>
    </row>
    <row r="20" spans="1:35" s="3" customFormat="1" ht="36" hidden="1" x14ac:dyDescent="0.25">
      <c r="A20" s="587" t="s">
        <v>758</v>
      </c>
      <c r="B20" s="369" t="s">
        <v>39</v>
      </c>
      <c r="C20" s="588"/>
      <c r="D20" s="589" t="s">
        <v>1710</v>
      </c>
      <c r="E20" s="44" t="s">
        <v>138</v>
      </c>
      <c r="F20" s="214" t="s">
        <v>858</v>
      </c>
      <c r="G20" s="587" t="s">
        <v>860</v>
      </c>
      <c r="H20" s="590" t="s">
        <v>41</v>
      </c>
      <c r="I20" s="591">
        <f>IF($F20="","",IF('TRECHO(S) A IMPRIMIR'!$B$1= 1, SUM(Q20, T20, W20, Z20), IF('TRECHO(S) A IMPRIMIR'!$B$1= 2, T20, IF('TRECHO(S) A IMPRIMIR'!$B$1= 3, W20, 0))))</f>
        <v>0</v>
      </c>
      <c r="J20" s="592">
        <v>200.93972847113997</v>
      </c>
      <c r="K20" s="593">
        <f>IF(AND(F20&lt;&gt;"",J20&lt;&gt;""),
  IF(OR(F20= "CP9001", F20= "CP9091", F20= "CP9092"), 0,
  IF($M$1 = "ENCARGOS SOCIAIS SEM DESONERAÇÃO",'BDI obras SD'!$H$23,'BDI obras CD'!$H$23)),"")</f>
        <v>0.2033513845915047</v>
      </c>
      <c r="L20" s="592">
        <f t="shared" ref="L9:L22" si="0">IF(J20="","",
  IF(AND(J20&lt;&gt;"",K20=""),J20,J20 * (1 + K20)))</f>
        <v>241.8011004751873</v>
      </c>
      <c r="M20" s="594">
        <f>IF(H20="","",I20*L20)</f>
        <v>0</v>
      </c>
      <c r="N20" s="40"/>
      <c r="O20" s="673"/>
      <c r="P20" s="361"/>
      <c r="Q20" s="441"/>
      <c r="R20" s="485"/>
      <c r="S20" s="442"/>
      <c r="T20" s="441"/>
      <c r="U20" s="485"/>
      <c r="V20" s="442"/>
      <c r="W20" s="441"/>
      <c r="X20" s="485"/>
      <c r="Y20" s="442"/>
      <c r="Z20" s="441"/>
      <c r="AA20" s="485"/>
      <c r="AB20" s="442"/>
      <c r="AD20" s="441" t="s">
        <v>21</v>
      </c>
      <c r="AE20" s="674" t="s">
        <v>21</v>
      </c>
      <c r="AF20" s="674" t="s">
        <v>21</v>
      </c>
      <c r="AG20" s="674" t="s">
        <v>21</v>
      </c>
      <c r="AH20" s="442" t="s">
        <v>21</v>
      </c>
      <c r="AI20" s="442" t="str">
        <f t="shared" ref="AI9:AI22" si="1">IF(SUM(AD20:AH20)=0,"",M20 - SUM(AD20:AH20))</f>
        <v/>
      </c>
    </row>
    <row r="21" spans="1:35" s="3" customFormat="1" ht="24" x14ac:dyDescent="0.25">
      <c r="A21" s="587" t="s">
        <v>871</v>
      </c>
      <c r="B21" s="369" t="s">
        <v>20</v>
      </c>
      <c r="C21" s="588"/>
      <c r="D21" s="589" t="s">
        <v>1711</v>
      </c>
      <c r="E21" s="44" t="s">
        <v>138</v>
      </c>
      <c r="F21" s="214" t="s">
        <v>870</v>
      </c>
      <c r="G21" s="587" t="s">
        <v>862</v>
      </c>
      <c r="H21" s="590" t="s">
        <v>51</v>
      </c>
      <c r="I21" s="591">
        <v>0.75</v>
      </c>
      <c r="J21" s="592">
        <v>344.07793987600002</v>
      </c>
      <c r="K21" s="593">
        <v>0.2033513845915047</v>
      </c>
      <c r="L21" s="592">
        <v>414.04666535717712</v>
      </c>
      <c r="M21" s="594">
        <v>310.53499901788285</v>
      </c>
      <c r="N21" s="40"/>
      <c r="O21" s="673"/>
      <c r="P21" s="361"/>
      <c r="Q21" s="441"/>
      <c r="R21" s="485"/>
      <c r="S21" s="442"/>
      <c r="T21" s="441">
        <v>0.75</v>
      </c>
      <c r="U21" s="485"/>
      <c r="V21" s="442"/>
      <c r="W21" s="441"/>
      <c r="X21" s="485"/>
      <c r="Y21" s="442"/>
      <c r="Z21" s="441"/>
      <c r="AA21" s="485"/>
      <c r="AB21" s="442"/>
      <c r="AD21" s="441">
        <v>35.587592211849099</v>
      </c>
      <c r="AE21" s="674">
        <v>265.9285227444845</v>
      </c>
      <c r="AF21" s="674">
        <v>9.0188840615491781</v>
      </c>
      <c r="AG21" s="674">
        <v>0</v>
      </c>
      <c r="AH21" s="442">
        <v>5.05066244906584E-14</v>
      </c>
      <c r="AI21" s="442">
        <v>5.6843418860808015E-14</v>
      </c>
    </row>
    <row r="22" spans="1:35" s="3" customFormat="1" ht="13.5" thickBot="1" x14ac:dyDescent="0.3">
      <c r="A22" s="587"/>
      <c r="B22" s="369"/>
      <c r="C22" s="588"/>
      <c r="D22" s="589"/>
      <c r="E22" s="44"/>
      <c r="F22" s="214" t="s">
        <v>21</v>
      </c>
      <c r="G22" s="587" t="s">
        <v>21</v>
      </c>
      <c r="H22" s="590" t="s">
        <v>21</v>
      </c>
      <c r="I22" s="591" t="s">
        <v>21</v>
      </c>
      <c r="J22" s="592" t="s">
        <v>21</v>
      </c>
      <c r="K22" s="593" t="s">
        <v>21</v>
      </c>
      <c r="L22" s="592" t="s">
        <v>21</v>
      </c>
      <c r="M22" s="594" t="s">
        <v>21</v>
      </c>
      <c r="N22" s="40"/>
      <c r="O22" s="673"/>
      <c r="P22" s="361"/>
      <c r="Q22" s="441"/>
      <c r="R22" s="485"/>
      <c r="S22" s="442"/>
      <c r="T22" s="441"/>
      <c r="U22" s="485"/>
      <c r="V22" s="442"/>
      <c r="W22" s="441"/>
      <c r="X22" s="485"/>
      <c r="Y22" s="442"/>
      <c r="Z22" s="441"/>
      <c r="AA22" s="485"/>
      <c r="AB22" s="442"/>
      <c r="AD22" s="441" t="s">
        <v>21</v>
      </c>
      <c r="AE22" s="674" t="s">
        <v>21</v>
      </c>
      <c r="AF22" s="674" t="s">
        <v>21</v>
      </c>
      <c r="AG22" s="674" t="s">
        <v>21</v>
      </c>
      <c r="AH22" s="442" t="s">
        <v>21</v>
      </c>
      <c r="AI22" s="442" t="s">
        <v>21</v>
      </c>
    </row>
    <row r="23" spans="1:35" s="3" customFormat="1" x14ac:dyDescent="0.25">
      <c r="A23" s="616"/>
      <c r="B23" s="617"/>
      <c r="C23" s="588"/>
      <c r="D23" s="651" t="s">
        <v>1383</v>
      </c>
      <c r="E23" s="515" t="s">
        <v>1384</v>
      </c>
      <c r="F23" s="516"/>
      <c r="G23" s="652"/>
      <c r="H23" s="652"/>
      <c r="I23" s="653"/>
      <c r="J23" s="654"/>
      <c r="K23" s="655"/>
      <c r="L23" s="654"/>
      <c r="M23" s="656"/>
      <c r="N23" s="40"/>
      <c r="O23" s="688"/>
      <c r="P23" s="361"/>
      <c r="Q23" s="440"/>
      <c r="R23" s="471"/>
      <c r="S23" s="440"/>
      <c r="T23" s="440"/>
      <c r="U23" s="471"/>
      <c r="V23" s="440"/>
      <c r="W23" s="440"/>
      <c r="X23" s="471"/>
      <c r="Y23" s="440"/>
      <c r="Z23" s="672"/>
      <c r="AD23" s="797">
        <v>19804.928067838242</v>
      </c>
      <c r="AE23" s="798">
        <v>377052.59426293062</v>
      </c>
      <c r="AF23" s="798">
        <v>8403.1863454833619</v>
      </c>
      <c r="AG23" s="798">
        <v>0</v>
      </c>
      <c r="AH23" s="799">
        <v>11.817873277808223</v>
      </c>
      <c r="AI23" s="800">
        <v>7.2816419560695067E-11</v>
      </c>
    </row>
    <row r="24" spans="1:35" s="3" customFormat="1" x14ac:dyDescent="0.25">
      <c r="A24" s="623"/>
      <c r="B24" s="624"/>
      <c r="C24" s="588"/>
      <c r="D24" s="625" t="s">
        <v>1385</v>
      </c>
      <c r="E24" s="519"/>
      <c r="F24" s="520"/>
      <c r="G24" s="657"/>
      <c r="H24" s="519"/>
      <c r="I24" s="658"/>
      <c r="J24" s="659"/>
      <c r="K24" s="660"/>
      <c r="L24" s="659"/>
      <c r="M24" s="661"/>
      <c r="N24" s="40"/>
      <c r="O24" s="688"/>
      <c r="P24" s="361"/>
      <c r="Q24" s="440"/>
      <c r="R24" s="471"/>
      <c r="S24" s="440"/>
      <c r="T24" s="440"/>
      <c r="U24" s="471"/>
      <c r="V24" s="440"/>
      <c r="W24" s="440"/>
      <c r="X24" s="471"/>
      <c r="Y24" s="440"/>
      <c r="Z24" s="672"/>
      <c r="AA24" s="440"/>
      <c r="AB24" s="440"/>
      <c r="AC24" s="440"/>
      <c r="AD24" s="440"/>
      <c r="AE24" s="440"/>
      <c r="AF24" s="440"/>
      <c r="AG24" s="2"/>
      <c r="AH24" s="2"/>
      <c r="AI24" s="2"/>
    </row>
    <row r="25" spans="1:35" s="3" customFormat="1" x14ac:dyDescent="0.25">
      <c r="A25" s="623"/>
      <c r="B25" s="624"/>
      <c r="C25" s="588"/>
      <c r="D25" s="631" t="s">
        <v>1386</v>
      </c>
      <c r="E25" s="525"/>
      <c r="F25" s="526"/>
      <c r="G25" s="662"/>
      <c r="H25" s="525"/>
      <c r="I25" s="663"/>
      <c r="J25" s="664"/>
      <c r="K25" s="665"/>
      <c r="L25" s="664"/>
      <c r="M25" s="666"/>
      <c r="N25" s="40"/>
      <c r="O25" s="688"/>
      <c r="P25" s="361"/>
      <c r="Q25" s="440"/>
      <c r="R25" s="471"/>
      <c r="S25" s="440"/>
      <c r="T25" s="440"/>
      <c r="U25" s="471"/>
      <c r="V25" s="440"/>
      <c r="W25" s="440"/>
      <c r="X25" s="471"/>
      <c r="Y25" s="440"/>
      <c r="Z25" s="672"/>
      <c r="AA25" s="440"/>
      <c r="AB25" s="440"/>
      <c r="AC25" s="440"/>
      <c r="AD25" s="440"/>
      <c r="AE25" s="440"/>
      <c r="AF25" s="440"/>
      <c r="AG25" s="2"/>
      <c r="AH25" s="2"/>
      <c r="AI25" s="2"/>
    </row>
    <row r="26" spans="1:35" s="3" customFormat="1" x14ac:dyDescent="0.25">
      <c r="A26" s="623"/>
      <c r="B26" s="624"/>
      <c r="C26" s="588"/>
      <c r="D26" s="631" t="s">
        <v>1535</v>
      </c>
      <c r="E26" s="525"/>
      <c r="F26" s="526"/>
      <c r="G26" s="662"/>
      <c r="H26" s="525"/>
      <c r="I26" s="663"/>
      <c r="J26" s="664"/>
      <c r="K26" s="665"/>
      <c r="L26" s="664"/>
      <c r="M26" s="666"/>
      <c r="N26" s="40"/>
      <c r="O26" s="688"/>
      <c r="P26" s="361"/>
      <c r="Q26" s="440"/>
      <c r="R26" s="471"/>
      <c r="S26" s="440"/>
      <c r="T26" s="440"/>
      <c r="U26" s="471"/>
      <c r="V26" s="440"/>
      <c r="W26" s="440"/>
      <c r="X26" s="471"/>
      <c r="Y26" s="440"/>
      <c r="Z26" s="672"/>
      <c r="AA26" s="440"/>
      <c r="AB26" s="440"/>
      <c r="AC26" s="440"/>
      <c r="AD26" s="440"/>
      <c r="AE26" s="440"/>
      <c r="AF26" s="440"/>
      <c r="AG26" s="2"/>
      <c r="AH26" s="2"/>
      <c r="AI26" s="2"/>
    </row>
    <row r="27" spans="1:35" s="3" customFormat="1" x14ac:dyDescent="0.25">
      <c r="A27" s="623"/>
      <c r="B27" s="624"/>
      <c r="C27" s="588"/>
      <c r="D27" s="631"/>
      <c r="E27" s="525"/>
      <c r="F27" s="526"/>
      <c r="G27" s="662"/>
      <c r="H27" s="525"/>
      <c r="I27" s="663"/>
      <c r="J27" s="664"/>
      <c r="K27" s="665"/>
      <c r="L27" s="664"/>
      <c r="M27" s="666"/>
      <c r="N27" s="40"/>
      <c r="O27" s="688"/>
      <c r="P27" s="361"/>
      <c r="Q27" s="440"/>
      <c r="R27" s="471"/>
      <c r="S27" s="440"/>
      <c r="T27" s="440"/>
      <c r="U27" s="471"/>
      <c r="V27" s="440"/>
      <c r="W27" s="440"/>
      <c r="X27" s="471"/>
      <c r="Y27" s="440"/>
      <c r="Z27" s="672"/>
      <c r="AA27" s="440"/>
      <c r="AB27" s="440"/>
      <c r="AC27" s="440"/>
      <c r="AD27" s="440"/>
      <c r="AE27" s="440"/>
      <c r="AF27" s="440"/>
      <c r="AG27" s="2"/>
      <c r="AH27" s="2"/>
      <c r="AI27" s="2"/>
    </row>
    <row r="28" spans="1:35" s="3" customFormat="1" ht="13.5" thickBot="1" x14ac:dyDescent="0.3">
      <c r="A28" s="623"/>
      <c r="B28" s="624"/>
      <c r="C28" s="588"/>
      <c r="D28" s="637"/>
      <c r="E28" s="527"/>
      <c r="F28" s="528"/>
      <c r="G28" s="667"/>
      <c r="H28" s="527"/>
      <c r="I28" s="668"/>
      <c r="J28" s="669"/>
      <c r="K28" s="670"/>
      <c r="L28" s="669"/>
      <c r="M28" s="671"/>
      <c r="N28" s="40"/>
      <c r="O28" s="688"/>
      <c r="P28" s="361"/>
      <c r="Q28" s="440"/>
      <c r="R28" s="471"/>
      <c r="S28" s="440"/>
      <c r="T28" s="440"/>
      <c r="U28" s="471"/>
      <c r="V28" s="440"/>
      <c r="W28" s="440"/>
      <c r="X28" s="471"/>
      <c r="Y28" s="440"/>
      <c r="Z28" s="672"/>
      <c r="AA28" s="440"/>
      <c r="AB28" s="440"/>
      <c r="AC28" s="440"/>
      <c r="AD28" s="440"/>
      <c r="AE28" s="440"/>
      <c r="AF28" s="440"/>
      <c r="AG28" s="2"/>
      <c r="AH28" s="2"/>
      <c r="AI28" s="2"/>
    </row>
    <row r="29" spans="1:35" x14ac:dyDescent="0.25">
      <c r="A29" s="144"/>
      <c r="D29" s="123" t="str">
        <f>'PSP-RESUMO'!$A$16</f>
        <v>RRT DO ORÇAMENTO: 0</v>
      </c>
      <c r="J29" s="153"/>
      <c r="K29" s="403"/>
      <c r="L29" s="153"/>
      <c r="M29" s="127"/>
    </row>
    <row r="30" spans="1:35" x14ac:dyDescent="0.25">
      <c r="A30" s="144"/>
      <c r="J30" s="153"/>
      <c r="K30" s="403"/>
      <c r="L30" s="153"/>
      <c r="M30" s="127"/>
    </row>
    <row r="31" spans="1:35" x14ac:dyDescent="0.25">
      <c r="A31" s="144"/>
      <c r="J31" s="153"/>
      <c r="K31" s="403"/>
      <c r="L31" s="153"/>
      <c r="M31" s="127"/>
    </row>
    <row r="32" spans="1:35" x14ac:dyDescent="0.25">
      <c r="A32" s="144"/>
      <c r="D32" s="154"/>
      <c r="J32" s="299"/>
      <c r="K32" s="404"/>
      <c r="L32" s="299"/>
      <c r="M32" s="299"/>
    </row>
    <row r="33" spans="1:13" ht="15" x14ac:dyDescent="0.25">
      <c r="A33" s="191" t="s">
        <v>135</v>
      </c>
      <c r="J33" s="353" t="s">
        <v>135</v>
      </c>
      <c r="K33" s="405"/>
      <c r="L33" s="353"/>
      <c r="M33" s="358"/>
    </row>
    <row r="34" spans="1:13" ht="15" x14ac:dyDescent="0.25">
      <c r="A34" s="194" t="s">
        <v>136</v>
      </c>
      <c r="J34" s="359" t="s">
        <v>136</v>
      </c>
      <c r="K34" s="406"/>
      <c r="L34" s="359"/>
      <c r="M34" s="357"/>
    </row>
    <row r="37" spans="1:13" x14ac:dyDescent="0.25">
      <c r="A37" s="147"/>
      <c r="B37" s="148"/>
      <c r="D37" s="145"/>
      <c r="E37" s="146"/>
      <c r="F37" s="147"/>
      <c r="G37" s="147"/>
      <c r="H37" s="148"/>
      <c r="I37" s="149"/>
      <c r="J37" s="121" t="s">
        <v>417</v>
      </c>
      <c r="K37" s="407"/>
      <c r="L37" s="121"/>
      <c r="M37" s="128">
        <v>1384605.2121564634</v>
      </c>
    </row>
    <row r="38" spans="1:13" x14ac:dyDescent="0.25">
      <c r="H38" s="155"/>
      <c r="J38" s="279" t="s">
        <v>392</v>
      </c>
      <c r="K38" s="408"/>
      <c r="L38" s="279"/>
      <c r="M38" s="2">
        <v>405272.52654953004</v>
      </c>
    </row>
    <row r="39" spans="1:13" x14ac:dyDescent="0.25">
      <c r="J39" s="279" t="s">
        <v>393</v>
      </c>
      <c r="K39" s="408"/>
      <c r="L39" s="279"/>
      <c r="M39" s="2">
        <v>-979332.68560693343</v>
      </c>
    </row>
  </sheetData>
  <autoFilter ref="D7:Q32" xr:uid="{00000000-0009-0000-0000-000000000000}">
    <filterColumn colId="5">
      <filters blank="1">
        <filter val="0,75"/>
        <filter val="161,00"/>
        <filter val="339,00"/>
        <filter val="341,00"/>
        <filter val="8.979,41"/>
        <filter val="SERVIÇO"/>
      </filters>
    </filterColumn>
  </autoFilter>
  <mergeCells count="14">
    <mergeCell ref="D5:D6"/>
    <mergeCell ref="E5:I6"/>
    <mergeCell ref="A7:A8"/>
    <mergeCell ref="F7:F8"/>
    <mergeCell ref="K7:K8"/>
    <mergeCell ref="B7:B8"/>
    <mergeCell ref="L7:L8"/>
    <mergeCell ref="J7:J8"/>
    <mergeCell ref="E7:E8"/>
    <mergeCell ref="D7:D8"/>
    <mergeCell ref="O7:O8"/>
    <mergeCell ref="M7:M8"/>
    <mergeCell ref="H7:H8"/>
    <mergeCell ref="G7:G8"/>
  </mergeCells>
  <phoneticPr fontId="45" type="noConversion"/>
  <conditionalFormatting sqref="AD9:AI11 A9:Y11 A13:Y22 AD13:AI22">
    <cfRule type="expression" dxfId="297" priority="13">
      <formula>LEN($D9)= 3</formula>
    </cfRule>
    <cfRule type="expression" dxfId="296" priority="14">
      <formula>AND(LEN($D9)=5,$H9="")</formula>
    </cfRule>
    <cfRule type="expression" dxfId="295" priority="15">
      <formula>AND($D9&lt;&gt;"",$H9="")</formula>
    </cfRule>
  </conditionalFormatting>
  <conditionalFormatting sqref="Z9:AB11 Z13:AB22">
    <cfRule type="expression" dxfId="294" priority="7">
      <formula>LEN($D9)= 3</formula>
    </cfRule>
    <cfRule type="expression" dxfId="293" priority="8">
      <formula>AND(LEN($D9)=5,$H9="")</formula>
    </cfRule>
    <cfRule type="expression" dxfId="292" priority="9">
      <formula>AND($D9&lt;&gt;"",$H9="")</formula>
    </cfRule>
  </conditionalFormatting>
  <conditionalFormatting sqref="AD12:AI12 A12:Y12">
    <cfRule type="expression" dxfId="291" priority="4">
      <formula>LEN($D12)= 3</formula>
    </cfRule>
    <cfRule type="expression" dxfId="290" priority="5">
      <formula>AND(LEN($D12)=5,$H12="")</formula>
    </cfRule>
    <cfRule type="expression" dxfId="289" priority="6">
      <formula>AND($D12&lt;&gt;"",$H12="")</formula>
    </cfRule>
  </conditionalFormatting>
  <conditionalFormatting sqref="Z12:AB12">
    <cfRule type="expression" dxfId="288" priority="1">
      <formula>LEN($D12)= 3</formula>
    </cfRule>
    <cfRule type="expression" dxfId="287" priority="2">
      <formula>AND(LEN($D12)=5,$H12="")</formula>
    </cfRule>
    <cfRule type="expression" dxfId="286" priority="3">
      <formula>AND($D12&lt;&gt;"",$H12="")</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C6E20-F346-4183-9A83-C8067E1A3CCE}">
  <sheetPr filterMode="1">
    <tabColor rgb="FF002060"/>
    <outlinePr summaryBelow="0" summaryRight="0"/>
    <pageSetUpPr fitToPage="1"/>
  </sheetPr>
  <dimension ref="A1:AI48"/>
  <sheetViews>
    <sheetView showGridLines="0" zoomScale="70" zoomScaleNormal="70" workbookViewId="0">
      <pane xSplit="9" ySplit="9" topLeftCell="J10" activePane="bottomRight" state="frozen"/>
      <selection activeCell="P26" sqref="P26"/>
      <selection pane="topRight" activeCell="P26" sqref="P26"/>
      <selection pane="bottomLeft" activeCell="P26" sqref="P26"/>
      <selection pane="bottomRight" activeCell="T55" sqref="T55"/>
    </sheetView>
  </sheetViews>
  <sheetFormatPr defaultColWidth="9.140625" defaultRowHeight="12.75" x14ac:dyDescent="0.25"/>
  <cols>
    <col min="1" max="1" width="50.7109375" style="141" customWidth="1"/>
    <col min="2" max="2" width="9.7109375" style="140" customWidth="1"/>
    <col min="3" max="3" width="1.7109375" style="141" customWidth="1"/>
    <col min="4" max="4" width="17.7109375" style="141" customWidth="1"/>
    <col min="5" max="5" width="15.7109375" style="143" customWidth="1"/>
    <col min="6" max="6" width="12.7109375" style="141" customWidth="1"/>
    <col min="7" max="7" width="50.7109375" style="141" customWidth="1"/>
    <col min="8" max="8" width="9.7109375" style="140" customWidth="1"/>
    <col min="9" max="9" width="12.7109375" style="144" customWidth="1"/>
    <col min="10" max="10" width="14.7109375" style="144" customWidth="1"/>
    <col min="11" max="11" width="14.7109375" style="409" customWidth="1"/>
    <col min="12" max="13" width="14.7109375" style="144" customWidth="1"/>
    <col min="14" max="14" width="1.7109375" style="141" customWidth="1"/>
    <col min="15" max="15" width="50.7109375" style="141" customWidth="1"/>
    <col min="16" max="16" width="1.7109375" style="141" customWidth="1"/>
    <col min="17" max="19" width="14.7109375" style="144" customWidth="1"/>
    <col min="20" max="20" width="14.7109375" style="140" customWidth="1"/>
    <col min="21" max="22" width="14.7109375" style="141" customWidth="1"/>
    <col min="23" max="23" width="14.7109375" style="140" customWidth="1"/>
    <col min="24" max="28" width="14.7109375" style="141" customWidth="1"/>
    <col min="29" max="29" width="1.7109375" style="141" customWidth="1"/>
    <col min="30" max="35" width="12.7109375" style="144" customWidth="1"/>
    <col min="36" max="16384" width="9.140625" style="141"/>
  </cols>
  <sheetData>
    <row r="1" spans="1:35" s="137" customFormat="1" ht="18" x14ac:dyDescent="0.25">
      <c r="A1" s="230"/>
      <c r="B1" s="230"/>
      <c r="D1" s="726" t="s">
        <v>1531</v>
      </c>
      <c r="E1" s="726"/>
      <c r="F1" s="726"/>
      <c r="G1" s="726"/>
      <c r="H1" s="726"/>
      <c r="I1" s="726"/>
      <c r="J1" s="231"/>
      <c r="K1" s="727"/>
      <c r="L1" s="728"/>
      <c r="M1" s="757" t="str">
        <f>'PSP-RESUMO'!$C$3</f>
        <v>ENCARGOS SOCIAIS SEM DESONERAÇÃO</v>
      </c>
      <c r="O1" s="43"/>
      <c r="Q1" s="125"/>
      <c r="R1" s="125"/>
      <c r="S1" s="125"/>
      <c r="AD1" s="819"/>
      <c r="AE1" s="819"/>
      <c r="AF1" s="819"/>
      <c r="AG1" s="819"/>
      <c r="AH1" s="819"/>
      <c r="AI1" s="819"/>
    </row>
    <row r="2" spans="1:35" s="137" customFormat="1" ht="15" x14ac:dyDescent="0.25">
      <c r="A2" s="129"/>
      <c r="D2" s="729" t="s">
        <v>1147</v>
      </c>
      <c r="E2" s="744" t="str">
        <f>IF('TRECHO(S) A IMPRIMIR'!$B$1= 1, 'PSP-RESUMO'!$B$2, IF('TRECHO(S) A IMPRIMIR'!$B$1= 2,#REF!,#REF!))</f>
        <v>URBANIZAÇÃO DO SETOR SOL NASCENTE - TRECHOS 1 e 3</v>
      </c>
      <c r="F2" s="730"/>
      <c r="G2" s="730"/>
      <c r="H2" s="730"/>
      <c r="I2" s="730"/>
      <c r="J2" s="126"/>
      <c r="K2" s="731"/>
      <c r="L2" s="807" t="s">
        <v>156</v>
      </c>
      <c r="M2" s="808" t="str">
        <f>'PSP-RESUMO'!$D$4</f>
        <v>28/JAN/2022</v>
      </c>
      <c r="Q2" s="126"/>
      <c r="R2" s="126"/>
      <c r="S2" s="126"/>
      <c r="AD2" s="819"/>
      <c r="AE2" s="819"/>
      <c r="AF2" s="819"/>
      <c r="AG2" s="819"/>
      <c r="AH2" s="819"/>
      <c r="AI2" s="819"/>
    </row>
    <row r="3" spans="1:35" s="137" customFormat="1" ht="18" x14ac:dyDescent="0.25">
      <c r="A3" s="130"/>
      <c r="D3" s="1408" t="s">
        <v>34</v>
      </c>
      <c r="E3" s="742" t="str">
        <f>'PSP-RESUMO'!B3</f>
        <v>SETOR SOL NASCENTE, CEILÂNDIA/DF</v>
      </c>
      <c r="F3" s="733"/>
      <c r="G3" s="733"/>
      <c r="H3" s="733"/>
      <c r="I3" s="734"/>
      <c r="J3" s="126"/>
      <c r="K3" s="735"/>
      <c r="L3" s="807" t="s">
        <v>1978</v>
      </c>
      <c r="M3" s="809" t="str">
        <f>'PSP-RESUMO'!$D$18</f>
        <v>JUNHO/2021</v>
      </c>
      <c r="Q3" s="126"/>
      <c r="R3" s="126"/>
      <c r="S3" s="126"/>
      <c r="AD3" s="819"/>
      <c r="AE3" s="819"/>
      <c r="AF3" s="819"/>
      <c r="AG3" s="819"/>
      <c r="AH3" s="819"/>
      <c r="AI3" s="819"/>
    </row>
    <row r="4" spans="1:35" s="137" customFormat="1" ht="15" x14ac:dyDescent="0.25">
      <c r="A4" s="129"/>
      <c r="D4" s="1408" t="s">
        <v>33</v>
      </c>
      <c r="E4" s="742" t="str">
        <f>'PSP-RESUMO'!B4</f>
        <v>ARIA</v>
      </c>
      <c r="F4" s="737"/>
      <c r="G4" s="736"/>
      <c r="H4" s="734"/>
      <c r="I4" s="736"/>
      <c r="J4" s="282"/>
      <c r="K4" s="738"/>
      <c r="L4" s="807" t="s">
        <v>1979</v>
      </c>
      <c r="M4" s="810">
        <f>IF('PSP-RESUMO'!$C$3 = "ENCARGOS SOCIAIS SEM DESONERAÇÃO", 'BDI obras SD'!$H$23, 'BDI obras CD'!$H$23)</f>
        <v>0.2033513845915047</v>
      </c>
      <c r="Q4" s="131"/>
      <c r="R4" s="131"/>
      <c r="S4" s="131"/>
      <c r="AD4" s="819"/>
      <c r="AE4" s="819"/>
      <c r="AF4" s="819"/>
      <c r="AG4" s="819"/>
      <c r="AH4" s="819"/>
      <c r="AI4" s="819"/>
    </row>
    <row r="5" spans="1:35" s="137" customFormat="1" ht="15" customHeight="1" x14ac:dyDescent="0.25">
      <c r="A5" s="129"/>
      <c r="B5" s="139"/>
      <c r="D5" s="1936" t="s">
        <v>1284</v>
      </c>
      <c r="E5" s="1938" t="str">
        <f>$G$9</f>
        <v>URBANIZAÇÃO E PAISAGISMO - TRECHOS 1 e 3</v>
      </c>
      <c r="F5" s="1938"/>
      <c r="G5" s="1938"/>
      <c r="H5" s="1938"/>
      <c r="I5" s="1938"/>
      <c r="J5" s="805"/>
      <c r="K5" s="803"/>
      <c r="L5" s="807" t="s">
        <v>1980</v>
      </c>
      <c r="M5" s="811">
        <f>IF('PSP-RESUMO'!$C$3 = "ENCARGOS SOCIAIS SEM DESONERAÇÃO", 'BDI-Difer SD'!$H$23, 'BDI-Difer CD'!$H$23)</f>
        <v>0.11096635744680849</v>
      </c>
      <c r="Q5" s="756"/>
      <c r="R5" s="756"/>
      <c r="S5" s="756"/>
      <c r="AD5" s="819"/>
      <c r="AE5" s="819"/>
      <c r="AF5" s="819"/>
      <c r="AG5" s="819"/>
      <c r="AH5" s="819"/>
      <c r="AI5" s="819"/>
    </row>
    <row r="6" spans="1:35" s="137" customFormat="1" ht="15" customHeight="1" thickBot="1" x14ac:dyDescent="0.3">
      <c r="A6" s="129"/>
      <c r="B6" s="139"/>
      <c r="D6" s="1937"/>
      <c r="E6" s="1939"/>
      <c r="F6" s="1939"/>
      <c r="G6" s="1939"/>
      <c r="H6" s="1939"/>
      <c r="I6" s="1939"/>
      <c r="J6" s="806"/>
      <c r="K6" s="743"/>
      <c r="L6" s="813" t="s">
        <v>1339</v>
      </c>
      <c r="M6" s="802">
        <f>'01-CO'!M6</f>
        <v>18</v>
      </c>
      <c r="Q6" s="804"/>
      <c r="R6" s="804"/>
      <c r="S6" s="804"/>
      <c r="AD6" s="819"/>
      <c r="AE6" s="819"/>
      <c r="AF6" s="819"/>
      <c r="AG6" s="819"/>
      <c r="AH6" s="819"/>
      <c r="AI6" s="819"/>
    </row>
    <row r="7" spans="1:35" ht="27" customHeight="1" x14ac:dyDescent="0.25">
      <c r="A7" s="1962" t="s">
        <v>31</v>
      </c>
      <c r="B7" s="1962" t="s">
        <v>1</v>
      </c>
      <c r="D7" s="1964" t="s">
        <v>0</v>
      </c>
      <c r="E7" s="1958" t="s">
        <v>32</v>
      </c>
      <c r="F7" s="1962" t="s">
        <v>1206</v>
      </c>
      <c r="G7" s="1962" t="s">
        <v>30</v>
      </c>
      <c r="H7" s="1962" t="s">
        <v>1</v>
      </c>
      <c r="I7" s="753" t="s">
        <v>29</v>
      </c>
      <c r="J7" s="1954" t="s">
        <v>1204</v>
      </c>
      <c r="K7" s="1950" t="s">
        <v>1202</v>
      </c>
      <c r="L7" s="1952" t="s">
        <v>1203</v>
      </c>
      <c r="M7" s="1970" t="s">
        <v>1205</v>
      </c>
      <c r="O7" s="1956" t="s">
        <v>160</v>
      </c>
      <c r="Q7" s="755" t="s">
        <v>418</v>
      </c>
      <c r="R7" s="750"/>
      <c r="S7" s="751"/>
      <c r="T7" s="752" t="s">
        <v>1717</v>
      </c>
      <c r="U7" s="750"/>
      <c r="V7" s="751"/>
      <c r="W7" s="752" t="s">
        <v>1717</v>
      </c>
      <c r="X7" s="750"/>
      <c r="Y7" s="751"/>
      <c r="Z7" s="750" t="s">
        <v>147</v>
      </c>
      <c r="AA7" s="750"/>
      <c r="AB7" s="751"/>
    </row>
    <row r="8" spans="1:35" ht="27" customHeight="1" thickBot="1" x14ac:dyDescent="0.3">
      <c r="A8" s="1963"/>
      <c r="B8" s="1963"/>
      <c r="D8" s="1965"/>
      <c r="E8" s="1959"/>
      <c r="F8" s="1963"/>
      <c r="G8" s="1963"/>
      <c r="H8" s="1963"/>
      <c r="I8" s="754" t="s">
        <v>8</v>
      </c>
      <c r="J8" s="1955"/>
      <c r="K8" s="1951"/>
      <c r="L8" s="1953"/>
      <c r="M8" s="1971"/>
      <c r="O8" s="1957"/>
      <c r="Q8" s="747" t="s">
        <v>1053</v>
      </c>
      <c r="R8" s="745" t="s">
        <v>1054</v>
      </c>
      <c r="S8" s="746" t="s">
        <v>288</v>
      </c>
      <c r="T8" s="749" t="s">
        <v>1053</v>
      </c>
      <c r="U8" s="745" t="s">
        <v>1054</v>
      </c>
      <c r="V8" s="746" t="s">
        <v>288</v>
      </c>
      <c r="W8" s="749" t="s">
        <v>1053</v>
      </c>
      <c r="X8" s="745" t="s">
        <v>1054</v>
      </c>
      <c r="Y8" s="746" t="s">
        <v>288</v>
      </c>
      <c r="Z8" s="748" t="s">
        <v>1053</v>
      </c>
      <c r="AA8" s="745" t="s">
        <v>1054</v>
      </c>
      <c r="AB8" s="746" t="s">
        <v>288</v>
      </c>
      <c r="AD8" s="503" t="s">
        <v>1340</v>
      </c>
      <c r="AE8" s="504" t="s">
        <v>1341</v>
      </c>
      <c r="AF8" s="504" t="s">
        <v>1342</v>
      </c>
      <c r="AG8" s="504" t="s">
        <v>1343</v>
      </c>
      <c r="AH8" s="505" t="s">
        <v>997</v>
      </c>
      <c r="AI8" s="505" t="s">
        <v>1381</v>
      </c>
    </row>
    <row r="9" spans="1:35" s="3" customFormat="1" x14ac:dyDescent="0.25">
      <c r="A9" s="587" t="str">
        <f>IF('TRECHO(S) A IMPRIMIR'!$B$1= 1, "URBANIZAÇÃO E PAISAGISMO - TRECHOS 1 e 3", IF('TRECHO(S) A IMPRIMIR'!$B$1= 2, "URBANIZAÇÃO E PAISAGISMO - TRECHO 1", "URBANIZAÇÃO E PAISAGISMO - TRECHO 3"))</f>
        <v>URBANIZAÇÃO E PAISAGISMO - TRECHOS 1 e 3</v>
      </c>
      <c r="B9" s="369"/>
      <c r="C9" s="588"/>
      <c r="D9" s="589" t="s">
        <v>1534</v>
      </c>
      <c r="E9" s="44"/>
      <c r="F9" s="214" t="str">
        <f>IF(E9="","",IF(LEN(E9)&lt;=4,"NOVACAP",IF(AND(LEN(E9)=5,E9&lt;50000),"DER-DF",IF(LEN(E9)=5,"CPU NOVA",IF(OR(MID(E9,3,1)="S",MID(E9,3,1)="A"),"SICRO2","SINAPI")))))</f>
        <v/>
      </c>
      <c r="G9" s="587" t="s">
        <v>4146</v>
      </c>
      <c r="H9" s="590" t="s">
        <v>21</v>
      </c>
      <c r="I9" s="591" t="s">
        <v>21</v>
      </c>
      <c r="J9" s="592" t="s">
        <v>21</v>
      </c>
      <c r="K9" s="593" t="s">
        <v>21</v>
      </c>
      <c r="L9" s="592" t="s">
        <v>21</v>
      </c>
      <c r="M9" s="594">
        <v>887312.00653654826</v>
      </c>
      <c r="N9" s="40"/>
      <c r="O9" s="673"/>
      <c r="P9" s="361"/>
      <c r="Q9" s="441"/>
      <c r="R9" s="485"/>
      <c r="S9" s="442"/>
      <c r="T9" s="441"/>
      <c r="U9" s="485"/>
      <c r="V9" s="442"/>
      <c r="W9" s="441"/>
      <c r="X9" s="485"/>
      <c r="Y9" s="442"/>
      <c r="Z9" s="441"/>
      <c r="AA9" s="485"/>
      <c r="AB9" s="442"/>
      <c r="AD9" s="441" t="s">
        <v>21</v>
      </c>
      <c r="AE9" s="674" t="s">
        <v>21</v>
      </c>
      <c r="AF9" s="674" t="s">
        <v>21</v>
      </c>
      <c r="AG9" s="674" t="s">
        <v>21</v>
      </c>
      <c r="AH9" s="442" t="s">
        <v>21</v>
      </c>
      <c r="AI9" s="442" t="str">
        <f>IF(SUM(AD9:AH9)=0,"",M9 - SUM(AD9:AH9))</f>
        <v/>
      </c>
    </row>
    <row r="10" spans="1:35" s="3" customFormat="1" x14ac:dyDescent="0.25">
      <c r="A10" s="587" t="s">
        <v>733</v>
      </c>
      <c r="B10" s="369"/>
      <c r="C10" s="588"/>
      <c r="D10" s="589" t="s">
        <v>1940</v>
      </c>
      <c r="E10" s="44"/>
      <c r="F10" s="214"/>
      <c r="G10" s="587" t="s">
        <v>733</v>
      </c>
      <c r="H10" s="590" t="s">
        <v>21</v>
      </c>
      <c r="I10" s="591" t="s">
        <v>21</v>
      </c>
      <c r="J10" s="592" t="s">
        <v>21</v>
      </c>
      <c r="K10" s="593" t="s">
        <v>21</v>
      </c>
      <c r="L10" s="592" t="s">
        <v>21</v>
      </c>
      <c r="M10" s="594">
        <v>1235.5539499429797</v>
      </c>
      <c r="N10" s="40"/>
      <c r="O10" s="673"/>
      <c r="P10" s="361"/>
      <c r="Q10" s="441"/>
      <c r="R10" s="485"/>
      <c r="S10" s="442"/>
      <c r="T10" s="441"/>
      <c r="U10" s="485"/>
      <c r="V10" s="442"/>
      <c r="W10" s="441"/>
      <c r="X10" s="485"/>
      <c r="Y10" s="442"/>
      <c r="Z10" s="441"/>
      <c r="AA10" s="485"/>
      <c r="AB10" s="442"/>
      <c r="AD10" s="441" t="s">
        <v>21</v>
      </c>
      <c r="AE10" s="674" t="s">
        <v>21</v>
      </c>
      <c r="AF10" s="674" t="s">
        <v>21</v>
      </c>
      <c r="AG10" s="674" t="s">
        <v>21</v>
      </c>
      <c r="AH10" s="442" t="s">
        <v>21</v>
      </c>
      <c r="AI10" s="442" t="str">
        <f t="shared" ref="AI10:AI30" si="0">IF(SUM(AD10:AH10)=0,"",M10 - SUM(AD10:AH10))</f>
        <v/>
      </c>
    </row>
    <row r="11" spans="1:35" s="3" customFormat="1" ht="24" hidden="1" x14ac:dyDescent="0.25">
      <c r="A11" s="587" t="s">
        <v>752</v>
      </c>
      <c r="B11" s="369" t="s">
        <v>39</v>
      </c>
      <c r="C11" s="588"/>
      <c r="D11" s="589" t="s">
        <v>1941</v>
      </c>
      <c r="E11" s="44" t="s">
        <v>138</v>
      </c>
      <c r="F11" s="214" t="s">
        <v>747</v>
      </c>
      <c r="G11" s="587" t="s">
        <v>748</v>
      </c>
      <c r="H11" s="590" t="s">
        <v>41</v>
      </c>
      <c r="I11" s="591">
        <f>IF($F11="","",IF('TRECHO(S) A IMPRIMIR'!$B$1= 1, SUM(Q11, T11, W11, Z11), IF('TRECHO(S) A IMPRIMIR'!$B$1= 2, T11, IF('TRECHO(S) A IMPRIMIR'!$B$1= 3, W11, 0))))</f>
        <v>0</v>
      </c>
      <c r="J11" s="592">
        <v>622.04061943039994</v>
      </c>
      <c r="K11" s="593">
        <f>IF(AND(F11&lt;&gt;"",J11&lt;&gt;""),
  IF(OR(F11= "CP9001", F11= "CP9091", F11= "CP9092"), 0,
  IF($M$1 = "ENCARGOS SOCIAIS SEM DESONERAÇÃO",'BDI obras SD'!$H$23,'BDI obras CD'!$H$23)),"")</f>
        <v>0.2033513845915047</v>
      </c>
      <c r="L11" s="592">
        <f t="shared" ref="L9:L30" si="1">IF(J11="","",
  IF(AND(J11&lt;&gt;"",K11=""),J11,J11 * (1 + K11)))</f>
        <v>748.53344066372904</v>
      </c>
      <c r="M11" s="594">
        <f>IF(H11="","",I11*L11)</f>
        <v>0</v>
      </c>
      <c r="N11" s="40"/>
      <c r="O11" s="673"/>
      <c r="P11" s="361"/>
      <c r="Q11" s="441">
        <f>Q14*(0.21+0.16)</f>
        <v>0</v>
      </c>
      <c r="R11" s="485"/>
      <c r="S11" s="442"/>
      <c r="T11" s="441"/>
      <c r="U11" s="485"/>
      <c r="V11" s="442"/>
      <c r="W11" s="441"/>
      <c r="X11" s="485"/>
      <c r="Y11" s="442"/>
      <c r="Z11" s="441"/>
      <c r="AA11" s="485"/>
      <c r="AB11" s="442"/>
      <c r="AD11" s="441" t="s">
        <v>21</v>
      </c>
      <c r="AE11" s="674" t="s">
        <v>21</v>
      </c>
      <c r="AF11" s="674" t="s">
        <v>21</v>
      </c>
      <c r="AG11" s="674" t="s">
        <v>21</v>
      </c>
      <c r="AH11" s="442" t="s">
        <v>21</v>
      </c>
      <c r="AI11" s="442" t="str">
        <f t="shared" si="0"/>
        <v/>
      </c>
    </row>
    <row r="12" spans="1:35" s="3" customFormat="1" x14ac:dyDescent="0.25">
      <c r="A12" s="587" t="s">
        <v>765</v>
      </c>
      <c r="B12" s="369" t="s">
        <v>39</v>
      </c>
      <c r="C12" s="588"/>
      <c r="D12" s="589" t="s">
        <v>1942</v>
      </c>
      <c r="E12" s="44" t="s">
        <v>138</v>
      </c>
      <c r="F12" s="214" t="s">
        <v>759</v>
      </c>
      <c r="G12" s="587" t="s">
        <v>760</v>
      </c>
      <c r="H12" s="590" t="s">
        <v>41</v>
      </c>
      <c r="I12" s="591">
        <v>12</v>
      </c>
      <c r="J12" s="592">
        <v>85.563394433511391</v>
      </c>
      <c r="K12" s="593">
        <v>0.2033513845915047</v>
      </c>
      <c r="L12" s="592">
        <v>102.96282916191498</v>
      </c>
      <c r="M12" s="594">
        <v>1235.5539499429797</v>
      </c>
      <c r="N12" s="40"/>
      <c r="O12" s="673"/>
      <c r="P12" s="361"/>
      <c r="Q12" s="441">
        <v>0</v>
      </c>
      <c r="R12" s="485"/>
      <c r="S12" s="442"/>
      <c r="T12" s="441">
        <v>12</v>
      </c>
      <c r="U12" s="485"/>
      <c r="V12" s="442"/>
      <c r="W12" s="441"/>
      <c r="X12" s="485"/>
      <c r="Y12" s="442"/>
      <c r="Z12" s="441"/>
      <c r="AA12" s="485"/>
      <c r="AB12" s="442"/>
      <c r="AD12" s="441">
        <v>44.721233126769796</v>
      </c>
      <c r="AE12" s="674">
        <v>1174.0338367618731</v>
      </c>
      <c r="AF12" s="674">
        <v>16.798880054336731</v>
      </c>
      <c r="AG12" s="674">
        <v>0</v>
      </c>
      <c r="AH12" s="442">
        <v>2.4047791449984907E-15</v>
      </c>
      <c r="AI12" s="442">
        <v>0</v>
      </c>
    </row>
    <row r="13" spans="1:35" s="3" customFormat="1" x14ac:dyDescent="0.25">
      <c r="A13" s="587"/>
      <c r="B13" s="369"/>
      <c r="C13" s="588"/>
      <c r="D13" s="589"/>
      <c r="E13" s="44"/>
      <c r="F13" s="214"/>
      <c r="G13" s="587" t="s">
        <v>21</v>
      </c>
      <c r="H13" s="590" t="s">
        <v>21</v>
      </c>
      <c r="I13" s="591" t="s">
        <v>21</v>
      </c>
      <c r="J13" s="592" t="s">
        <v>21</v>
      </c>
      <c r="K13" s="593" t="s">
        <v>21</v>
      </c>
      <c r="L13" s="592" t="s">
        <v>21</v>
      </c>
      <c r="M13" s="594" t="s">
        <v>21</v>
      </c>
      <c r="N13" s="40"/>
      <c r="O13" s="673"/>
      <c r="P13" s="361"/>
      <c r="Q13" s="441">
        <v>0</v>
      </c>
      <c r="R13" s="485"/>
      <c r="S13" s="442"/>
      <c r="T13" s="441"/>
      <c r="U13" s="485"/>
      <c r="V13" s="442"/>
      <c r="W13" s="441"/>
      <c r="X13" s="485"/>
      <c r="Y13" s="442"/>
      <c r="Z13" s="441"/>
      <c r="AA13" s="485"/>
      <c r="AB13" s="442"/>
      <c r="AD13" s="441" t="s">
        <v>21</v>
      </c>
      <c r="AE13" s="674" t="s">
        <v>21</v>
      </c>
      <c r="AF13" s="674" t="s">
        <v>21</v>
      </c>
      <c r="AG13" s="674" t="s">
        <v>21</v>
      </c>
      <c r="AH13" s="442" t="s">
        <v>21</v>
      </c>
      <c r="AI13" s="442" t="s">
        <v>21</v>
      </c>
    </row>
    <row r="14" spans="1:35" s="3" customFormat="1" x14ac:dyDescent="0.25">
      <c r="A14" s="587" t="s">
        <v>734</v>
      </c>
      <c r="B14" s="369"/>
      <c r="C14" s="588"/>
      <c r="D14" s="589" t="s">
        <v>1943</v>
      </c>
      <c r="E14" s="44"/>
      <c r="F14" s="214"/>
      <c r="G14" s="587" t="s">
        <v>734</v>
      </c>
      <c r="H14" s="590" t="s">
        <v>21</v>
      </c>
      <c r="I14" s="591" t="s">
        <v>21</v>
      </c>
      <c r="J14" s="592" t="s">
        <v>21</v>
      </c>
      <c r="K14" s="593" t="s">
        <v>21</v>
      </c>
      <c r="L14" s="592" t="s">
        <v>21</v>
      </c>
      <c r="M14" s="594">
        <v>0</v>
      </c>
      <c r="N14" s="40"/>
      <c r="O14" s="673"/>
      <c r="P14" s="361"/>
      <c r="Q14" s="441"/>
      <c r="R14" s="485"/>
      <c r="S14" s="442"/>
      <c r="T14" s="441"/>
      <c r="U14" s="485"/>
      <c r="V14" s="442"/>
      <c r="W14" s="441"/>
      <c r="X14" s="485"/>
      <c r="Y14" s="442"/>
      <c r="Z14" s="441"/>
      <c r="AA14" s="485"/>
      <c r="AB14" s="442"/>
      <c r="AD14" s="441" t="s">
        <v>21</v>
      </c>
      <c r="AE14" s="674" t="s">
        <v>21</v>
      </c>
      <c r="AF14" s="674" t="s">
        <v>21</v>
      </c>
      <c r="AG14" s="674" t="s">
        <v>21</v>
      </c>
      <c r="AH14" s="442" t="s">
        <v>21</v>
      </c>
      <c r="AI14" s="442" t="s">
        <v>21</v>
      </c>
    </row>
    <row r="15" spans="1:35" s="3" customFormat="1" x14ac:dyDescent="0.25">
      <c r="A15" s="587" t="s">
        <v>735</v>
      </c>
      <c r="B15" s="369"/>
      <c r="C15" s="588"/>
      <c r="D15" s="589" t="s">
        <v>1944</v>
      </c>
      <c r="E15" s="44"/>
      <c r="F15" s="214"/>
      <c r="G15" s="587" t="s">
        <v>735</v>
      </c>
      <c r="H15" s="590" t="s">
        <v>21</v>
      </c>
      <c r="I15" s="591" t="s">
        <v>21</v>
      </c>
      <c r="J15" s="592" t="s">
        <v>21</v>
      </c>
      <c r="K15" s="593" t="s">
        <v>21</v>
      </c>
      <c r="L15" s="592" t="s">
        <v>21</v>
      </c>
      <c r="M15" s="594">
        <v>0</v>
      </c>
      <c r="N15" s="40"/>
      <c r="O15" s="673"/>
      <c r="P15" s="361"/>
      <c r="Q15" s="441">
        <v>0</v>
      </c>
      <c r="R15" s="485"/>
      <c r="S15" s="442"/>
      <c r="T15" s="441"/>
      <c r="U15" s="485"/>
      <c r="V15" s="442"/>
      <c r="W15" s="441"/>
      <c r="X15" s="485"/>
      <c r="Y15" s="442"/>
      <c r="Z15" s="441"/>
      <c r="AA15" s="485"/>
      <c r="AB15" s="442"/>
      <c r="AD15" s="441" t="s">
        <v>21</v>
      </c>
      <c r="AE15" s="674" t="s">
        <v>21</v>
      </c>
      <c r="AF15" s="674" t="s">
        <v>21</v>
      </c>
      <c r="AG15" s="674" t="s">
        <v>21</v>
      </c>
      <c r="AH15" s="442" t="s">
        <v>21</v>
      </c>
      <c r="AI15" s="442" t="s">
        <v>21</v>
      </c>
    </row>
    <row r="16" spans="1:35" s="3" customFormat="1" ht="24" hidden="1" x14ac:dyDescent="0.25">
      <c r="A16" s="587" t="s">
        <v>737</v>
      </c>
      <c r="B16" s="369" t="s">
        <v>39</v>
      </c>
      <c r="C16" s="588"/>
      <c r="D16" s="589" t="s">
        <v>1945</v>
      </c>
      <c r="E16" s="44" t="s">
        <v>27</v>
      </c>
      <c r="F16" s="214">
        <v>98510</v>
      </c>
      <c r="G16" s="587" t="s">
        <v>625</v>
      </c>
      <c r="H16" s="590" t="s">
        <v>41</v>
      </c>
      <c r="I16" s="591">
        <f>IF($F16="","",IF('TRECHO(S) A IMPRIMIR'!$B$1= 1, SUM(Q16, T16, W16, Z16), IF('TRECHO(S) A IMPRIMIR'!$B$1= 2, T16, IF('TRECHO(S) A IMPRIMIR'!$B$1= 3, W16, 0))))</f>
        <v>0</v>
      </c>
      <c r="J16" s="592">
        <v>59.1</v>
      </c>
      <c r="K16" s="593">
        <f>IF(AND(F16&lt;&gt;"",J16&lt;&gt;""),
  IF(OR(F16= "CP9001", F16= "CP9091", F16= "CP9092"), 0,
  IF($M$1 = "ENCARGOS SOCIAIS SEM DESONERAÇÃO",'BDI obras SD'!$H$23,'BDI obras CD'!$H$23)),"")</f>
        <v>0.2033513845915047</v>
      </c>
      <c r="L16" s="592">
        <f t="shared" si="1"/>
        <v>71.118066829357929</v>
      </c>
      <c r="M16" s="594">
        <f>IF(H16="","",I16*L16)</f>
        <v>0</v>
      </c>
      <c r="N16" s="40"/>
      <c r="O16" s="673"/>
      <c r="P16" s="361"/>
      <c r="Q16" s="441">
        <f>Q15 * 'MLQ-DMT-TR1'!$E$16</f>
        <v>0</v>
      </c>
      <c r="R16" s="485"/>
      <c r="S16" s="442"/>
      <c r="T16" s="441"/>
      <c r="U16" s="485"/>
      <c r="V16" s="442"/>
      <c r="W16" s="441"/>
      <c r="X16" s="485"/>
      <c r="Y16" s="442"/>
      <c r="Z16" s="441"/>
      <c r="AA16" s="485"/>
      <c r="AB16" s="442"/>
      <c r="AD16" s="441" t="s">
        <v>21</v>
      </c>
      <c r="AE16" s="674" t="s">
        <v>21</v>
      </c>
      <c r="AF16" s="674" t="s">
        <v>21</v>
      </c>
      <c r="AG16" s="674" t="s">
        <v>21</v>
      </c>
      <c r="AH16" s="442" t="s">
        <v>21</v>
      </c>
      <c r="AI16" s="442" t="str">
        <f t="shared" si="0"/>
        <v/>
      </c>
    </row>
    <row r="17" spans="1:35" s="3" customFormat="1" ht="24" hidden="1" x14ac:dyDescent="0.25">
      <c r="A17" s="587" t="s">
        <v>745</v>
      </c>
      <c r="B17" s="369" t="s">
        <v>39</v>
      </c>
      <c r="C17" s="588"/>
      <c r="D17" s="589" t="s">
        <v>1946</v>
      </c>
      <c r="E17" s="44" t="s">
        <v>27</v>
      </c>
      <c r="F17" s="214">
        <v>98516</v>
      </c>
      <c r="G17" s="587" t="s">
        <v>628</v>
      </c>
      <c r="H17" s="590" t="s">
        <v>41</v>
      </c>
      <c r="I17" s="591">
        <f>IF($F17="","",IF('TRECHO(S) A IMPRIMIR'!$B$1= 1, SUM(Q17, T17, W17, Z17), IF('TRECHO(S) A IMPRIMIR'!$B$1= 2, T17, IF('TRECHO(S) A IMPRIMIR'!$B$1= 3, W17, 0))))</f>
        <v>0</v>
      </c>
      <c r="J17" s="592">
        <v>276.27999999999997</v>
      </c>
      <c r="K17" s="593">
        <f>IF(AND(F17&lt;&gt;"",J17&lt;&gt;""),
  IF(OR(F17= "CP9001", F17= "CP9091", F17= "CP9092"), 0,
  IF($M$1 = "ENCARGOS SOCIAIS SEM DESONERAÇÃO",'BDI obras SD'!$H$23,'BDI obras CD'!$H$23)),"")</f>
        <v>0.2033513845915047</v>
      </c>
      <c r="L17" s="592">
        <f t="shared" si="1"/>
        <v>332.46192053494087</v>
      </c>
      <c r="M17" s="594">
        <f>IF(H17="","",I17*L17)</f>
        <v>0</v>
      </c>
      <c r="N17" s="40"/>
      <c r="O17" s="673"/>
      <c r="P17" s="361"/>
      <c r="Q17" s="441">
        <f>Q14*0.21</f>
        <v>0</v>
      </c>
      <c r="R17" s="485"/>
      <c r="S17" s="442"/>
      <c r="T17" s="441"/>
      <c r="U17" s="485"/>
      <c r="V17" s="442"/>
      <c r="W17" s="441"/>
      <c r="X17" s="485"/>
      <c r="Y17" s="442"/>
      <c r="Z17" s="441"/>
      <c r="AA17" s="485"/>
      <c r="AB17" s="442"/>
      <c r="AD17" s="441" t="s">
        <v>21</v>
      </c>
      <c r="AE17" s="674" t="s">
        <v>21</v>
      </c>
      <c r="AF17" s="674" t="s">
        <v>21</v>
      </c>
      <c r="AG17" s="674" t="s">
        <v>21</v>
      </c>
      <c r="AH17" s="442" t="s">
        <v>21</v>
      </c>
      <c r="AI17" s="442" t="str">
        <f t="shared" si="0"/>
        <v/>
      </c>
    </row>
    <row r="18" spans="1:35" s="3" customFormat="1" x14ac:dyDescent="0.25">
      <c r="A18" s="587"/>
      <c r="B18" s="369"/>
      <c r="C18" s="588"/>
      <c r="D18" s="589"/>
      <c r="E18" s="44"/>
      <c r="F18" s="214"/>
      <c r="G18" s="587" t="s">
        <v>21</v>
      </c>
      <c r="H18" s="590" t="s">
        <v>21</v>
      </c>
      <c r="I18" s="591" t="s">
        <v>21</v>
      </c>
      <c r="J18" s="592" t="s">
        <v>21</v>
      </c>
      <c r="K18" s="593" t="s">
        <v>21</v>
      </c>
      <c r="L18" s="592" t="s">
        <v>21</v>
      </c>
      <c r="M18" s="594" t="s">
        <v>21</v>
      </c>
      <c r="N18" s="40"/>
      <c r="O18" s="673"/>
      <c r="P18" s="361"/>
      <c r="Q18" s="441">
        <v>0</v>
      </c>
      <c r="R18" s="485"/>
      <c r="S18" s="442"/>
      <c r="T18" s="441"/>
      <c r="U18" s="485"/>
      <c r="V18" s="442"/>
      <c r="W18" s="441"/>
      <c r="X18" s="485"/>
      <c r="Y18" s="442"/>
      <c r="Z18" s="441"/>
      <c r="AA18" s="485"/>
      <c r="AB18" s="442"/>
      <c r="AD18" s="441" t="s">
        <v>21</v>
      </c>
      <c r="AE18" s="674" t="s">
        <v>21</v>
      </c>
      <c r="AF18" s="674" t="s">
        <v>21</v>
      </c>
      <c r="AG18" s="674" t="s">
        <v>21</v>
      </c>
      <c r="AH18" s="442" t="s">
        <v>21</v>
      </c>
      <c r="AI18" s="442" t="s">
        <v>21</v>
      </c>
    </row>
    <row r="19" spans="1:35" s="3" customFormat="1" x14ac:dyDescent="0.25">
      <c r="A19" s="587" t="s">
        <v>736</v>
      </c>
      <c r="B19" s="369"/>
      <c r="C19" s="588"/>
      <c r="D19" s="589" t="s">
        <v>1947</v>
      </c>
      <c r="E19" s="44"/>
      <c r="F19" s="214"/>
      <c r="G19" s="587" t="s">
        <v>736</v>
      </c>
      <c r="H19" s="590" t="s">
        <v>21</v>
      </c>
      <c r="I19" s="591" t="s">
        <v>21</v>
      </c>
      <c r="J19" s="592" t="s">
        <v>21</v>
      </c>
      <c r="K19" s="593" t="s">
        <v>21</v>
      </c>
      <c r="L19" s="592" t="s">
        <v>21</v>
      </c>
      <c r="M19" s="594">
        <v>0</v>
      </c>
      <c r="N19" s="40"/>
      <c r="O19" s="673"/>
      <c r="P19" s="361"/>
      <c r="Q19" s="441">
        <v>0</v>
      </c>
      <c r="R19" s="485"/>
      <c r="S19" s="442"/>
      <c r="T19" s="441"/>
      <c r="U19" s="485"/>
      <c r="V19" s="442"/>
      <c r="W19" s="441"/>
      <c r="X19" s="485"/>
      <c r="Y19" s="442"/>
      <c r="Z19" s="441"/>
      <c r="AA19" s="485"/>
      <c r="AB19" s="442"/>
      <c r="AD19" s="441" t="s">
        <v>21</v>
      </c>
      <c r="AE19" s="674" t="s">
        <v>21</v>
      </c>
      <c r="AF19" s="674" t="s">
        <v>21</v>
      </c>
      <c r="AG19" s="674" t="s">
        <v>21</v>
      </c>
      <c r="AH19" s="442" t="s">
        <v>21</v>
      </c>
      <c r="AI19" s="442" t="s">
        <v>21</v>
      </c>
    </row>
    <row r="20" spans="1:35" s="3" customFormat="1" hidden="1" x14ac:dyDescent="0.25">
      <c r="A20" s="587" t="s">
        <v>744</v>
      </c>
      <c r="B20" s="369" t="s">
        <v>20</v>
      </c>
      <c r="C20" s="588"/>
      <c r="D20" s="589" t="s">
        <v>1948</v>
      </c>
      <c r="E20" s="44" t="s">
        <v>27</v>
      </c>
      <c r="F20" s="214">
        <v>98520</v>
      </c>
      <c r="G20" s="587" t="s">
        <v>487</v>
      </c>
      <c r="H20" s="590" t="s">
        <v>51</v>
      </c>
      <c r="I20" s="591">
        <f>IF($F20="","",IF('TRECHO(S) A IMPRIMIR'!$B$1= 1, SUM(Q20, T20, W20, Z20), IF('TRECHO(S) A IMPRIMIR'!$B$1= 2, T20, IF('TRECHO(S) A IMPRIMIR'!$B$1= 3, W20, 0))))</f>
        <v>0</v>
      </c>
      <c r="J20" s="592">
        <v>4.92</v>
      </c>
      <c r="K20" s="593">
        <f>IF(AND(F20&lt;&gt;"",J20&lt;&gt;""),
  IF(OR(F20= "CP9001", F20= "CP9091", F20= "CP9092"), 0,
  IF($M$1 = "ENCARGOS SOCIAIS SEM DESONERAÇÃO",'BDI obras SD'!$H$23,'BDI obras CD'!$H$23)),"")</f>
        <v>0.2033513845915047</v>
      </c>
      <c r="L20" s="592">
        <f t="shared" si="1"/>
        <v>5.9204888121902028</v>
      </c>
      <c r="M20" s="594">
        <f t="shared" ref="M20:M30" si="2">IF(H20="","",I20*L20)</f>
        <v>0</v>
      </c>
      <c r="N20" s="40"/>
      <c r="O20" s="673"/>
      <c r="P20" s="361"/>
      <c r="Q20" s="441">
        <f>Q21 * 'MLQ-PESP'!$C$9 * 'MLQ-DMT-TR1'!$E$16</f>
        <v>0</v>
      </c>
      <c r="R20" s="485"/>
      <c r="S20" s="442"/>
      <c r="T20" s="441"/>
      <c r="U20" s="485"/>
      <c r="V20" s="442"/>
      <c r="W20" s="441"/>
      <c r="X20" s="485"/>
      <c r="Y20" s="442"/>
      <c r="Z20" s="441"/>
      <c r="AA20" s="485"/>
      <c r="AB20" s="442"/>
      <c r="AD20" s="441" t="s">
        <v>21</v>
      </c>
      <c r="AE20" s="674" t="s">
        <v>21</v>
      </c>
      <c r="AF20" s="674" t="s">
        <v>21</v>
      </c>
      <c r="AG20" s="674" t="s">
        <v>21</v>
      </c>
      <c r="AH20" s="442" t="s">
        <v>21</v>
      </c>
      <c r="AI20" s="442" t="str">
        <f t="shared" si="0"/>
        <v/>
      </c>
    </row>
    <row r="21" spans="1:35" s="3" customFormat="1" ht="24" hidden="1" x14ac:dyDescent="0.25">
      <c r="A21" s="587" t="s">
        <v>746</v>
      </c>
      <c r="B21" s="369" t="s">
        <v>20</v>
      </c>
      <c r="C21" s="588"/>
      <c r="D21" s="589" t="s">
        <v>1949</v>
      </c>
      <c r="E21" s="44" t="s">
        <v>27</v>
      </c>
      <c r="F21" s="214">
        <v>98521</v>
      </c>
      <c r="G21" s="587" t="s">
        <v>488</v>
      </c>
      <c r="H21" s="590" t="s">
        <v>51</v>
      </c>
      <c r="I21" s="591">
        <f>IF($F21="","",IF('TRECHO(S) A IMPRIMIR'!$B$1= 1, SUM(Q21, T21, W21, Z21), IF('TRECHO(S) A IMPRIMIR'!$B$1= 2, T21, IF('TRECHO(S) A IMPRIMIR'!$B$1= 3, W21, 0))))</f>
        <v>0</v>
      </c>
      <c r="J21" s="592">
        <v>0.32</v>
      </c>
      <c r="K21" s="593">
        <f>IF(AND(F21&lt;&gt;"",J21&lt;&gt;""),
  IF(OR(F21= "CP9001", F21= "CP9091", F21= "CP9092"), 0,
  IF($M$1 = "ENCARGOS SOCIAIS SEM DESONERAÇÃO",'BDI obras SD'!$H$23,'BDI obras CD'!$H$23)),"")</f>
        <v>0.2033513845915047</v>
      </c>
      <c r="L21" s="592">
        <f t="shared" si="1"/>
        <v>0.38507244306928151</v>
      </c>
      <c r="M21" s="594">
        <f t="shared" si="2"/>
        <v>0</v>
      </c>
      <c r="N21" s="40"/>
      <c r="O21" s="673"/>
      <c r="P21" s="361"/>
      <c r="Q21" s="441">
        <f>Q14*0.16</f>
        <v>0</v>
      </c>
      <c r="R21" s="485"/>
      <c r="S21" s="442"/>
      <c r="T21" s="441"/>
      <c r="U21" s="485"/>
      <c r="V21" s="442"/>
      <c r="W21" s="441"/>
      <c r="X21" s="485"/>
      <c r="Y21" s="442"/>
      <c r="Z21" s="441"/>
      <c r="AA21" s="485"/>
      <c r="AB21" s="442"/>
      <c r="AD21" s="441" t="s">
        <v>21</v>
      </c>
      <c r="AE21" s="674" t="s">
        <v>21</v>
      </c>
      <c r="AF21" s="674" t="s">
        <v>21</v>
      </c>
      <c r="AG21" s="674" t="s">
        <v>21</v>
      </c>
      <c r="AH21" s="442" t="s">
        <v>21</v>
      </c>
      <c r="AI21" s="442" t="str">
        <f t="shared" si="0"/>
        <v/>
      </c>
    </row>
    <row r="22" spans="1:35" s="3" customFormat="1" hidden="1" x14ac:dyDescent="0.25">
      <c r="A22" s="587" t="s">
        <v>743</v>
      </c>
      <c r="B22" s="369" t="s">
        <v>20</v>
      </c>
      <c r="C22" s="588"/>
      <c r="D22" s="589" t="s">
        <v>1950</v>
      </c>
      <c r="E22" s="44" t="s">
        <v>27</v>
      </c>
      <c r="F22" s="214">
        <v>98505</v>
      </c>
      <c r="G22" s="587" t="s">
        <v>626</v>
      </c>
      <c r="H22" s="590" t="s">
        <v>51</v>
      </c>
      <c r="I22" s="591">
        <f>IF($F22="","",IF('TRECHO(S) A IMPRIMIR'!$B$1= 1, SUM(Q22, T22, W22, Z22), IF('TRECHO(S) A IMPRIMIR'!$B$1= 2, T22, IF('TRECHO(S) A IMPRIMIR'!$B$1= 3, W22, 0))))</f>
        <v>0</v>
      </c>
      <c r="J22" s="592">
        <v>54.43</v>
      </c>
      <c r="K22" s="593">
        <f>IF(AND(F22&lt;&gt;"",J22&lt;&gt;""),
  IF(OR(F22= "CP9001", F22= "CP9091", F22= "CP9092"), 0,
  IF($M$1 = "ENCARGOS SOCIAIS SEM DESONERAÇÃO",'BDI obras SD'!$H$23,'BDI obras CD'!$H$23)),"")</f>
        <v>0.2033513845915047</v>
      </c>
      <c r="L22" s="592">
        <f t="shared" si="1"/>
        <v>65.4984158633156</v>
      </c>
      <c r="M22" s="594">
        <f t="shared" si="2"/>
        <v>0</v>
      </c>
      <c r="N22" s="40"/>
      <c r="O22" s="673"/>
      <c r="P22" s="361"/>
      <c r="Q22" s="441">
        <f>Q24*'MLQ-PESP'!$C$14</f>
        <v>0</v>
      </c>
      <c r="R22" s="485"/>
      <c r="S22" s="442"/>
      <c r="T22" s="441"/>
      <c r="U22" s="485"/>
      <c r="V22" s="442"/>
      <c r="W22" s="441"/>
      <c r="X22" s="485"/>
      <c r="Y22" s="442"/>
      <c r="Z22" s="441"/>
      <c r="AA22" s="485"/>
      <c r="AB22" s="442"/>
      <c r="AD22" s="441" t="s">
        <v>21</v>
      </c>
      <c r="AE22" s="674" t="s">
        <v>21</v>
      </c>
      <c r="AF22" s="674" t="s">
        <v>21</v>
      </c>
      <c r="AG22" s="674" t="s">
        <v>21</v>
      </c>
      <c r="AH22" s="442" t="s">
        <v>21</v>
      </c>
      <c r="AI22" s="442" t="str">
        <f t="shared" si="0"/>
        <v/>
      </c>
    </row>
    <row r="23" spans="1:35" s="3" customFormat="1" ht="24.75" hidden="1" x14ac:dyDescent="0.25">
      <c r="A23" s="587" t="s">
        <v>742</v>
      </c>
      <c r="B23" s="369" t="s">
        <v>28</v>
      </c>
      <c r="C23" s="588"/>
      <c r="D23" s="589" t="s">
        <v>1951</v>
      </c>
      <c r="E23" s="44" t="s">
        <v>138</v>
      </c>
      <c r="F23" s="214" t="s">
        <v>738</v>
      </c>
      <c r="G23" s="587" t="s">
        <v>739</v>
      </c>
      <c r="H23" s="590" t="s">
        <v>51</v>
      </c>
      <c r="I23" s="591">
        <f>IF($F23="","",IF('TRECHO(S) A IMPRIMIR'!$B$1= 1, SUM(Q23, T23, W23, Z23), IF('TRECHO(S) A IMPRIMIR'!$B$1= 2, T23, IF('TRECHO(S) A IMPRIMIR'!$B$1= 3, W23, 0))))</f>
        <v>0</v>
      </c>
      <c r="J23" s="592">
        <v>54.436446000000004</v>
      </c>
      <c r="K23" s="593">
        <f>IF(AND(F23&lt;&gt;"",J23&lt;&gt;""),
  IF(OR(F23= "CP9001", F23= "CP9091", F23= "CP9092"), 0,
  IF($M$1 = "ENCARGOS SOCIAIS SEM DESONERAÇÃO",'BDI obras SD'!$H$23,'BDI obras CD'!$H$23)),"")</f>
        <v>0.2033513845915047</v>
      </c>
      <c r="L23" s="592">
        <f t="shared" si="1"/>
        <v>65.506172666340689</v>
      </c>
      <c r="M23" s="594">
        <f t="shared" si="2"/>
        <v>0</v>
      </c>
      <c r="N23" s="40"/>
      <c r="O23" s="673"/>
      <c r="P23" s="361"/>
      <c r="Q23" s="441">
        <f>Q22*'MLQ-DMT-TR1'!$E$16</f>
        <v>0</v>
      </c>
      <c r="R23" s="485"/>
      <c r="S23" s="442"/>
      <c r="T23" s="441"/>
      <c r="U23" s="485"/>
      <c r="V23" s="442"/>
      <c r="W23" s="441"/>
      <c r="X23" s="485"/>
      <c r="Y23" s="442"/>
      <c r="Z23" s="441"/>
      <c r="AA23" s="485"/>
      <c r="AB23" s="442"/>
      <c r="AD23" s="441" t="s">
        <v>21</v>
      </c>
      <c r="AE23" s="674" t="s">
        <v>21</v>
      </c>
      <c r="AF23" s="674" t="s">
        <v>21</v>
      </c>
      <c r="AG23" s="674" t="s">
        <v>21</v>
      </c>
      <c r="AH23" s="442" t="s">
        <v>21</v>
      </c>
      <c r="AI23" s="442" t="str">
        <f t="shared" si="0"/>
        <v/>
      </c>
    </row>
    <row r="24" spans="1:35" s="3" customFormat="1" hidden="1" x14ac:dyDescent="0.25">
      <c r="A24" s="587" t="s">
        <v>741</v>
      </c>
      <c r="B24" s="369" t="s">
        <v>20</v>
      </c>
      <c r="C24" s="588"/>
      <c r="D24" s="589" t="s">
        <v>1952</v>
      </c>
      <c r="E24" s="44" t="s">
        <v>27</v>
      </c>
      <c r="F24" s="214">
        <v>98504</v>
      </c>
      <c r="G24" s="587" t="s">
        <v>627</v>
      </c>
      <c r="H24" s="590" t="s">
        <v>51</v>
      </c>
      <c r="I24" s="591">
        <f>IF($F24="","",IF('TRECHO(S) A IMPRIMIR'!$B$1= 1, SUM(Q24, T24, W24, Z24), IF('TRECHO(S) A IMPRIMIR'!$B$1= 2, T24, IF('TRECHO(S) A IMPRIMIR'!$B$1= 3, W24, 0))))</f>
        <v>0</v>
      </c>
      <c r="J24" s="592">
        <v>11.36</v>
      </c>
      <c r="K24" s="593">
        <f>IF(AND(F24&lt;&gt;"",J24&lt;&gt;""),
  IF(OR(F24= "CP9001", F24= "CP9091", F24= "CP9092"), 0,
  IF($M$1 = "ENCARGOS SOCIAIS SEM DESONERAÇÃO",'BDI obras SD'!$H$23,'BDI obras CD'!$H$23)),"")</f>
        <v>0.2033513845915047</v>
      </c>
      <c r="L24" s="592">
        <f t="shared" si="1"/>
        <v>13.670071728959492</v>
      </c>
      <c r="M24" s="594">
        <f t="shared" si="2"/>
        <v>0</v>
      </c>
      <c r="N24" s="40"/>
      <c r="O24" s="673"/>
      <c r="P24" s="361"/>
      <c r="Q24" s="441"/>
      <c r="R24" s="485"/>
      <c r="S24" s="442"/>
      <c r="T24" s="441"/>
      <c r="U24" s="485"/>
      <c r="V24" s="442"/>
      <c r="W24" s="441"/>
      <c r="X24" s="485"/>
      <c r="Y24" s="442"/>
      <c r="Z24" s="441"/>
      <c r="AA24" s="485"/>
      <c r="AB24" s="442"/>
      <c r="AD24" s="441" t="s">
        <v>21</v>
      </c>
      <c r="AE24" s="674" t="s">
        <v>21</v>
      </c>
      <c r="AF24" s="674" t="s">
        <v>21</v>
      </c>
      <c r="AG24" s="674" t="s">
        <v>21</v>
      </c>
      <c r="AH24" s="442" t="s">
        <v>21</v>
      </c>
      <c r="AI24" s="442" t="str">
        <f t="shared" si="0"/>
        <v/>
      </c>
    </row>
    <row r="25" spans="1:35" s="3" customFormat="1" x14ac:dyDescent="0.25">
      <c r="A25" s="587"/>
      <c r="B25" s="369"/>
      <c r="C25" s="588"/>
      <c r="D25" s="589"/>
      <c r="E25" s="44"/>
      <c r="F25" s="214"/>
      <c r="G25" s="587" t="s">
        <v>21</v>
      </c>
      <c r="H25" s="590" t="s">
        <v>21</v>
      </c>
      <c r="I25" s="591" t="s">
        <v>21</v>
      </c>
      <c r="J25" s="592" t="s">
        <v>21</v>
      </c>
      <c r="K25" s="593" t="s">
        <v>21</v>
      </c>
      <c r="L25" s="592" t="s">
        <v>21</v>
      </c>
      <c r="M25" s="594" t="s">
        <v>21</v>
      </c>
      <c r="N25" s="40"/>
      <c r="O25" s="673"/>
      <c r="P25" s="361"/>
      <c r="Q25" s="441">
        <v>0</v>
      </c>
      <c r="R25" s="485"/>
      <c r="S25" s="442"/>
      <c r="T25" s="441"/>
      <c r="U25" s="485"/>
      <c r="V25" s="442"/>
      <c r="W25" s="441"/>
      <c r="X25" s="485"/>
      <c r="Y25" s="442"/>
      <c r="Z25" s="441"/>
      <c r="AA25" s="485"/>
      <c r="AB25" s="442"/>
      <c r="AD25" s="441" t="s">
        <v>21</v>
      </c>
      <c r="AE25" s="674" t="s">
        <v>21</v>
      </c>
      <c r="AF25" s="674" t="s">
        <v>21</v>
      </c>
      <c r="AG25" s="674" t="s">
        <v>21</v>
      </c>
      <c r="AH25" s="442" t="s">
        <v>21</v>
      </c>
      <c r="AI25" s="442" t="s">
        <v>21</v>
      </c>
    </row>
    <row r="26" spans="1:35" s="3" customFormat="1" x14ac:dyDescent="0.25">
      <c r="A26" s="587" t="s">
        <v>3650</v>
      </c>
      <c r="B26" s="369"/>
      <c r="C26" s="588"/>
      <c r="D26" s="589" t="s">
        <v>3651</v>
      </c>
      <c r="E26" s="44"/>
      <c r="F26" s="214"/>
      <c r="G26" s="587" t="s">
        <v>3650</v>
      </c>
      <c r="H26" s="590" t="s">
        <v>21</v>
      </c>
      <c r="I26" s="591" t="s">
        <v>21</v>
      </c>
      <c r="J26" s="592" t="s">
        <v>21</v>
      </c>
      <c r="K26" s="593" t="s">
        <v>21</v>
      </c>
      <c r="L26" s="592" t="s">
        <v>21</v>
      </c>
      <c r="M26" s="594">
        <v>886076.45258660521</v>
      </c>
      <c r="N26" s="40"/>
      <c r="O26" s="673"/>
      <c r="P26" s="361"/>
      <c r="Q26" s="441">
        <v>0</v>
      </c>
      <c r="R26" s="485"/>
      <c r="S26" s="442"/>
      <c r="T26" s="441"/>
      <c r="U26" s="485"/>
      <c r="V26" s="442"/>
      <c r="W26" s="441"/>
      <c r="X26" s="485"/>
      <c r="Y26" s="442"/>
      <c r="Z26" s="441"/>
      <c r="AA26" s="485"/>
      <c r="AB26" s="442"/>
      <c r="AD26" s="441" t="s">
        <v>21</v>
      </c>
      <c r="AE26" s="674" t="s">
        <v>21</v>
      </c>
      <c r="AF26" s="674" t="s">
        <v>21</v>
      </c>
      <c r="AG26" s="674" t="s">
        <v>21</v>
      </c>
      <c r="AH26" s="442" t="s">
        <v>21</v>
      </c>
      <c r="AI26" s="442" t="s">
        <v>21</v>
      </c>
    </row>
    <row r="27" spans="1:35" s="3" customFormat="1" ht="24" x14ac:dyDescent="0.25">
      <c r="A27" s="587" t="s">
        <v>3653</v>
      </c>
      <c r="B27" s="369" t="s">
        <v>20</v>
      </c>
      <c r="C27" s="588"/>
      <c r="D27" s="589" t="s">
        <v>3652</v>
      </c>
      <c r="E27" s="44" t="s">
        <v>27</v>
      </c>
      <c r="F27" s="214">
        <v>101616</v>
      </c>
      <c r="G27" s="587" t="s">
        <v>1169</v>
      </c>
      <c r="H27" s="590" t="s">
        <v>51</v>
      </c>
      <c r="I27" s="591">
        <v>14035.907999999998</v>
      </c>
      <c r="J27" s="592">
        <v>5.27</v>
      </c>
      <c r="K27" s="593">
        <v>0.2033513845915047</v>
      </c>
      <c r="L27" s="592">
        <v>6.3416617967972293</v>
      </c>
      <c r="M27" s="594">
        <v>89010.981546960596</v>
      </c>
      <c r="N27" s="40"/>
      <c r="O27" s="673"/>
      <c r="P27" s="361"/>
      <c r="Q27" s="441">
        <v>0</v>
      </c>
      <c r="R27" s="485"/>
      <c r="S27" s="442"/>
      <c r="T27" s="441">
        <v>4006.1399999999994</v>
      </c>
      <c r="U27" s="485"/>
      <c r="V27" s="442"/>
      <c r="W27" s="441">
        <v>10029.767999999998</v>
      </c>
      <c r="X27" s="485"/>
      <c r="Y27" s="442"/>
      <c r="Z27" s="441"/>
      <c r="AA27" s="485"/>
      <c r="AB27" s="442"/>
      <c r="AD27" s="441">
        <v>63169.083678488176</v>
      </c>
      <c r="AE27" s="674">
        <v>25841.897868472432</v>
      </c>
      <c r="AF27" s="674">
        <v>0</v>
      </c>
      <c r="AG27" s="674">
        <v>0</v>
      </c>
      <c r="AH27" s="442">
        <v>0</v>
      </c>
      <c r="AI27" s="442">
        <v>-1.4551915228366852E-11</v>
      </c>
    </row>
    <row r="28" spans="1:35" s="3" customFormat="1" ht="48" x14ac:dyDescent="0.25">
      <c r="A28" s="587" t="s">
        <v>3553</v>
      </c>
      <c r="B28" s="369" t="s">
        <v>28</v>
      </c>
      <c r="C28" s="588"/>
      <c r="D28" s="589" t="s">
        <v>3654</v>
      </c>
      <c r="E28" s="44" t="s">
        <v>27</v>
      </c>
      <c r="F28" s="214">
        <v>94990</v>
      </c>
      <c r="G28" s="587" t="s">
        <v>569</v>
      </c>
      <c r="H28" s="590" t="s">
        <v>44</v>
      </c>
      <c r="I28" s="591">
        <v>982.51355999999998</v>
      </c>
      <c r="J28" s="592">
        <v>674.16</v>
      </c>
      <c r="K28" s="593">
        <v>0.2033513845915047</v>
      </c>
      <c r="L28" s="592">
        <v>811.25136943620873</v>
      </c>
      <c r="M28" s="594">
        <v>797065.47103964468</v>
      </c>
      <c r="N28" s="40"/>
      <c r="O28" s="675">
        <v>7.0000000000000007E-2</v>
      </c>
      <c r="P28" s="361"/>
      <c r="Q28" s="441">
        <v>0</v>
      </c>
      <c r="R28" s="485"/>
      <c r="S28" s="442"/>
      <c r="T28" s="441">
        <v>280.4298</v>
      </c>
      <c r="U28" s="485"/>
      <c r="V28" s="442"/>
      <c r="W28" s="441">
        <v>702.08375999999998</v>
      </c>
      <c r="X28" s="485"/>
      <c r="Y28" s="442"/>
      <c r="Z28" s="441"/>
      <c r="AA28" s="485"/>
      <c r="AB28" s="442"/>
      <c r="AD28" s="441">
        <v>218065.08169952544</v>
      </c>
      <c r="AE28" s="674">
        <v>577144.16412721388</v>
      </c>
      <c r="AF28" s="674">
        <v>910.37797066056498</v>
      </c>
      <c r="AG28" s="674">
        <v>0</v>
      </c>
      <c r="AH28" s="442">
        <v>945.8472422447428</v>
      </c>
      <c r="AI28" s="442">
        <v>0</v>
      </c>
    </row>
    <row r="29" spans="1:35" s="3" customFormat="1" x14ac:dyDescent="0.25">
      <c r="A29" s="587"/>
      <c r="B29" s="369"/>
      <c r="C29" s="588"/>
      <c r="D29" s="589"/>
      <c r="E29" s="44"/>
      <c r="F29" s="214"/>
      <c r="G29" s="587" t="s">
        <v>21</v>
      </c>
      <c r="H29" s="590" t="s">
        <v>21</v>
      </c>
      <c r="I29" s="591" t="str">
        <f>IF($F29="","",IF('TRECHO(S) A IMPRIMIR'!$B$1= 1, SUM(Q29, T29, W29, Z29), IF('TRECHO(S) A IMPRIMIR'!$B$1= 2, T29, IF('TRECHO(S) A IMPRIMIR'!$B$1= 3, W29, 0))))</f>
        <v/>
      </c>
      <c r="J29" s="592" t="s">
        <v>21</v>
      </c>
      <c r="K29" s="593" t="str">
        <f>IF(AND(F29&lt;&gt;"",J29&lt;&gt;""),
  IF(OR(F29= "CP9001", F29= "CP9091", F29= "CP9092"), 0,
  IF($M$1 = "ENCARGOS SOCIAIS SEM DESONERAÇÃO",'BDI obras SD'!$H$23,'BDI obras CD'!$H$23)),"")</f>
        <v/>
      </c>
      <c r="L29" s="592" t="str">
        <f t="shared" ref="L26:L29" si="3">IF(J29="","",
  IF(AND(J29&lt;&gt;"",K29=""),J29,J29 * (1 + K29)))</f>
        <v/>
      </c>
      <c r="M29" s="594" t="str">
        <f t="shared" ref="M27:M29" si="4">IF(H29="","",I29*L29)</f>
        <v/>
      </c>
      <c r="N29" s="40"/>
      <c r="O29" s="673"/>
      <c r="P29" s="361"/>
      <c r="Q29" s="441">
        <v>0</v>
      </c>
      <c r="R29" s="485"/>
      <c r="S29" s="442"/>
      <c r="T29" s="441"/>
      <c r="U29" s="485"/>
      <c r="V29" s="442"/>
      <c r="W29" s="441"/>
      <c r="X29" s="485"/>
      <c r="Y29" s="442"/>
      <c r="Z29" s="441"/>
      <c r="AA29" s="485"/>
      <c r="AB29" s="442"/>
      <c r="AD29" s="441" t="s">
        <v>21</v>
      </c>
      <c r="AE29" s="674" t="s">
        <v>21</v>
      </c>
      <c r="AF29" s="674" t="s">
        <v>21</v>
      </c>
      <c r="AG29" s="674" t="s">
        <v>21</v>
      </c>
      <c r="AH29" s="442" t="s">
        <v>21</v>
      </c>
      <c r="AI29" s="442" t="s">
        <v>21</v>
      </c>
    </row>
    <row r="30" spans="1:35" s="3" customFormat="1" ht="13.5" thickBot="1" x14ac:dyDescent="0.3">
      <c r="A30" s="587"/>
      <c r="B30" s="369"/>
      <c r="C30" s="588"/>
      <c r="D30" s="589"/>
      <c r="E30" s="44"/>
      <c r="F30" s="214" t="s">
        <v>21</v>
      </c>
      <c r="G30" s="587" t="s">
        <v>21</v>
      </c>
      <c r="H30" s="590" t="s">
        <v>21</v>
      </c>
      <c r="I30" s="591" t="str">
        <f>IF($F30="","",IF('TRECHO(S) A IMPRIMIR'!$B$1= 1, SUM(Q30, T30, W30, Z30), IF('TRECHO(S) A IMPRIMIR'!$B$1= 2, T30, IF('TRECHO(S) A IMPRIMIR'!$B$1= 3, W30, 0))))</f>
        <v/>
      </c>
      <c r="J30" s="592" t="s">
        <v>21</v>
      </c>
      <c r="K30" s="593" t="str">
        <f>IF(AND(F30&lt;&gt;"",J30&lt;&gt;""),
  IF(OR(F30= "CP9001", F30= "CP9091", F30= "CP9092"), 0,
  IF($M$1 = "ENCARGOS SOCIAIS SEM DESONERAÇÃO",'BDI obras SD'!$H$23,'BDI obras CD'!$H$23)),"")</f>
        <v/>
      </c>
      <c r="L30" s="592" t="str">
        <f t="shared" si="1"/>
        <v/>
      </c>
      <c r="M30" s="594" t="str">
        <f t="shared" si="2"/>
        <v/>
      </c>
      <c r="N30" s="40"/>
      <c r="O30" s="673"/>
      <c r="P30" s="361"/>
      <c r="Q30" s="441">
        <v>0</v>
      </c>
      <c r="R30" s="485"/>
      <c r="S30" s="442"/>
      <c r="T30" s="441"/>
      <c r="U30" s="485"/>
      <c r="V30" s="442"/>
      <c r="W30" s="441"/>
      <c r="X30" s="485"/>
      <c r="Y30" s="442"/>
      <c r="Z30" s="441"/>
      <c r="AA30" s="485"/>
      <c r="AB30" s="442"/>
      <c r="AD30" s="441" t="s">
        <v>21</v>
      </c>
      <c r="AE30" s="674" t="s">
        <v>21</v>
      </c>
      <c r="AF30" s="674" t="s">
        <v>21</v>
      </c>
      <c r="AG30" s="674" t="s">
        <v>21</v>
      </c>
      <c r="AH30" s="442" t="s">
        <v>21</v>
      </c>
      <c r="AI30" s="442" t="s">
        <v>21</v>
      </c>
    </row>
    <row r="31" spans="1:35" s="3" customFormat="1" x14ac:dyDescent="0.25">
      <c r="A31" s="616"/>
      <c r="B31" s="617"/>
      <c r="C31" s="588"/>
      <c r="D31" s="651" t="s">
        <v>1383</v>
      </c>
      <c r="E31" s="515" t="s">
        <v>1384</v>
      </c>
      <c r="F31" s="516"/>
      <c r="G31" s="652"/>
      <c r="H31" s="652"/>
      <c r="I31" s="653"/>
      <c r="J31" s="654"/>
      <c r="K31" s="655"/>
      <c r="L31" s="654"/>
      <c r="M31" s="656"/>
      <c r="N31" s="40"/>
      <c r="O31" s="688"/>
      <c r="P31" s="361"/>
      <c r="Q31" s="440"/>
      <c r="R31" s="471"/>
      <c r="S31" s="440"/>
      <c r="T31" s="440"/>
      <c r="U31" s="471"/>
      <c r="V31" s="440"/>
      <c r="W31" s="440"/>
      <c r="X31" s="471"/>
      <c r="Y31" s="440"/>
      <c r="Z31" s="672"/>
      <c r="AD31" s="797">
        <v>281278.88661114039</v>
      </c>
      <c r="AE31" s="798">
        <v>604160.09583244822</v>
      </c>
      <c r="AF31" s="798">
        <v>927.17685071490166</v>
      </c>
      <c r="AG31" s="798">
        <v>0</v>
      </c>
      <c r="AH31" s="799">
        <v>945.8472422447428</v>
      </c>
      <c r="AI31" s="800">
        <v>-1.4551915228366852E-11</v>
      </c>
    </row>
    <row r="32" spans="1:35" s="3" customFormat="1" x14ac:dyDescent="0.25">
      <c r="A32" s="623"/>
      <c r="B32" s="624"/>
      <c r="C32" s="588"/>
      <c r="D32" s="625" t="s">
        <v>1385</v>
      </c>
      <c r="E32" s="519"/>
      <c r="F32" s="520"/>
      <c r="G32" s="657"/>
      <c r="H32" s="519"/>
      <c r="I32" s="658"/>
      <c r="J32" s="659"/>
      <c r="K32" s="660"/>
      <c r="L32" s="659"/>
      <c r="M32" s="661"/>
      <c r="N32" s="40"/>
      <c r="O32" s="688"/>
      <c r="P32" s="361"/>
      <c r="Q32" s="440"/>
      <c r="R32" s="471"/>
      <c r="S32" s="440"/>
      <c r="T32" s="440"/>
      <c r="U32" s="471"/>
      <c r="V32" s="440"/>
      <c r="W32" s="440"/>
      <c r="X32" s="471"/>
      <c r="Y32" s="440"/>
      <c r="Z32" s="672"/>
      <c r="AA32" s="440"/>
      <c r="AB32" s="440"/>
      <c r="AC32" s="440"/>
      <c r="AD32" s="440"/>
      <c r="AE32" s="440"/>
      <c r="AF32" s="440"/>
      <c r="AG32" s="2"/>
      <c r="AH32" s="2"/>
      <c r="AI32" s="2"/>
    </row>
    <row r="33" spans="1:35" s="3" customFormat="1" x14ac:dyDescent="0.25">
      <c r="A33" s="623"/>
      <c r="B33" s="624"/>
      <c r="C33" s="588"/>
      <c r="D33" s="631" t="s">
        <v>1386</v>
      </c>
      <c r="E33" s="525"/>
      <c r="F33" s="526"/>
      <c r="G33" s="662"/>
      <c r="H33" s="525"/>
      <c r="I33" s="663"/>
      <c r="J33" s="664"/>
      <c r="K33" s="665"/>
      <c r="L33" s="664"/>
      <c r="M33" s="666"/>
      <c r="N33" s="40"/>
      <c r="O33" s="688"/>
      <c r="P33" s="361"/>
      <c r="Q33" s="440"/>
      <c r="R33" s="471"/>
      <c r="S33" s="440"/>
      <c r="T33" s="440"/>
      <c r="U33" s="471"/>
      <c r="V33" s="440"/>
      <c r="W33" s="440"/>
      <c r="X33" s="471"/>
      <c r="Y33" s="440"/>
      <c r="Z33" s="672"/>
      <c r="AA33" s="440"/>
      <c r="AB33" s="440"/>
      <c r="AC33" s="440"/>
      <c r="AD33" s="440"/>
      <c r="AE33" s="440"/>
      <c r="AF33" s="440"/>
      <c r="AG33" s="2"/>
      <c r="AH33" s="2"/>
      <c r="AI33" s="2"/>
    </row>
    <row r="34" spans="1:35" s="3" customFormat="1" x14ac:dyDescent="0.25">
      <c r="A34" s="623"/>
      <c r="B34" s="624"/>
      <c r="C34" s="588"/>
      <c r="D34" s="631" t="s">
        <v>1535</v>
      </c>
      <c r="E34" s="525"/>
      <c r="F34" s="526"/>
      <c r="G34" s="662"/>
      <c r="H34" s="525"/>
      <c r="I34" s="663"/>
      <c r="J34" s="664"/>
      <c r="K34" s="665"/>
      <c r="L34" s="664"/>
      <c r="M34" s="666"/>
      <c r="N34" s="40"/>
      <c r="O34" s="688"/>
      <c r="P34" s="361"/>
      <c r="Q34" s="440"/>
      <c r="R34" s="471"/>
      <c r="S34" s="440"/>
      <c r="T34" s="440"/>
      <c r="U34" s="471"/>
      <c r="V34" s="440"/>
      <c r="W34" s="440"/>
      <c r="X34" s="471"/>
      <c r="Y34" s="440"/>
      <c r="Z34" s="672"/>
      <c r="AA34" s="440"/>
      <c r="AB34" s="440"/>
      <c r="AC34" s="440"/>
      <c r="AD34" s="440"/>
      <c r="AE34" s="440"/>
      <c r="AF34" s="440"/>
      <c r="AG34" s="2"/>
      <c r="AH34" s="2"/>
      <c r="AI34" s="2"/>
    </row>
    <row r="35" spans="1:35" s="3" customFormat="1" x14ac:dyDescent="0.25">
      <c r="A35" s="623"/>
      <c r="B35" s="624"/>
      <c r="C35" s="588"/>
      <c r="D35" s="631"/>
      <c r="E35" s="525"/>
      <c r="F35" s="526"/>
      <c r="G35" s="662"/>
      <c r="H35" s="525"/>
      <c r="I35" s="663"/>
      <c r="J35" s="664"/>
      <c r="K35" s="665"/>
      <c r="L35" s="664"/>
      <c r="M35" s="666"/>
      <c r="N35" s="40"/>
      <c r="O35" s="688"/>
      <c r="P35" s="361"/>
      <c r="Q35" s="440"/>
      <c r="R35" s="471"/>
      <c r="S35" s="440"/>
      <c r="T35" s="440"/>
      <c r="U35" s="471"/>
      <c r="V35" s="440"/>
      <c r="W35" s="440"/>
      <c r="X35" s="471"/>
      <c r="Y35" s="440"/>
      <c r="Z35" s="672"/>
      <c r="AA35" s="440"/>
      <c r="AB35" s="440"/>
      <c r="AC35" s="440"/>
      <c r="AD35" s="440"/>
      <c r="AE35" s="440"/>
      <c r="AF35" s="440"/>
      <c r="AG35" s="2"/>
      <c r="AH35" s="2"/>
      <c r="AI35" s="2"/>
    </row>
    <row r="36" spans="1:35" s="3" customFormat="1" ht="13.5" thickBot="1" x14ac:dyDescent="0.3">
      <c r="A36" s="623"/>
      <c r="B36" s="624"/>
      <c r="C36" s="588"/>
      <c r="D36" s="637"/>
      <c r="E36" s="527"/>
      <c r="F36" s="528"/>
      <c r="G36" s="667"/>
      <c r="H36" s="527"/>
      <c r="I36" s="668"/>
      <c r="J36" s="669"/>
      <c r="K36" s="670"/>
      <c r="L36" s="669"/>
      <c r="M36" s="671"/>
      <c r="N36" s="40"/>
      <c r="O36" s="688"/>
      <c r="P36" s="361"/>
      <c r="Q36" s="440"/>
      <c r="R36" s="471"/>
      <c r="S36" s="440"/>
      <c r="T36" s="440"/>
      <c r="U36" s="471"/>
      <c r="V36" s="440"/>
      <c r="W36" s="440"/>
      <c r="X36" s="471"/>
      <c r="Y36" s="440"/>
      <c r="Z36" s="672"/>
      <c r="AA36" s="440"/>
      <c r="AB36" s="440"/>
      <c r="AC36" s="440"/>
      <c r="AD36" s="440"/>
      <c r="AE36" s="440"/>
      <c r="AF36" s="440"/>
      <c r="AG36" s="2"/>
      <c r="AH36" s="2"/>
      <c r="AI36" s="2"/>
    </row>
    <row r="37" spans="1:35" x14ac:dyDescent="0.25">
      <c r="A37" s="144"/>
      <c r="D37" s="123" t="str">
        <f>'PSP-RESUMO'!$A$16</f>
        <v>RRT DO ORÇAMENTO: 0</v>
      </c>
      <c r="J37" s="153"/>
      <c r="K37" s="403"/>
      <c r="L37" s="153"/>
      <c r="M37" s="127"/>
      <c r="Q37" s="127"/>
      <c r="R37" s="127"/>
      <c r="S37" s="127"/>
    </row>
    <row r="38" spans="1:35" x14ac:dyDescent="0.25">
      <c r="A38" s="144"/>
      <c r="J38" s="153"/>
      <c r="K38" s="403"/>
      <c r="L38" s="153"/>
      <c r="M38" s="127"/>
      <c r="Q38" s="127"/>
      <c r="R38" s="127"/>
      <c r="S38" s="127"/>
    </row>
    <row r="39" spans="1:35" x14ac:dyDescent="0.25">
      <c r="A39" s="144"/>
      <c r="J39" s="153"/>
      <c r="K39" s="403"/>
      <c r="L39" s="153"/>
      <c r="M39" s="127"/>
      <c r="Q39" s="127"/>
      <c r="R39" s="127"/>
      <c r="S39" s="127"/>
    </row>
    <row r="40" spans="1:35" x14ac:dyDescent="0.25">
      <c r="A40" s="144"/>
      <c r="D40" s="154"/>
      <c r="J40" s="299"/>
      <c r="K40" s="404"/>
      <c r="L40" s="299"/>
      <c r="M40" s="299"/>
    </row>
    <row r="41" spans="1:35" ht="15" x14ac:dyDescent="0.25">
      <c r="A41" s="191" t="s">
        <v>135</v>
      </c>
      <c r="J41" s="353" t="s">
        <v>135</v>
      </c>
      <c r="K41" s="405"/>
      <c r="L41" s="353"/>
      <c r="M41" s="358"/>
      <c r="Q41" s="226"/>
      <c r="R41" s="226"/>
      <c r="S41" s="223"/>
    </row>
    <row r="42" spans="1:35" ht="15" x14ac:dyDescent="0.25">
      <c r="A42" s="194" t="s">
        <v>136</v>
      </c>
      <c r="J42" s="359" t="s">
        <v>136</v>
      </c>
      <c r="K42" s="406"/>
      <c r="L42" s="359"/>
      <c r="M42" s="357"/>
      <c r="Q42" s="87"/>
      <c r="R42" s="87"/>
      <c r="S42" s="196"/>
    </row>
    <row r="45" spans="1:35" x14ac:dyDescent="0.25">
      <c r="A45" s="147"/>
      <c r="B45" s="148"/>
      <c r="D45" s="145"/>
      <c r="E45" s="146"/>
      <c r="F45" s="147"/>
      <c r="G45" s="147"/>
      <c r="H45" s="148"/>
      <c r="I45" s="149"/>
      <c r="J45" s="121" t="s">
        <v>417</v>
      </c>
      <c r="K45" s="407"/>
      <c r="L45" s="121"/>
      <c r="M45" s="128">
        <f>SUBTOTAL(9,M9:M30)</f>
        <v>2661936.0196096445</v>
      </c>
      <c r="Q45" s="222"/>
      <c r="R45" s="222"/>
      <c r="S45" s="222"/>
    </row>
    <row r="46" spans="1:35" x14ac:dyDescent="0.25">
      <c r="H46" s="155"/>
      <c r="J46" s="279" t="s">
        <v>392</v>
      </c>
      <c r="K46" s="408"/>
      <c r="L46" s="279"/>
      <c r="M46" s="2">
        <f>SUMPRODUCT(I$9:I30,L$9:L30)</f>
        <v>887312.00653654826</v>
      </c>
      <c r="Q46" s="141"/>
      <c r="R46" s="141"/>
    </row>
    <row r="47" spans="1:35" x14ac:dyDescent="0.25">
      <c r="J47" s="279" t="s">
        <v>393</v>
      </c>
      <c r="K47" s="408"/>
      <c r="L47" s="279"/>
      <c r="M47" s="2">
        <f>M46-M45</f>
        <v>-1774624.0130730963</v>
      </c>
      <c r="Q47" s="141"/>
      <c r="R47" s="141"/>
    </row>
    <row r="48" spans="1:35" x14ac:dyDescent="0.25">
      <c r="Q48" s="141"/>
      <c r="R48" s="141"/>
    </row>
  </sheetData>
  <autoFilter ref="D7:W40" xr:uid="{00000000-0009-0000-0000-000000000000}">
    <filterColumn colId="5">
      <filters blank="1">
        <filter val="12,00"/>
        <filter val="14.035,91"/>
        <filter val="982,51"/>
        <filter val="SERVIÇO"/>
      </filters>
    </filterColumn>
  </autoFilter>
  <mergeCells count="14">
    <mergeCell ref="D5:D6"/>
    <mergeCell ref="E5:I6"/>
    <mergeCell ref="O7:O8"/>
    <mergeCell ref="B7:B8"/>
    <mergeCell ref="A7:A8"/>
    <mergeCell ref="F7:F8"/>
    <mergeCell ref="K7:K8"/>
    <mergeCell ref="L7:L8"/>
    <mergeCell ref="J7:J8"/>
    <mergeCell ref="E7:E8"/>
    <mergeCell ref="D7:D8"/>
    <mergeCell ref="M7:M8"/>
    <mergeCell ref="H7:H8"/>
    <mergeCell ref="G7:G8"/>
  </mergeCells>
  <phoneticPr fontId="45" type="noConversion"/>
  <conditionalFormatting sqref="A9:Y25 AD9:AI30 A29:Y30 Z26:AB29">
    <cfRule type="expression" dxfId="285" priority="16">
      <formula>LEN($D9)= 3</formula>
    </cfRule>
    <cfRule type="expression" dxfId="284" priority="17">
      <formula>AND(LEN($D9)=5,$H9="")</formula>
    </cfRule>
    <cfRule type="expression" dxfId="283" priority="18">
      <formula>AND($D9&lt;&gt;"",$H9="")</formula>
    </cfRule>
  </conditionalFormatting>
  <conditionalFormatting sqref="Z9:AB25 Z30:AB30">
    <cfRule type="expression" dxfId="282" priority="10">
      <formula>LEN($D9)= 3</formula>
    </cfRule>
    <cfRule type="expression" dxfId="281" priority="11">
      <formula>AND(LEN($D9)=5,$H9="")</formula>
    </cfRule>
    <cfRule type="expression" dxfId="280" priority="12">
      <formula>AND($D9&lt;&gt;"",$H9="")</formula>
    </cfRule>
  </conditionalFormatting>
  <conditionalFormatting sqref="A26:Y27 A28:N28 P28:Y28">
    <cfRule type="expression" dxfId="279" priority="7">
      <formula>LEN($D26)= 3</formula>
    </cfRule>
    <cfRule type="expression" dxfId="278" priority="8">
      <formula>AND(LEN($D26)=5,$H26="")</formula>
    </cfRule>
    <cfRule type="expression" dxfId="277" priority="9">
      <formula>AND($D26&lt;&gt;"",$H26="")</formula>
    </cfRule>
  </conditionalFormatting>
  <conditionalFormatting sqref="O28">
    <cfRule type="expression" dxfId="276" priority="1">
      <formula>LEN($D28)= 3</formula>
    </cfRule>
    <cfRule type="expression" dxfId="275" priority="2">
      <formula>AND(LEN($D28)=5,$H28="")</formula>
    </cfRule>
    <cfRule type="expression" dxfId="274" priority="3">
      <formula>AND($D28&lt;&gt;"",$H28="")</formula>
    </cfRule>
  </conditionalFormatting>
  <pageMargins left="0.511811024" right="0.511811024" top="0.78740157499999996" bottom="0.78740157499999996" header="0.31496062000000002" footer="0.31496062000000002"/>
  <pageSetup paperSize="9" scale="77"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DEC08-88D4-4526-A231-F6148D73EB3F}">
  <sheetPr>
    <tabColor rgb="FF002060"/>
    <pageSetUpPr fitToPage="1"/>
  </sheetPr>
  <dimension ref="A1:W65"/>
  <sheetViews>
    <sheetView showGridLines="0" workbookViewId="0">
      <pane ySplit="6" topLeftCell="A7" activePane="bottomLeft" state="frozen"/>
      <selection activeCell="P26" sqref="P26"/>
      <selection pane="bottomLeft" activeCell="L24" sqref="L24"/>
    </sheetView>
  </sheetViews>
  <sheetFormatPr defaultColWidth="9.140625" defaultRowHeight="12.75" x14ac:dyDescent="0.25"/>
  <cols>
    <col min="1" max="1" width="9.7109375" style="142" customWidth="1"/>
    <col min="2" max="2" width="25.7109375" style="142" customWidth="1"/>
    <col min="3" max="3" width="13.7109375" style="142" customWidth="1"/>
    <col min="4" max="4" width="9.7109375" style="142" customWidth="1"/>
    <col min="5" max="22" width="13.7109375" style="142" customWidth="1"/>
    <col min="23" max="23" width="12.28515625" style="201" bestFit="1" customWidth="1"/>
    <col min="24" max="16384" width="9.140625" style="142"/>
  </cols>
  <sheetData>
    <row r="1" spans="1:23" s="141" customFormat="1" ht="18" x14ac:dyDescent="0.25">
      <c r="A1" s="159" t="s">
        <v>275</v>
      </c>
      <c r="B1" s="159"/>
      <c r="C1" s="159"/>
      <c r="D1" s="159"/>
      <c r="E1" s="159"/>
      <c r="F1" s="159"/>
      <c r="G1" s="159"/>
      <c r="H1" s="159"/>
      <c r="I1" s="159"/>
      <c r="J1" s="159"/>
      <c r="K1" s="159"/>
      <c r="L1" s="159"/>
      <c r="M1" s="159"/>
      <c r="N1" s="159"/>
      <c r="O1" s="159"/>
      <c r="P1" s="159"/>
      <c r="Q1" s="159"/>
      <c r="R1" s="159"/>
      <c r="S1" s="159"/>
      <c r="T1" s="159"/>
      <c r="U1" s="159"/>
      <c r="V1" s="159"/>
      <c r="W1" s="200"/>
    </row>
    <row r="2" spans="1:23" ht="15.75" customHeight="1" x14ac:dyDescent="0.25">
      <c r="A2" s="160" t="s">
        <v>153</v>
      </c>
      <c r="B2" s="161" t="s">
        <v>3501</v>
      </c>
      <c r="C2" s="162"/>
      <c r="F2" s="42"/>
      <c r="U2" s="160" t="s">
        <v>277</v>
      </c>
      <c r="V2" s="163" t="s">
        <v>4161</v>
      </c>
    </row>
    <row r="3" spans="1:23" ht="15.75" customHeight="1" x14ac:dyDescent="0.25">
      <c r="A3" s="160" t="s">
        <v>276</v>
      </c>
      <c r="B3" s="161" t="s">
        <v>1527</v>
      </c>
      <c r="C3" s="162"/>
      <c r="F3" s="42"/>
      <c r="K3" s="155"/>
      <c r="L3" s="155"/>
      <c r="M3" s="155"/>
      <c r="N3" s="155"/>
      <c r="O3" s="155"/>
      <c r="P3" s="155"/>
      <c r="Q3" s="155"/>
      <c r="R3" s="155"/>
      <c r="S3" s="155"/>
      <c r="T3" s="155"/>
      <c r="U3" s="758" t="s">
        <v>278</v>
      </c>
      <c r="V3" s="759">
        <v>18</v>
      </c>
    </row>
    <row r="4" spans="1:23" ht="16.5" thickBot="1" x14ac:dyDescent="0.3">
      <c r="A4" s="160" t="s">
        <v>155</v>
      </c>
      <c r="B4" s="161" t="s">
        <v>1528</v>
      </c>
      <c r="C4" s="164"/>
      <c r="F4" s="42"/>
      <c r="K4" s="166"/>
      <c r="L4" s="166"/>
      <c r="M4" s="166"/>
      <c r="N4" s="166"/>
      <c r="O4" s="166"/>
      <c r="P4" s="166"/>
      <c r="Q4" s="166"/>
      <c r="R4" s="166"/>
      <c r="S4" s="166"/>
      <c r="T4" s="166"/>
      <c r="U4" s="760"/>
      <c r="V4" s="761" t="s">
        <v>1115</v>
      </c>
    </row>
    <row r="5" spans="1:23" s="170" customFormat="1" x14ac:dyDescent="0.25">
      <c r="A5" s="1975" t="s">
        <v>0</v>
      </c>
      <c r="B5" s="1977" t="s">
        <v>144</v>
      </c>
      <c r="C5" s="1979" t="s">
        <v>335</v>
      </c>
      <c r="D5" s="1981" t="s">
        <v>279</v>
      </c>
      <c r="E5" s="167" t="s">
        <v>280</v>
      </c>
      <c r="F5" s="168"/>
      <c r="G5" s="168"/>
      <c r="H5" s="168"/>
      <c r="I5" s="168"/>
      <c r="J5" s="168"/>
      <c r="K5" s="168"/>
      <c r="L5" s="168"/>
      <c r="M5" s="168"/>
      <c r="N5" s="168"/>
      <c r="O5" s="168"/>
      <c r="P5" s="168"/>
      <c r="Q5" s="168"/>
      <c r="R5" s="168"/>
      <c r="S5" s="168"/>
      <c r="T5" s="168"/>
      <c r="U5" s="168"/>
      <c r="V5" s="169"/>
      <c r="W5" s="161"/>
    </row>
    <row r="6" spans="1:23" s="170" customFormat="1" ht="15.75" customHeight="1" thickBot="1" x14ac:dyDescent="0.3">
      <c r="A6" s="1976"/>
      <c r="B6" s="1978"/>
      <c r="C6" s="1980"/>
      <c r="D6" s="1982"/>
      <c r="E6" s="197">
        <v>1</v>
      </c>
      <c r="F6" s="198">
        <v>2</v>
      </c>
      <c r="G6" s="198">
        <v>3</v>
      </c>
      <c r="H6" s="198">
        <v>4</v>
      </c>
      <c r="I6" s="198">
        <v>5</v>
      </c>
      <c r="J6" s="198">
        <v>6</v>
      </c>
      <c r="K6" s="198">
        <v>7</v>
      </c>
      <c r="L6" s="198">
        <v>8</v>
      </c>
      <c r="M6" s="198">
        <v>9</v>
      </c>
      <c r="N6" s="198">
        <v>10</v>
      </c>
      <c r="O6" s="198">
        <v>11</v>
      </c>
      <c r="P6" s="198">
        <v>12</v>
      </c>
      <c r="Q6" s="198">
        <v>13</v>
      </c>
      <c r="R6" s="198">
        <v>14</v>
      </c>
      <c r="S6" s="198">
        <v>15</v>
      </c>
      <c r="T6" s="198">
        <v>16</v>
      </c>
      <c r="U6" s="198">
        <v>17</v>
      </c>
      <c r="V6" s="199">
        <v>18</v>
      </c>
      <c r="W6" s="161"/>
    </row>
    <row r="7" spans="1:23" x14ac:dyDescent="0.25">
      <c r="A7" s="171"/>
      <c r="B7" s="1983" t="s">
        <v>4143</v>
      </c>
      <c r="C7" s="172"/>
      <c r="D7" s="173"/>
      <c r="E7" s="275">
        <v>0.54557177120448486</v>
      </c>
      <c r="F7" s="276">
        <v>2.5199832333147473E-2</v>
      </c>
      <c r="G7" s="276">
        <v>2.5199832333147473E-2</v>
      </c>
      <c r="H7" s="276">
        <v>2.5199832333147473E-2</v>
      </c>
      <c r="I7" s="276">
        <v>2.5199832333147473E-2</v>
      </c>
      <c r="J7" s="276">
        <v>2.5199832333147473E-2</v>
      </c>
      <c r="K7" s="276">
        <v>2.5199832333147473E-2</v>
      </c>
      <c r="L7" s="276">
        <v>2.5199832333147473E-2</v>
      </c>
      <c r="M7" s="276">
        <v>2.5199832333147473E-2</v>
      </c>
      <c r="N7" s="276">
        <v>2.5199832333147473E-2</v>
      </c>
      <c r="O7" s="276">
        <v>2.5199832333147473E-2</v>
      </c>
      <c r="P7" s="276">
        <v>2.5199832333147473E-2</v>
      </c>
      <c r="Q7" s="276">
        <v>2.5199832333147473E-2</v>
      </c>
      <c r="R7" s="276">
        <v>2.5199832333147473E-2</v>
      </c>
      <c r="S7" s="276">
        <v>2.5199832333147473E-2</v>
      </c>
      <c r="T7" s="276">
        <v>2.5199832333147473E-2</v>
      </c>
      <c r="U7" s="276">
        <v>2.5199832333147473E-2</v>
      </c>
      <c r="V7" s="277">
        <v>5.123091146515555E-2</v>
      </c>
      <c r="W7" s="202">
        <v>1.0000000000000002</v>
      </c>
    </row>
    <row r="8" spans="1:23" ht="15" customHeight="1" x14ac:dyDescent="0.25">
      <c r="A8" s="174" t="s">
        <v>175</v>
      </c>
      <c r="B8" s="1973"/>
      <c r="C8" s="175">
        <v>1739810.3222918774</v>
      </c>
      <c r="D8" s="269">
        <v>3.3770900326213493E-2</v>
      </c>
      <c r="E8" s="176"/>
      <c r="F8" s="177"/>
      <c r="G8" s="177"/>
      <c r="H8" s="177"/>
      <c r="I8" s="177"/>
      <c r="J8" s="177"/>
      <c r="K8" s="177"/>
      <c r="L8" s="177"/>
      <c r="M8" s="177"/>
      <c r="N8" s="177"/>
      <c r="O8" s="177"/>
      <c r="P8" s="177"/>
      <c r="Q8" s="177"/>
      <c r="R8" s="177"/>
      <c r="S8" s="177"/>
      <c r="T8" s="177"/>
      <c r="U8" s="177"/>
      <c r="V8" s="178"/>
    </row>
    <row r="9" spans="1:23" ht="15.75" customHeight="1" thickBot="1" x14ac:dyDescent="0.3">
      <c r="A9" s="179"/>
      <c r="B9" s="1974"/>
      <c r="C9" s="180"/>
      <c r="D9" s="270"/>
      <c r="E9" s="181">
        <v>949191.39909262524</v>
      </c>
      <c r="F9" s="175">
        <v>43842.928413234578</v>
      </c>
      <c r="G9" s="175">
        <v>43842.928413234578</v>
      </c>
      <c r="H9" s="175">
        <v>43842.928413234578</v>
      </c>
      <c r="I9" s="175">
        <v>43842.928413234578</v>
      </c>
      <c r="J9" s="175">
        <v>43842.928413234578</v>
      </c>
      <c r="K9" s="175">
        <v>43842.928413234578</v>
      </c>
      <c r="L9" s="175">
        <v>43842.928413234578</v>
      </c>
      <c r="M9" s="175">
        <v>43842.928413234578</v>
      </c>
      <c r="N9" s="175">
        <v>43842.928413234578</v>
      </c>
      <c r="O9" s="175">
        <v>43842.928413234578</v>
      </c>
      <c r="P9" s="175">
        <v>43842.928413234578</v>
      </c>
      <c r="Q9" s="175">
        <v>43842.928413234578</v>
      </c>
      <c r="R9" s="175">
        <v>43842.928413234578</v>
      </c>
      <c r="S9" s="175">
        <v>43842.928413234578</v>
      </c>
      <c r="T9" s="175">
        <v>43842.928413234578</v>
      </c>
      <c r="U9" s="175">
        <v>43842.928413234578</v>
      </c>
      <c r="V9" s="182">
        <v>89132.068587498914</v>
      </c>
      <c r="W9" s="203">
        <v>0</v>
      </c>
    </row>
    <row r="10" spans="1:23" ht="13.5" thickTop="1" x14ac:dyDescent="0.25">
      <c r="A10" s="183"/>
      <c r="B10" s="1972" t="s">
        <v>4153</v>
      </c>
      <c r="C10" s="184"/>
      <c r="D10" s="271"/>
      <c r="E10" s="272">
        <v>2.1264952292812292E-2</v>
      </c>
      <c r="F10" s="273">
        <v>1.1190004642579967E-2</v>
      </c>
      <c r="G10" s="273">
        <v>2.5109416691349418E-2</v>
      </c>
      <c r="H10" s="273">
        <v>4.3432651018631682E-2</v>
      </c>
      <c r="I10" s="273">
        <v>4.8283623779677716E-2</v>
      </c>
      <c r="J10" s="273">
        <v>5.3134596540723764E-2</v>
      </c>
      <c r="K10" s="273">
        <v>5.7985569301769804E-2</v>
      </c>
      <c r="L10" s="273">
        <v>8.2435770399334266E-2</v>
      </c>
      <c r="M10" s="273">
        <v>9.797287274598554E-2</v>
      </c>
      <c r="N10" s="273">
        <v>0.10203499873585269</v>
      </c>
      <c r="O10" s="273">
        <v>0.10203499873585269</v>
      </c>
      <c r="P10" s="273">
        <v>8.2626523976684976E-2</v>
      </c>
      <c r="Q10" s="273">
        <v>8.6592773203028606E-2</v>
      </c>
      <c r="R10" s="273">
        <v>7.9710737447048943E-2</v>
      </c>
      <c r="S10" s="273">
        <v>4.3337151870136918E-2</v>
      </c>
      <c r="T10" s="273">
        <v>3.6455116114157318E-2</v>
      </c>
      <c r="U10" s="273">
        <v>2.0918013767506037E-2</v>
      </c>
      <c r="V10" s="274">
        <v>5.480228736867339E-3</v>
      </c>
      <c r="W10" s="202">
        <v>0.99999999999999989</v>
      </c>
    </row>
    <row r="11" spans="1:23" ht="15" customHeight="1" x14ac:dyDescent="0.25">
      <c r="A11" s="174" t="s">
        <v>139</v>
      </c>
      <c r="B11" s="1973"/>
      <c r="C11" s="175">
        <v>3571835.7619339433</v>
      </c>
      <c r="D11" s="269">
        <v>6.9331758728144649E-2</v>
      </c>
      <c r="E11" s="176"/>
      <c r="F11" s="177"/>
      <c r="G11" s="177"/>
      <c r="H11" s="177"/>
      <c r="I11" s="177"/>
      <c r="J11" s="177"/>
      <c r="K11" s="177"/>
      <c r="L11" s="177"/>
      <c r="M11" s="177"/>
      <c r="N11" s="177"/>
      <c r="O11" s="177"/>
      <c r="P11" s="177"/>
      <c r="Q11" s="177"/>
      <c r="R11" s="177"/>
      <c r="S11" s="177"/>
      <c r="T11" s="177"/>
      <c r="U11" s="177"/>
      <c r="V11" s="178"/>
    </row>
    <row r="12" spans="1:23" ht="15.75" customHeight="1" thickBot="1" x14ac:dyDescent="0.3">
      <c r="A12" s="179"/>
      <c r="B12" s="1974"/>
      <c r="C12" s="180"/>
      <c r="D12" s="270"/>
      <c r="E12" s="181">
        <v>75954.917075286139</v>
      </c>
      <c r="F12" s="175">
        <v>39968.858758573981</v>
      </c>
      <c r="G12" s="175">
        <v>89686.712499462927</v>
      </c>
      <c r="H12" s="175">
        <v>155134.29614394536</v>
      </c>
      <c r="I12" s="175">
        <v>172461.17413201701</v>
      </c>
      <c r="J12" s="175">
        <v>189788.05212008872</v>
      </c>
      <c r="K12" s="175">
        <v>207114.93010816042</v>
      </c>
      <c r="L12" s="175">
        <v>294447.03277491772</v>
      </c>
      <c r="M12" s="175">
        <v>349943.0105735145</v>
      </c>
      <c r="N12" s="175">
        <v>364452.25745360332</v>
      </c>
      <c r="O12" s="175">
        <v>364452.25745360332</v>
      </c>
      <c r="P12" s="175">
        <v>295128.37322421581</v>
      </c>
      <c r="Q12" s="175">
        <v>309295.16405161284</v>
      </c>
      <c r="R12" s="175">
        <v>284713.66262349655</v>
      </c>
      <c r="S12" s="175">
        <v>154793.1888701175</v>
      </c>
      <c r="T12" s="175">
        <v>130211.68744200148</v>
      </c>
      <c r="U12" s="175">
        <v>74715.70964340464</v>
      </c>
      <c r="V12" s="182">
        <v>19574.476985920686</v>
      </c>
      <c r="W12" s="203">
        <v>0</v>
      </c>
    </row>
    <row r="13" spans="1:23" ht="13.5" thickTop="1" x14ac:dyDescent="0.25">
      <c r="A13" s="183"/>
      <c r="B13" s="1972" t="s">
        <v>4152</v>
      </c>
      <c r="C13" s="184"/>
      <c r="D13" s="271"/>
      <c r="E13" s="272">
        <v>0.1</v>
      </c>
      <c r="F13" s="273">
        <v>0.7</v>
      </c>
      <c r="G13" s="273">
        <v>0.2</v>
      </c>
      <c r="H13" s="273"/>
      <c r="I13" s="273"/>
      <c r="J13" s="273"/>
      <c r="K13" s="273"/>
      <c r="L13" s="273"/>
      <c r="M13" s="273"/>
      <c r="N13" s="273"/>
      <c r="O13" s="273"/>
      <c r="P13" s="273"/>
      <c r="Q13" s="273"/>
      <c r="R13" s="273"/>
      <c r="S13" s="273"/>
      <c r="T13" s="273"/>
      <c r="U13" s="273"/>
      <c r="V13" s="274"/>
      <c r="W13" s="202">
        <v>1</v>
      </c>
    </row>
    <row r="14" spans="1:23" ht="15" customHeight="1" x14ac:dyDescent="0.25">
      <c r="A14" s="174" t="s">
        <v>142</v>
      </c>
      <c r="B14" s="1973"/>
      <c r="C14" s="175">
        <v>703821.75660940469</v>
      </c>
      <c r="D14" s="269">
        <v>1.3661658449391111E-2</v>
      </c>
      <c r="E14" s="176"/>
      <c r="F14" s="177"/>
      <c r="G14" s="177"/>
      <c r="H14" s="177"/>
      <c r="I14" s="177"/>
      <c r="J14" s="177"/>
      <c r="K14" s="177"/>
      <c r="L14" s="177"/>
      <c r="M14" s="177"/>
      <c r="N14" s="177"/>
      <c r="O14" s="177"/>
      <c r="P14" s="177"/>
      <c r="Q14" s="177"/>
      <c r="R14" s="177"/>
      <c r="S14" s="177"/>
      <c r="T14" s="177"/>
      <c r="U14" s="177"/>
      <c r="V14" s="178"/>
    </row>
    <row r="15" spans="1:23" ht="15.75" customHeight="1" thickBot="1" x14ac:dyDescent="0.3">
      <c r="A15" s="179"/>
      <c r="B15" s="1974"/>
      <c r="C15" s="180"/>
      <c r="D15" s="270"/>
      <c r="E15" s="181">
        <v>70382.175660940469</v>
      </c>
      <c r="F15" s="175">
        <v>492675.22962658323</v>
      </c>
      <c r="G15" s="175">
        <v>140764.35132188094</v>
      </c>
      <c r="H15" s="175" t="s">
        <v>21</v>
      </c>
      <c r="I15" s="175" t="s">
        <v>21</v>
      </c>
      <c r="J15" s="175" t="s">
        <v>21</v>
      </c>
      <c r="K15" s="175" t="s">
        <v>21</v>
      </c>
      <c r="L15" s="175" t="s">
        <v>21</v>
      </c>
      <c r="M15" s="175" t="s">
        <v>21</v>
      </c>
      <c r="N15" s="175" t="s">
        <v>21</v>
      </c>
      <c r="O15" s="175" t="s">
        <v>21</v>
      </c>
      <c r="P15" s="175" t="s">
        <v>21</v>
      </c>
      <c r="Q15" s="175" t="s">
        <v>21</v>
      </c>
      <c r="R15" s="175" t="s">
        <v>21</v>
      </c>
      <c r="S15" s="175" t="s">
        <v>21</v>
      </c>
      <c r="T15" s="175" t="s">
        <v>21</v>
      </c>
      <c r="U15" s="175" t="s">
        <v>21</v>
      </c>
      <c r="V15" s="182" t="s">
        <v>21</v>
      </c>
      <c r="W15" s="203">
        <v>0</v>
      </c>
    </row>
    <row r="16" spans="1:23" ht="13.5" thickTop="1" x14ac:dyDescent="0.25">
      <c r="A16" s="183"/>
      <c r="B16" s="1972" t="s">
        <v>4151</v>
      </c>
      <c r="C16" s="184"/>
      <c r="D16" s="271"/>
      <c r="E16" s="272"/>
      <c r="F16" s="273"/>
      <c r="G16" s="273">
        <v>0.05</v>
      </c>
      <c r="H16" s="273">
        <v>0.1</v>
      </c>
      <c r="I16" s="273">
        <v>0.1</v>
      </c>
      <c r="J16" s="273">
        <v>0.1</v>
      </c>
      <c r="K16" s="273">
        <v>0.1</v>
      </c>
      <c r="L16" s="273">
        <v>0.1</v>
      </c>
      <c r="M16" s="273">
        <v>0.1</v>
      </c>
      <c r="N16" s="273">
        <v>0.1</v>
      </c>
      <c r="O16" s="273">
        <v>0.1</v>
      </c>
      <c r="P16" s="273">
        <v>0.05</v>
      </c>
      <c r="Q16" s="273">
        <v>0.05</v>
      </c>
      <c r="R16" s="273">
        <v>0.05</v>
      </c>
      <c r="S16" s="273"/>
      <c r="T16" s="273"/>
      <c r="U16" s="273"/>
      <c r="V16" s="274"/>
      <c r="W16" s="202">
        <v>1</v>
      </c>
    </row>
    <row r="17" spans="1:23" ht="15" customHeight="1" x14ac:dyDescent="0.25">
      <c r="A17" s="174" t="s">
        <v>176</v>
      </c>
      <c r="B17" s="1973"/>
      <c r="C17" s="175">
        <v>20385874.786871046</v>
      </c>
      <c r="D17" s="269">
        <v>0.39570367911324178</v>
      </c>
      <c r="E17" s="176"/>
      <c r="F17" s="177"/>
      <c r="G17" s="177"/>
      <c r="H17" s="177"/>
      <c r="I17" s="177"/>
      <c r="J17" s="177"/>
      <c r="K17" s="177"/>
      <c r="L17" s="177"/>
      <c r="M17" s="177"/>
      <c r="N17" s="177"/>
      <c r="O17" s="177"/>
      <c r="P17" s="177"/>
      <c r="Q17" s="177"/>
      <c r="R17" s="177"/>
      <c r="S17" s="177"/>
      <c r="T17" s="177"/>
      <c r="U17" s="177"/>
      <c r="V17" s="178"/>
    </row>
    <row r="18" spans="1:23" ht="15.75" customHeight="1" thickBot="1" x14ac:dyDescent="0.3">
      <c r="A18" s="179"/>
      <c r="B18" s="1974"/>
      <c r="C18" s="180"/>
      <c r="D18" s="270"/>
      <c r="E18" s="181" t="s">
        <v>21</v>
      </c>
      <c r="F18" s="175" t="s">
        <v>21</v>
      </c>
      <c r="G18" s="175">
        <v>1019293.7393435524</v>
      </c>
      <c r="H18" s="175">
        <v>2038587.4786871048</v>
      </c>
      <c r="I18" s="175">
        <v>2038587.4786871048</v>
      </c>
      <c r="J18" s="175">
        <v>2038587.4786871048</v>
      </c>
      <c r="K18" s="175">
        <v>2038587.4786871048</v>
      </c>
      <c r="L18" s="175">
        <v>2038587.4786871048</v>
      </c>
      <c r="M18" s="175">
        <v>2038587.4786871048</v>
      </c>
      <c r="N18" s="175">
        <v>2038587.4786871048</v>
      </c>
      <c r="O18" s="175">
        <v>2038587.4786871048</v>
      </c>
      <c r="P18" s="175">
        <v>1019293.7393435524</v>
      </c>
      <c r="Q18" s="175">
        <v>1019293.7393435524</v>
      </c>
      <c r="R18" s="175">
        <v>1019293.7393435501</v>
      </c>
      <c r="S18" s="175" t="s">
        <v>21</v>
      </c>
      <c r="T18" s="175" t="s">
        <v>21</v>
      </c>
      <c r="U18" s="175" t="s">
        <v>21</v>
      </c>
      <c r="V18" s="182" t="s">
        <v>21</v>
      </c>
      <c r="W18" s="203">
        <v>0</v>
      </c>
    </row>
    <row r="19" spans="1:23" ht="13.5" thickTop="1" x14ac:dyDescent="0.25">
      <c r="A19" s="183"/>
      <c r="B19" s="1972" t="s">
        <v>4150</v>
      </c>
      <c r="C19" s="184"/>
      <c r="D19" s="271"/>
      <c r="E19" s="272"/>
      <c r="F19" s="273"/>
      <c r="G19" s="273"/>
      <c r="H19" s="273"/>
      <c r="I19" s="273">
        <v>0.1</v>
      </c>
      <c r="J19" s="273">
        <v>0.2</v>
      </c>
      <c r="K19" s="273">
        <v>0.3</v>
      </c>
      <c r="L19" s="273">
        <v>0.2</v>
      </c>
      <c r="M19" s="273">
        <v>0.2</v>
      </c>
      <c r="N19" s="273"/>
      <c r="O19" s="273"/>
      <c r="P19" s="273"/>
      <c r="Q19" s="273"/>
      <c r="R19" s="273"/>
      <c r="S19" s="273"/>
      <c r="T19" s="273"/>
      <c r="U19" s="273"/>
      <c r="V19" s="274"/>
      <c r="W19" s="202">
        <v>1</v>
      </c>
    </row>
    <row r="20" spans="1:23" ht="15" customHeight="1" x14ac:dyDescent="0.25">
      <c r="A20" s="174" t="s">
        <v>177</v>
      </c>
      <c r="B20" s="1973"/>
      <c r="C20" s="175">
        <v>2325856.9174799626</v>
      </c>
      <c r="D20" s="269">
        <v>4.5146462879803943E-2</v>
      </c>
      <c r="E20" s="176"/>
      <c r="F20" s="177"/>
      <c r="G20" s="177"/>
      <c r="H20" s="177"/>
      <c r="I20" s="177"/>
      <c r="J20" s="177"/>
      <c r="K20" s="177"/>
      <c r="L20" s="177"/>
      <c r="M20" s="177"/>
      <c r="N20" s="177"/>
      <c r="O20" s="177"/>
      <c r="P20" s="177"/>
      <c r="Q20" s="177"/>
      <c r="R20" s="177"/>
      <c r="S20" s="177"/>
      <c r="T20" s="177"/>
      <c r="U20" s="177"/>
      <c r="V20" s="178"/>
    </row>
    <row r="21" spans="1:23" ht="15.75" customHeight="1" thickBot="1" x14ac:dyDescent="0.3">
      <c r="A21" s="179"/>
      <c r="B21" s="1974"/>
      <c r="C21" s="180"/>
      <c r="D21" s="270"/>
      <c r="E21" s="181" t="s">
        <v>21</v>
      </c>
      <c r="F21" s="175" t="s">
        <v>21</v>
      </c>
      <c r="G21" s="175" t="s">
        <v>21</v>
      </c>
      <c r="H21" s="175" t="s">
        <v>21</v>
      </c>
      <c r="I21" s="175">
        <v>232585.69174799626</v>
      </c>
      <c r="J21" s="175">
        <v>465171.38349599252</v>
      </c>
      <c r="K21" s="175">
        <v>697757.07524398877</v>
      </c>
      <c r="L21" s="175">
        <v>465171.38349599252</v>
      </c>
      <c r="M21" s="175">
        <v>465171.38349599252</v>
      </c>
      <c r="N21" s="175" t="s">
        <v>21</v>
      </c>
      <c r="O21" s="175" t="s">
        <v>21</v>
      </c>
      <c r="P21" s="175" t="s">
        <v>21</v>
      </c>
      <c r="Q21" s="175" t="s">
        <v>21</v>
      </c>
      <c r="R21" s="175" t="s">
        <v>21</v>
      </c>
      <c r="S21" s="175" t="s">
        <v>21</v>
      </c>
      <c r="T21" s="175" t="s">
        <v>21</v>
      </c>
      <c r="U21" s="175" t="s">
        <v>21</v>
      </c>
      <c r="V21" s="182" t="s">
        <v>21</v>
      </c>
      <c r="W21" s="203">
        <v>0</v>
      </c>
    </row>
    <row r="22" spans="1:23" ht="13.5" thickTop="1" x14ac:dyDescent="0.25">
      <c r="A22" s="183"/>
      <c r="B22" s="1972" t="s">
        <v>4149</v>
      </c>
      <c r="C22" s="184"/>
      <c r="D22" s="271"/>
      <c r="E22" s="272"/>
      <c r="F22" s="273"/>
      <c r="G22" s="273"/>
      <c r="H22" s="273"/>
      <c r="I22" s="273"/>
      <c r="J22" s="273"/>
      <c r="K22" s="273"/>
      <c r="L22" s="273">
        <v>0.05</v>
      </c>
      <c r="M22" s="273">
        <v>0.1</v>
      </c>
      <c r="N22" s="273">
        <v>0.1</v>
      </c>
      <c r="O22" s="273">
        <v>0.1</v>
      </c>
      <c r="P22" s="273">
        <v>0.1</v>
      </c>
      <c r="Q22" s="273">
        <v>0.15</v>
      </c>
      <c r="R22" s="273">
        <v>0.15</v>
      </c>
      <c r="S22" s="273">
        <v>0.1</v>
      </c>
      <c r="T22" s="273">
        <v>0.1</v>
      </c>
      <c r="U22" s="273">
        <v>0.05</v>
      </c>
      <c r="V22" s="274"/>
      <c r="W22" s="202">
        <v>1</v>
      </c>
    </row>
    <row r="23" spans="1:23" ht="15" customHeight="1" x14ac:dyDescent="0.25">
      <c r="A23" s="174" t="s">
        <v>766</v>
      </c>
      <c r="B23" s="1973"/>
      <c r="C23" s="175">
        <v>14898899.148945386</v>
      </c>
      <c r="D23" s="269">
        <v>0.28919775430837535</v>
      </c>
      <c r="E23" s="257"/>
      <c r="F23" s="177"/>
      <c r="G23" s="177"/>
      <c r="H23" s="177"/>
      <c r="I23" s="177"/>
      <c r="J23" s="177"/>
      <c r="K23" s="177"/>
      <c r="L23" s="177"/>
      <c r="M23" s="177"/>
      <c r="N23" s="177"/>
      <c r="O23" s="177"/>
      <c r="P23" s="177"/>
      <c r="Q23" s="177"/>
      <c r="R23" s="177"/>
      <c r="S23" s="177"/>
      <c r="T23" s="177"/>
      <c r="U23" s="177"/>
      <c r="V23" s="178"/>
    </row>
    <row r="24" spans="1:23" ht="15.75" customHeight="1" thickBot="1" x14ac:dyDescent="0.3">
      <c r="A24" s="179"/>
      <c r="B24" s="1974"/>
      <c r="C24" s="180"/>
      <c r="D24" s="270"/>
      <c r="E24" s="181" t="s">
        <v>21</v>
      </c>
      <c r="F24" s="175" t="s">
        <v>21</v>
      </c>
      <c r="G24" s="175" t="s">
        <v>21</v>
      </c>
      <c r="H24" s="175" t="s">
        <v>21</v>
      </c>
      <c r="I24" s="175" t="s">
        <v>21</v>
      </c>
      <c r="J24" s="175" t="s">
        <v>21</v>
      </c>
      <c r="K24" s="175" t="s">
        <v>21</v>
      </c>
      <c r="L24" s="175">
        <v>744944.95744726935</v>
      </c>
      <c r="M24" s="175">
        <v>1489889.9148945387</v>
      </c>
      <c r="N24" s="175">
        <v>1489889.9148945387</v>
      </c>
      <c r="O24" s="175">
        <v>1489889.9148945387</v>
      </c>
      <c r="P24" s="175">
        <v>1489889.9148945387</v>
      </c>
      <c r="Q24" s="175">
        <v>2234834.8723418079</v>
      </c>
      <c r="R24" s="175">
        <v>2234834.8723418079</v>
      </c>
      <c r="S24" s="175">
        <v>1489889.9148945387</v>
      </c>
      <c r="T24" s="175">
        <v>1489889.9148945387</v>
      </c>
      <c r="U24" s="175">
        <v>744944.95744726993</v>
      </c>
      <c r="V24" s="182" t="s">
        <v>21</v>
      </c>
      <c r="W24" s="203">
        <v>0</v>
      </c>
    </row>
    <row r="25" spans="1:23" ht="13.5" thickTop="1" x14ac:dyDescent="0.25">
      <c r="A25" s="183"/>
      <c r="B25" s="1972" t="s">
        <v>4148</v>
      </c>
      <c r="C25" s="184"/>
      <c r="D25" s="271"/>
      <c r="E25" s="272"/>
      <c r="F25" s="273"/>
      <c r="G25" s="273"/>
      <c r="H25" s="273"/>
      <c r="I25" s="273"/>
      <c r="J25" s="273"/>
      <c r="K25" s="273"/>
      <c r="L25" s="273">
        <v>0.1</v>
      </c>
      <c r="M25" s="273">
        <v>0.1</v>
      </c>
      <c r="N25" s="273">
        <v>0.2</v>
      </c>
      <c r="O25" s="273">
        <v>0.2</v>
      </c>
      <c r="P25" s="273">
        <v>0.2</v>
      </c>
      <c r="Q25" s="273">
        <v>0.1</v>
      </c>
      <c r="R25" s="273">
        <v>0.05</v>
      </c>
      <c r="S25" s="273">
        <v>0.05</v>
      </c>
      <c r="T25" s="273"/>
      <c r="U25" s="273"/>
      <c r="V25" s="274"/>
      <c r="W25" s="202">
        <v>1</v>
      </c>
    </row>
    <row r="26" spans="1:23" ht="15" customHeight="1" x14ac:dyDescent="0.25">
      <c r="A26" s="174" t="s">
        <v>1532</v>
      </c>
      <c r="B26" s="1973"/>
      <c r="C26" s="175">
        <v>6599348.7318358049</v>
      </c>
      <c r="D26" s="269">
        <v>0.12809784226775126</v>
      </c>
      <c r="E26" s="257"/>
      <c r="F26" s="177"/>
      <c r="G26" s="177"/>
      <c r="H26" s="177"/>
      <c r="I26" s="177"/>
      <c r="J26" s="177"/>
      <c r="K26" s="177"/>
      <c r="L26" s="177"/>
      <c r="M26" s="177"/>
      <c r="N26" s="177"/>
      <c r="O26" s="177"/>
      <c r="P26" s="177"/>
      <c r="Q26" s="177"/>
      <c r="R26" s="177"/>
      <c r="S26" s="177"/>
      <c r="T26" s="177"/>
      <c r="U26" s="177"/>
      <c r="V26" s="178"/>
    </row>
    <row r="27" spans="1:23" ht="15.75" customHeight="1" thickBot="1" x14ac:dyDescent="0.3">
      <c r="A27" s="179"/>
      <c r="B27" s="1974"/>
      <c r="C27" s="180"/>
      <c r="D27" s="270"/>
      <c r="E27" s="181" t="s">
        <v>21</v>
      </c>
      <c r="F27" s="175" t="s">
        <v>21</v>
      </c>
      <c r="G27" s="175" t="s">
        <v>21</v>
      </c>
      <c r="H27" s="175" t="s">
        <v>21</v>
      </c>
      <c r="I27" s="175" t="s">
        <v>21</v>
      </c>
      <c r="J27" s="175" t="s">
        <v>21</v>
      </c>
      <c r="K27" s="175" t="s">
        <v>21</v>
      </c>
      <c r="L27" s="175">
        <v>659934.87318358058</v>
      </c>
      <c r="M27" s="175">
        <v>659934.87318358058</v>
      </c>
      <c r="N27" s="175">
        <v>1319869.7463671612</v>
      </c>
      <c r="O27" s="175">
        <v>1319869.7463671612</v>
      </c>
      <c r="P27" s="175">
        <v>1319869.7463671612</v>
      </c>
      <c r="Q27" s="175">
        <v>659934.87318358058</v>
      </c>
      <c r="R27" s="175">
        <v>329967.43659179029</v>
      </c>
      <c r="S27" s="175">
        <v>329967.43659179006</v>
      </c>
      <c r="T27" s="175" t="s">
        <v>21</v>
      </c>
      <c r="U27" s="175" t="s">
        <v>21</v>
      </c>
      <c r="V27" s="182" t="s">
        <v>21</v>
      </c>
      <c r="W27" s="203">
        <v>0</v>
      </c>
    </row>
    <row r="28" spans="1:23" ht="13.5" thickTop="1" x14ac:dyDescent="0.25">
      <c r="A28" s="183"/>
      <c r="B28" s="1972" t="s">
        <v>4147</v>
      </c>
      <c r="C28" s="184"/>
      <c r="D28" s="271"/>
      <c r="E28" s="272"/>
      <c r="F28" s="273"/>
      <c r="G28" s="273"/>
      <c r="H28" s="273"/>
      <c r="I28" s="273"/>
      <c r="J28" s="273"/>
      <c r="K28" s="273"/>
      <c r="L28" s="273"/>
      <c r="M28" s="273"/>
      <c r="N28" s="273"/>
      <c r="O28" s="273"/>
      <c r="P28" s="273"/>
      <c r="Q28" s="273">
        <v>0.15</v>
      </c>
      <c r="R28" s="273">
        <v>0.15</v>
      </c>
      <c r="S28" s="273">
        <v>0.2</v>
      </c>
      <c r="T28" s="273">
        <v>0.2</v>
      </c>
      <c r="U28" s="273">
        <v>0.2</v>
      </c>
      <c r="V28" s="274">
        <v>0.1</v>
      </c>
      <c r="W28" s="202">
        <v>0.99999999999999989</v>
      </c>
    </row>
    <row r="29" spans="1:23" ht="15" customHeight="1" x14ac:dyDescent="0.25">
      <c r="A29" s="174" t="s">
        <v>1533</v>
      </c>
      <c r="B29" s="1973"/>
      <c r="C29" s="175">
        <v>405272.52654953004</v>
      </c>
      <c r="D29" s="269">
        <v>7.8666150692953546E-3</v>
      </c>
      <c r="E29" s="257"/>
      <c r="F29" s="177"/>
      <c r="G29" s="177"/>
      <c r="H29" s="177"/>
      <c r="I29" s="177"/>
      <c r="J29" s="177"/>
      <c r="K29" s="177"/>
      <c r="L29" s="177"/>
      <c r="M29" s="177"/>
      <c r="N29" s="177"/>
      <c r="O29" s="177"/>
      <c r="P29" s="177"/>
      <c r="Q29" s="177"/>
      <c r="R29" s="177"/>
      <c r="S29" s="177"/>
      <c r="T29" s="177"/>
      <c r="U29" s="177"/>
      <c r="V29" s="178"/>
    </row>
    <row r="30" spans="1:23" ht="15.75" customHeight="1" thickBot="1" x14ac:dyDescent="0.3">
      <c r="A30" s="179"/>
      <c r="B30" s="1974"/>
      <c r="C30" s="180"/>
      <c r="D30" s="270"/>
      <c r="E30" s="181" t="s">
        <v>21</v>
      </c>
      <c r="F30" s="175" t="s">
        <v>21</v>
      </c>
      <c r="G30" s="175" t="s">
        <v>21</v>
      </c>
      <c r="H30" s="175" t="s">
        <v>21</v>
      </c>
      <c r="I30" s="175" t="s">
        <v>21</v>
      </c>
      <c r="J30" s="175" t="s">
        <v>21</v>
      </c>
      <c r="K30" s="175" t="s">
        <v>21</v>
      </c>
      <c r="L30" s="175" t="s">
        <v>21</v>
      </c>
      <c r="M30" s="175" t="s">
        <v>21</v>
      </c>
      <c r="N30" s="175" t="s">
        <v>21</v>
      </c>
      <c r="O30" s="175" t="s">
        <v>21</v>
      </c>
      <c r="P30" s="175" t="s">
        <v>21</v>
      </c>
      <c r="Q30" s="175">
        <v>60790.878982429502</v>
      </c>
      <c r="R30" s="175">
        <v>60790.878982429502</v>
      </c>
      <c r="S30" s="175">
        <v>81054.505309906017</v>
      </c>
      <c r="T30" s="175">
        <v>81054.505309906017</v>
      </c>
      <c r="U30" s="175">
        <v>81054.505309906017</v>
      </c>
      <c r="V30" s="182">
        <v>40527.252654952987</v>
      </c>
      <c r="W30" s="203">
        <v>0</v>
      </c>
    </row>
    <row r="31" spans="1:23" ht="13.5" thickTop="1" x14ac:dyDescent="0.25">
      <c r="A31" s="183"/>
      <c r="B31" s="1972" t="s">
        <v>4146</v>
      </c>
      <c r="C31" s="184"/>
      <c r="D31" s="271"/>
      <c r="E31" s="272"/>
      <c r="F31" s="273"/>
      <c r="G31" s="273"/>
      <c r="H31" s="273"/>
      <c r="I31" s="273"/>
      <c r="J31" s="273"/>
      <c r="K31" s="273"/>
      <c r="L31" s="273"/>
      <c r="M31" s="273"/>
      <c r="N31" s="273"/>
      <c r="O31" s="273"/>
      <c r="P31" s="273">
        <v>0.1</v>
      </c>
      <c r="Q31" s="273">
        <v>0.15</v>
      </c>
      <c r="R31" s="273">
        <v>0.15</v>
      </c>
      <c r="S31" s="273">
        <v>0.15</v>
      </c>
      <c r="T31" s="273">
        <v>0.15</v>
      </c>
      <c r="U31" s="273">
        <v>0.15</v>
      </c>
      <c r="V31" s="274">
        <v>0.15</v>
      </c>
      <c r="W31" s="202">
        <v>1</v>
      </c>
    </row>
    <row r="32" spans="1:23" ht="15" customHeight="1" x14ac:dyDescent="0.25">
      <c r="A32" s="174" t="s">
        <v>1534</v>
      </c>
      <c r="B32" s="1973"/>
      <c r="C32" s="175">
        <v>887312.00653654826</v>
      </c>
      <c r="D32" s="269">
        <v>1.7223328857782903E-2</v>
      </c>
      <c r="E32" s="257"/>
      <c r="F32" s="177"/>
      <c r="G32" s="177"/>
      <c r="H32" s="177"/>
      <c r="I32" s="177"/>
      <c r="J32" s="177"/>
      <c r="K32" s="177"/>
      <c r="L32" s="177"/>
      <c r="M32" s="177"/>
      <c r="N32" s="177"/>
      <c r="O32" s="177"/>
      <c r="P32" s="177"/>
      <c r="Q32" s="177"/>
      <c r="R32" s="177"/>
      <c r="S32" s="177"/>
      <c r="T32" s="177"/>
      <c r="U32" s="177"/>
      <c r="V32" s="178"/>
    </row>
    <row r="33" spans="1:23" ht="15.75" customHeight="1" thickBot="1" x14ac:dyDescent="0.3">
      <c r="A33" s="179"/>
      <c r="B33" s="1974"/>
      <c r="C33" s="180"/>
      <c r="D33" s="270"/>
      <c r="E33" s="181" t="s">
        <v>21</v>
      </c>
      <c r="F33" s="175" t="s">
        <v>21</v>
      </c>
      <c r="G33" s="175" t="s">
        <v>21</v>
      </c>
      <c r="H33" s="175" t="s">
        <v>21</v>
      </c>
      <c r="I33" s="175" t="s">
        <v>21</v>
      </c>
      <c r="J33" s="175" t="s">
        <v>21</v>
      </c>
      <c r="K33" s="175" t="s">
        <v>21</v>
      </c>
      <c r="L33" s="175" t="s">
        <v>21</v>
      </c>
      <c r="M33" s="175" t="s">
        <v>21</v>
      </c>
      <c r="N33" s="175" t="s">
        <v>21</v>
      </c>
      <c r="O33" s="175" t="s">
        <v>21</v>
      </c>
      <c r="P33" s="175">
        <v>88731.200653654829</v>
      </c>
      <c r="Q33" s="175">
        <v>133096.80098048222</v>
      </c>
      <c r="R33" s="175">
        <v>133096.80098048222</v>
      </c>
      <c r="S33" s="175">
        <v>133096.80098048222</v>
      </c>
      <c r="T33" s="175">
        <v>133096.80098048222</v>
      </c>
      <c r="U33" s="175">
        <v>133096.80098048222</v>
      </c>
      <c r="V33" s="182">
        <v>133096.80098048225</v>
      </c>
      <c r="W33" s="203">
        <v>0</v>
      </c>
    </row>
    <row r="34" spans="1:23" s="170" customFormat="1" ht="15" customHeight="1" thickTop="1" x14ac:dyDescent="0.25">
      <c r="A34" s="1984" t="s">
        <v>4162</v>
      </c>
      <c r="B34" s="1985"/>
      <c r="C34" s="1990">
        <v>51518031.959053509</v>
      </c>
      <c r="D34" s="1993">
        <v>0.99999999999999978</v>
      </c>
      <c r="E34" s="263">
        <v>2.1264999999999999E-2</v>
      </c>
      <c r="F34" s="264">
        <v>1.119E-2</v>
      </c>
      <c r="G34" s="264">
        <v>2.5108999999999999E-2</v>
      </c>
      <c r="H34" s="264">
        <v>4.3432999999999999E-2</v>
      </c>
      <c r="I34" s="264">
        <v>4.8284000000000001E-2</v>
      </c>
      <c r="J34" s="264">
        <v>5.3135000000000002E-2</v>
      </c>
      <c r="K34" s="264">
        <v>5.7986000000000003E-2</v>
      </c>
      <c r="L34" s="264">
        <v>8.2435999999999995E-2</v>
      </c>
      <c r="M34" s="264">
        <v>9.7973000000000005E-2</v>
      </c>
      <c r="N34" s="264">
        <v>0.102035</v>
      </c>
      <c r="O34" s="264">
        <v>0.102035</v>
      </c>
      <c r="P34" s="264">
        <v>8.2627000000000006E-2</v>
      </c>
      <c r="Q34" s="264">
        <v>8.6593000000000003E-2</v>
      </c>
      <c r="R34" s="264">
        <v>7.9711000000000004E-2</v>
      </c>
      <c r="S34" s="264">
        <v>4.3337000000000001E-2</v>
      </c>
      <c r="T34" s="264">
        <v>3.6455000000000001E-2</v>
      </c>
      <c r="U34" s="264">
        <v>2.0917999999999999E-2</v>
      </c>
      <c r="V34" s="265">
        <v>5.4799999999999996E-3</v>
      </c>
      <c r="W34" s="161"/>
    </row>
    <row r="35" spans="1:23" s="170" customFormat="1" ht="15" customHeight="1" x14ac:dyDescent="0.25">
      <c r="A35" s="1986"/>
      <c r="B35" s="1987"/>
      <c r="C35" s="1991"/>
      <c r="D35" s="1994"/>
      <c r="E35" s="266">
        <v>2.1264999999999999E-2</v>
      </c>
      <c r="F35" s="267">
        <v>3.2454999999999998E-2</v>
      </c>
      <c r="G35" s="267">
        <v>5.7563999999999997E-2</v>
      </c>
      <c r="H35" s="267">
        <v>0.100997</v>
      </c>
      <c r="I35" s="267">
        <v>0.149281</v>
      </c>
      <c r="J35" s="267">
        <v>0.20241599999999998</v>
      </c>
      <c r="K35" s="267">
        <v>0.26040199999999997</v>
      </c>
      <c r="L35" s="267">
        <v>0.34283799999999998</v>
      </c>
      <c r="M35" s="267">
        <v>0.44081099999999995</v>
      </c>
      <c r="N35" s="267">
        <v>0.54284599999999994</v>
      </c>
      <c r="O35" s="267">
        <v>0.64488099999999993</v>
      </c>
      <c r="P35" s="267">
        <v>0.72750799999999993</v>
      </c>
      <c r="Q35" s="267">
        <v>0.81410099999999996</v>
      </c>
      <c r="R35" s="267">
        <v>0.89381199999999994</v>
      </c>
      <c r="S35" s="267">
        <v>0.9371489999999999</v>
      </c>
      <c r="T35" s="267">
        <v>0.97360399999999991</v>
      </c>
      <c r="U35" s="267">
        <v>0.99452199999999991</v>
      </c>
      <c r="V35" s="268">
        <v>1.0000019999999998</v>
      </c>
      <c r="W35" s="161"/>
    </row>
    <row r="36" spans="1:23" s="170" customFormat="1" ht="15" customHeight="1" x14ac:dyDescent="0.25">
      <c r="A36" s="1986"/>
      <c r="B36" s="1987"/>
      <c r="C36" s="1991"/>
      <c r="D36" s="1994"/>
      <c r="E36" s="1724">
        <v>1095528.4918288519</v>
      </c>
      <c r="F36" s="1725">
        <v>576487.01679839182</v>
      </c>
      <c r="G36" s="1725">
        <v>1293587.7315781307</v>
      </c>
      <c r="H36" s="1725">
        <v>2237564.7032442847</v>
      </c>
      <c r="I36" s="1725">
        <v>2487477.2729803529</v>
      </c>
      <c r="J36" s="1725">
        <v>2737389.8427164205</v>
      </c>
      <c r="K36" s="1725">
        <v>2987302.4124524882</v>
      </c>
      <c r="L36" s="1725">
        <v>4246928.6540021002</v>
      </c>
      <c r="M36" s="1725">
        <v>5047369.5892479662</v>
      </c>
      <c r="N36" s="1725">
        <v>5256642.3258156423</v>
      </c>
      <c r="O36" s="1725">
        <v>5256642.3258156423</v>
      </c>
      <c r="P36" s="1725">
        <v>4256755.9028963577</v>
      </c>
      <c r="Q36" s="1725">
        <v>4461089.2572967</v>
      </c>
      <c r="R36" s="1725">
        <v>4106540.3192767911</v>
      </c>
      <c r="S36" s="1725">
        <v>2232644.7750600688</v>
      </c>
      <c r="T36" s="1725">
        <v>1878095.8370401631</v>
      </c>
      <c r="U36" s="1725">
        <v>1077654.9017942974</v>
      </c>
      <c r="V36" s="1726">
        <v>282330.59920885484</v>
      </c>
      <c r="W36" s="161"/>
    </row>
    <row r="37" spans="1:23" s="170" customFormat="1" ht="15.75" customHeight="1" thickBot="1" x14ac:dyDescent="0.3">
      <c r="A37" s="1988"/>
      <c r="B37" s="1989"/>
      <c r="C37" s="1992"/>
      <c r="D37" s="1995"/>
      <c r="E37" s="1727">
        <v>1095528.4918288519</v>
      </c>
      <c r="F37" s="1728">
        <v>1672015.5086272438</v>
      </c>
      <c r="G37" s="1728">
        <v>2965603.2402053745</v>
      </c>
      <c r="H37" s="1728">
        <v>5203167.9434496593</v>
      </c>
      <c r="I37" s="1728">
        <v>7690645.2164300121</v>
      </c>
      <c r="J37" s="1728">
        <v>10428035.059146432</v>
      </c>
      <c r="K37" s="1728">
        <v>13415337.471598919</v>
      </c>
      <c r="L37" s="1728">
        <v>17662266.12560102</v>
      </c>
      <c r="M37" s="1728">
        <v>22709635.714848988</v>
      </c>
      <c r="N37" s="1728">
        <v>27966278.040664628</v>
      </c>
      <c r="O37" s="1728">
        <v>33222920.366480269</v>
      </c>
      <c r="P37" s="1728">
        <v>37479676.269376628</v>
      </c>
      <c r="Q37" s="1728">
        <v>41940765.526673332</v>
      </c>
      <c r="R37" s="1728">
        <v>46047305.845950127</v>
      </c>
      <c r="S37" s="1728">
        <v>48279950.621010199</v>
      </c>
      <c r="T37" s="1728">
        <v>50158046.458050363</v>
      </c>
      <c r="U37" s="1728">
        <v>51235701.359844662</v>
      </c>
      <c r="V37" s="1729">
        <v>51518031.959053516</v>
      </c>
      <c r="W37" s="161"/>
    </row>
    <row r="41" spans="1:23" x14ac:dyDescent="0.25">
      <c r="B41" s="185"/>
      <c r="C41" s="185"/>
      <c r="D41" s="186"/>
      <c r="G41" s="186"/>
      <c r="H41" s="186"/>
      <c r="I41" s="186"/>
      <c r="J41" s="186"/>
      <c r="K41" s="186"/>
      <c r="L41" s="186"/>
      <c r="M41" s="186"/>
      <c r="N41" s="186"/>
      <c r="O41" s="186"/>
      <c r="P41" s="186"/>
      <c r="Q41" s="186"/>
      <c r="R41" s="186"/>
      <c r="V41" s="155"/>
    </row>
    <row r="42" spans="1:23" x14ac:dyDescent="0.25">
      <c r="B42" s="187" t="s">
        <v>135</v>
      </c>
      <c r="C42" s="188"/>
      <c r="D42" s="189"/>
      <c r="G42" s="190"/>
      <c r="H42" s="190"/>
      <c r="I42" s="190"/>
      <c r="J42" s="190"/>
      <c r="K42" s="190"/>
      <c r="L42" s="190"/>
      <c r="M42" s="190"/>
      <c r="N42" s="190"/>
      <c r="O42" s="190"/>
      <c r="P42" s="190"/>
      <c r="Q42" s="190"/>
      <c r="R42" s="190"/>
      <c r="V42" s="187"/>
    </row>
    <row r="43" spans="1:23" x14ac:dyDescent="0.25">
      <c r="B43" s="187" t="s">
        <v>136</v>
      </c>
      <c r="C43" s="188"/>
      <c r="D43" s="189"/>
      <c r="G43" s="190"/>
      <c r="H43" s="190"/>
      <c r="I43" s="190"/>
      <c r="J43" s="190"/>
      <c r="K43" s="190"/>
      <c r="L43" s="190"/>
      <c r="M43" s="190"/>
      <c r="N43" s="190"/>
      <c r="O43" s="190"/>
      <c r="P43" s="190"/>
      <c r="Q43" s="190"/>
      <c r="R43" s="190"/>
      <c r="V43" s="187"/>
    </row>
    <row r="45" spans="1:23" x14ac:dyDescent="0.25">
      <c r="B45" s="187" t="s">
        <v>1115</v>
      </c>
      <c r="C45" s="187"/>
    </row>
    <row r="53" spans="1:22" x14ac:dyDescent="0.25">
      <c r="D53" s="1496" t="s">
        <v>3477</v>
      </c>
    </row>
    <row r="54" spans="1:22" s="201" customFormat="1" ht="11.25" x14ac:dyDescent="0.25">
      <c r="D54" s="160" t="s">
        <v>2046</v>
      </c>
      <c r="E54" s="820">
        <v>454279.96350144839</v>
      </c>
      <c r="F54" s="820"/>
      <c r="G54" s="820"/>
      <c r="H54" s="820"/>
      <c r="I54" s="820"/>
      <c r="J54" s="820"/>
      <c r="K54" s="820"/>
      <c r="L54" s="820"/>
      <c r="M54" s="820"/>
      <c r="N54" s="820"/>
      <c r="O54" s="820"/>
      <c r="P54" s="820"/>
      <c r="Q54" s="820"/>
      <c r="R54" s="820"/>
      <c r="S54" s="820"/>
      <c r="T54" s="820"/>
      <c r="U54" s="820"/>
      <c r="V54" s="820"/>
    </row>
    <row r="55" spans="1:22" s="201" customFormat="1" ht="11.25" x14ac:dyDescent="0.25">
      <c r="D55" s="160" t="s">
        <v>2047</v>
      </c>
      <c r="E55" s="1495">
        <v>6026.9446294851841</v>
      </c>
      <c r="F55" s="1495">
        <v>6026.9446294851841</v>
      </c>
      <c r="G55" s="1495">
        <v>6026.9446294851841</v>
      </c>
      <c r="H55" s="1495">
        <v>6026.9446294851841</v>
      </c>
      <c r="I55" s="1495">
        <v>6026.9446294851841</v>
      </c>
      <c r="J55" s="1495">
        <v>6026.9446294851841</v>
      </c>
      <c r="K55" s="1495">
        <v>6026.9446294851841</v>
      </c>
      <c r="L55" s="1495">
        <v>6026.9446294851841</v>
      </c>
      <c r="M55" s="1495">
        <v>6026.9446294851841</v>
      </c>
      <c r="N55" s="1495">
        <v>6026.9446294851841</v>
      </c>
      <c r="O55" s="1495">
        <v>6026.9446294851841</v>
      </c>
      <c r="P55" s="1495">
        <v>6026.9446294851841</v>
      </c>
      <c r="Q55" s="1495">
        <v>6026.9446294851841</v>
      </c>
      <c r="R55" s="1495">
        <v>6026.9446294851841</v>
      </c>
      <c r="S55" s="1495">
        <v>6026.9446294851841</v>
      </c>
      <c r="T55" s="1495">
        <v>6026.9446294851841</v>
      </c>
      <c r="U55" s="1495">
        <v>6026.9446294851841</v>
      </c>
      <c r="V55" s="1495">
        <v>6026.9446294851841</v>
      </c>
    </row>
    <row r="56" spans="1:22" s="201" customFormat="1" ht="11.25" x14ac:dyDescent="0.25">
      <c r="D56" s="160" t="s">
        <v>3475</v>
      </c>
      <c r="E56" s="1495">
        <v>15391.826890033019</v>
      </c>
      <c r="F56" s="1495">
        <v>0</v>
      </c>
      <c r="G56" s="1495">
        <v>0</v>
      </c>
      <c r="H56" s="1495">
        <v>0</v>
      </c>
      <c r="I56" s="1495">
        <v>0</v>
      </c>
      <c r="J56" s="1495">
        <v>0</v>
      </c>
      <c r="K56" s="1495">
        <v>0</v>
      </c>
      <c r="L56" s="1495">
        <v>0</v>
      </c>
      <c r="M56" s="1495">
        <v>0</v>
      </c>
      <c r="N56" s="1495">
        <v>0</v>
      </c>
      <c r="O56" s="1495">
        <v>0</v>
      </c>
      <c r="P56" s="1495">
        <v>0</v>
      </c>
      <c r="Q56" s="1495">
        <v>0</v>
      </c>
      <c r="R56" s="1495">
        <v>0</v>
      </c>
      <c r="S56" s="1495">
        <v>0</v>
      </c>
      <c r="T56" s="1495">
        <v>0</v>
      </c>
      <c r="U56" s="1495">
        <v>0</v>
      </c>
      <c r="V56" s="1495">
        <v>22644.570087132171</v>
      </c>
    </row>
    <row r="57" spans="1:22" s="201" customFormat="1" ht="11.25" x14ac:dyDescent="0.25">
      <c r="D57" s="160" t="s">
        <v>3476</v>
      </c>
      <c r="E57" s="1495">
        <v>16962.140279355703</v>
      </c>
      <c r="F57" s="1495">
        <v>16962.140279355703</v>
      </c>
      <c r="G57" s="1495">
        <v>16962.140279355703</v>
      </c>
      <c r="H57" s="1495">
        <v>16962.140279355703</v>
      </c>
      <c r="I57" s="1495">
        <v>16962.140279355703</v>
      </c>
      <c r="J57" s="1495">
        <v>16962.140279355703</v>
      </c>
      <c r="K57" s="1495">
        <v>16962.140279355703</v>
      </c>
      <c r="L57" s="1495">
        <v>16962.140279355703</v>
      </c>
      <c r="M57" s="1495">
        <v>16962.140279355703</v>
      </c>
      <c r="N57" s="1495">
        <v>16962.140279355703</v>
      </c>
      <c r="O57" s="1495">
        <v>16962.140279355703</v>
      </c>
      <c r="P57" s="1495">
        <v>16962.140279355703</v>
      </c>
      <c r="Q57" s="1495">
        <v>16962.140279355703</v>
      </c>
      <c r="R57" s="1495">
        <v>16962.140279355703</v>
      </c>
      <c r="S57" s="1495">
        <v>16962.140279355703</v>
      </c>
      <c r="T57" s="1495">
        <v>16962.140279355703</v>
      </c>
      <c r="U57" s="1495">
        <v>16962.140279355703</v>
      </c>
      <c r="V57" s="1495">
        <v>16962.140279355703</v>
      </c>
    </row>
    <row r="58" spans="1:22" s="201" customFormat="1" ht="11.25" x14ac:dyDescent="0.25">
      <c r="A58" s="821"/>
      <c r="B58" s="821"/>
      <c r="C58" s="821"/>
      <c r="D58" s="822" t="s">
        <v>2048</v>
      </c>
      <c r="E58" s="823">
        <v>492660.87530032231</v>
      </c>
      <c r="F58" s="823">
        <v>22989.084908840887</v>
      </c>
      <c r="G58" s="823">
        <v>22989.084908840887</v>
      </c>
      <c r="H58" s="823">
        <v>22989.084908840887</v>
      </c>
      <c r="I58" s="823">
        <v>22989.084908840887</v>
      </c>
      <c r="J58" s="823">
        <v>22989.084908840887</v>
      </c>
      <c r="K58" s="823">
        <v>22989.084908840887</v>
      </c>
      <c r="L58" s="823">
        <v>22989.084908840887</v>
      </c>
      <c r="M58" s="823">
        <v>22989.084908840887</v>
      </c>
      <c r="N58" s="823">
        <v>22989.084908840887</v>
      </c>
      <c r="O58" s="823">
        <v>22989.084908840887</v>
      </c>
      <c r="P58" s="823">
        <v>22989.084908840887</v>
      </c>
      <c r="Q58" s="823">
        <v>22989.084908840887</v>
      </c>
      <c r="R58" s="823">
        <v>22989.084908840887</v>
      </c>
      <c r="S58" s="823">
        <v>22989.084908840887</v>
      </c>
      <c r="T58" s="823">
        <v>22989.084908840887</v>
      </c>
      <c r="U58" s="823">
        <v>22989.084908840887</v>
      </c>
      <c r="V58" s="823">
        <v>45633.654995973062</v>
      </c>
    </row>
    <row r="60" spans="1:22" x14ac:dyDescent="0.25">
      <c r="D60" s="1496" t="s">
        <v>3478</v>
      </c>
    </row>
    <row r="61" spans="1:22" s="201" customFormat="1" ht="11.25" x14ac:dyDescent="0.25">
      <c r="D61" s="160" t="s">
        <v>2046</v>
      </c>
      <c r="E61" s="820">
        <v>420284.85339787626</v>
      </c>
      <c r="F61" s="820"/>
      <c r="G61" s="820"/>
      <c r="H61" s="820"/>
      <c r="I61" s="820"/>
      <c r="J61" s="820"/>
      <c r="K61" s="820"/>
      <c r="L61" s="820"/>
      <c r="M61" s="820"/>
      <c r="N61" s="820"/>
      <c r="O61" s="820"/>
      <c r="P61" s="820"/>
      <c r="Q61" s="820"/>
      <c r="R61" s="820"/>
      <c r="S61" s="820"/>
      <c r="T61" s="820"/>
      <c r="U61" s="820"/>
      <c r="V61" s="820"/>
    </row>
    <row r="62" spans="1:22" s="201" customFormat="1" ht="11.25" x14ac:dyDescent="0.25">
      <c r="D62" s="160" t="s">
        <v>2047</v>
      </c>
      <c r="E62" s="1495">
        <v>3288.6797791914901</v>
      </c>
      <c r="F62" s="1495">
        <v>3288.6797791914901</v>
      </c>
      <c r="G62" s="1495">
        <v>3288.6797791914901</v>
      </c>
      <c r="H62" s="1495">
        <v>3288.6797791914901</v>
      </c>
      <c r="I62" s="1495">
        <v>3288.6797791914901</v>
      </c>
      <c r="J62" s="1495">
        <v>3288.6797791914901</v>
      </c>
      <c r="K62" s="1495">
        <v>3288.6797791914901</v>
      </c>
      <c r="L62" s="1495">
        <v>3288.6797791914901</v>
      </c>
      <c r="M62" s="1495">
        <v>3288.6797791914901</v>
      </c>
      <c r="N62" s="1495">
        <v>3288.6797791914901</v>
      </c>
      <c r="O62" s="1495">
        <v>3288.6797791914901</v>
      </c>
      <c r="P62" s="1495">
        <v>3288.6797791914901</v>
      </c>
      <c r="Q62" s="1495">
        <v>3288.6797791914901</v>
      </c>
      <c r="R62" s="1495">
        <v>3288.6797791914901</v>
      </c>
      <c r="S62" s="1495">
        <v>3288.6797791914901</v>
      </c>
      <c r="T62" s="1495">
        <v>3288.6797791914901</v>
      </c>
      <c r="U62" s="1495">
        <v>3288.6797791914901</v>
      </c>
      <c r="V62" s="1495">
        <v>3288.6797791914901</v>
      </c>
    </row>
    <row r="63" spans="1:22" s="201" customFormat="1" ht="11.25" x14ac:dyDescent="0.25">
      <c r="D63" s="160" t="s">
        <v>3475</v>
      </c>
      <c r="E63" s="1495">
        <v>15994.850335879513</v>
      </c>
      <c r="F63" s="1495">
        <v>603.02344584649495</v>
      </c>
      <c r="G63" s="1495">
        <v>603.02344584649495</v>
      </c>
      <c r="H63" s="1495">
        <v>603.02344584649495</v>
      </c>
      <c r="I63" s="1495">
        <v>603.02344584649495</v>
      </c>
      <c r="J63" s="1495">
        <v>603.02344584649495</v>
      </c>
      <c r="K63" s="1495">
        <v>603.02344584649495</v>
      </c>
      <c r="L63" s="1495">
        <v>603.02344584649495</v>
      </c>
      <c r="M63" s="1495">
        <v>603.02344584649495</v>
      </c>
      <c r="N63" s="1495">
        <v>603.02344584649495</v>
      </c>
      <c r="O63" s="1495">
        <v>603.02344584649495</v>
      </c>
      <c r="P63" s="1495">
        <v>603.02344584649495</v>
      </c>
      <c r="Q63" s="1495">
        <v>603.02344584649495</v>
      </c>
      <c r="R63" s="1495">
        <v>603.02344584649495</v>
      </c>
      <c r="S63" s="1495">
        <v>603.02344584649495</v>
      </c>
      <c r="T63" s="1495">
        <v>603.02344584649495</v>
      </c>
      <c r="U63" s="1495">
        <v>603.02344584649495</v>
      </c>
      <c r="V63" s="1495">
        <v>23247.593532978666</v>
      </c>
    </row>
    <row r="64" spans="1:22" s="201" customFormat="1" ht="11.25" x14ac:dyDescent="0.25">
      <c r="D64" s="160" t="s">
        <v>3476</v>
      </c>
      <c r="E64" s="1495">
        <v>16962.140279355703</v>
      </c>
      <c r="F64" s="1495">
        <v>16962.140279355703</v>
      </c>
      <c r="G64" s="1495">
        <v>16962.140279355703</v>
      </c>
      <c r="H64" s="1495">
        <v>16962.140279355703</v>
      </c>
      <c r="I64" s="1495">
        <v>16962.140279355703</v>
      </c>
      <c r="J64" s="1495">
        <v>16962.140279355703</v>
      </c>
      <c r="K64" s="1495">
        <v>16962.140279355703</v>
      </c>
      <c r="L64" s="1495">
        <v>16962.140279355703</v>
      </c>
      <c r="M64" s="1495">
        <v>16962.140279355703</v>
      </c>
      <c r="N64" s="1495">
        <v>16962.140279355703</v>
      </c>
      <c r="O64" s="1495">
        <v>16962.140279355703</v>
      </c>
      <c r="P64" s="1495">
        <v>16962.140279355703</v>
      </c>
      <c r="Q64" s="1495">
        <v>16962.140279355703</v>
      </c>
      <c r="R64" s="1495">
        <v>16962.140279355703</v>
      </c>
      <c r="S64" s="1495">
        <v>16962.140279355703</v>
      </c>
      <c r="T64" s="1495">
        <v>16962.140279355703</v>
      </c>
      <c r="U64" s="1495">
        <v>16962.140279355703</v>
      </c>
      <c r="V64" s="1495">
        <v>16962.140279355703</v>
      </c>
    </row>
    <row r="65" spans="1:22" s="201" customFormat="1" ht="11.25" x14ac:dyDescent="0.25">
      <c r="A65" s="821"/>
      <c r="B65" s="821"/>
      <c r="C65" s="821"/>
      <c r="D65" s="822" t="s">
        <v>2048</v>
      </c>
      <c r="E65" s="823">
        <v>456530.52379230293</v>
      </c>
      <c r="F65" s="823">
        <v>20853.843504393688</v>
      </c>
      <c r="G65" s="823">
        <v>20853.843504393688</v>
      </c>
      <c r="H65" s="823">
        <v>20853.843504393688</v>
      </c>
      <c r="I65" s="823">
        <v>20853.843504393688</v>
      </c>
      <c r="J65" s="823">
        <v>20853.843504393688</v>
      </c>
      <c r="K65" s="823">
        <v>20853.843504393688</v>
      </c>
      <c r="L65" s="823">
        <v>20853.843504393688</v>
      </c>
      <c r="M65" s="823">
        <v>20853.843504393688</v>
      </c>
      <c r="N65" s="823">
        <v>20853.843504393688</v>
      </c>
      <c r="O65" s="823">
        <v>20853.843504393688</v>
      </c>
      <c r="P65" s="823">
        <v>20853.843504393688</v>
      </c>
      <c r="Q65" s="823">
        <v>20853.843504393688</v>
      </c>
      <c r="R65" s="823">
        <v>20853.843504393688</v>
      </c>
      <c r="S65" s="823">
        <v>20853.843504393688</v>
      </c>
      <c r="T65" s="823">
        <v>20853.843504393688</v>
      </c>
      <c r="U65" s="823">
        <v>20853.843504393688</v>
      </c>
      <c r="V65" s="823">
        <v>43498.413591525859</v>
      </c>
    </row>
  </sheetData>
  <mergeCells count="16">
    <mergeCell ref="B31:B33"/>
    <mergeCell ref="A34:B37"/>
    <mergeCell ref="C34:C37"/>
    <mergeCell ref="D34:D37"/>
    <mergeCell ref="B13:B15"/>
    <mergeCell ref="B16:B18"/>
    <mergeCell ref="B19:B21"/>
    <mergeCell ref="B22:B24"/>
    <mergeCell ref="B25:B27"/>
    <mergeCell ref="B28:B30"/>
    <mergeCell ref="B10:B12"/>
    <mergeCell ref="A5:A6"/>
    <mergeCell ref="B5:B6"/>
    <mergeCell ref="C5:C6"/>
    <mergeCell ref="D5:D6"/>
    <mergeCell ref="B7:B9"/>
  </mergeCells>
  <conditionalFormatting sqref="E8:L8 E11:L11 E14:L14 E17:L17 E20:L20 E32:L32 S32:V32 S20:V20 S17:V17 S14:V14 S11:V11 S8:V8">
    <cfRule type="expression" dxfId="273" priority="8">
      <formula>AND(E7&lt;&gt;"",E7&lt;&gt;0)</formula>
    </cfRule>
  </conditionalFormatting>
  <conditionalFormatting sqref="E29:L29 S29:V29">
    <cfRule type="expression" dxfId="272" priority="7">
      <formula>AND(E28&lt;&gt;"",E28&lt;&gt;0)</formula>
    </cfRule>
  </conditionalFormatting>
  <conditionalFormatting sqref="E26:L26 S26:V26">
    <cfRule type="expression" dxfId="271" priority="6">
      <formula>AND(E25&lt;&gt;"",E25&lt;&gt;0)</formula>
    </cfRule>
  </conditionalFormatting>
  <conditionalFormatting sqref="E23:L23 S23:V23">
    <cfRule type="expression" dxfId="270" priority="5">
      <formula>AND(E22&lt;&gt;"",E22&lt;&gt;0)</formula>
    </cfRule>
  </conditionalFormatting>
  <conditionalFormatting sqref="M8:R8 M11:R11 M14:R14 M17:R17 M20:R20 M32:R32">
    <cfRule type="expression" dxfId="269" priority="4">
      <formula>AND(M7&lt;&gt;"",M7&lt;&gt;0)</formula>
    </cfRule>
  </conditionalFormatting>
  <conditionalFormatting sqref="M29:R29">
    <cfRule type="expression" dxfId="268" priority="3">
      <formula>AND(M28&lt;&gt;"",M28&lt;&gt;0)</formula>
    </cfRule>
  </conditionalFormatting>
  <conditionalFormatting sqref="M26:R26">
    <cfRule type="expression" dxfId="267" priority="2">
      <formula>AND(M25&lt;&gt;"",M25&lt;&gt;0)</formula>
    </cfRule>
  </conditionalFormatting>
  <conditionalFormatting sqref="M23:R23">
    <cfRule type="expression" dxfId="266" priority="1">
      <formula>AND(M22&lt;&gt;"",M22&lt;&gt;0)</formula>
    </cfRule>
  </conditionalFormatting>
  <pageMargins left="0.511811024" right="0.511811024" top="0.78740157499999996" bottom="0.78740157499999996" header="0.31496062000000002" footer="0.31496062000000002"/>
  <pageSetup paperSize="9" scale="45"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F463C-28B0-46B5-B21B-67C6929B2864}">
  <sheetPr filterMode="1">
    <tabColor rgb="FF002060"/>
    <pageSetUpPr fitToPage="1"/>
  </sheetPr>
  <dimension ref="A1:AA291"/>
  <sheetViews>
    <sheetView showGridLines="0" topLeftCell="C1" workbookViewId="0">
      <pane ySplit="6" topLeftCell="A215" activePane="bottomLeft" state="frozen"/>
      <selection activeCell="P26" sqref="P26"/>
      <selection pane="bottomLeft" activeCell="Z273" sqref="Z273"/>
    </sheetView>
  </sheetViews>
  <sheetFormatPr defaultColWidth="9.140625" defaultRowHeight="15" x14ac:dyDescent="0.25"/>
  <cols>
    <col min="1" max="1" width="17.7109375" style="86" customWidth="1"/>
    <col min="2" max="2" width="50.7109375" style="45" customWidth="1"/>
    <col min="3" max="3" width="10.7109375" style="86" customWidth="1"/>
    <col min="4" max="5" width="12.7109375" style="80" customWidth="1"/>
    <col min="6" max="6" width="15.7109375" style="80" customWidth="1"/>
    <col min="7" max="8" width="13.7109375" style="87" customWidth="1"/>
    <col min="9" max="9" width="7.85546875" style="46" bestFit="1" customWidth="1"/>
    <col min="10" max="11" width="1.7109375" style="46" customWidth="1"/>
    <col min="12" max="12" width="9.7109375" style="278" customWidth="1"/>
    <col min="13" max="13" width="9.7109375" style="365" customWidth="1"/>
    <col min="14" max="22" width="9.7109375" style="278" customWidth="1"/>
    <col min="23" max="24" width="9.7109375" style="709" customWidth="1"/>
    <col min="25" max="25" width="9.140625" style="45"/>
    <col min="26" max="27" width="12.7109375" style="1916" customWidth="1"/>
    <col min="28" max="16384" width="9.140625" style="45"/>
  </cols>
  <sheetData>
    <row r="1" spans="1:27" ht="18.75" x14ac:dyDescent="0.25">
      <c r="A1" s="94" t="s">
        <v>152</v>
      </c>
      <c r="B1" s="94"/>
      <c r="C1" s="94"/>
      <c r="D1" s="95"/>
      <c r="E1" s="95"/>
      <c r="F1" s="95"/>
      <c r="G1" s="96"/>
      <c r="H1" s="96"/>
      <c r="J1" s="364"/>
    </row>
    <row r="2" spans="1:27" x14ac:dyDescent="0.25">
      <c r="A2" s="86" t="s">
        <v>153</v>
      </c>
      <c r="B2" s="82" t="s">
        <v>3501</v>
      </c>
      <c r="G2" s="112"/>
      <c r="H2" s="98"/>
    </row>
    <row r="3" spans="1:27" x14ac:dyDescent="0.25">
      <c r="A3" s="86" t="s">
        <v>154</v>
      </c>
      <c r="B3" s="82" t="s">
        <v>1527</v>
      </c>
      <c r="G3" s="112" t="str">
        <f>"Data base dos custos unitários "&amp;'PSP-RESUMO'!$C$3&amp;": "</f>
        <v xml:space="preserve">Data base dos custos unitários ENCARGOS SOCIAIS SEM DESONERAÇÃO: </v>
      </c>
      <c r="H3" s="98" t="str">
        <f>'PSP-RESUMO'!$D$18</f>
        <v>JUNHO/2021</v>
      </c>
      <c r="J3" s="363"/>
      <c r="L3" s="371" t="s">
        <v>1091</v>
      </c>
      <c r="M3" s="382"/>
      <c r="N3" s="371"/>
      <c r="O3" s="371"/>
      <c r="P3" s="371"/>
      <c r="Q3" s="371"/>
      <c r="R3" s="371"/>
      <c r="S3" s="371"/>
      <c r="T3" s="371"/>
      <c r="U3" s="371"/>
      <c r="V3" s="371"/>
      <c r="W3" s="710"/>
      <c r="X3" s="710"/>
      <c r="Z3" s="1997" t="s">
        <v>4139</v>
      </c>
      <c r="AA3" s="1997"/>
    </row>
    <row r="4" spans="1:27" x14ac:dyDescent="0.25">
      <c r="A4" s="86" t="s">
        <v>155</v>
      </c>
      <c r="B4" s="82" t="s">
        <v>1528</v>
      </c>
      <c r="G4" s="112" t="s">
        <v>156</v>
      </c>
      <c r="H4" s="97" t="str">
        <f>'PSP-RESUMO'!$D$4</f>
        <v>28/JAN/2022</v>
      </c>
      <c r="J4" s="363"/>
      <c r="L4" s="371" t="s">
        <v>1092</v>
      </c>
      <c r="M4" s="382"/>
      <c r="N4" s="371"/>
      <c r="O4" s="371"/>
      <c r="P4" s="371"/>
      <c r="Q4" s="371"/>
      <c r="R4" s="371"/>
      <c r="S4" s="371"/>
      <c r="T4" s="371"/>
      <c r="U4" s="371"/>
      <c r="V4" s="1996" t="s">
        <v>1093</v>
      </c>
      <c r="W4" s="710" t="s">
        <v>1095</v>
      </c>
      <c r="X4" s="710"/>
      <c r="Z4" s="1997"/>
      <c r="AA4" s="1997"/>
    </row>
    <row r="5" spans="1:27" ht="30" x14ac:dyDescent="0.25">
      <c r="A5" s="89" t="s">
        <v>148</v>
      </c>
      <c r="B5" s="90" t="s">
        <v>144</v>
      </c>
      <c r="C5" s="90" t="s">
        <v>1</v>
      </c>
      <c r="D5" s="91" t="s">
        <v>149</v>
      </c>
      <c r="E5" s="91" t="s">
        <v>1526</v>
      </c>
      <c r="F5" s="91" t="s">
        <v>1524</v>
      </c>
      <c r="G5" s="92" t="s">
        <v>150</v>
      </c>
      <c r="H5" s="93" t="s">
        <v>151</v>
      </c>
      <c r="L5" s="706" t="s">
        <v>1546</v>
      </c>
      <c r="M5" s="707" t="s">
        <v>1547</v>
      </c>
      <c r="N5" s="708" t="s">
        <v>1548</v>
      </c>
      <c r="O5" s="706" t="s">
        <v>1549</v>
      </c>
      <c r="P5" s="706" t="s">
        <v>1550</v>
      </c>
      <c r="Q5" s="706" t="s">
        <v>3441</v>
      </c>
      <c r="R5" s="706" t="s">
        <v>3442</v>
      </c>
      <c r="S5" s="706" t="s">
        <v>3443</v>
      </c>
      <c r="T5" s="706" t="s">
        <v>3444</v>
      </c>
      <c r="U5" s="706"/>
      <c r="V5" s="1996"/>
      <c r="W5" s="711" t="s">
        <v>1094</v>
      </c>
      <c r="X5" s="711" t="s">
        <v>17</v>
      </c>
      <c r="Z5" s="1918" t="s">
        <v>1094</v>
      </c>
      <c r="AA5" s="1918" t="s">
        <v>17</v>
      </c>
    </row>
    <row r="6" spans="1:27" s="88" customFormat="1" ht="25.5" x14ac:dyDescent="0.25">
      <c r="A6" s="1709">
        <v>92405</v>
      </c>
      <c r="B6" s="1710" t="s">
        <v>574</v>
      </c>
      <c r="C6" s="1711" t="s">
        <v>51</v>
      </c>
      <c r="D6" s="1712">
        <v>84042.829000000012</v>
      </c>
      <c r="E6" s="1712">
        <v>91.274202521265622</v>
      </c>
      <c r="F6" s="1712">
        <v>7670942.1946060965</v>
      </c>
      <c r="G6" s="1713">
        <v>0.14887573914835248</v>
      </c>
      <c r="H6" s="1714">
        <v>0.14887573914835248</v>
      </c>
      <c r="I6" s="719" t="s">
        <v>1484</v>
      </c>
      <c r="J6" s="366"/>
      <c r="K6" s="360"/>
      <c r="L6" s="715">
        <v>0</v>
      </c>
      <c r="M6" s="715">
        <v>0</v>
      </c>
      <c r="N6" s="715">
        <v>0</v>
      </c>
      <c r="O6" s="715">
        <v>0</v>
      </c>
      <c r="P6" s="715">
        <v>0</v>
      </c>
      <c r="Q6" s="715">
        <v>84042.829000000012</v>
      </c>
      <c r="R6" s="715">
        <v>0</v>
      </c>
      <c r="S6" s="715">
        <v>0</v>
      </c>
      <c r="T6" s="715">
        <v>0</v>
      </c>
      <c r="U6" s="715"/>
      <c r="V6" s="715">
        <v>84042.829000000012</v>
      </c>
      <c r="W6" s="716">
        <v>0.61599999999999999</v>
      </c>
      <c r="X6" s="716">
        <v>51770.382664000004</v>
      </c>
      <c r="Z6" s="1917">
        <v>0</v>
      </c>
      <c r="AA6" s="1917">
        <v>0</v>
      </c>
    </row>
    <row r="7" spans="1:27" s="88" customFormat="1" ht="38.25" x14ac:dyDescent="0.25">
      <c r="A7" s="1715" t="s">
        <v>3719</v>
      </c>
      <c r="B7" s="1716" t="s">
        <v>4138</v>
      </c>
      <c r="C7" s="1717" t="s">
        <v>22</v>
      </c>
      <c r="D7" s="1718">
        <v>988</v>
      </c>
      <c r="E7" s="1718">
        <v>3560.8254770239691</v>
      </c>
      <c r="F7" s="1718">
        <v>3518095.5712996814</v>
      </c>
      <c r="G7" s="1719">
        <v>6.8278324263748483E-2</v>
      </c>
      <c r="H7" s="1720">
        <v>0.21715406341210097</v>
      </c>
      <c r="I7" s="719" t="s">
        <v>396</v>
      </c>
      <c r="J7" s="366"/>
      <c r="K7" s="360"/>
      <c r="L7" s="715">
        <v>0</v>
      </c>
      <c r="M7" s="715">
        <v>0</v>
      </c>
      <c r="N7" s="715">
        <v>0</v>
      </c>
      <c r="O7" s="715">
        <v>0</v>
      </c>
      <c r="P7" s="715">
        <v>0</v>
      </c>
      <c r="Q7" s="715">
        <v>0</v>
      </c>
      <c r="R7" s="715">
        <v>988</v>
      </c>
      <c r="S7" s="715">
        <v>0</v>
      </c>
      <c r="T7" s="715">
        <v>0</v>
      </c>
      <c r="U7" s="715"/>
      <c r="V7" s="715">
        <v>988</v>
      </c>
      <c r="W7" s="716">
        <v>5.6664786599999992</v>
      </c>
      <c r="X7" s="716">
        <v>5598.4809160799996</v>
      </c>
      <c r="Z7" s="1917">
        <v>0</v>
      </c>
      <c r="AA7" s="1917">
        <v>0</v>
      </c>
    </row>
    <row r="8" spans="1:27" s="88" customFormat="1" ht="38.25" x14ac:dyDescent="0.25">
      <c r="A8" s="1715">
        <v>95879</v>
      </c>
      <c r="B8" s="1716" t="s">
        <v>789</v>
      </c>
      <c r="C8" s="1717" t="s">
        <v>42</v>
      </c>
      <c r="D8" s="1718">
        <v>2686926.1832540394</v>
      </c>
      <c r="E8" s="1718">
        <v>1.2514854399751647</v>
      </c>
      <c r="F8" s="1718">
        <v>3362648.9966304717</v>
      </c>
      <c r="G8" s="1719">
        <v>6.5261455785945208E-2</v>
      </c>
      <c r="H8" s="1720">
        <v>0.28241551919804619</v>
      </c>
      <c r="I8" s="1869">
        <v>98458</v>
      </c>
      <c r="J8" s="367"/>
      <c r="K8" s="360"/>
      <c r="L8" s="715">
        <v>130719.99971249999</v>
      </c>
      <c r="M8" s="715">
        <v>0</v>
      </c>
      <c r="N8" s="715">
        <v>183054.57350400003</v>
      </c>
      <c r="O8" s="715">
        <v>1188581.1148924804</v>
      </c>
      <c r="P8" s="715">
        <v>962896.33747822675</v>
      </c>
      <c r="Q8" s="715">
        <v>0</v>
      </c>
      <c r="R8" s="715">
        <v>221674.15766683224</v>
      </c>
      <c r="S8" s="715">
        <v>0</v>
      </c>
      <c r="T8" s="715">
        <v>0</v>
      </c>
      <c r="U8" s="715"/>
      <c r="V8" s="715">
        <v>2686926.1832540394</v>
      </c>
      <c r="W8" s="716">
        <v>5.7000000000000002E-3</v>
      </c>
      <c r="X8" s="716">
        <v>15315.479244548025</v>
      </c>
      <c r="Z8" s="1917">
        <v>0</v>
      </c>
      <c r="AA8" s="1917">
        <v>0</v>
      </c>
    </row>
    <row r="9" spans="1:27" s="88" customFormat="1" ht="63.75" x14ac:dyDescent="0.25">
      <c r="A9" s="1715">
        <v>94273</v>
      </c>
      <c r="B9" s="1716" t="s">
        <v>514</v>
      </c>
      <c r="C9" s="1717" t="s">
        <v>22</v>
      </c>
      <c r="D9" s="1718">
        <v>39273.376000000004</v>
      </c>
      <c r="E9" s="1718">
        <v>60.781278435716899</v>
      </c>
      <c r="F9" s="1718">
        <v>2387086.001766602</v>
      </c>
      <c r="G9" s="1719">
        <v>4.6327971702560464E-2</v>
      </c>
      <c r="H9" s="1720">
        <v>0.32874349090060667</v>
      </c>
      <c r="I9" s="719" t="s">
        <v>463</v>
      </c>
      <c r="J9" s="367"/>
      <c r="K9" s="360"/>
      <c r="L9" s="715">
        <v>0</v>
      </c>
      <c r="M9" s="715">
        <v>0</v>
      </c>
      <c r="N9" s="715">
        <v>0</v>
      </c>
      <c r="O9" s="715">
        <v>0</v>
      </c>
      <c r="P9" s="715">
        <v>0</v>
      </c>
      <c r="Q9" s="715">
        <v>39273.376000000004</v>
      </c>
      <c r="R9" s="715">
        <v>0</v>
      </c>
      <c r="S9" s="715">
        <v>0</v>
      </c>
      <c r="T9" s="715">
        <v>0</v>
      </c>
      <c r="U9" s="715"/>
      <c r="V9" s="715">
        <v>39273.376000000004</v>
      </c>
      <c r="W9" s="716">
        <v>0.80514000000000008</v>
      </c>
      <c r="X9" s="716">
        <v>31620.565952640005</v>
      </c>
      <c r="Z9" s="1917">
        <v>0</v>
      </c>
      <c r="AA9" s="1917">
        <v>0</v>
      </c>
    </row>
    <row r="10" spans="1:27" s="88" customFormat="1" x14ac:dyDescent="0.25">
      <c r="A10" s="1715" t="s">
        <v>2336</v>
      </c>
      <c r="B10" s="1716" t="s">
        <v>2354</v>
      </c>
      <c r="C10" s="1717" t="s">
        <v>22</v>
      </c>
      <c r="D10" s="1718">
        <v>8392.630000000001</v>
      </c>
      <c r="E10" s="1718">
        <v>190.76181130447659</v>
      </c>
      <c r="F10" s="1718">
        <v>1600993.3004082895</v>
      </c>
      <c r="G10" s="1719">
        <v>3.1071679973998768E-2</v>
      </c>
      <c r="H10" s="1720">
        <v>0.35981517087460546</v>
      </c>
      <c r="I10" s="719" t="s">
        <v>463</v>
      </c>
      <c r="J10" s="367"/>
      <c r="K10" s="360"/>
      <c r="L10" s="715">
        <v>0</v>
      </c>
      <c r="M10" s="715">
        <v>0</v>
      </c>
      <c r="N10" s="715">
        <v>0</v>
      </c>
      <c r="O10" s="715">
        <v>8392.630000000001</v>
      </c>
      <c r="P10" s="715">
        <v>0</v>
      </c>
      <c r="Q10" s="715">
        <v>0</v>
      </c>
      <c r="R10" s="715">
        <v>0</v>
      </c>
      <c r="S10" s="715">
        <v>0</v>
      </c>
      <c r="T10" s="715">
        <v>0</v>
      </c>
      <c r="U10" s="715"/>
      <c r="V10" s="715">
        <v>8392.630000000001</v>
      </c>
      <c r="W10" s="716">
        <v>0</v>
      </c>
      <c r="X10" s="716">
        <v>0</v>
      </c>
      <c r="Z10" s="1917">
        <v>0</v>
      </c>
      <c r="AA10" s="1917">
        <v>0</v>
      </c>
    </row>
    <row r="11" spans="1:27" s="88" customFormat="1" ht="38.25" x14ac:dyDescent="0.25">
      <c r="A11" s="1715">
        <v>101578</v>
      </c>
      <c r="B11" s="1716" t="s">
        <v>1156</v>
      </c>
      <c r="C11" s="1717" t="s">
        <v>51</v>
      </c>
      <c r="D11" s="1718">
        <v>38616.797519999993</v>
      </c>
      <c r="E11" s="1718">
        <v>35.908005316210499</v>
      </c>
      <c r="F11" s="1718">
        <v>1386652.1706431841</v>
      </c>
      <c r="G11" s="1719">
        <v>2.6911800611837629E-2</v>
      </c>
      <c r="H11" s="1720">
        <v>0.38672697148644308</v>
      </c>
      <c r="I11" s="719" t="s">
        <v>463</v>
      </c>
      <c r="J11" s="367"/>
      <c r="K11" s="368"/>
      <c r="L11" s="715">
        <v>0</v>
      </c>
      <c r="M11" s="715">
        <v>0</v>
      </c>
      <c r="N11" s="715">
        <v>0</v>
      </c>
      <c r="O11" s="715">
        <v>38616.797519999993</v>
      </c>
      <c r="P11" s="715">
        <v>0</v>
      </c>
      <c r="Q11" s="715">
        <v>0</v>
      </c>
      <c r="R11" s="715">
        <v>0</v>
      </c>
      <c r="S11" s="715">
        <v>0</v>
      </c>
      <c r="T11" s="715">
        <v>0</v>
      </c>
      <c r="U11" s="715"/>
      <c r="V11" s="715">
        <v>38616.797519999993</v>
      </c>
      <c r="W11" s="716">
        <v>0.63190000000000002</v>
      </c>
      <c r="X11" s="716">
        <v>24401.954352887995</v>
      </c>
      <c r="Z11" s="1917">
        <v>0</v>
      </c>
      <c r="AA11" s="1917">
        <v>0</v>
      </c>
    </row>
    <row r="12" spans="1:27" s="88" customFormat="1" x14ac:dyDescent="0.25">
      <c r="A12" s="1715" t="s">
        <v>3333</v>
      </c>
      <c r="B12" s="1716" t="s">
        <v>3334</v>
      </c>
      <c r="C12" s="1717" t="s">
        <v>55</v>
      </c>
      <c r="D12" s="1718">
        <v>237.4675916235168</v>
      </c>
      <c r="E12" s="1718">
        <v>4772.2781947120848</v>
      </c>
      <c r="F12" s="1718">
        <v>1133261.4094557033</v>
      </c>
      <c r="G12" s="1719">
        <v>2.1994055710608192E-2</v>
      </c>
      <c r="H12" s="1720">
        <v>0.40872102719705128</v>
      </c>
      <c r="I12" s="719" t="s">
        <v>325</v>
      </c>
      <c r="J12" s="366"/>
      <c r="K12" s="368"/>
      <c r="L12" s="715">
        <v>0</v>
      </c>
      <c r="M12" s="715">
        <v>0</v>
      </c>
      <c r="N12" s="715">
        <v>0</v>
      </c>
      <c r="O12" s="715">
        <v>0</v>
      </c>
      <c r="P12" s="715">
        <v>0</v>
      </c>
      <c r="Q12" s="715">
        <v>237.4675916235168</v>
      </c>
      <c r="R12" s="715">
        <v>0</v>
      </c>
      <c r="S12" s="715">
        <v>0</v>
      </c>
      <c r="T12" s="715">
        <v>0</v>
      </c>
      <c r="U12" s="715"/>
      <c r="V12" s="715">
        <v>237.4675916235168</v>
      </c>
      <c r="W12" s="716">
        <v>0</v>
      </c>
      <c r="X12" s="716">
        <v>0</v>
      </c>
      <c r="Z12" s="1917">
        <v>0</v>
      </c>
      <c r="AA12" s="1917">
        <v>0</v>
      </c>
    </row>
    <row r="13" spans="1:27" s="88" customFormat="1" x14ac:dyDescent="0.25">
      <c r="A13" s="1715">
        <v>98509</v>
      </c>
      <c r="B13" s="1716" t="s">
        <v>624</v>
      </c>
      <c r="C13" s="1717" t="s">
        <v>41</v>
      </c>
      <c r="D13" s="1718">
        <v>23380</v>
      </c>
      <c r="E13" s="1718">
        <v>45.294146116024237</v>
      </c>
      <c r="F13" s="1718">
        <v>1058977.1361926466</v>
      </c>
      <c r="G13" s="1719">
        <v>2.0552365001882462E-2</v>
      </c>
      <c r="H13" s="1720">
        <v>0.42927339219893373</v>
      </c>
      <c r="I13" s="719" t="s">
        <v>463</v>
      </c>
      <c r="J13" s="367"/>
      <c r="K13" s="360"/>
      <c r="L13" s="715">
        <v>0</v>
      </c>
      <c r="M13" s="715">
        <v>0</v>
      </c>
      <c r="N13" s="715">
        <v>0</v>
      </c>
      <c r="O13" s="715">
        <v>23380</v>
      </c>
      <c r="P13" s="715">
        <v>0</v>
      </c>
      <c r="Q13" s="715">
        <v>0</v>
      </c>
      <c r="R13" s="715">
        <v>0</v>
      </c>
      <c r="S13" s="715">
        <v>0</v>
      </c>
      <c r="T13" s="715">
        <v>0</v>
      </c>
      <c r="U13" s="715"/>
      <c r="V13" s="715">
        <v>23380</v>
      </c>
      <c r="W13" s="716">
        <v>0.1273</v>
      </c>
      <c r="X13" s="716">
        <v>2976.2739999999999</v>
      </c>
      <c r="Z13" s="1917">
        <v>0</v>
      </c>
      <c r="AA13" s="1917">
        <v>0</v>
      </c>
    </row>
    <row r="14" spans="1:27" s="88" customFormat="1" ht="38.25" x14ac:dyDescent="0.25">
      <c r="A14" s="1715" t="s">
        <v>3844</v>
      </c>
      <c r="B14" s="1716" t="s">
        <v>3852</v>
      </c>
      <c r="C14" s="1717" t="s">
        <v>41</v>
      </c>
      <c r="D14" s="1718">
        <v>97</v>
      </c>
      <c r="E14" s="1718">
        <v>9957.0498416628998</v>
      </c>
      <c r="F14" s="1718">
        <v>965833.83464130131</v>
      </c>
      <c r="G14" s="1719">
        <v>1.8744662960414209E-2</v>
      </c>
      <c r="H14" s="1720">
        <v>0.44801805515934795</v>
      </c>
      <c r="I14" s="719" t="s">
        <v>463</v>
      </c>
      <c r="J14" s="367"/>
      <c r="K14" s="360"/>
      <c r="L14" s="715">
        <v>0</v>
      </c>
      <c r="M14" s="715">
        <v>0</v>
      </c>
      <c r="N14" s="715">
        <v>0</v>
      </c>
      <c r="O14" s="715">
        <v>97</v>
      </c>
      <c r="P14" s="715">
        <v>0</v>
      </c>
      <c r="Q14" s="715">
        <v>0</v>
      </c>
      <c r="R14" s="715">
        <v>0</v>
      </c>
      <c r="S14" s="715">
        <v>0</v>
      </c>
      <c r="T14" s="715">
        <v>0</v>
      </c>
      <c r="U14" s="715"/>
      <c r="V14" s="715">
        <v>97</v>
      </c>
      <c r="W14" s="716">
        <v>89.910878100000005</v>
      </c>
      <c r="X14" s="716">
        <v>8721.3551757000005</v>
      </c>
      <c r="Z14" s="1917">
        <v>0</v>
      </c>
      <c r="AA14" s="1917">
        <v>0</v>
      </c>
    </row>
    <row r="15" spans="1:27" s="88" customFormat="1" ht="51" x14ac:dyDescent="0.25">
      <c r="A15" s="1715">
        <v>101145</v>
      </c>
      <c r="B15" s="1716" t="s">
        <v>1081</v>
      </c>
      <c r="C15" s="1717" t="s">
        <v>44</v>
      </c>
      <c r="D15" s="1718">
        <v>68809.73000000001</v>
      </c>
      <c r="E15" s="1718">
        <v>12.936027384358676</v>
      </c>
      <c r="F15" s="1718">
        <v>890124.55159032682</v>
      </c>
      <c r="G15" s="1719">
        <v>1.7275316015976122E-2</v>
      </c>
      <c r="H15" s="1720">
        <v>0.4652933711753241</v>
      </c>
      <c r="I15" s="719" t="s">
        <v>463</v>
      </c>
      <c r="J15" s="367"/>
      <c r="K15" s="360"/>
      <c r="L15" s="715">
        <v>0</v>
      </c>
      <c r="M15" s="715">
        <v>0</v>
      </c>
      <c r="N15" s="715">
        <v>0</v>
      </c>
      <c r="O15" s="715">
        <v>58647.05</v>
      </c>
      <c r="P15" s="715">
        <v>0</v>
      </c>
      <c r="Q15" s="715">
        <v>0</v>
      </c>
      <c r="R15" s="715">
        <v>10162.68</v>
      </c>
      <c r="S15" s="715">
        <v>0</v>
      </c>
      <c r="T15" s="715">
        <v>0</v>
      </c>
      <c r="U15" s="715"/>
      <c r="V15" s="715">
        <v>68809.73000000001</v>
      </c>
      <c r="W15" s="716">
        <v>4.2599999999999999E-2</v>
      </c>
      <c r="X15" s="716">
        <v>2931.2944980000002</v>
      </c>
      <c r="Z15" s="1917">
        <v>0</v>
      </c>
      <c r="AA15" s="1917">
        <v>0</v>
      </c>
    </row>
    <row r="16" spans="1:27" s="88" customFormat="1" ht="38.25" x14ac:dyDescent="0.25">
      <c r="A16" s="1715" t="s">
        <v>977</v>
      </c>
      <c r="B16" s="1716" t="s">
        <v>3339</v>
      </c>
      <c r="C16" s="1717" t="s">
        <v>44</v>
      </c>
      <c r="D16" s="1718">
        <v>1642.21876</v>
      </c>
      <c r="E16" s="1718">
        <v>529.31914592616101</v>
      </c>
      <c r="F16" s="1718">
        <v>869257.83146711916</v>
      </c>
      <c r="G16" s="1719">
        <v>1.6870339899205389E-2</v>
      </c>
      <c r="H16" s="1720">
        <v>0.48216371107452949</v>
      </c>
      <c r="I16" s="719" t="s">
        <v>259</v>
      </c>
      <c r="J16" s="366"/>
      <c r="K16" s="360"/>
      <c r="L16" s="715">
        <v>0</v>
      </c>
      <c r="M16" s="715">
        <v>0</v>
      </c>
      <c r="N16" s="715">
        <v>0</v>
      </c>
      <c r="O16" s="715">
        <v>0</v>
      </c>
      <c r="P16" s="715">
        <v>0</v>
      </c>
      <c r="Q16" s="715">
        <v>1642.21876</v>
      </c>
      <c r="R16" s="715">
        <v>0</v>
      </c>
      <c r="S16" s="715">
        <v>0</v>
      </c>
      <c r="T16" s="715">
        <v>0</v>
      </c>
      <c r="U16" s="715"/>
      <c r="V16" s="715">
        <v>1642.21876</v>
      </c>
      <c r="W16" s="716">
        <v>1.9270428000000002</v>
      </c>
      <c r="X16" s="716">
        <v>3164.6258374829281</v>
      </c>
      <c r="Z16" s="1917">
        <v>0</v>
      </c>
      <c r="AA16" s="1917">
        <v>0</v>
      </c>
    </row>
    <row r="17" spans="1:27" s="88" customFormat="1" x14ac:dyDescent="0.25">
      <c r="A17" s="1715" t="s">
        <v>1089</v>
      </c>
      <c r="B17" s="1716" t="s">
        <v>1064</v>
      </c>
      <c r="C17" s="1717" t="s">
        <v>205</v>
      </c>
      <c r="D17" s="1718">
        <v>36</v>
      </c>
      <c r="E17" s="1718">
        <v>23262.117984190681</v>
      </c>
      <c r="F17" s="1718">
        <v>837436.24743086449</v>
      </c>
      <c r="G17" s="1719">
        <v>1.6252754506944182E-2</v>
      </c>
      <c r="H17" s="1720">
        <v>0.49841646558147368</v>
      </c>
      <c r="I17" s="719" t="s">
        <v>463</v>
      </c>
      <c r="J17" s="367"/>
      <c r="K17" s="360"/>
      <c r="L17" s="715">
        <v>0</v>
      </c>
      <c r="M17" s="715">
        <v>36</v>
      </c>
      <c r="N17" s="715">
        <v>0</v>
      </c>
      <c r="O17" s="715">
        <v>0</v>
      </c>
      <c r="P17" s="715">
        <v>0</v>
      </c>
      <c r="Q17" s="715">
        <v>0</v>
      </c>
      <c r="R17" s="715">
        <v>0</v>
      </c>
      <c r="S17" s="715">
        <v>0</v>
      </c>
      <c r="T17" s="715">
        <v>0</v>
      </c>
      <c r="U17" s="715"/>
      <c r="V17" s="715">
        <v>36</v>
      </c>
      <c r="W17" s="716">
        <v>0</v>
      </c>
      <c r="X17" s="716">
        <v>0</v>
      </c>
      <c r="Z17" s="1917">
        <v>0</v>
      </c>
      <c r="AA17" s="1917">
        <v>0</v>
      </c>
    </row>
    <row r="18" spans="1:27" s="88" customFormat="1" x14ac:dyDescent="0.25">
      <c r="A18" s="1715" t="s">
        <v>403</v>
      </c>
      <c r="B18" s="1716" t="s">
        <v>404</v>
      </c>
      <c r="C18" s="1717" t="s">
        <v>205</v>
      </c>
      <c r="D18" s="1718">
        <v>36</v>
      </c>
      <c r="E18" s="1718">
        <v>22692.944812792746</v>
      </c>
      <c r="F18" s="1718">
        <v>816946.01326053892</v>
      </c>
      <c r="G18" s="1719">
        <v>1.5855085135954131E-2</v>
      </c>
      <c r="H18" s="1720">
        <v>0.51427155071742781</v>
      </c>
      <c r="I18" s="719" t="s">
        <v>444</v>
      </c>
      <c r="J18" s="366"/>
      <c r="K18" s="360"/>
      <c r="L18" s="715">
        <v>0</v>
      </c>
      <c r="M18" s="715">
        <v>36</v>
      </c>
      <c r="N18" s="715">
        <v>0</v>
      </c>
      <c r="O18" s="715">
        <v>0</v>
      </c>
      <c r="P18" s="715">
        <v>0</v>
      </c>
      <c r="Q18" s="715">
        <v>0</v>
      </c>
      <c r="R18" s="715">
        <v>0</v>
      </c>
      <c r="S18" s="715">
        <v>0</v>
      </c>
      <c r="T18" s="715">
        <v>0</v>
      </c>
      <c r="U18" s="715"/>
      <c r="V18" s="715">
        <v>36</v>
      </c>
      <c r="W18" s="716">
        <v>0</v>
      </c>
      <c r="X18" s="716">
        <v>0</v>
      </c>
      <c r="Z18" s="1917">
        <v>0</v>
      </c>
      <c r="AA18" s="1917">
        <v>0</v>
      </c>
    </row>
    <row r="19" spans="1:27" s="88" customFormat="1" ht="38.25" x14ac:dyDescent="0.25">
      <c r="A19" s="1715">
        <v>94990</v>
      </c>
      <c r="B19" s="1716" t="s">
        <v>569</v>
      </c>
      <c r="C19" s="1717" t="s">
        <v>44</v>
      </c>
      <c r="D19" s="1718">
        <v>987.01355999999998</v>
      </c>
      <c r="E19" s="1718">
        <v>811.25136943620873</v>
      </c>
      <c r="F19" s="1718">
        <v>800716.10220210755</v>
      </c>
      <c r="G19" s="1719">
        <v>1.5540099056820985E-2</v>
      </c>
      <c r="H19" s="1720">
        <v>0.52981164977424877</v>
      </c>
      <c r="I19" s="719" t="s">
        <v>464</v>
      </c>
      <c r="J19" s="366"/>
      <c r="K19" s="360"/>
      <c r="L19" s="715">
        <v>0</v>
      </c>
      <c r="M19" s="715">
        <v>0</v>
      </c>
      <c r="N19" s="715">
        <v>0</v>
      </c>
      <c r="O19" s="715">
        <v>0</v>
      </c>
      <c r="P19" s="715">
        <v>0</v>
      </c>
      <c r="Q19" s="715">
        <v>0</v>
      </c>
      <c r="R19" s="715">
        <v>4.5</v>
      </c>
      <c r="S19" s="715">
        <v>0</v>
      </c>
      <c r="T19" s="715">
        <v>982.51355999999998</v>
      </c>
      <c r="U19" s="715"/>
      <c r="V19" s="715">
        <v>987.01355999999998</v>
      </c>
      <c r="W19" s="716">
        <v>13.4972727</v>
      </c>
      <c r="X19" s="716">
        <v>13321.991177917811</v>
      </c>
      <c r="Z19" s="1917">
        <v>1.2130000000000001</v>
      </c>
      <c r="AA19" s="1917">
        <v>1197.2474482800001</v>
      </c>
    </row>
    <row r="20" spans="1:27" s="88" customFormat="1" ht="38.25" x14ac:dyDescent="0.25">
      <c r="A20" s="1715" t="s">
        <v>3678</v>
      </c>
      <c r="B20" s="1716" t="s">
        <v>4083</v>
      </c>
      <c r="C20" s="1717" t="s">
        <v>44</v>
      </c>
      <c r="D20" s="1718">
        <v>9974.7624000000014</v>
      </c>
      <c r="E20" s="1718">
        <v>78.838785524848646</v>
      </c>
      <c r="F20" s="1718">
        <v>786398.15351492469</v>
      </c>
      <c r="G20" s="1719">
        <v>1.5262219868083078E-2</v>
      </c>
      <c r="H20" s="1720">
        <v>0.54507386964233184</v>
      </c>
      <c r="I20" s="719" t="s">
        <v>405</v>
      </c>
      <c r="J20" s="367"/>
      <c r="K20" s="360"/>
      <c r="L20" s="715">
        <v>0</v>
      </c>
      <c r="M20" s="715">
        <v>0</v>
      </c>
      <c r="N20" s="715">
        <v>0</v>
      </c>
      <c r="O20" s="715">
        <v>0</v>
      </c>
      <c r="P20" s="715">
        <v>0</v>
      </c>
      <c r="Q20" s="715">
        <v>9974.7624000000014</v>
      </c>
      <c r="R20" s="715">
        <v>0</v>
      </c>
      <c r="S20" s="715">
        <v>0</v>
      </c>
      <c r="T20" s="715">
        <v>0</v>
      </c>
      <c r="U20" s="715"/>
      <c r="V20" s="715">
        <v>9974.7624000000014</v>
      </c>
      <c r="W20" s="716">
        <v>3.3138918345705197E-2</v>
      </c>
      <c r="X20" s="716">
        <v>330.55283669141045</v>
      </c>
      <c r="Z20" s="1917">
        <v>0</v>
      </c>
      <c r="AA20" s="1917">
        <v>0</v>
      </c>
    </row>
    <row r="21" spans="1:27" s="88" customFormat="1" ht="51" x14ac:dyDescent="0.25">
      <c r="A21" s="1715">
        <v>100995</v>
      </c>
      <c r="B21" s="1716" t="s">
        <v>773</v>
      </c>
      <c r="C21" s="1717" t="s">
        <v>55</v>
      </c>
      <c r="D21" s="1718">
        <v>205537.07432626953</v>
      </c>
      <c r="E21" s="1718">
        <v>3.7424228060795794</v>
      </c>
      <c r="F21" s="1718">
        <v>769206.6344535047</v>
      </c>
      <c r="G21" s="1719">
        <v>1.4928571139879708E-2</v>
      </c>
      <c r="H21" s="1720">
        <v>0.56000244078221151</v>
      </c>
      <c r="I21" s="1914">
        <v>100574</v>
      </c>
      <c r="J21" s="366"/>
      <c r="K21" s="360"/>
      <c r="L21" s="715">
        <v>0</v>
      </c>
      <c r="M21" s="715">
        <v>0</v>
      </c>
      <c r="N21" s="715">
        <v>0</v>
      </c>
      <c r="O21" s="715">
        <v>149811.20130160195</v>
      </c>
      <c r="P21" s="715">
        <v>33070.348148646204</v>
      </c>
      <c r="Q21" s="715">
        <v>13619.381540630713</v>
      </c>
      <c r="R21" s="715">
        <v>9036.1433353906687</v>
      </c>
      <c r="S21" s="715">
        <v>0</v>
      </c>
      <c r="T21" s="715">
        <v>0</v>
      </c>
      <c r="U21" s="715"/>
      <c r="V21" s="715">
        <v>205537.07432626953</v>
      </c>
      <c r="W21" s="716">
        <v>2.2000000000000002E-2</v>
      </c>
      <c r="X21" s="716">
        <v>4521.8156351779298</v>
      </c>
      <c r="Z21" s="1917">
        <v>0</v>
      </c>
      <c r="AA21" s="1917">
        <v>0</v>
      </c>
    </row>
    <row r="22" spans="1:27" s="88" customFormat="1" ht="38.25" x14ac:dyDescent="0.25">
      <c r="A22" s="1715">
        <v>92917</v>
      </c>
      <c r="B22" s="1716" t="s">
        <v>508</v>
      </c>
      <c r="C22" s="1717" t="s">
        <v>54</v>
      </c>
      <c r="D22" s="1718">
        <v>35911.599999999999</v>
      </c>
      <c r="E22" s="1718">
        <v>18.507544295017343</v>
      </c>
      <c r="F22" s="1718">
        <v>664635.52770494483</v>
      </c>
      <c r="G22" s="1719">
        <v>1.2899081096049108E-2</v>
      </c>
      <c r="H22" s="1720">
        <v>0.5729015218782606</v>
      </c>
      <c r="I22" s="1896">
        <v>96620</v>
      </c>
      <c r="J22" s="367"/>
      <c r="K22" s="360"/>
      <c r="L22" s="715">
        <v>0</v>
      </c>
      <c r="M22" s="715">
        <v>0</v>
      </c>
      <c r="N22" s="715">
        <v>0</v>
      </c>
      <c r="O22" s="715">
        <v>34633.599999999999</v>
      </c>
      <c r="P22" s="715">
        <v>0</v>
      </c>
      <c r="Q22" s="715">
        <v>0</v>
      </c>
      <c r="R22" s="715">
        <v>1278</v>
      </c>
      <c r="S22" s="715">
        <v>0</v>
      </c>
      <c r="T22" s="715">
        <v>0</v>
      </c>
      <c r="U22" s="715"/>
      <c r="V22" s="715">
        <v>35911.599999999999</v>
      </c>
      <c r="W22" s="716">
        <v>0.1411</v>
      </c>
      <c r="X22" s="716">
        <v>5067.1267600000001</v>
      </c>
      <c r="Z22" s="1917">
        <v>0</v>
      </c>
      <c r="AA22" s="1917">
        <v>0</v>
      </c>
    </row>
    <row r="23" spans="1:27" s="88" customFormat="1" ht="38.25" x14ac:dyDescent="0.25">
      <c r="A23" s="1715">
        <v>101619</v>
      </c>
      <c r="B23" s="1716" t="s">
        <v>1170</v>
      </c>
      <c r="C23" s="1717" t="s">
        <v>44</v>
      </c>
      <c r="D23" s="1718">
        <v>1830.87</v>
      </c>
      <c r="E23" s="1718">
        <v>349.93458263920957</v>
      </c>
      <c r="F23" s="1718">
        <v>640684.72931664961</v>
      </c>
      <c r="G23" s="1719">
        <v>1.243424995499868E-2</v>
      </c>
      <c r="H23" s="1720">
        <v>0.58533577183325924</v>
      </c>
      <c r="I23" s="719" t="s">
        <v>463</v>
      </c>
      <c r="J23" s="367"/>
      <c r="K23" s="360"/>
      <c r="L23" s="715">
        <v>0</v>
      </c>
      <c r="M23" s="715">
        <v>0</v>
      </c>
      <c r="N23" s="715">
        <v>0</v>
      </c>
      <c r="O23" s="715">
        <v>1830.87</v>
      </c>
      <c r="P23" s="715">
        <v>0</v>
      </c>
      <c r="Q23" s="715">
        <v>0</v>
      </c>
      <c r="R23" s="715">
        <v>0</v>
      </c>
      <c r="S23" s="715">
        <v>0</v>
      </c>
      <c r="T23" s="715">
        <v>0</v>
      </c>
      <c r="U23" s="715"/>
      <c r="V23" s="715">
        <v>1830.87</v>
      </c>
      <c r="W23" s="716">
        <v>6.3728999999999996</v>
      </c>
      <c r="X23" s="716">
        <v>11667.951422999999</v>
      </c>
      <c r="Z23" s="1917">
        <v>0</v>
      </c>
      <c r="AA23" s="1917">
        <v>0</v>
      </c>
    </row>
    <row r="24" spans="1:27" s="88" customFormat="1" ht="51" x14ac:dyDescent="0.25">
      <c r="A24" s="1715">
        <v>92811</v>
      </c>
      <c r="B24" s="1716" t="s">
        <v>522</v>
      </c>
      <c r="C24" s="1717" t="s">
        <v>22</v>
      </c>
      <c r="D24" s="1718">
        <v>8988.7999999999993</v>
      </c>
      <c r="E24" s="1718">
        <v>69.589810570926716</v>
      </c>
      <c r="F24" s="1718">
        <v>625528.88925994607</v>
      </c>
      <c r="G24" s="1719">
        <v>1.2140109178857451E-2</v>
      </c>
      <c r="H24" s="1720">
        <v>0.59747588101211668</v>
      </c>
      <c r="I24" s="719" t="s">
        <v>463</v>
      </c>
      <c r="J24" s="367"/>
      <c r="K24" s="360"/>
      <c r="L24" s="715">
        <v>0</v>
      </c>
      <c r="M24" s="715">
        <v>0</v>
      </c>
      <c r="N24" s="715">
        <v>0</v>
      </c>
      <c r="O24" s="715">
        <v>8988.7999999999993</v>
      </c>
      <c r="P24" s="715">
        <v>0</v>
      </c>
      <c r="Q24" s="715">
        <v>0</v>
      </c>
      <c r="R24" s="715">
        <v>0</v>
      </c>
      <c r="S24" s="715">
        <v>0</v>
      </c>
      <c r="T24" s="715">
        <v>0</v>
      </c>
      <c r="U24" s="715"/>
      <c r="V24" s="715">
        <v>8988.7999999999993</v>
      </c>
      <c r="W24" s="716">
        <v>1.8478500000000002</v>
      </c>
      <c r="X24" s="716">
        <v>16609.95408</v>
      </c>
      <c r="Z24" s="1917">
        <v>0</v>
      </c>
      <c r="AA24" s="1917">
        <v>0</v>
      </c>
    </row>
    <row r="25" spans="1:27" s="88" customFormat="1" ht="51" x14ac:dyDescent="0.25">
      <c r="A25" s="1715">
        <v>92756</v>
      </c>
      <c r="B25" s="1716" t="s">
        <v>629</v>
      </c>
      <c r="C25" s="1717" t="s">
        <v>51</v>
      </c>
      <c r="D25" s="1718">
        <v>2065.0700000000002</v>
      </c>
      <c r="E25" s="1718">
        <v>279.00905203138632</v>
      </c>
      <c r="F25" s="1718">
        <v>576173.22307845496</v>
      </c>
      <c r="G25" s="1719">
        <v>1.1182226679221936E-2</v>
      </c>
      <c r="H25" s="1720">
        <v>0.60865810769133866</v>
      </c>
      <c r="I25" s="719" t="s">
        <v>463</v>
      </c>
      <c r="J25" s="367"/>
      <c r="K25" s="360"/>
      <c r="L25" s="715">
        <v>0</v>
      </c>
      <c r="M25" s="715">
        <v>0</v>
      </c>
      <c r="N25" s="715">
        <v>0</v>
      </c>
      <c r="O25" s="715">
        <v>232.77</v>
      </c>
      <c r="P25" s="715">
        <v>0</v>
      </c>
      <c r="Q25" s="715">
        <v>0</v>
      </c>
      <c r="R25" s="715">
        <v>1832.3</v>
      </c>
      <c r="S25" s="715">
        <v>0</v>
      </c>
      <c r="T25" s="715">
        <v>0</v>
      </c>
      <c r="U25" s="715"/>
      <c r="V25" s="715">
        <v>2065.0700000000002</v>
      </c>
      <c r="W25" s="716">
        <v>2.2370000000000001</v>
      </c>
      <c r="X25" s="716">
        <v>4619.5615900000003</v>
      </c>
      <c r="Z25" s="1917">
        <v>0</v>
      </c>
      <c r="AA25" s="1917">
        <v>0</v>
      </c>
    </row>
    <row r="26" spans="1:27" s="88" customFormat="1" ht="38.25" x14ac:dyDescent="0.25">
      <c r="A26" s="1715">
        <v>101579</v>
      </c>
      <c r="B26" s="1716" t="s">
        <v>1155</v>
      </c>
      <c r="C26" s="1717" t="s">
        <v>51</v>
      </c>
      <c r="D26" s="1718">
        <v>12081.408740000003</v>
      </c>
      <c r="E26" s="1718">
        <v>47.087139679065579</v>
      </c>
      <c r="F26" s="1718">
        <v>568878.98086026381</v>
      </c>
      <c r="G26" s="1719">
        <v>1.1040661839569785E-2</v>
      </c>
      <c r="H26" s="1720">
        <v>0.61969876953090841</v>
      </c>
      <c r="I26" s="719" t="s">
        <v>237</v>
      </c>
      <c r="J26" s="367"/>
      <c r="K26" s="360"/>
      <c r="L26" s="715">
        <v>0</v>
      </c>
      <c r="M26" s="715">
        <v>0</v>
      </c>
      <c r="N26" s="715">
        <v>0</v>
      </c>
      <c r="O26" s="715">
        <v>12081.408740000003</v>
      </c>
      <c r="P26" s="715">
        <v>0</v>
      </c>
      <c r="Q26" s="715">
        <v>0</v>
      </c>
      <c r="R26" s="715">
        <v>0</v>
      </c>
      <c r="S26" s="715">
        <v>0</v>
      </c>
      <c r="T26" s="715">
        <v>0</v>
      </c>
      <c r="U26" s="715"/>
      <c r="V26" s="715">
        <v>12081.408740000003</v>
      </c>
      <c r="W26" s="716">
        <v>1.0402</v>
      </c>
      <c r="X26" s="716">
        <v>12567.081371348002</v>
      </c>
      <c r="Z26" s="1917">
        <v>0</v>
      </c>
      <c r="AA26" s="1917">
        <v>0</v>
      </c>
    </row>
    <row r="27" spans="1:27" s="88" customFormat="1" ht="38.25" x14ac:dyDescent="0.25">
      <c r="A27" s="1715">
        <v>101125</v>
      </c>
      <c r="B27" s="1716" t="s">
        <v>1080</v>
      </c>
      <c r="C27" s="1717" t="s">
        <v>44</v>
      </c>
      <c r="D27" s="1718">
        <v>43925.829999999994</v>
      </c>
      <c r="E27" s="1718">
        <v>12.021480332069132</v>
      </c>
      <c r="F27" s="1718">
        <v>528053.50141481217</v>
      </c>
      <c r="G27" s="1719">
        <v>1.0248331083538117E-2</v>
      </c>
      <c r="H27" s="1720">
        <v>0.62994710061444648</v>
      </c>
      <c r="I27" s="719">
        <v>97892</v>
      </c>
      <c r="J27" s="367"/>
      <c r="K27" s="360"/>
      <c r="L27" s="715">
        <v>0</v>
      </c>
      <c r="M27" s="715">
        <v>0</v>
      </c>
      <c r="N27" s="715">
        <v>0</v>
      </c>
      <c r="O27" s="715">
        <v>0</v>
      </c>
      <c r="P27" s="715">
        <v>43925.829999999994</v>
      </c>
      <c r="Q27" s="715">
        <v>0</v>
      </c>
      <c r="R27" s="715">
        <v>0</v>
      </c>
      <c r="S27" s="715">
        <v>0</v>
      </c>
      <c r="T27" s="715">
        <v>0</v>
      </c>
      <c r="U27" s="715"/>
      <c r="V27" s="715">
        <v>43925.829999999994</v>
      </c>
      <c r="W27" s="716">
        <v>4.2599999999999999E-2</v>
      </c>
      <c r="X27" s="716">
        <v>1871.2403579999998</v>
      </c>
      <c r="Z27" s="1917">
        <v>0</v>
      </c>
      <c r="AA27" s="1917">
        <v>0</v>
      </c>
    </row>
    <row r="28" spans="1:27" s="88" customFormat="1" ht="25.5" x14ac:dyDescent="0.25">
      <c r="A28" s="1715">
        <v>93382</v>
      </c>
      <c r="B28" s="1716" t="s">
        <v>40</v>
      </c>
      <c r="C28" s="1717" t="s">
        <v>44</v>
      </c>
      <c r="D28" s="1718">
        <v>16885.906000000006</v>
      </c>
      <c r="E28" s="1718">
        <v>30.192086239400854</v>
      </c>
      <c r="F28" s="1718">
        <v>509820.7301824165</v>
      </c>
      <c r="G28" s="1719">
        <v>9.8944739920514418E-3</v>
      </c>
      <c r="H28" s="1720">
        <v>0.63984157460649793</v>
      </c>
      <c r="I28" s="719" t="s">
        <v>463</v>
      </c>
      <c r="J28" s="367"/>
      <c r="K28" s="360"/>
      <c r="L28" s="715">
        <v>0</v>
      </c>
      <c r="M28" s="715">
        <v>0</v>
      </c>
      <c r="N28" s="715">
        <v>0</v>
      </c>
      <c r="O28" s="715">
        <v>16733.736000000008</v>
      </c>
      <c r="P28" s="715">
        <v>0</v>
      </c>
      <c r="Q28" s="715">
        <v>0</v>
      </c>
      <c r="R28" s="715">
        <v>152.16999999999999</v>
      </c>
      <c r="S28" s="715">
        <v>0</v>
      </c>
      <c r="T28" s="715">
        <v>0</v>
      </c>
      <c r="U28" s="715"/>
      <c r="V28" s="715">
        <v>16885.906000000006</v>
      </c>
      <c r="W28" s="716">
        <v>1.1870000000000001</v>
      </c>
      <c r="X28" s="716">
        <v>20043.570422000008</v>
      </c>
      <c r="Z28" s="1917">
        <v>0</v>
      </c>
      <c r="AA28" s="1917">
        <v>0</v>
      </c>
    </row>
    <row r="29" spans="1:27" s="88" customFormat="1" ht="51" x14ac:dyDescent="0.25">
      <c r="A29" s="1715">
        <v>100954</v>
      </c>
      <c r="B29" s="1716" t="s">
        <v>794</v>
      </c>
      <c r="C29" s="1717" t="s">
        <v>42</v>
      </c>
      <c r="D29" s="1718">
        <v>75426.230953048507</v>
      </c>
      <c r="E29" s="1718">
        <v>6.5101309906400404</v>
      </c>
      <c r="F29" s="1718">
        <v>491034.64363461419</v>
      </c>
      <c r="G29" s="1719">
        <v>9.529878294475257E-3</v>
      </c>
      <c r="H29" s="1720">
        <v>0.6493714529009732</v>
      </c>
      <c r="I29" s="719" t="s">
        <v>442</v>
      </c>
      <c r="J29" s="366"/>
      <c r="K29" s="360"/>
      <c r="L29" s="715">
        <v>0</v>
      </c>
      <c r="M29" s="715">
        <v>0</v>
      </c>
      <c r="N29" s="715">
        <v>22.674026978999997</v>
      </c>
      <c r="O29" s="715">
        <v>75305.456926069499</v>
      </c>
      <c r="P29" s="715">
        <v>0</v>
      </c>
      <c r="Q29" s="715">
        <v>0</v>
      </c>
      <c r="R29" s="715">
        <v>98.100000000000009</v>
      </c>
      <c r="S29" s="715">
        <v>0</v>
      </c>
      <c r="T29" s="715">
        <v>0</v>
      </c>
      <c r="U29" s="715"/>
      <c r="V29" s="715">
        <v>75426.230953048507</v>
      </c>
      <c r="W29" s="716">
        <v>3.9699999999999999E-2</v>
      </c>
      <c r="X29" s="716">
        <v>2994.4213688360255</v>
      </c>
      <c r="Z29" s="1917">
        <v>0</v>
      </c>
      <c r="AA29" s="1917">
        <v>0</v>
      </c>
    </row>
    <row r="30" spans="1:27" s="88" customFormat="1" x14ac:dyDescent="0.25">
      <c r="A30" s="1715" t="s">
        <v>2337</v>
      </c>
      <c r="B30" s="1716" t="s">
        <v>2356</v>
      </c>
      <c r="C30" s="1717" t="s">
        <v>22</v>
      </c>
      <c r="D30" s="1718">
        <v>1370.34</v>
      </c>
      <c r="E30" s="1718">
        <v>317.4011441314276</v>
      </c>
      <c r="F30" s="1718">
        <v>434947.48384906049</v>
      </c>
      <c r="G30" s="1719">
        <v>8.4413526403936175E-3</v>
      </c>
      <c r="H30" s="1720">
        <v>0.65781280554136679</v>
      </c>
      <c r="I30" s="719" t="s">
        <v>463</v>
      </c>
      <c r="J30" s="367"/>
      <c r="K30" s="360"/>
      <c r="L30" s="715">
        <v>0</v>
      </c>
      <c r="M30" s="715">
        <v>0</v>
      </c>
      <c r="N30" s="715">
        <v>0</v>
      </c>
      <c r="O30" s="715">
        <v>1370.34</v>
      </c>
      <c r="P30" s="715">
        <v>0</v>
      </c>
      <c r="Q30" s="715">
        <v>0</v>
      </c>
      <c r="R30" s="715">
        <v>0</v>
      </c>
      <c r="S30" s="715">
        <v>0</v>
      </c>
      <c r="T30" s="715">
        <v>0</v>
      </c>
      <c r="U30" s="715"/>
      <c r="V30" s="715">
        <v>1370.34</v>
      </c>
      <c r="W30" s="716">
        <v>0</v>
      </c>
      <c r="X30" s="716">
        <v>0</v>
      </c>
      <c r="Z30" s="1917">
        <v>0</v>
      </c>
      <c r="AA30" s="1917">
        <v>0</v>
      </c>
    </row>
    <row r="31" spans="1:27" s="88" customFormat="1" ht="38.25" x14ac:dyDescent="0.25">
      <c r="A31" s="1715">
        <v>100947</v>
      </c>
      <c r="B31" s="1716" t="s">
        <v>793</v>
      </c>
      <c r="C31" s="1717" t="s">
        <v>42</v>
      </c>
      <c r="D31" s="1718">
        <v>248376.08448000002</v>
      </c>
      <c r="E31" s="1718">
        <v>1.7207924799658516</v>
      </c>
      <c r="F31" s="1718">
        <v>427403.69837654708</v>
      </c>
      <c r="G31" s="1719">
        <v>8.2949447272970024E-3</v>
      </c>
      <c r="H31" s="1720">
        <v>0.66610775026866376</v>
      </c>
      <c r="I31" s="719" t="s">
        <v>463</v>
      </c>
      <c r="J31" s="367"/>
      <c r="K31" s="360"/>
      <c r="L31" s="715">
        <v>0</v>
      </c>
      <c r="M31" s="715">
        <v>0</v>
      </c>
      <c r="N31" s="715">
        <v>0</v>
      </c>
      <c r="O31" s="715">
        <v>0</v>
      </c>
      <c r="P31" s="715">
        <v>0</v>
      </c>
      <c r="Q31" s="715">
        <v>248376.08448000002</v>
      </c>
      <c r="R31" s="715">
        <v>0</v>
      </c>
      <c r="S31" s="715">
        <v>0</v>
      </c>
      <c r="T31" s="715">
        <v>0</v>
      </c>
      <c r="U31" s="715"/>
      <c r="V31" s="715">
        <v>248376.08448000002</v>
      </c>
      <c r="W31" s="716">
        <v>1.3299999999999999E-2</v>
      </c>
      <c r="X31" s="716">
        <v>3303.4019235840001</v>
      </c>
      <c r="Z31" s="1917">
        <v>0</v>
      </c>
      <c r="AA31" s="1917">
        <v>0</v>
      </c>
    </row>
    <row r="32" spans="1:27" s="88" customFormat="1" x14ac:dyDescent="0.25">
      <c r="A32" s="1715" t="s">
        <v>400</v>
      </c>
      <c r="B32" s="1716" t="s">
        <v>337</v>
      </c>
      <c r="C32" s="1717" t="s">
        <v>205</v>
      </c>
      <c r="D32" s="1718">
        <v>108</v>
      </c>
      <c r="E32" s="1718">
        <v>3928.2202598605081</v>
      </c>
      <c r="F32" s="1718">
        <v>424247.7880649349</v>
      </c>
      <c r="G32" s="1719">
        <v>8.2336956045155098E-3</v>
      </c>
      <c r="H32" s="1720">
        <v>0.67434144587317923</v>
      </c>
      <c r="I32" s="719" t="s">
        <v>463</v>
      </c>
      <c r="J32" s="367"/>
      <c r="K32" s="360"/>
      <c r="L32" s="715">
        <v>0</v>
      </c>
      <c r="M32" s="715">
        <v>108</v>
      </c>
      <c r="N32" s="715">
        <v>0</v>
      </c>
      <c r="O32" s="715">
        <v>0</v>
      </c>
      <c r="P32" s="715">
        <v>0</v>
      </c>
      <c r="Q32" s="715">
        <v>0</v>
      </c>
      <c r="R32" s="715">
        <v>0</v>
      </c>
      <c r="S32" s="715">
        <v>0</v>
      </c>
      <c r="T32" s="715">
        <v>0</v>
      </c>
      <c r="U32" s="715"/>
      <c r="V32" s="715">
        <v>108</v>
      </c>
      <c r="W32" s="716">
        <v>0</v>
      </c>
      <c r="X32" s="716">
        <v>0</v>
      </c>
      <c r="Z32" s="1917">
        <v>0</v>
      </c>
      <c r="AA32" s="1917">
        <v>0</v>
      </c>
    </row>
    <row r="33" spans="1:27" s="88" customFormat="1" ht="38.25" x14ac:dyDescent="0.25">
      <c r="A33" s="1715">
        <v>92924</v>
      </c>
      <c r="B33" s="1716" t="s">
        <v>506</v>
      </c>
      <c r="C33" s="1717" t="s">
        <v>54</v>
      </c>
      <c r="D33" s="1718">
        <v>29225</v>
      </c>
      <c r="E33" s="1718">
        <v>14.452250128943971</v>
      </c>
      <c r="F33" s="1718">
        <v>422367.01001838758</v>
      </c>
      <c r="G33" s="1719">
        <v>8.1971939317417777E-3</v>
      </c>
      <c r="H33" s="1720">
        <v>0.68253863980492102</v>
      </c>
      <c r="I33" s="719" t="s">
        <v>1503</v>
      </c>
      <c r="J33" s="366"/>
      <c r="K33" s="360"/>
      <c r="L33" s="715">
        <v>0</v>
      </c>
      <c r="M33" s="715">
        <v>0</v>
      </c>
      <c r="N33" s="715">
        <v>0</v>
      </c>
      <c r="O33" s="715">
        <v>0</v>
      </c>
      <c r="P33" s="715">
        <v>0</v>
      </c>
      <c r="Q33" s="715">
        <v>0</v>
      </c>
      <c r="R33" s="715">
        <v>29225</v>
      </c>
      <c r="S33" s="715">
        <v>0</v>
      </c>
      <c r="T33" s="715">
        <v>0</v>
      </c>
      <c r="U33" s="715"/>
      <c r="V33" s="715">
        <v>29225</v>
      </c>
      <c r="W33" s="716">
        <v>1.7600000000000001E-2</v>
      </c>
      <c r="X33" s="716">
        <v>514.36</v>
      </c>
      <c r="Z33" s="1917">
        <v>0</v>
      </c>
      <c r="AA33" s="1917">
        <v>0</v>
      </c>
    </row>
    <row r="34" spans="1:27" s="88" customFormat="1" ht="51" x14ac:dyDescent="0.25">
      <c r="A34" s="1715" t="s">
        <v>2387</v>
      </c>
      <c r="B34" s="1716" t="s">
        <v>2412</v>
      </c>
      <c r="C34" s="1717" t="s">
        <v>41</v>
      </c>
      <c r="D34" s="1718">
        <v>289</v>
      </c>
      <c r="E34" s="1718">
        <v>1424.067517577841</v>
      </c>
      <c r="F34" s="1718">
        <v>411555.51257999608</v>
      </c>
      <c r="G34" s="1719">
        <v>7.9873670771511071E-3</v>
      </c>
      <c r="H34" s="1720">
        <v>0.69052600688207211</v>
      </c>
      <c r="I34" s="719" t="s">
        <v>463</v>
      </c>
      <c r="J34" s="367"/>
      <c r="K34" s="360"/>
      <c r="L34" s="715">
        <v>0</v>
      </c>
      <c r="M34" s="715">
        <v>0</v>
      </c>
      <c r="N34" s="715">
        <v>0</v>
      </c>
      <c r="O34" s="715">
        <v>289</v>
      </c>
      <c r="P34" s="715">
        <v>0</v>
      </c>
      <c r="Q34" s="715">
        <v>0</v>
      </c>
      <c r="R34" s="715">
        <v>0</v>
      </c>
      <c r="S34" s="715">
        <v>0</v>
      </c>
      <c r="T34" s="715">
        <v>0</v>
      </c>
      <c r="U34" s="715"/>
      <c r="V34" s="715">
        <v>289</v>
      </c>
      <c r="W34" s="716">
        <v>21.085120768608931</v>
      </c>
      <c r="X34" s="716">
        <v>6093.5999021279813</v>
      </c>
      <c r="Z34" s="1917">
        <v>0.20001100000000002</v>
      </c>
      <c r="AA34" s="1917">
        <v>57.803179000000007</v>
      </c>
    </row>
    <row r="35" spans="1:27" s="88" customFormat="1" ht="51" x14ac:dyDescent="0.25">
      <c r="A35" s="1715">
        <v>92744</v>
      </c>
      <c r="B35" s="1716" t="s">
        <v>611</v>
      </c>
      <c r="C35" s="1717" t="s">
        <v>44</v>
      </c>
      <c r="D35" s="1718">
        <v>594</v>
      </c>
      <c r="E35" s="1718">
        <v>674.23778078662008</v>
      </c>
      <c r="F35" s="1718">
        <v>400497.24178725231</v>
      </c>
      <c r="G35" s="1719">
        <v>7.7727509066460041E-3</v>
      </c>
      <c r="H35" s="1720">
        <v>0.69829875778871808</v>
      </c>
      <c r="I35" s="719" t="s">
        <v>463</v>
      </c>
      <c r="J35" s="367"/>
      <c r="K35" s="360"/>
      <c r="L35" s="715">
        <v>0</v>
      </c>
      <c r="M35" s="715">
        <v>0</v>
      </c>
      <c r="N35" s="715">
        <v>0</v>
      </c>
      <c r="O35" s="715">
        <v>594</v>
      </c>
      <c r="P35" s="715">
        <v>0</v>
      </c>
      <c r="Q35" s="715">
        <v>0</v>
      </c>
      <c r="R35" s="715">
        <v>0</v>
      </c>
      <c r="S35" s="715">
        <v>0</v>
      </c>
      <c r="T35" s="715">
        <v>0</v>
      </c>
      <c r="U35" s="715"/>
      <c r="V35" s="715">
        <v>594</v>
      </c>
      <c r="W35" s="716">
        <v>2.762</v>
      </c>
      <c r="X35" s="716">
        <v>1640.6279999999999</v>
      </c>
      <c r="Z35" s="1917">
        <v>0</v>
      </c>
      <c r="AA35" s="1917">
        <v>0</v>
      </c>
    </row>
    <row r="36" spans="1:27" s="88" customFormat="1" ht="63.75" x14ac:dyDescent="0.25">
      <c r="A36" s="1715">
        <v>92746</v>
      </c>
      <c r="B36" s="1716" t="s">
        <v>610</v>
      </c>
      <c r="C36" s="1717" t="s">
        <v>44</v>
      </c>
      <c r="D36" s="1718">
        <v>493.18</v>
      </c>
      <c r="E36" s="1718">
        <v>786.79926930130944</v>
      </c>
      <c r="F36" s="1718">
        <v>388033.66363401979</v>
      </c>
      <c r="G36" s="1719">
        <v>7.5308608802421443E-3</v>
      </c>
      <c r="H36" s="1720">
        <v>0.70582961866896021</v>
      </c>
      <c r="I36" s="719" t="s">
        <v>463</v>
      </c>
      <c r="J36" s="367"/>
      <c r="K36" s="360"/>
      <c r="L36" s="715">
        <v>0</v>
      </c>
      <c r="M36" s="715">
        <v>0</v>
      </c>
      <c r="N36" s="715">
        <v>0</v>
      </c>
      <c r="O36" s="715">
        <v>0</v>
      </c>
      <c r="P36" s="715">
        <v>0</v>
      </c>
      <c r="Q36" s="715">
        <v>0</v>
      </c>
      <c r="R36" s="715">
        <v>493.18</v>
      </c>
      <c r="S36" s="715">
        <v>0</v>
      </c>
      <c r="T36" s="715">
        <v>0</v>
      </c>
      <c r="U36" s="715"/>
      <c r="V36" s="715">
        <v>493.18</v>
      </c>
      <c r="W36" s="716">
        <v>3.8850000000000002</v>
      </c>
      <c r="X36" s="716">
        <v>1916.0043000000001</v>
      </c>
      <c r="Z36" s="1917">
        <v>0</v>
      </c>
      <c r="AA36" s="1917">
        <v>0</v>
      </c>
    </row>
    <row r="37" spans="1:27" s="88" customFormat="1" ht="76.5" x14ac:dyDescent="0.25">
      <c r="A37" s="1715">
        <v>90084</v>
      </c>
      <c r="B37" s="1716" t="s">
        <v>1300</v>
      </c>
      <c r="C37" s="1717" t="s">
        <v>44</v>
      </c>
      <c r="D37" s="1718">
        <v>39676.282999999996</v>
      </c>
      <c r="E37" s="1718">
        <v>9.3741072859678223</v>
      </c>
      <c r="F37" s="1718">
        <v>371929.7335504212</v>
      </c>
      <c r="G37" s="1719">
        <v>7.2183198085502024E-3</v>
      </c>
      <c r="H37" s="1720">
        <v>0.71304793847751047</v>
      </c>
      <c r="I37" s="719" t="s">
        <v>463</v>
      </c>
      <c r="J37" s="367"/>
      <c r="K37" s="360"/>
      <c r="L37" s="715">
        <v>0</v>
      </c>
      <c r="M37" s="715">
        <v>0</v>
      </c>
      <c r="N37" s="715">
        <v>0</v>
      </c>
      <c r="O37" s="715">
        <v>39676.282999999996</v>
      </c>
      <c r="P37" s="715">
        <v>0</v>
      </c>
      <c r="Q37" s="715">
        <v>0</v>
      </c>
      <c r="R37" s="715">
        <v>0</v>
      </c>
      <c r="S37" s="715">
        <v>0</v>
      </c>
      <c r="T37" s="715">
        <v>0</v>
      </c>
      <c r="U37" s="715"/>
      <c r="V37" s="715">
        <v>39676.282999999996</v>
      </c>
      <c r="W37" s="716">
        <v>0.13009999999999999</v>
      </c>
      <c r="X37" s="716">
        <v>5161.8844182999992</v>
      </c>
      <c r="Z37" s="1917">
        <v>0</v>
      </c>
      <c r="AA37" s="1917">
        <v>0</v>
      </c>
    </row>
    <row r="38" spans="1:27" s="88" customFormat="1" ht="38.25" x14ac:dyDescent="0.25">
      <c r="A38" s="1715">
        <v>101623</v>
      </c>
      <c r="B38" s="1716" t="s">
        <v>1171</v>
      </c>
      <c r="C38" s="1717" t="s">
        <v>44</v>
      </c>
      <c r="D38" s="1718">
        <v>1164.9790000000003</v>
      </c>
      <c r="E38" s="1718">
        <v>303.60555433243667</v>
      </c>
      <c r="F38" s="1718">
        <v>353694.09508064779</v>
      </c>
      <c r="G38" s="1719">
        <v>6.8644070704332837E-3</v>
      </c>
      <c r="H38" s="1720">
        <v>0.7199123455479437</v>
      </c>
      <c r="I38" s="719" t="s">
        <v>463</v>
      </c>
      <c r="J38" s="367"/>
      <c r="K38" s="360"/>
      <c r="L38" s="715">
        <v>0</v>
      </c>
      <c r="M38" s="715">
        <v>0</v>
      </c>
      <c r="N38" s="715">
        <v>0</v>
      </c>
      <c r="O38" s="715">
        <v>1164.9790000000003</v>
      </c>
      <c r="P38" s="715">
        <v>0</v>
      </c>
      <c r="Q38" s="715">
        <v>0</v>
      </c>
      <c r="R38" s="715">
        <v>0</v>
      </c>
      <c r="S38" s="715">
        <v>0</v>
      </c>
      <c r="T38" s="715">
        <v>0</v>
      </c>
      <c r="U38" s="715"/>
      <c r="V38" s="715">
        <v>1164.9790000000003</v>
      </c>
      <c r="W38" s="716">
        <v>3.2094</v>
      </c>
      <c r="X38" s="716">
        <v>3738.8836026000008</v>
      </c>
      <c r="Z38" s="1917">
        <v>0</v>
      </c>
      <c r="AA38" s="1917">
        <v>0</v>
      </c>
    </row>
    <row r="39" spans="1:27" s="88" customFormat="1" x14ac:dyDescent="0.25">
      <c r="A39" s="1715">
        <v>98459</v>
      </c>
      <c r="B39" s="1716" t="s">
        <v>655</v>
      </c>
      <c r="C39" s="1717" t="s">
        <v>51</v>
      </c>
      <c r="D39" s="1718">
        <v>2560.8000000000002</v>
      </c>
      <c r="E39" s="1718">
        <v>134.87162318501584</v>
      </c>
      <c r="F39" s="1718">
        <v>345379.25265218859</v>
      </c>
      <c r="G39" s="1719">
        <v>6.7030346756172497E-3</v>
      </c>
      <c r="H39" s="1720">
        <v>0.72661538022356098</v>
      </c>
      <c r="I39" s="719" t="s">
        <v>463</v>
      </c>
      <c r="J39" s="367"/>
      <c r="K39" s="360"/>
      <c r="L39" s="715">
        <v>2560.8000000000002</v>
      </c>
      <c r="M39" s="715">
        <v>0</v>
      </c>
      <c r="N39" s="715">
        <v>0</v>
      </c>
      <c r="O39" s="715">
        <v>0</v>
      </c>
      <c r="P39" s="715">
        <v>0</v>
      </c>
      <c r="Q39" s="715">
        <v>0</v>
      </c>
      <c r="R39" s="715">
        <v>0</v>
      </c>
      <c r="S39" s="715">
        <v>0</v>
      </c>
      <c r="T39" s="715">
        <v>0</v>
      </c>
      <c r="U39" s="715"/>
      <c r="V39" s="715">
        <v>2560.8000000000002</v>
      </c>
      <c r="W39" s="716">
        <v>0.78984295999999998</v>
      </c>
      <c r="X39" s="716">
        <v>2022.6298519680001</v>
      </c>
      <c r="Z39" s="1917">
        <v>0</v>
      </c>
      <c r="AA39" s="1917">
        <v>0</v>
      </c>
    </row>
    <row r="40" spans="1:27" s="88" customFormat="1" ht="38.25" x14ac:dyDescent="0.25">
      <c r="A40" s="1715">
        <v>92916</v>
      </c>
      <c r="B40" s="1716" t="s">
        <v>507</v>
      </c>
      <c r="C40" s="1717" t="s">
        <v>54</v>
      </c>
      <c r="D40" s="1718">
        <v>17514.400000000001</v>
      </c>
      <c r="E40" s="1718">
        <v>19.710895679608846</v>
      </c>
      <c r="F40" s="1718">
        <v>345224.51129094121</v>
      </c>
      <c r="G40" s="1719">
        <v>6.7000314937462249E-3</v>
      </c>
      <c r="H40" s="1720">
        <v>0.73331541171730719</v>
      </c>
      <c r="I40" s="719" t="s">
        <v>463</v>
      </c>
      <c r="J40" s="367"/>
      <c r="K40" s="360"/>
      <c r="L40" s="715">
        <v>0</v>
      </c>
      <c r="M40" s="715">
        <v>0</v>
      </c>
      <c r="N40" s="715">
        <v>0</v>
      </c>
      <c r="O40" s="715">
        <v>16827.400000000001</v>
      </c>
      <c r="P40" s="715">
        <v>0</v>
      </c>
      <c r="Q40" s="715">
        <v>0</v>
      </c>
      <c r="R40" s="715">
        <v>687</v>
      </c>
      <c r="S40" s="715">
        <v>0</v>
      </c>
      <c r="T40" s="715">
        <v>0</v>
      </c>
      <c r="U40" s="715"/>
      <c r="V40" s="715">
        <v>17514.400000000001</v>
      </c>
      <c r="W40" s="716">
        <v>0.20269999999999999</v>
      </c>
      <c r="X40" s="716">
        <v>3550.1688800000002</v>
      </c>
      <c r="Z40" s="1917">
        <v>0</v>
      </c>
      <c r="AA40" s="1917">
        <v>0</v>
      </c>
    </row>
    <row r="41" spans="1:27" s="88" customFormat="1" ht="25.5" x14ac:dyDescent="0.25">
      <c r="A41" s="1715" t="s">
        <v>164</v>
      </c>
      <c r="B41" s="1716" t="s">
        <v>3638</v>
      </c>
      <c r="C41" s="1717" t="s">
        <v>55</v>
      </c>
      <c r="D41" s="1718">
        <v>28096.973968500621</v>
      </c>
      <c r="E41" s="1718">
        <v>12.23</v>
      </c>
      <c r="F41" s="1718">
        <v>343625.99163476261</v>
      </c>
      <c r="G41" s="1719">
        <v>6.6690078216444983E-3</v>
      </c>
      <c r="H41" s="1720">
        <v>0.73998441953895167</v>
      </c>
      <c r="I41" s="719" t="s">
        <v>463</v>
      </c>
      <c r="J41" s="367"/>
      <c r="K41" s="360"/>
      <c r="L41" s="715">
        <v>5553</v>
      </c>
      <c r="M41" s="715">
        <v>0</v>
      </c>
      <c r="N41" s="715">
        <v>1014.0964589790001</v>
      </c>
      <c r="O41" s="715">
        <v>0</v>
      </c>
      <c r="P41" s="715">
        <v>21387.395722499994</v>
      </c>
      <c r="Q41" s="715">
        <v>0</v>
      </c>
      <c r="R41" s="715">
        <v>142.48178702162835</v>
      </c>
      <c r="S41" s="715">
        <v>0</v>
      </c>
      <c r="T41" s="715">
        <v>0</v>
      </c>
      <c r="U41" s="715"/>
      <c r="V41" s="715">
        <v>28096.973968500621</v>
      </c>
      <c r="W41" s="716">
        <v>0</v>
      </c>
      <c r="X41" s="716">
        <v>0</v>
      </c>
      <c r="Z41" s="1917">
        <v>0</v>
      </c>
      <c r="AA41" s="1917">
        <v>0</v>
      </c>
    </row>
    <row r="42" spans="1:27" s="88" customFormat="1" x14ac:dyDescent="0.25">
      <c r="A42" s="1715" t="s">
        <v>3794</v>
      </c>
      <c r="B42" s="1716" t="s">
        <v>3796</v>
      </c>
      <c r="C42" s="1717" t="s">
        <v>44</v>
      </c>
      <c r="D42" s="1718">
        <v>1440</v>
      </c>
      <c r="E42" s="1718">
        <v>217.58781628745129</v>
      </c>
      <c r="F42" s="1718">
        <v>313326.45545392984</v>
      </c>
      <c r="G42" s="1719">
        <v>6.0809619557865083E-3</v>
      </c>
      <c r="H42" s="1720">
        <v>0.74606538149473822</v>
      </c>
      <c r="I42" s="719" t="s">
        <v>401</v>
      </c>
      <c r="J42" s="366"/>
      <c r="K42" s="360"/>
      <c r="L42" s="715">
        <v>0</v>
      </c>
      <c r="M42" s="715">
        <v>0</v>
      </c>
      <c r="N42" s="715">
        <v>0</v>
      </c>
      <c r="O42" s="715">
        <v>1440</v>
      </c>
      <c r="P42" s="715">
        <v>0</v>
      </c>
      <c r="Q42" s="715">
        <v>0</v>
      </c>
      <c r="R42" s="715">
        <v>0</v>
      </c>
      <c r="S42" s="715">
        <v>0</v>
      </c>
      <c r="T42" s="715">
        <v>0</v>
      </c>
      <c r="U42" s="715"/>
      <c r="V42" s="715">
        <v>1440</v>
      </c>
      <c r="W42" s="716">
        <v>91.102428099999997</v>
      </c>
      <c r="X42" s="716">
        <v>131187.496464</v>
      </c>
      <c r="Z42" s="1917">
        <v>0</v>
      </c>
      <c r="AA42" s="1917">
        <v>0</v>
      </c>
    </row>
    <row r="43" spans="1:27" s="88" customFormat="1" x14ac:dyDescent="0.25">
      <c r="A43" s="1715" t="s">
        <v>330</v>
      </c>
      <c r="B43" s="1716" t="s">
        <v>409</v>
      </c>
      <c r="C43" s="1717" t="s">
        <v>205</v>
      </c>
      <c r="D43" s="1718">
        <v>36</v>
      </c>
      <c r="E43" s="1718">
        <v>8525.4196549569697</v>
      </c>
      <c r="F43" s="1718">
        <v>306915.10757845093</v>
      </c>
      <c r="G43" s="1719">
        <v>5.9565321100538285E-3</v>
      </c>
      <c r="H43" s="1720">
        <v>0.75202191360479209</v>
      </c>
      <c r="I43" s="719" t="s">
        <v>463</v>
      </c>
      <c r="J43" s="367"/>
      <c r="K43" s="360"/>
      <c r="L43" s="715">
        <v>0</v>
      </c>
      <c r="M43" s="715">
        <v>36</v>
      </c>
      <c r="N43" s="715">
        <v>0</v>
      </c>
      <c r="O43" s="715">
        <v>0</v>
      </c>
      <c r="P43" s="715">
        <v>0</v>
      </c>
      <c r="Q43" s="715">
        <v>0</v>
      </c>
      <c r="R43" s="715">
        <v>0</v>
      </c>
      <c r="S43" s="715">
        <v>0</v>
      </c>
      <c r="T43" s="715">
        <v>0</v>
      </c>
      <c r="U43" s="715"/>
      <c r="V43" s="715">
        <v>36</v>
      </c>
      <c r="W43" s="716">
        <v>0</v>
      </c>
      <c r="X43" s="716">
        <v>0</v>
      </c>
      <c r="Z43" s="1917">
        <v>0</v>
      </c>
      <c r="AA43" s="1917">
        <v>0</v>
      </c>
    </row>
    <row r="44" spans="1:27" s="88" customFormat="1" ht="38.25" x14ac:dyDescent="0.25">
      <c r="A44" s="1715">
        <v>92919</v>
      </c>
      <c r="B44" s="1716" t="s">
        <v>502</v>
      </c>
      <c r="C44" s="1717" t="s">
        <v>54</v>
      </c>
      <c r="D44" s="1718">
        <v>18436</v>
      </c>
      <c r="E44" s="1718">
        <v>16.558115051979104</v>
      </c>
      <c r="F44" s="1718">
        <v>305265.40909828676</v>
      </c>
      <c r="G44" s="1719">
        <v>5.9245151720590345E-3</v>
      </c>
      <c r="H44" s="1720">
        <v>0.75794642877685114</v>
      </c>
      <c r="I44" s="719" t="s">
        <v>463</v>
      </c>
      <c r="J44" s="367"/>
      <c r="K44" s="360"/>
      <c r="L44" s="715">
        <v>0</v>
      </c>
      <c r="M44" s="715">
        <v>0</v>
      </c>
      <c r="N44" s="715">
        <v>0</v>
      </c>
      <c r="O44" s="715">
        <v>13891</v>
      </c>
      <c r="P44" s="715">
        <v>0</v>
      </c>
      <c r="Q44" s="715">
        <v>0</v>
      </c>
      <c r="R44" s="715">
        <v>4545</v>
      </c>
      <c r="S44" s="715">
        <v>0</v>
      </c>
      <c r="T44" s="715">
        <v>0</v>
      </c>
      <c r="U44" s="715"/>
      <c r="V44" s="715">
        <v>18436</v>
      </c>
      <c r="W44" s="716">
        <v>0.10070000000000001</v>
      </c>
      <c r="X44" s="716">
        <v>1856.5052000000003</v>
      </c>
      <c r="Z44" s="1917">
        <v>0</v>
      </c>
      <c r="AA44" s="1917">
        <v>0</v>
      </c>
    </row>
    <row r="45" spans="1:27" s="88" customFormat="1" ht="25.5" x14ac:dyDescent="0.25">
      <c r="A45" s="1715" t="s">
        <v>4052</v>
      </c>
      <c r="B45" s="1716" t="s">
        <v>4053</v>
      </c>
      <c r="C45" s="1717" t="s">
        <v>55</v>
      </c>
      <c r="D45" s="1718">
        <v>76.401437000000001</v>
      </c>
      <c r="E45" s="1718">
        <v>3812.2412534135788</v>
      </c>
      <c r="F45" s="1718">
        <v>291260.70995147858</v>
      </c>
      <c r="G45" s="1719">
        <v>5.6527154525281755E-3</v>
      </c>
      <c r="H45" s="1720">
        <v>0.76359914422937936</v>
      </c>
      <c r="I45" s="719" t="s">
        <v>463</v>
      </c>
      <c r="J45" s="367"/>
      <c r="K45" s="360"/>
      <c r="L45" s="715">
        <v>0</v>
      </c>
      <c r="M45" s="715">
        <v>0</v>
      </c>
      <c r="N45" s="715">
        <v>0</v>
      </c>
      <c r="O45" s="715">
        <v>0</v>
      </c>
      <c r="P45" s="715">
        <v>0</v>
      </c>
      <c r="Q45" s="715">
        <v>76.401437000000001</v>
      </c>
      <c r="R45" s="715">
        <v>0</v>
      </c>
      <c r="S45" s="715">
        <v>0</v>
      </c>
      <c r="T45" s="715">
        <v>0</v>
      </c>
      <c r="U45" s="715"/>
      <c r="V45" s="715">
        <v>76.401437000000001</v>
      </c>
      <c r="W45" s="716">
        <v>0</v>
      </c>
      <c r="X45" s="716">
        <v>0</v>
      </c>
      <c r="Z45" s="1917">
        <v>0</v>
      </c>
      <c r="AA45" s="1917">
        <v>0</v>
      </c>
    </row>
    <row r="46" spans="1:27" s="88" customFormat="1" ht="38.25" x14ac:dyDescent="0.25">
      <c r="A46" s="1715">
        <v>92263</v>
      </c>
      <c r="B46" s="1716" t="s">
        <v>1159</v>
      </c>
      <c r="C46" s="1717" t="s">
        <v>51</v>
      </c>
      <c r="D46" s="1718">
        <v>1700.44</v>
      </c>
      <c r="E46" s="1718">
        <v>164.40186616289137</v>
      </c>
      <c r="F46" s="1718">
        <v>279555.50929802703</v>
      </c>
      <c r="G46" s="1719">
        <v>5.4255438281105486E-3</v>
      </c>
      <c r="H46" s="1720">
        <v>0.76902468805748991</v>
      </c>
      <c r="I46" s="719" t="s">
        <v>463</v>
      </c>
      <c r="J46" s="367"/>
      <c r="K46" s="360"/>
      <c r="L46" s="715">
        <v>0</v>
      </c>
      <c r="M46" s="715">
        <v>0</v>
      </c>
      <c r="N46" s="715">
        <v>0</v>
      </c>
      <c r="O46" s="715">
        <v>1700.44</v>
      </c>
      <c r="P46" s="715">
        <v>0</v>
      </c>
      <c r="Q46" s="715">
        <v>0</v>
      </c>
      <c r="R46" s="715">
        <v>0</v>
      </c>
      <c r="S46" s="715">
        <v>0</v>
      </c>
      <c r="T46" s="715">
        <v>0</v>
      </c>
      <c r="U46" s="715"/>
      <c r="V46" s="715">
        <v>1700.44</v>
      </c>
      <c r="W46" s="716">
        <v>1.7469999999999999</v>
      </c>
      <c r="X46" s="716">
        <v>2970.6686799999998</v>
      </c>
      <c r="Z46" s="1917">
        <v>0</v>
      </c>
      <c r="AA46" s="1917">
        <v>0</v>
      </c>
    </row>
    <row r="47" spans="1:27" s="88" customFormat="1" x14ac:dyDescent="0.25">
      <c r="A47" s="1715" t="s">
        <v>401</v>
      </c>
      <c r="B47" s="1716" t="s">
        <v>402</v>
      </c>
      <c r="C47" s="1717" t="s">
        <v>205</v>
      </c>
      <c r="D47" s="1718">
        <v>9</v>
      </c>
      <c r="E47" s="1718">
        <v>31000.63006822173</v>
      </c>
      <c r="F47" s="1718">
        <v>279005.67061399558</v>
      </c>
      <c r="G47" s="1719">
        <v>5.4148726956184936E-3</v>
      </c>
      <c r="H47" s="1720">
        <v>0.77443956075310838</v>
      </c>
      <c r="I47" s="719" t="s">
        <v>281</v>
      </c>
      <c r="J47" s="366"/>
      <c r="K47" s="360"/>
      <c r="L47" s="715">
        <v>0</v>
      </c>
      <c r="M47" s="715">
        <v>9</v>
      </c>
      <c r="N47" s="715">
        <v>0</v>
      </c>
      <c r="O47" s="715">
        <v>0</v>
      </c>
      <c r="P47" s="715">
        <v>0</v>
      </c>
      <c r="Q47" s="715">
        <v>0</v>
      </c>
      <c r="R47" s="715">
        <v>0</v>
      </c>
      <c r="S47" s="715">
        <v>0</v>
      </c>
      <c r="T47" s="715">
        <v>0</v>
      </c>
      <c r="U47" s="715"/>
      <c r="V47" s="715">
        <v>9</v>
      </c>
      <c r="W47" s="716">
        <v>0</v>
      </c>
      <c r="X47" s="716">
        <v>0</v>
      </c>
      <c r="Z47" s="1917">
        <v>0</v>
      </c>
      <c r="AA47" s="1917">
        <v>0</v>
      </c>
    </row>
    <row r="48" spans="1:27" s="88" customFormat="1" ht="63.75" x14ac:dyDescent="0.25">
      <c r="A48" s="1715">
        <v>93369</v>
      </c>
      <c r="B48" s="1716" t="s">
        <v>60</v>
      </c>
      <c r="C48" s="1717" t="s">
        <v>44</v>
      </c>
      <c r="D48" s="1718">
        <v>26222.62000000001</v>
      </c>
      <c r="E48" s="1718">
        <v>10.481190559792006</v>
      </c>
      <c r="F48" s="1718">
        <v>274844.27719701314</v>
      </c>
      <c r="G48" s="1719">
        <v>5.3341094066869229E-3</v>
      </c>
      <c r="H48" s="1720">
        <v>0.77977367015979526</v>
      </c>
      <c r="I48" s="719" t="s">
        <v>440</v>
      </c>
      <c r="J48" s="366"/>
      <c r="K48" s="360"/>
      <c r="L48" s="715">
        <v>0</v>
      </c>
      <c r="M48" s="715">
        <v>0</v>
      </c>
      <c r="N48" s="715">
        <v>0</v>
      </c>
      <c r="O48" s="715">
        <v>26222.62000000001</v>
      </c>
      <c r="P48" s="715">
        <v>0</v>
      </c>
      <c r="Q48" s="715">
        <v>0</v>
      </c>
      <c r="R48" s="715">
        <v>0</v>
      </c>
      <c r="S48" s="715">
        <v>0</v>
      </c>
      <c r="T48" s="715">
        <v>0</v>
      </c>
      <c r="U48" s="715"/>
      <c r="V48" s="715">
        <v>26222.62000000001</v>
      </c>
      <c r="W48" s="716">
        <v>0.13</v>
      </c>
      <c r="X48" s="716">
        <v>3408.9406000000013</v>
      </c>
      <c r="Z48" s="1917">
        <v>0</v>
      </c>
      <c r="AA48" s="1917">
        <v>0</v>
      </c>
    </row>
    <row r="49" spans="1:27" s="88" customFormat="1" ht="38.25" x14ac:dyDescent="0.25">
      <c r="A49" s="1715">
        <v>101624</v>
      </c>
      <c r="B49" s="1716" t="s">
        <v>1168</v>
      </c>
      <c r="C49" s="1717" t="s">
        <v>44</v>
      </c>
      <c r="D49" s="1718">
        <v>1025.2089999999998</v>
      </c>
      <c r="E49" s="1718">
        <v>261.82519425941962</v>
      </c>
      <c r="F49" s="1718">
        <v>268425.54558150528</v>
      </c>
      <c r="G49" s="1719">
        <v>5.2095362591633287E-3</v>
      </c>
      <c r="H49" s="1720">
        <v>0.78498320641895858</v>
      </c>
      <c r="I49" s="718">
        <v>96386</v>
      </c>
      <c r="J49" s="366"/>
      <c r="K49" s="360"/>
      <c r="L49" s="715">
        <v>0</v>
      </c>
      <c r="M49" s="715">
        <v>0</v>
      </c>
      <c r="N49" s="715">
        <v>0</v>
      </c>
      <c r="O49" s="715">
        <v>1025.2089999999998</v>
      </c>
      <c r="P49" s="715">
        <v>0</v>
      </c>
      <c r="Q49" s="715">
        <v>0</v>
      </c>
      <c r="R49" s="715">
        <v>0</v>
      </c>
      <c r="S49" s="715">
        <v>0</v>
      </c>
      <c r="T49" s="715">
        <v>0</v>
      </c>
      <c r="U49" s="715"/>
      <c r="V49" s="715">
        <v>1025.2089999999998</v>
      </c>
      <c r="W49" s="716">
        <v>1.9691999999999998</v>
      </c>
      <c r="X49" s="716">
        <v>2018.8415627999996</v>
      </c>
      <c r="Z49" s="1917">
        <v>0</v>
      </c>
      <c r="AA49" s="1917">
        <v>0</v>
      </c>
    </row>
    <row r="50" spans="1:27" s="88" customFormat="1" ht="38.25" x14ac:dyDescent="0.25">
      <c r="A50" s="1715">
        <v>92922</v>
      </c>
      <c r="B50" s="1716" t="s">
        <v>504</v>
      </c>
      <c r="C50" s="1717" t="s">
        <v>54</v>
      </c>
      <c r="D50" s="1718">
        <v>19732</v>
      </c>
      <c r="E50" s="1718">
        <v>13.236865230506552</v>
      </c>
      <c r="F50" s="1718">
        <v>261189.82472835528</v>
      </c>
      <c r="G50" s="1719">
        <v>5.0691071876157274E-3</v>
      </c>
      <c r="H50" s="1720">
        <v>0.79005231360657435</v>
      </c>
      <c r="I50" s="719" t="s">
        <v>463</v>
      </c>
      <c r="J50" s="367"/>
      <c r="K50" s="360"/>
      <c r="L50" s="715">
        <v>0</v>
      </c>
      <c r="M50" s="715">
        <v>0</v>
      </c>
      <c r="N50" s="715">
        <v>0</v>
      </c>
      <c r="O50" s="715">
        <v>0</v>
      </c>
      <c r="P50" s="715">
        <v>0</v>
      </c>
      <c r="Q50" s="715">
        <v>0</v>
      </c>
      <c r="R50" s="715">
        <v>19732</v>
      </c>
      <c r="S50" s="715">
        <v>0</v>
      </c>
      <c r="T50" s="715">
        <v>0</v>
      </c>
      <c r="U50" s="715"/>
      <c r="V50" s="715">
        <v>19732</v>
      </c>
      <c r="W50" s="716">
        <v>4.6400000000000004E-2</v>
      </c>
      <c r="X50" s="716">
        <v>915.5648000000001</v>
      </c>
      <c r="Z50" s="1917">
        <v>0</v>
      </c>
      <c r="AA50" s="1917">
        <v>0</v>
      </c>
    </row>
    <row r="51" spans="1:27" s="88" customFormat="1" x14ac:dyDescent="0.25">
      <c r="A51" s="1715" t="s">
        <v>407</v>
      </c>
      <c r="B51" s="1716" t="s">
        <v>336</v>
      </c>
      <c r="C51" s="1717" t="s">
        <v>205</v>
      </c>
      <c r="D51" s="1718">
        <v>36</v>
      </c>
      <c r="E51" s="1718">
        <v>7083.1909870102072</v>
      </c>
      <c r="F51" s="1718">
        <v>254994.87553236747</v>
      </c>
      <c r="G51" s="1719">
        <v>4.9488771536587923E-3</v>
      </c>
      <c r="H51" s="1720">
        <v>0.79500119076023312</v>
      </c>
      <c r="I51" s="719" t="s">
        <v>463</v>
      </c>
      <c r="J51" s="367"/>
      <c r="K51" s="360"/>
      <c r="L51" s="715">
        <v>0</v>
      </c>
      <c r="M51" s="715">
        <v>36</v>
      </c>
      <c r="N51" s="715">
        <v>0</v>
      </c>
      <c r="O51" s="715">
        <v>0</v>
      </c>
      <c r="P51" s="715">
        <v>0</v>
      </c>
      <c r="Q51" s="715">
        <v>0</v>
      </c>
      <c r="R51" s="715">
        <v>0</v>
      </c>
      <c r="S51" s="715">
        <v>0</v>
      </c>
      <c r="T51" s="715">
        <v>0</v>
      </c>
      <c r="U51" s="715"/>
      <c r="V51" s="715">
        <v>36</v>
      </c>
      <c r="W51" s="716">
        <v>0</v>
      </c>
      <c r="X51" s="716">
        <v>0</v>
      </c>
      <c r="Z51" s="1917">
        <v>0</v>
      </c>
      <c r="AA51" s="1917">
        <v>0</v>
      </c>
    </row>
    <row r="52" spans="1:27" s="88" customFormat="1" ht="38.25" x14ac:dyDescent="0.25">
      <c r="A52" s="1715">
        <v>92923</v>
      </c>
      <c r="B52" s="1716" t="s">
        <v>505</v>
      </c>
      <c r="C52" s="1717" t="s">
        <v>54</v>
      </c>
      <c r="D52" s="1718">
        <v>15750</v>
      </c>
      <c r="E52" s="1718">
        <v>14.825289058167339</v>
      </c>
      <c r="F52" s="1718">
        <v>233498.3026661356</v>
      </c>
      <c r="G52" s="1719">
        <v>4.5316770114302365E-3</v>
      </c>
      <c r="H52" s="1720">
        <v>0.79953286777166332</v>
      </c>
      <c r="I52" s="719" t="s">
        <v>463</v>
      </c>
      <c r="J52" s="367"/>
      <c r="K52" s="360"/>
      <c r="L52" s="715">
        <v>0</v>
      </c>
      <c r="M52" s="715">
        <v>0</v>
      </c>
      <c r="N52" s="715">
        <v>0</v>
      </c>
      <c r="O52" s="715">
        <v>0</v>
      </c>
      <c r="P52" s="715">
        <v>0</v>
      </c>
      <c r="Q52" s="715">
        <v>0</v>
      </c>
      <c r="R52" s="715">
        <v>15750</v>
      </c>
      <c r="S52" s="715">
        <v>0</v>
      </c>
      <c r="T52" s="715">
        <v>0</v>
      </c>
      <c r="U52" s="715"/>
      <c r="V52" s="715">
        <v>15750</v>
      </c>
      <c r="W52" s="716">
        <v>3.0199999999999998E-2</v>
      </c>
      <c r="X52" s="716">
        <v>475.65</v>
      </c>
      <c r="Z52" s="1917">
        <v>0</v>
      </c>
      <c r="AA52" s="1917">
        <v>0</v>
      </c>
    </row>
    <row r="53" spans="1:27" s="88" customFormat="1" ht="51" x14ac:dyDescent="0.25">
      <c r="A53" s="1715">
        <v>100999</v>
      </c>
      <c r="B53" s="1716" t="s">
        <v>769</v>
      </c>
      <c r="C53" s="1717" t="s">
        <v>55</v>
      </c>
      <c r="D53" s="1718">
        <v>45674.71920449999</v>
      </c>
      <c r="E53" s="1718">
        <v>5.1022098706679806</v>
      </c>
      <c r="F53" s="1718">
        <v>233042.00316518822</v>
      </c>
      <c r="G53" s="1719">
        <v>4.5228212641500228E-3</v>
      </c>
      <c r="H53" s="1720">
        <v>0.80405568903581337</v>
      </c>
      <c r="I53" s="719" t="s">
        <v>463</v>
      </c>
      <c r="J53" s="367"/>
      <c r="K53" s="360"/>
      <c r="L53" s="715">
        <v>5553</v>
      </c>
      <c r="M53" s="715">
        <v>0</v>
      </c>
      <c r="N53" s="715">
        <v>6755.5624320000006</v>
      </c>
      <c r="O53" s="715">
        <v>11614.411050000002</v>
      </c>
      <c r="P53" s="715">
        <v>21387.395722499994</v>
      </c>
      <c r="Q53" s="715">
        <v>0</v>
      </c>
      <c r="R53" s="715">
        <v>364.35</v>
      </c>
      <c r="S53" s="715">
        <v>0</v>
      </c>
      <c r="T53" s="715">
        <v>0</v>
      </c>
      <c r="U53" s="715"/>
      <c r="V53" s="715">
        <v>45674.71920449999</v>
      </c>
      <c r="W53" s="716">
        <v>3.0000000000000002E-2</v>
      </c>
      <c r="X53" s="716">
        <v>1370.2415761349998</v>
      </c>
      <c r="Z53" s="1917">
        <v>0</v>
      </c>
      <c r="AA53" s="1917">
        <v>0</v>
      </c>
    </row>
    <row r="54" spans="1:27" s="88" customFormat="1" ht="51" x14ac:dyDescent="0.25">
      <c r="A54" s="1715">
        <v>96389</v>
      </c>
      <c r="B54" s="1716" t="s">
        <v>578</v>
      </c>
      <c r="C54" s="1717" t="s">
        <v>44</v>
      </c>
      <c r="D54" s="1718">
        <v>5083.7861000000003</v>
      </c>
      <c r="E54" s="1718">
        <v>45.366347199099728</v>
      </c>
      <c r="F54" s="1718">
        <v>230632.80529855716</v>
      </c>
      <c r="G54" s="1719">
        <v>4.4760641508710909E-3</v>
      </c>
      <c r="H54" s="1720">
        <v>0.80853175318668447</v>
      </c>
      <c r="I54" s="1915">
        <v>100954</v>
      </c>
      <c r="J54" s="367"/>
      <c r="K54" s="360"/>
      <c r="L54" s="715">
        <v>0</v>
      </c>
      <c r="M54" s="715">
        <v>0</v>
      </c>
      <c r="N54" s="715">
        <v>0</v>
      </c>
      <c r="O54" s="715">
        <v>0</v>
      </c>
      <c r="P54" s="715">
        <v>0</v>
      </c>
      <c r="Q54" s="715">
        <v>5083.7861000000003</v>
      </c>
      <c r="R54" s="715">
        <v>0</v>
      </c>
      <c r="S54" s="715">
        <v>0</v>
      </c>
      <c r="T54" s="715">
        <v>0</v>
      </c>
      <c r="U54" s="715"/>
      <c r="V54" s="715">
        <v>5083.7861000000003</v>
      </c>
      <c r="W54" s="716">
        <v>0.22820000000000001</v>
      </c>
      <c r="X54" s="716">
        <v>1160.1199880200002</v>
      </c>
      <c r="Z54" s="1917">
        <v>0</v>
      </c>
      <c r="AA54" s="1917">
        <v>0</v>
      </c>
    </row>
    <row r="55" spans="1:27" s="88" customFormat="1" x14ac:dyDescent="0.25">
      <c r="A55" s="1715" t="s">
        <v>3637</v>
      </c>
      <c r="B55" s="1716" t="s">
        <v>3640</v>
      </c>
      <c r="C55" s="1717" t="s">
        <v>55</v>
      </c>
      <c r="D55" s="1718">
        <v>11978.761050000003</v>
      </c>
      <c r="E55" s="1718">
        <v>19.07</v>
      </c>
      <c r="F55" s="1718">
        <v>228434.97322350007</v>
      </c>
      <c r="G55" s="1719">
        <v>4.4334091723303637E-3</v>
      </c>
      <c r="H55" s="1720">
        <v>0.81296516235901484</v>
      </c>
      <c r="I55" s="719" t="s">
        <v>324</v>
      </c>
      <c r="J55" s="367"/>
      <c r="K55" s="360"/>
      <c r="L55" s="715">
        <v>0</v>
      </c>
      <c r="M55" s="715">
        <v>0</v>
      </c>
      <c r="N55" s="715">
        <v>0</v>
      </c>
      <c r="O55" s="715">
        <v>11614.411050000002</v>
      </c>
      <c r="P55" s="715">
        <v>0</v>
      </c>
      <c r="Q55" s="715">
        <v>0</v>
      </c>
      <c r="R55" s="715">
        <v>364.35</v>
      </c>
      <c r="S55" s="715">
        <v>0</v>
      </c>
      <c r="T55" s="715">
        <v>0</v>
      </c>
      <c r="U55" s="715"/>
      <c r="V55" s="715">
        <v>11978.761050000003</v>
      </c>
      <c r="W55" s="716">
        <v>0</v>
      </c>
      <c r="X55" s="716">
        <v>0</v>
      </c>
      <c r="Z55" s="1917">
        <v>0</v>
      </c>
      <c r="AA55" s="1917">
        <v>0</v>
      </c>
    </row>
    <row r="56" spans="1:27" s="88" customFormat="1" ht="51" x14ac:dyDescent="0.25">
      <c r="A56" s="1715">
        <v>92749</v>
      </c>
      <c r="B56" s="1716" t="s">
        <v>608</v>
      </c>
      <c r="C56" s="1717" t="s">
        <v>44</v>
      </c>
      <c r="D56" s="1718">
        <v>231.36999999999998</v>
      </c>
      <c r="E56" s="1718">
        <v>973.11416417761211</v>
      </c>
      <c r="F56" s="1718">
        <v>225149.42416577408</v>
      </c>
      <c r="G56" s="1719">
        <v>4.36964405299195E-3</v>
      </c>
      <c r="H56" s="1720">
        <v>0.81733480641200673</v>
      </c>
      <c r="I56" s="719" t="s">
        <v>463</v>
      </c>
      <c r="J56" s="367"/>
      <c r="K56" s="360"/>
      <c r="L56" s="715">
        <v>0</v>
      </c>
      <c r="M56" s="715">
        <v>0</v>
      </c>
      <c r="N56" s="715">
        <v>0</v>
      </c>
      <c r="O56" s="715">
        <v>231.36999999999998</v>
      </c>
      <c r="P56" s="715">
        <v>0</v>
      </c>
      <c r="Q56" s="715">
        <v>0</v>
      </c>
      <c r="R56" s="715">
        <v>0</v>
      </c>
      <c r="S56" s="715">
        <v>0</v>
      </c>
      <c r="T56" s="715">
        <v>0</v>
      </c>
      <c r="U56" s="715"/>
      <c r="V56" s="715">
        <v>231.36999999999998</v>
      </c>
      <c r="W56" s="716">
        <v>5.6539999999999999</v>
      </c>
      <c r="X56" s="716">
        <v>1308.1659799999998</v>
      </c>
      <c r="Z56" s="1917">
        <v>0</v>
      </c>
      <c r="AA56" s="1917">
        <v>0</v>
      </c>
    </row>
    <row r="57" spans="1:27" s="88" customFormat="1" x14ac:dyDescent="0.25">
      <c r="A57" s="1715" t="s">
        <v>1488</v>
      </c>
      <c r="B57" s="1716" t="s">
        <v>2594</v>
      </c>
      <c r="C57" s="1717" t="s">
        <v>205</v>
      </c>
      <c r="D57" s="1718">
        <v>36</v>
      </c>
      <c r="E57" s="1718">
        <v>6232.7103624363153</v>
      </c>
      <c r="F57" s="1718">
        <v>224377.57304770735</v>
      </c>
      <c r="G57" s="1719">
        <v>4.3546641583715124E-3</v>
      </c>
      <c r="H57" s="1720">
        <v>0.82168947057037822</v>
      </c>
      <c r="I57" s="719" t="s">
        <v>324</v>
      </c>
      <c r="J57" s="367"/>
      <c r="K57" s="360"/>
      <c r="L57" s="715">
        <v>36</v>
      </c>
      <c r="M57" s="715">
        <v>0</v>
      </c>
      <c r="N57" s="715">
        <v>0</v>
      </c>
      <c r="O57" s="715">
        <v>0</v>
      </c>
      <c r="P57" s="715">
        <v>0</v>
      </c>
      <c r="Q57" s="715">
        <v>0</v>
      </c>
      <c r="R57" s="715">
        <v>0</v>
      </c>
      <c r="S57" s="715">
        <v>0</v>
      </c>
      <c r="T57" s="715">
        <v>0</v>
      </c>
      <c r="U57" s="715"/>
      <c r="V57" s="715">
        <v>36</v>
      </c>
      <c r="W57" s="716">
        <v>0</v>
      </c>
      <c r="X57" s="716">
        <v>0</v>
      </c>
      <c r="Z57" s="1917">
        <v>0</v>
      </c>
      <c r="AA57" s="1917">
        <v>0</v>
      </c>
    </row>
    <row r="58" spans="1:27" s="88" customFormat="1" x14ac:dyDescent="0.25">
      <c r="A58" s="1715" t="s">
        <v>2342</v>
      </c>
      <c r="B58" s="1716" t="s">
        <v>2357</v>
      </c>
      <c r="C58" s="1717" t="s">
        <v>22</v>
      </c>
      <c r="D58" s="1718">
        <v>691.62</v>
      </c>
      <c r="E58" s="1718">
        <v>308.57590512945956</v>
      </c>
      <c r="F58" s="1718">
        <v>213417.26750563682</v>
      </c>
      <c r="G58" s="1719">
        <v>4.1419492730977196E-3</v>
      </c>
      <c r="H58" s="1720">
        <v>0.82583141984347597</v>
      </c>
      <c r="I58" s="719">
        <v>93585</v>
      </c>
      <c r="J58" s="366"/>
      <c r="K58" s="360"/>
      <c r="L58" s="715">
        <v>0</v>
      </c>
      <c r="M58" s="715">
        <v>0</v>
      </c>
      <c r="N58" s="715">
        <v>0</v>
      </c>
      <c r="O58" s="715">
        <v>691.62</v>
      </c>
      <c r="P58" s="715">
        <v>0</v>
      </c>
      <c r="Q58" s="715">
        <v>0</v>
      </c>
      <c r="R58" s="715">
        <v>0</v>
      </c>
      <c r="S58" s="715">
        <v>0</v>
      </c>
      <c r="T58" s="715">
        <v>0</v>
      </c>
      <c r="U58" s="715"/>
      <c r="V58" s="715">
        <v>691.62</v>
      </c>
      <c r="W58" s="716">
        <v>0</v>
      </c>
      <c r="X58" s="716">
        <v>0</v>
      </c>
      <c r="Z58" s="1917">
        <v>0</v>
      </c>
      <c r="AA58" s="1917">
        <v>0</v>
      </c>
    </row>
    <row r="59" spans="1:27" s="88" customFormat="1" ht="51" x14ac:dyDescent="0.25">
      <c r="A59" s="1715">
        <v>92813</v>
      </c>
      <c r="B59" s="1716" t="s">
        <v>523</v>
      </c>
      <c r="C59" s="1717" t="s">
        <v>22</v>
      </c>
      <c r="D59" s="1718">
        <v>2206.83</v>
      </c>
      <c r="E59" s="1718">
        <v>93.644804748910886</v>
      </c>
      <c r="F59" s="1718">
        <v>206658.164464039</v>
      </c>
      <c r="G59" s="1719">
        <v>4.0107702815515029E-3</v>
      </c>
      <c r="H59" s="1720">
        <v>0.82984219012502747</v>
      </c>
      <c r="I59" s="719" t="s">
        <v>1490</v>
      </c>
      <c r="J59" s="367"/>
      <c r="K59" s="360"/>
      <c r="L59" s="715">
        <v>0</v>
      </c>
      <c r="M59" s="715">
        <v>0</v>
      </c>
      <c r="N59" s="715">
        <v>0</v>
      </c>
      <c r="O59" s="715">
        <v>2206.83</v>
      </c>
      <c r="P59" s="715">
        <v>0</v>
      </c>
      <c r="Q59" s="715">
        <v>0</v>
      </c>
      <c r="R59" s="715">
        <v>0</v>
      </c>
      <c r="S59" s="715">
        <v>0</v>
      </c>
      <c r="T59" s="715">
        <v>0</v>
      </c>
      <c r="U59" s="715"/>
      <c r="V59" s="715">
        <v>2206.83</v>
      </c>
      <c r="W59" s="716">
        <v>2.44584</v>
      </c>
      <c r="X59" s="716">
        <v>5397.5530871999999</v>
      </c>
      <c r="Z59" s="1917">
        <v>0</v>
      </c>
      <c r="AA59" s="1917">
        <v>0</v>
      </c>
    </row>
    <row r="60" spans="1:27" s="88" customFormat="1" ht="38.25" x14ac:dyDescent="0.25">
      <c r="A60" s="1715">
        <v>96386</v>
      </c>
      <c r="B60" s="1716" t="s">
        <v>575</v>
      </c>
      <c r="C60" s="1717" t="s">
        <v>44</v>
      </c>
      <c r="D60" s="1718">
        <v>30814.021999999997</v>
      </c>
      <c r="E60" s="1718">
        <v>6.6304661290991911</v>
      </c>
      <c r="F60" s="1718">
        <v>204311.32917231729</v>
      </c>
      <c r="G60" s="1719">
        <v>3.9652234856233327E-3</v>
      </c>
      <c r="H60" s="1720">
        <v>0.8338074136106508</v>
      </c>
      <c r="I60" s="719" t="s">
        <v>463</v>
      </c>
      <c r="J60" s="367"/>
      <c r="K60" s="360"/>
      <c r="L60" s="715">
        <v>0</v>
      </c>
      <c r="M60" s="715">
        <v>0</v>
      </c>
      <c r="N60" s="715">
        <v>0</v>
      </c>
      <c r="O60" s="715">
        <v>25765.241999999998</v>
      </c>
      <c r="P60" s="715">
        <v>3781.42</v>
      </c>
      <c r="Q60" s="715">
        <v>0</v>
      </c>
      <c r="R60" s="715">
        <v>1267.3599999999999</v>
      </c>
      <c r="S60" s="715">
        <v>0</v>
      </c>
      <c r="T60" s="715">
        <v>0</v>
      </c>
      <c r="U60" s="715"/>
      <c r="V60" s="715">
        <v>30814.021999999997</v>
      </c>
      <c r="W60" s="716">
        <v>8.8000000000000009E-2</v>
      </c>
      <c r="X60" s="716">
        <v>2711.6339360000002</v>
      </c>
      <c r="Z60" s="1917">
        <v>0</v>
      </c>
      <c r="AA60" s="1917">
        <v>0</v>
      </c>
    </row>
    <row r="61" spans="1:27" s="88" customFormat="1" ht="63.75" x14ac:dyDescent="0.25">
      <c r="A61" s="1715">
        <v>94274</v>
      </c>
      <c r="B61" s="1716" t="s">
        <v>513</v>
      </c>
      <c r="C61" s="1717" t="s">
        <v>22</v>
      </c>
      <c r="D61" s="1718">
        <v>3083</v>
      </c>
      <c r="E61" s="1718">
        <v>65.233678558705478</v>
      </c>
      <c r="F61" s="1718">
        <v>201115.43099648898</v>
      </c>
      <c r="G61" s="1719">
        <v>3.9031982883139505E-3</v>
      </c>
      <c r="H61" s="1720">
        <v>0.83771061189896479</v>
      </c>
      <c r="I61" s="719" t="s">
        <v>463</v>
      </c>
      <c r="J61" s="367"/>
      <c r="K61" s="360"/>
      <c r="L61" s="715">
        <v>0</v>
      </c>
      <c r="M61" s="715">
        <v>0</v>
      </c>
      <c r="N61" s="715">
        <v>0</v>
      </c>
      <c r="O61" s="715">
        <v>0</v>
      </c>
      <c r="P61" s="715">
        <v>0</v>
      </c>
      <c r="Q61" s="715">
        <v>3083</v>
      </c>
      <c r="R61" s="715">
        <v>0</v>
      </c>
      <c r="S61" s="715">
        <v>0</v>
      </c>
      <c r="T61" s="715">
        <v>0</v>
      </c>
      <c r="U61" s="715"/>
      <c r="V61" s="715">
        <v>3083</v>
      </c>
      <c r="W61" s="716">
        <v>0.98314000000000001</v>
      </c>
      <c r="X61" s="716">
        <v>3031.0206200000002</v>
      </c>
      <c r="Z61" s="1917">
        <v>0</v>
      </c>
      <c r="AA61" s="1917">
        <v>0</v>
      </c>
    </row>
    <row r="62" spans="1:27" s="88" customFormat="1" ht="38.25" x14ac:dyDescent="0.25">
      <c r="A62" s="1715">
        <v>92921</v>
      </c>
      <c r="B62" s="1716" t="s">
        <v>503</v>
      </c>
      <c r="C62" s="1717" t="s">
        <v>54</v>
      </c>
      <c r="D62" s="1718">
        <v>13873.4</v>
      </c>
      <c r="E62" s="1718">
        <v>13.934809033569625</v>
      </c>
      <c r="F62" s="1718">
        <v>193323.17964632483</v>
      </c>
      <c r="G62" s="1719">
        <v>3.7519682112314829E-3</v>
      </c>
      <c r="H62" s="1720">
        <v>0.84146258011019626</v>
      </c>
      <c r="I62" s="719" t="s">
        <v>463</v>
      </c>
      <c r="J62" s="367"/>
      <c r="K62" s="360"/>
      <c r="L62" s="715">
        <v>0</v>
      </c>
      <c r="M62" s="715">
        <v>0</v>
      </c>
      <c r="N62" s="715">
        <v>0</v>
      </c>
      <c r="O62" s="715">
        <v>5556.4</v>
      </c>
      <c r="P62" s="715">
        <v>0</v>
      </c>
      <c r="Q62" s="715">
        <v>0</v>
      </c>
      <c r="R62" s="715">
        <v>8317</v>
      </c>
      <c r="S62" s="715">
        <v>0</v>
      </c>
      <c r="T62" s="715">
        <v>0</v>
      </c>
      <c r="U62" s="715"/>
      <c r="V62" s="715">
        <v>13873.4</v>
      </c>
      <c r="W62" s="716">
        <v>7.1099999999999997E-2</v>
      </c>
      <c r="X62" s="716">
        <v>986.39873999999998</v>
      </c>
      <c r="Z62" s="1917">
        <v>0</v>
      </c>
      <c r="AA62" s="1917">
        <v>0</v>
      </c>
    </row>
    <row r="63" spans="1:27" s="88" customFormat="1" ht="38.25" x14ac:dyDescent="0.25">
      <c r="A63" s="1715">
        <v>101587</v>
      </c>
      <c r="B63" s="1716" t="s">
        <v>1152</v>
      </c>
      <c r="C63" s="1717" t="s">
        <v>51</v>
      </c>
      <c r="D63" s="1718">
        <v>2816.1435600000004</v>
      </c>
      <c r="E63" s="1718">
        <v>68.254090534030141</v>
      </c>
      <c r="F63" s="1718">
        <v>192213.31750106596</v>
      </c>
      <c r="G63" s="1719">
        <v>3.730428282623446E-3</v>
      </c>
      <c r="H63" s="1720">
        <v>0.84519300839281974</v>
      </c>
      <c r="I63" s="719" t="s">
        <v>463</v>
      </c>
      <c r="J63" s="367"/>
      <c r="K63" s="360"/>
      <c r="L63" s="715">
        <v>0</v>
      </c>
      <c r="M63" s="715">
        <v>0</v>
      </c>
      <c r="N63" s="715">
        <v>0</v>
      </c>
      <c r="O63" s="715">
        <v>2816.1435600000004</v>
      </c>
      <c r="P63" s="715">
        <v>0</v>
      </c>
      <c r="Q63" s="715">
        <v>0</v>
      </c>
      <c r="R63" s="715">
        <v>0</v>
      </c>
      <c r="S63" s="715">
        <v>0</v>
      </c>
      <c r="T63" s="715">
        <v>0</v>
      </c>
      <c r="U63" s="715"/>
      <c r="V63" s="715">
        <v>2816.1435600000004</v>
      </c>
      <c r="W63" s="716">
        <v>1.3003</v>
      </c>
      <c r="X63" s="716">
        <v>3661.8314710680006</v>
      </c>
      <c r="Z63" s="1917">
        <v>0</v>
      </c>
      <c r="AA63" s="1917">
        <v>0</v>
      </c>
    </row>
    <row r="64" spans="1:27" s="88" customFormat="1" ht="25.5" x14ac:dyDescent="0.25">
      <c r="A64" s="1715">
        <v>72947</v>
      </c>
      <c r="B64" s="1716" t="s">
        <v>58</v>
      </c>
      <c r="C64" s="1717" t="s">
        <v>51</v>
      </c>
      <c r="D64" s="1718">
        <v>8979.4110000000001</v>
      </c>
      <c r="E64" s="1718">
        <v>19.807163790376169</v>
      </c>
      <c r="F64" s="1718">
        <v>177856.66441810547</v>
      </c>
      <c r="G64" s="1719">
        <v>3.4517979285940388E-3</v>
      </c>
      <c r="H64" s="1720">
        <v>0.84864480632141381</v>
      </c>
      <c r="I64" s="719" t="s">
        <v>463</v>
      </c>
      <c r="J64" s="367"/>
      <c r="K64" s="360"/>
      <c r="L64" s="715">
        <v>0</v>
      </c>
      <c r="M64" s="715">
        <v>0</v>
      </c>
      <c r="N64" s="715">
        <v>0</v>
      </c>
      <c r="O64" s="715">
        <v>0</v>
      </c>
      <c r="P64" s="715">
        <v>0</v>
      </c>
      <c r="Q64" s="715">
        <v>0</v>
      </c>
      <c r="R64" s="715">
        <v>0</v>
      </c>
      <c r="S64" s="715">
        <v>8979.4110000000001</v>
      </c>
      <c r="T64" s="715">
        <v>0</v>
      </c>
      <c r="U64" s="715"/>
      <c r="V64" s="715">
        <v>8979.4110000000001</v>
      </c>
      <c r="W64" s="716">
        <v>3.9995999999999997E-2</v>
      </c>
      <c r="X64" s="716">
        <v>359.14052235599996</v>
      </c>
      <c r="Z64" s="1917">
        <v>0</v>
      </c>
      <c r="AA64" s="1917">
        <v>0</v>
      </c>
    </row>
    <row r="65" spans="1:27" s="88" customFormat="1" ht="51" x14ac:dyDescent="0.25">
      <c r="A65" s="1715">
        <v>96388</v>
      </c>
      <c r="B65" s="1716" t="s">
        <v>580</v>
      </c>
      <c r="C65" s="1717" t="s">
        <v>44</v>
      </c>
      <c r="D65" s="1718">
        <v>17433.077160000001</v>
      </c>
      <c r="E65" s="1718">
        <v>9.3741072859678223</v>
      </c>
      <c r="F65" s="1718">
        <v>163419.53562239523</v>
      </c>
      <c r="G65" s="1719">
        <v>3.1716057219375142E-3</v>
      </c>
      <c r="H65" s="1720">
        <v>0.85181641204335135</v>
      </c>
      <c r="I65" s="719" t="s">
        <v>463</v>
      </c>
      <c r="J65" s="367"/>
      <c r="K65" s="360"/>
      <c r="L65" s="715">
        <v>0</v>
      </c>
      <c r="M65" s="715">
        <v>0</v>
      </c>
      <c r="N65" s="715">
        <v>0</v>
      </c>
      <c r="O65" s="715">
        <v>0</v>
      </c>
      <c r="P65" s="715">
        <v>0</v>
      </c>
      <c r="Q65" s="715">
        <v>17433.077160000001</v>
      </c>
      <c r="R65" s="715">
        <v>0</v>
      </c>
      <c r="S65" s="715">
        <v>0</v>
      </c>
      <c r="T65" s="715">
        <v>0</v>
      </c>
      <c r="U65" s="715"/>
      <c r="V65" s="715">
        <v>17433.077160000001</v>
      </c>
      <c r="W65" s="716">
        <v>0.13100000000000001</v>
      </c>
      <c r="X65" s="716">
        <v>2283.7331079600003</v>
      </c>
      <c r="Z65" s="1917">
        <v>0</v>
      </c>
      <c r="AA65" s="1917">
        <v>0</v>
      </c>
    </row>
    <row r="66" spans="1:27" s="88" customFormat="1" ht="25.5" x14ac:dyDescent="0.25">
      <c r="A66" s="1715" t="s">
        <v>3304</v>
      </c>
      <c r="B66" s="1716" t="s">
        <v>3303</v>
      </c>
      <c r="C66" s="1717" t="s">
        <v>44</v>
      </c>
      <c r="D66" s="1718">
        <v>379.5</v>
      </c>
      <c r="E66" s="1718">
        <v>422.0075087922408</v>
      </c>
      <c r="F66" s="1718">
        <v>160151.84958665539</v>
      </c>
      <c r="G66" s="1719">
        <v>3.1081872836891339E-3</v>
      </c>
      <c r="H66" s="1720">
        <v>0.85492459932704046</v>
      </c>
      <c r="I66" s="719" t="s">
        <v>463</v>
      </c>
      <c r="J66" s="367"/>
      <c r="K66" s="360"/>
      <c r="L66" s="715">
        <v>0</v>
      </c>
      <c r="M66" s="715">
        <v>0</v>
      </c>
      <c r="N66" s="715">
        <v>0</v>
      </c>
      <c r="O66" s="715">
        <v>0</v>
      </c>
      <c r="P66" s="715">
        <v>0</v>
      </c>
      <c r="Q66" s="715">
        <v>0</v>
      </c>
      <c r="R66" s="715">
        <v>379.5</v>
      </c>
      <c r="S66" s="715">
        <v>0</v>
      </c>
      <c r="T66" s="715">
        <v>0</v>
      </c>
      <c r="U66" s="715"/>
      <c r="V66" s="715">
        <v>379.5</v>
      </c>
      <c r="W66" s="716">
        <v>0</v>
      </c>
      <c r="X66" s="716">
        <v>0</v>
      </c>
      <c r="Z66" s="1917">
        <v>0</v>
      </c>
      <c r="AA66" s="1917">
        <v>0</v>
      </c>
    </row>
    <row r="67" spans="1:27" s="88" customFormat="1" ht="38.25" x14ac:dyDescent="0.25">
      <c r="A67" s="1715">
        <v>100949</v>
      </c>
      <c r="B67" s="1716" t="s">
        <v>791</v>
      </c>
      <c r="C67" s="1717" t="s">
        <v>42</v>
      </c>
      <c r="D67" s="1718">
        <v>31047.010560000002</v>
      </c>
      <c r="E67" s="1718">
        <v>5.1503439260516402</v>
      </c>
      <c r="F67" s="1718">
        <v>159902.78225975714</v>
      </c>
      <c r="G67" s="1719">
        <v>3.103353446925802E-3</v>
      </c>
      <c r="H67" s="1720">
        <v>0.85802795277396626</v>
      </c>
      <c r="I67" s="719" t="s">
        <v>463</v>
      </c>
      <c r="J67" s="367"/>
      <c r="K67" s="360"/>
      <c r="L67" s="715">
        <v>0</v>
      </c>
      <c r="M67" s="715">
        <v>0</v>
      </c>
      <c r="N67" s="715">
        <v>0</v>
      </c>
      <c r="O67" s="715">
        <v>0</v>
      </c>
      <c r="P67" s="715">
        <v>0</v>
      </c>
      <c r="Q67" s="715">
        <v>31047.010560000002</v>
      </c>
      <c r="R67" s="715">
        <v>0</v>
      </c>
      <c r="S67" s="715">
        <v>0</v>
      </c>
      <c r="T67" s="715">
        <v>0</v>
      </c>
      <c r="U67" s="715"/>
      <c r="V67" s="715">
        <v>31047.010560000002</v>
      </c>
      <c r="W67" s="716">
        <v>3.9699999999999999E-2</v>
      </c>
      <c r="X67" s="716">
        <v>1232.5663192320001</v>
      </c>
      <c r="Z67" s="1917">
        <v>0</v>
      </c>
      <c r="AA67" s="1917">
        <v>0</v>
      </c>
    </row>
    <row r="68" spans="1:27" s="88" customFormat="1" ht="38.25" x14ac:dyDescent="0.25">
      <c r="A68" s="1715">
        <v>101463</v>
      </c>
      <c r="B68" s="1716" t="s">
        <v>780</v>
      </c>
      <c r="C68" s="1717" t="s">
        <v>55</v>
      </c>
      <c r="D68" s="1718">
        <v>4340.6660000000002</v>
      </c>
      <c r="E68" s="1718">
        <v>36.377312356201188</v>
      </c>
      <c r="F68" s="1718">
        <v>157901.76291594238</v>
      </c>
      <c r="G68" s="1719">
        <v>3.0645181609461939E-3</v>
      </c>
      <c r="H68" s="1720">
        <v>0.86109247093491248</v>
      </c>
      <c r="I68" s="719" t="s">
        <v>463</v>
      </c>
      <c r="J68" s="367"/>
      <c r="K68" s="360"/>
      <c r="L68" s="715">
        <v>0</v>
      </c>
      <c r="M68" s="715">
        <v>0</v>
      </c>
      <c r="N68" s="715">
        <v>0</v>
      </c>
      <c r="O68" s="715">
        <v>4340.6660000000002</v>
      </c>
      <c r="P68" s="715">
        <v>0</v>
      </c>
      <c r="Q68" s="715">
        <v>0</v>
      </c>
      <c r="R68" s="715">
        <v>0</v>
      </c>
      <c r="S68" s="715">
        <v>0</v>
      </c>
      <c r="T68" s="715">
        <v>0</v>
      </c>
      <c r="U68" s="715"/>
      <c r="V68" s="715">
        <v>4340.6660000000002</v>
      </c>
      <c r="W68" s="716">
        <v>0.52829999999999999</v>
      </c>
      <c r="X68" s="716">
        <v>2293.1738478000002</v>
      </c>
      <c r="Z68" s="1917">
        <v>0</v>
      </c>
      <c r="AA68" s="1917">
        <v>0</v>
      </c>
    </row>
    <row r="69" spans="1:27" s="88" customFormat="1" x14ac:dyDescent="0.25">
      <c r="A69" s="1715" t="s">
        <v>259</v>
      </c>
      <c r="B69" s="1716" t="s">
        <v>1055</v>
      </c>
      <c r="C69" s="1717" t="s">
        <v>205</v>
      </c>
      <c r="D69" s="1718">
        <v>36</v>
      </c>
      <c r="E69" s="1718">
        <v>4254.2201834601929</v>
      </c>
      <c r="F69" s="1718">
        <v>153151.92660456695</v>
      </c>
      <c r="G69" s="1719">
        <v>2.9723345186047183E-3</v>
      </c>
      <c r="H69" s="1720">
        <v>0.86406480545351716</v>
      </c>
      <c r="I69" s="719" t="s">
        <v>463</v>
      </c>
      <c r="J69" s="367"/>
      <c r="K69" s="360"/>
      <c r="L69" s="715">
        <v>36</v>
      </c>
      <c r="M69" s="715">
        <v>0</v>
      </c>
      <c r="N69" s="715">
        <v>0</v>
      </c>
      <c r="O69" s="715">
        <v>0</v>
      </c>
      <c r="P69" s="715">
        <v>0</v>
      </c>
      <c r="Q69" s="715">
        <v>0</v>
      </c>
      <c r="R69" s="715">
        <v>0</v>
      </c>
      <c r="S69" s="715">
        <v>0</v>
      </c>
      <c r="T69" s="715">
        <v>0</v>
      </c>
      <c r="U69" s="715"/>
      <c r="V69" s="715">
        <v>36</v>
      </c>
      <c r="W69" s="716">
        <v>0</v>
      </c>
      <c r="X69" s="716">
        <v>0</v>
      </c>
      <c r="Z69" s="1917">
        <v>0</v>
      </c>
      <c r="AA69" s="1917">
        <v>0</v>
      </c>
    </row>
    <row r="70" spans="1:27" s="88" customFormat="1" ht="38.25" x14ac:dyDescent="0.25">
      <c r="A70" s="1715">
        <v>97953</v>
      </c>
      <c r="B70" s="1716" t="s">
        <v>1289</v>
      </c>
      <c r="C70" s="1717" t="s">
        <v>41</v>
      </c>
      <c r="D70" s="1718">
        <v>119</v>
      </c>
      <c r="E70" s="1718">
        <v>1278.945918571543</v>
      </c>
      <c r="F70" s="1718">
        <v>152194.56431001361</v>
      </c>
      <c r="G70" s="1719">
        <v>2.9537542691883412E-3</v>
      </c>
      <c r="H70" s="1720">
        <v>0.86701855972270547</v>
      </c>
      <c r="I70" s="719" t="s">
        <v>463</v>
      </c>
      <c r="J70" s="367"/>
      <c r="K70" s="360"/>
      <c r="L70" s="715">
        <v>0</v>
      </c>
      <c r="M70" s="715">
        <v>0</v>
      </c>
      <c r="N70" s="715">
        <v>0</v>
      </c>
      <c r="O70" s="715">
        <v>119</v>
      </c>
      <c r="P70" s="715">
        <v>0</v>
      </c>
      <c r="Q70" s="715">
        <v>0</v>
      </c>
      <c r="R70" s="715">
        <v>0</v>
      </c>
      <c r="S70" s="715">
        <v>0</v>
      </c>
      <c r="T70" s="715">
        <v>0</v>
      </c>
      <c r="U70" s="715"/>
      <c r="V70" s="715">
        <v>119</v>
      </c>
      <c r="W70" s="716">
        <v>16.173012149999998</v>
      </c>
      <c r="X70" s="716">
        <v>1924.5884458499997</v>
      </c>
      <c r="Z70" s="1917">
        <v>0.32969999999999999</v>
      </c>
      <c r="AA70" s="1917">
        <v>39.234299999999998</v>
      </c>
    </row>
    <row r="71" spans="1:27" s="88" customFormat="1" x14ac:dyDescent="0.25">
      <c r="A71" s="1715" t="s">
        <v>405</v>
      </c>
      <c r="B71" s="1716" t="s">
        <v>338</v>
      </c>
      <c r="C71" s="1717" t="s">
        <v>205</v>
      </c>
      <c r="D71" s="1718">
        <v>36</v>
      </c>
      <c r="E71" s="1718">
        <v>4169.9133854557112</v>
      </c>
      <c r="F71" s="1718">
        <v>150116.88187640562</v>
      </c>
      <c r="G71" s="1719">
        <v>2.9134311250201533E-3</v>
      </c>
      <c r="H71" s="1720">
        <v>0.86993199084772566</v>
      </c>
      <c r="I71" s="719" t="s">
        <v>463</v>
      </c>
      <c r="J71" s="367"/>
      <c r="K71" s="360"/>
      <c r="L71" s="715">
        <v>0</v>
      </c>
      <c r="M71" s="715">
        <v>36</v>
      </c>
      <c r="N71" s="715">
        <v>0</v>
      </c>
      <c r="O71" s="715">
        <v>0</v>
      </c>
      <c r="P71" s="715">
        <v>0</v>
      </c>
      <c r="Q71" s="715">
        <v>0</v>
      </c>
      <c r="R71" s="715">
        <v>0</v>
      </c>
      <c r="S71" s="715">
        <v>0</v>
      </c>
      <c r="T71" s="715">
        <v>0</v>
      </c>
      <c r="U71" s="715"/>
      <c r="V71" s="715">
        <v>36</v>
      </c>
      <c r="W71" s="716">
        <v>0</v>
      </c>
      <c r="X71" s="716">
        <v>0</v>
      </c>
      <c r="Z71" s="1917">
        <v>0</v>
      </c>
      <c r="AA71" s="1917">
        <v>0</v>
      </c>
    </row>
    <row r="72" spans="1:27" s="88" customFormat="1" x14ac:dyDescent="0.25">
      <c r="A72" s="1715" t="s">
        <v>396</v>
      </c>
      <c r="B72" s="1716" t="s">
        <v>397</v>
      </c>
      <c r="C72" s="1717" t="s">
        <v>205</v>
      </c>
      <c r="D72" s="1718">
        <v>36</v>
      </c>
      <c r="E72" s="1718">
        <v>3897.4264979288114</v>
      </c>
      <c r="F72" s="1718">
        <v>140307.3539254372</v>
      </c>
      <c r="G72" s="1719">
        <v>2.7230502451559115E-3</v>
      </c>
      <c r="H72" s="1720">
        <v>0.87265504109288161</v>
      </c>
      <c r="I72" s="719" t="s">
        <v>463</v>
      </c>
      <c r="J72" s="367"/>
      <c r="K72" s="360"/>
      <c r="L72" s="715">
        <v>0</v>
      </c>
      <c r="M72" s="715">
        <v>36</v>
      </c>
      <c r="N72" s="715">
        <v>0</v>
      </c>
      <c r="O72" s="715">
        <v>0</v>
      </c>
      <c r="P72" s="715">
        <v>0</v>
      </c>
      <c r="Q72" s="715">
        <v>0</v>
      </c>
      <c r="R72" s="715">
        <v>0</v>
      </c>
      <c r="S72" s="715">
        <v>0</v>
      </c>
      <c r="T72" s="715">
        <v>0</v>
      </c>
      <c r="U72" s="715"/>
      <c r="V72" s="715">
        <v>36</v>
      </c>
      <c r="W72" s="716">
        <v>0</v>
      </c>
      <c r="X72" s="716">
        <v>0</v>
      </c>
      <c r="Z72" s="1917">
        <v>0</v>
      </c>
      <c r="AA72" s="1917">
        <v>0</v>
      </c>
    </row>
    <row r="73" spans="1:27" s="88" customFormat="1" x14ac:dyDescent="0.25">
      <c r="A73" s="1715" t="s">
        <v>1481</v>
      </c>
      <c r="B73" s="1716" t="s">
        <v>2591</v>
      </c>
      <c r="C73" s="1717" t="s">
        <v>205</v>
      </c>
      <c r="D73" s="1718">
        <v>36</v>
      </c>
      <c r="E73" s="1718">
        <v>3863.9612959233218</v>
      </c>
      <c r="F73" s="1718">
        <v>139102.60665323958</v>
      </c>
      <c r="G73" s="1719">
        <v>2.6996688095922987E-3</v>
      </c>
      <c r="H73" s="1720">
        <v>0.87535470990247388</v>
      </c>
      <c r="I73" s="719" t="s">
        <v>324</v>
      </c>
      <c r="J73" s="367"/>
      <c r="K73" s="360"/>
      <c r="L73" s="715">
        <v>36</v>
      </c>
      <c r="M73" s="715">
        <v>0</v>
      </c>
      <c r="N73" s="715">
        <v>0</v>
      </c>
      <c r="O73" s="715">
        <v>0</v>
      </c>
      <c r="P73" s="715">
        <v>0</v>
      </c>
      <c r="Q73" s="715">
        <v>0</v>
      </c>
      <c r="R73" s="715">
        <v>0</v>
      </c>
      <c r="S73" s="715">
        <v>0</v>
      </c>
      <c r="T73" s="715">
        <v>0</v>
      </c>
      <c r="U73" s="715"/>
      <c r="V73" s="715">
        <v>36</v>
      </c>
      <c r="W73" s="716">
        <v>0</v>
      </c>
      <c r="X73" s="716">
        <v>0</v>
      </c>
      <c r="Z73" s="1917">
        <v>0</v>
      </c>
      <c r="AA73" s="1917">
        <v>0</v>
      </c>
    </row>
    <row r="74" spans="1:27" s="88" customFormat="1" ht="51" x14ac:dyDescent="0.25">
      <c r="A74" s="1715" t="s">
        <v>2573</v>
      </c>
      <c r="B74" s="1716" t="s">
        <v>4131</v>
      </c>
      <c r="C74" s="1717" t="s">
        <v>41</v>
      </c>
      <c r="D74" s="1718">
        <v>41</v>
      </c>
      <c r="E74" s="1718">
        <v>3386.3525927866449</v>
      </c>
      <c r="F74" s="1718">
        <v>138840.45630425244</v>
      </c>
      <c r="G74" s="1719">
        <v>2.6945810607886507E-3</v>
      </c>
      <c r="H74" s="1720">
        <v>0.87804929096326256</v>
      </c>
      <c r="I74" s="719" t="s">
        <v>1489</v>
      </c>
      <c r="J74" s="367"/>
      <c r="K74" s="360"/>
      <c r="L74" s="715">
        <v>0</v>
      </c>
      <c r="M74" s="715">
        <v>0</v>
      </c>
      <c r="N74" s="715">
        <v>0</v>
      </c>
      <c r="O74" s="715">
        <v>41</v>
      </c>
      <c r="P74" s="715">
        <v>0</v>
      </c>
      <c r="Q74" s="715">
        <v>0</v>
      </c>
      <c r="R74" s="715">
        <v>0</v>
      </c>
      <c r="S74" s="715">
        <v>0</v>
      </c>
      <c r="T74" s="715">
        <v>0</v>
      </c>
      <c r="U74" s="715"/>
      <c r="V74" s="715">
        <v>41</v>
      </c>
      <c r="W74" s="716">
        <v>92.881769050434329</v>
      </c>
      <c r="X74" s="716">
        <v>3808.1525310678076</v>
      </c>
      <c r="Z74" s="1917">
        <v>4.5968300000000004E-2</v>
      </c>
      <c r="AA74" s="1917">
        <v>1.8847003000000002</v>
      </c>
    </row>
    <row r="75" spans="1:27" s="88" customFormat="1" x14ac:dyDescent="0.25">
      <c r="A75" s="1715" t="s">
        <v>398</v>
      </c>
      <c r="B75" s="1716" t="s">
        <v>399</v>
      </c>
      <c r="C75" s="1717" t="s">
        <v>205</v>
      </c>
      <c r="D75" s="1718">
        <v>36</v>
      </c>
      <c r="E75" s="1718">
        <v>3845.20104783754</v>
      </c>
      <c r="F75" s="1718">
        <v>138427.23772215145</v>
      </c>
      <c r="G75" s="1719">
        <v>2.6865614172716682E-3</v>
      </c>
      <c r="H75" s="1720">
        <v>0.8807358523805342</v>
      </c>
      <c r="I75" s="719" t="s">
        <v>380</v>
      </c>
      <c r="J75" s="366"/>
      <c r="K75" s="360"/>
      <c r="L75" s="715">
        <v>0</v>
      </c>
      <c r="M75" s="715">
        <v>36</v>
      </c>
      <c r="N75" s="715">
        <v>0</v>
      </c>
      <c r="O75" s="715">
        <v>0</v>
      </c>
      <c r="P75" s="715">
        <v>0</v>
      </c>
      <c r="Q75" s="715">
        <v>0</v>
      </c>
      <c r="R75" s="715">
        <v>0</v>
      </c>
      <c r="S75" s="715">
        <v>0</v>
      </c>
      <c r="T75" s="715">
        <v>0</v>
      </c>
      <c r="U75" s="715"/>
      <c r="V75" s="715">
        <v>36</v>
      </c>
      <c r="W75" s="716">
        <v>0</v>
      </c>
      <c r="X75" s="716">
        <v>0</v>
      </c>
      <c r="Z75" s="1917">
        <v>0</v>
      </c>
      <c r="AA75" s="1917">
        <v>0</v>
      </c>
    </row>
    <row r="76" spans="1:27" s="88" customFormat="1" ht="51" x14ac:dyDescent="0.25">
      <c r="A76" s="1715" t="s">
        <v>2392</v>
      </c>
      <c r="B76" s="1716" t="s">
        <v>2413</v>
      </c>
      <c r="C76" s="1717" t="s">
        <v>41</v>
      </c>
      <c r="D76" s="1718">
        <v>63</v>
      </c>
      <c r="E76" s="1718">
        <v>2170.6246501232458</v>
      </c>
      <c r="F76" s="1718">
        <v>136749.35295776449</v>
      </c>
      <c r="G76" s="1719">
        <v>2.6539974468796721E-3</v>
      </c>
      <c r="H76" s="1720">
        <v>0.88338984982741386</v>
      </c>
      <c r="I76" s="719" t="s">
        <v>377</v>
      </c>
      <c r="J76" s="366"/>
      <c r="K76" s="360"/>
      <c r="L76" s="715">
        <v>0</v>
      </c>
      <c r="M76" s="715">
        <v>0</v>
      </c>
      <c r="N76" s="715">
        <v>0</v>
      </c>
      <c r="O76" s="715">
        <v>63</v>
      </c>
      <c r="P76" s="715">
        <v>0</v>
      </c>
      <c r="Q76" s="715">
        <v>0</v>
      </c>
      <c r="R76" s="715">
        <v>0</v>
      </c>
      <c r="S76" s="715">
        <v>0</v>
      </c>
      <c r="T76" s="715">
        <v>0</v>
      </c>
      <c r="U76" s="715"/>
      <c r="V76" s="715">
        <v>63</v>
      </c>
      <c r="W76" s="716">
        <v>32.279192236608928</v>
      </c>
      <c r="X76" s="716">
        <v>2033.5891109063625</v>
      </c>
      <c r="Z76" s="1917">
        <v>0.27329500000000001</v>
      </c>
      <c r="AA76" s="1917">
        <v>17.217585</v>
      </c>
    </row>
    <row r="77" spans="1:27" s="88" customFormat="1" ht="38.25" x14ac:dyDescent="0.25">
      <c r="A77" s="1715">
        <v>94965</v>
      </c>
      <c r="B77" s="1716" t="s">
        <v>3659</v>
      </c>
      <c r="C77" s="1717" t="s">
        <v>44</v>
      </c>
      <c r="D77" s="1718">
        <v>277.82</v>
      </c>
      <c r="E77" s="1718">
        <v>484.75807176884172</v>
      </c>
      <c r="F77" s="1718">
        <v>134675.4874988196</v>
      </c>
      <c r="G77" s="1719">
        <v>2.6137483816068615E-3</v>
      </c>
      <c r="H77" s="1720">
        <v>0.88600359820902075</v>
      </c>
      <c r="I77" s="719" t="s">
        <v>463</v>
      </c>
      <c r="J77" s="367"/>
      <c r="K77" s="360"/>
      <c r="L77" s="715">
        <v>0</v>
      </c>
      <c r="M77" s="715">
        <v>0</v>
      </c>
      <c r="N77" s="715">
        <v>0</v>
      </c>
      <c r="O77" s="715">
        <v>277.82</v>
      </c>
      <c r="P77" s="715">
        <v>0</v>
      </c>
      <c r="Q77" s="715">
        <v>0</v>
      </c>
      <c r="R77" s="715">
        <v>0</v>
      </c>
      <c r="S77" s="715">
        <v>0</v>
      </c>
      <c r="T77" s="715">
        <v>0</v>
      </c>
      <c r="U77" s="715"/>
      <c r="V77" s="715">
        <v>277.82</v>
      </c>
      <c r="W77" s="716">
        <v>3.7754000000000003</v>
      </c>
      <c r="X77" s="716">
        <v>1048.8816280000001</v>
      </c>
      <c r="Z77" s="1917">
        <v>2.9274</v>
      </c>
      <c r="AA77" s="1917">
        <v>813.29026799999997</v>
      </c>
    </row>
    <row r="78" spans="1:27" s="88" customFormat="1" ht="76.5" x14ac:dyDescent="0.25">
      <c r="A78" s="1715">
        <v>102278</v>
      </c>
      <c r="B78" s="1716" t="s">
        <v>1301</v>
      </c>
      <c r="C78" s="1717" t="s">
        <v>44</v>
      </c>
      <c r="D78" s="1718">
        <v>15459.427000000001</v>
      </c>
      <c r="E78" s="1718">
        <v>8.4234596921405327</v>
      </c>
      <c r="F78" s="1718">
        <v>130221.86019808905</v>
      </c>
      <c r="G78" s="1719">
        <v>2.5273134901076448E-3</v>
      </c>
      <c r="H78" s="1720">
        <v>0.88853091169912835</v>
      </c>
      <c r="I78" s="719" t="s">
        <v>1089</v>
      </c>
      <c r="J78" s="366"/>
      <c r="K78" s="360"/>
      <c r="L78" s="715">
        <v>0</v>
      </c>
      <c r="M78" s="715">
        <v>0</v>
      </c>
      <c r="N78" s="715">
        <v>0</v>
      </c>
      <c r="O78" s="715">
        <v>15459.427000000001</v>
      </c>
      <c r="P78" s="715">
        <v>0</v>
      </c>
      <c r="Q78" s="715">
        <v>0</v>
      </c>
      <c r="R78" s="715">
        <v>0</v>
      </c>
      <c r="S78" s="715">
        <v>0</v>
      </c>
      <c r="T78" s="715">
        <v>0</v>
      </c>
      <c r="U78" s="715"/>
      <c r="V78" s="715">
        <v>15459.427000000001</v>
      </c>
      <c r="W78" s="716">
        <v>0.1036</v>
      </c>
      <c r="X78" s="716">
        <v>1601.5966372</v>
      </c>
      <c r="Z78" s="1917">
        <v>0</v>
      </c>
      <c r="AA78" s="1917">
        <v>0</v>
      </c>
    </row>
    <row r="79" spans="1:27" s="88" customFormat="1" ht="51" x14ac:dyDescent="0.25">
      <c r="A79" s="1715">
        <v>92757</v>
      </c>
      <c r="B79" s="1716" t="s">
        <v>73</v>
      </c>
      <c r="C79" s="1717" t="s">
        <v>51</v>
      </c>
      <c r="D79" s="1718">
        <v>400.85999999999996</v>
      </c>
      <c r="E79" s="1718">
        <v>322.31766836283458</v>
      </c>
      <c r="F79" s="1718">
        <v>129204.26053992586</v>
      </c>
      <c r="G79" s="1719">
        <v>2.5075641689130878E-3</v>
      </c>
      <c r="H79" s="1720">
        <v>0.89103847586804141</v>
      </c>
      <c r="I79" s="1914">
        <v>100324</v>
      </c>
      <c r="J79" s="366"/>
      <c r="K79" s="360"/>
      <c r="L79" s="715">
        <v>0</v>
      </c>
      <c r="M79" s="715">
        <v>0</v>
      </c>
      <c r="N79" s="715">
        <v>0</v>
      </c>
      <c r="O79" s="715">
        <v>400.85999999999996</v>
      </c>
      <c r="P79" s="715">
        <v>0</v>
      </c>
      <c r="Q79" s="715">
        <v>0</v>
      </c>
      <c r="R79" s="715">
        <v>0</v>
      </c>
      <c r="S79" s="715">
        <v>0</v>
      </c>
      <c r="T79" s="715">
        <v>0</v>
      </c>
      <c r="U79" s="715"/>
      <c r="V79" s="715">
        <v>400.85999999999996</v>
      </c>
      <c r="W79" s="716">
        <v>2.649</v>
      </c>
      <c r="X79" s="716">
        <v>1061.8781399999998</v>
      </c>
      <c r="Z79" s="1917">
        <v>0</v>
      </c>
      <c r="AA79" s="1917">
        <v>0</v>
      </c>
    </row>
    <row r="80" spans="1:27" s="88" customFormat="1" ht="63.75" x14ac:dyDescent="0.25">
      <c r="A80" s="1715" t="s">
        <v>3023</v>
      </c>
      <c r="B80" s="1716" t="s">
        <v>3024</v>
      </c>
      <c r="C80" s="1717" t="s">
        <v>22</v>
      </c>
      <c r="D80" s="1718">
        <v>848</v>
      </c>
      <c r="E80" s="1718">
        <v>151.90317934784522</v>
      </c>
      <c r="F80" s="1718">
        <v>128813.89608697275</v>
      </c>
      <c r="G80" s="1719">
        <v>2.499988072653165E-3</v>
      </c>
      <c r="H80" s="1720">
        <v>0.89353846394069458</v>
      </c>
      <c r="I80" s="719" t="s">
        <v>463</v>
      </c>
      <c r="J80" s="367"/>
      <c r="K80" s="360"/>
      <c r="L80" s="715">
        <v>0</v>
      </c>
      <c r="M80" s="715">
        <v>0</v>
      </c>
      <c r="N80" s="715">
        <v>0</v>
      </c>
      <c r="O80" s="715">
        <v>848</v>
      </c>
      <c r="P80" s="715">
        <v>0</v>
      </c>
      <c r="Q80" s="715">
        <v>0</v>
      </c>
      <c r="R80" s="715">
        <v>0</v>
      </c>
      <c r="S80" s="715">
        <v>0</v>
      </c>
      <c r="T80" s="715">
        <v>0</v>
      </c>
      <c r="U80" s="715"/>
      <c r="V80" s="715">
        <v>848</v>
      </c>
      <c r="W80" s="716">
        <v>2.5591360000000001</v>
      </c>
      <c r="X80" s="716">
        <v>2170.147328</v>
      </c>
      <c r="Z80" s="1917">
        <v>0.266598</v>
      </c>
      <c r="AA80" s="1917">
        <v>226.07510400000001</v>
      </c>
    </row>
    <row r="81" spans="1:27" s="88" customFormat="1" ht="38.25" x14ac:dyDescent="0.25">
      <c r="A81" s="1715">
        <v>101581</v>
      </c>
      <c r="B81" s="1716" t="s">
        <v>1157</v>
      </c>
      <c r="C81" s="1717" t="s">
        <v>51</v>
      </c>
      <c r="D81" s="1718">
        <v>2986.7302799999998</v>
      </c>
      <c r="E81" s="1718">
        <v>43.055912540684041</v>
      </c>
      <c r="F81" s="1718">
        <v>128596.39771829275</v>
      </c>
      <c r="G81" s="1719">
        <v>2.4957669183830202E-3</v>
      </c>
      <c r="H81" s="1720">
        <v>0.89603423085907763</v>
      </c>
      <c r="I81" s="719" t="s">
        <v>463</v>
      </c>
      <c r="J81" s="367"/>
      <c r="K81" s="360"/>
      <c r="L81" s="715">
        <v>0</v>
      </c>
      <c r="M81" s="715">
        <v>0</v>
      </c>
      <c r="N81" s="715">
        <v>0</v>
      </c>
      <c r="O81" s="715">
        <v>2986.7302799999998</v>
      </c>
      <c r="P81" s="715">
        <v>0</v>
      </c>
      <c r="Q81" s="715">
        <v>0</v>
      </c>
      <c r="R81" s="715">
        <v>0</v>
      </c>
      <c r="S81" s="715">
        <v>0</v>
      </c>
      <c r="T81" s="715">
        <v>0</v>
      </c>
      <c r="U81" s="715"/>
      <c r="V81" s="715">
        <v>2986.7302799999998</v>
      </c>
      <c r="W81" s="716">
        <v>0.82129999999999992</v>
      </c>
      <c r="X81" s="716">
        <v>2453.0015789639997</v>
      </c>
      <c r="Z81" s="1917">
        <v>0</v>
      </c>
      <c r="AA81" s="1917">
        <v>0</v>
      </c>
    </row>
    <row r="82" spans="1:27" s="88" customFormat="1" ht="51" x14ac:dyDescent="0.25">
      <c r="A82" s="1715" t="s">
        <v>2118</v>
      </c>
      <c r="B82" s="1716" t="s">
        <v>2331</v>
      </c>
      <c r="C82" s="1717" t="s">
        <v>51</v>
      </c>
      <c r="D82" s="1718">
        <v>4011.1809200000002</v>
      </c>
      <c r="E82" s="1718">
        <v>31.779517458605039</v>
      </c>
      <c r="F82" s="1718">
        <v>127473.39407676343</v>
      </c>
      <c r="G82" s="1719">
        <v>2.4739719428822889E-3</v>
      </c>
      <c r="H82" s="1720">
        <v>0.89850820280195987</v>
      </c>
      <c r="I82" s="719" t="s">
        <v>463</v>
      </c>
      <c r="J82" s="367"/>
      <c r="K82" s="360"/>
      <c r="L82" s="715">
        <v>0</v>
      </c>
      <c r="M82" s="715">
        <v>0</v>
      </c>
      <c r="N82" s="715">
        <v>0</v>
      </c>
      <c r="O82" s="715">
        <v>4011.1809200000002</v>
      </c>
      <c r="P82" s="715">
        <v>0</v>
      </c>
      <c r="Q82" s="715">
        <v>0</v>
      </c>
      <c r="R82" s="715">
        <v>0</v>
      </c>
      <c r="S82" s="715">
        <v>0</v>
      </c>
      <c r="T82" s="715">
        <v>0</v>
      </c>
      <c r="U82" s="715"/>
      <c r="V82" s="715">
        <v>4011.1809200000002</v>
      </c>
      <c r="W82" s="716">
        <v>0.59999900000000006</v>
      </c>
      <c r="X82" s="716">
        <v>2406.7045408190802</v>
      </c>
      <c r="Z82" s="1917">
        <v>0</v>
      </c>
      <c r="AA82" s="1917">
        <v>0</v>
      </c>
    </row>
    <row r="83" spans="1:27" s="88" customFormat="1" x14ac:dyDescent="0.25">
      <c r="A83" s="1715" t="s">
        <v>2333</v>
      </c>
      <c r="B83" s="1716" t="s">
        <v>2351</v>
      </c>
      <c r="C83" s="1717" t="s">
        <v>22</v>
      </c>
      <c r="D83" s="1718">
        <v>2357</v>
      </c>
      <c r="E83" s="1718">
        <v>53.486642054508501</v>
      </c>
      <c r="F83" s="1718">
        <v>126068.01532247654</v>
      </c>
      <c r="G83" s="1719">
        <v>2.4466967013904452E-3</v>
      </c>
      <c r="H83" s="1720">
        <v>0.90095489950335028</v>
      </c>
      <c r="I83" s="719" t="s">
        <v>1482</v>
      </c>
      <c r="J83" s="366"/>
      <c r="K83" s="360"/>
      <c r="L83" s="715">
        <v>0</v>
      </c>
      <c r="M83" s="715">
        <v>0</v>
      </c>
      <c r="N83" s="715">
        <v>0</v>
      </c>
      <c r="O83" s="715">
        <v>2357</v>
      </c>
      <c r="P83" s="715">
        <v>0</v>
      </c>
      <c r="Q83" s="715">
        <v>0</v>
      </c>
      <c r="R83" s="715">
        <v>0</v>
      </c>
      <c r="S83" s="715">
        <v>0</v>
      </c>
      <c r="T83" s="715">
        <v>0</v>
      </c>
      <c r="U83" s="715"/>
      <c r="V83" s="715">
        <v>2357</v>
      </c>
      <c r="W83" s="716">
        <v>0</v>
      </c>
      <c r="X83" s="716">
        <v>0</v>
      </c>
      <c r="Z83" s="1917">
        <v>0</v>
      </c>
      <c r="AA83" s="1917">
        <v>0</v>
      </c>
    </row>
    <row r="84" spans="1:27" s="88" customFormat="1" x14ac:dyDescent="0.25">
      <c r="A84" s="1715" t="s">
        <v>2343</v>
      </c>
      <c r="B84" s="1716" t="s">
        <v>2360</v>
      </c>
      <c r="C84" s="1717" t="s">
        <v>22</v>
      </c>
      <c r="D84" s="1718">
        <v>306.75</v>
      </c>
      <c r="E84" s="1718">
        <v>408.77368316599785</v>
      </c>
      <c r="F84" s="1718">
        <v>125391.32731116984</v>
      </c>
      <c r="G84" s="1719">
        <v>2.4335637086888508E-3</v>
      </c>
      <c r="H84" s="1720">
        <v>0.90338846321203914</v>
      </c>
      <c r="I84" s="719" t="s">
        <v>463</v>
      </c>
      <c r="J84" s="367"/>
      <c r="K84" s="368"/>
      <c r="L84" s="715">
        <v>0</v>
      </c>
      <c r="M84" s="715">
        <v>0</v>
      </c>
      <c r="N84" s="715">
        <v>0</v>
      </c>
      <c r="O84" s="715">
        <v>306.75</v>
      </c>
      <c r="P84" s="715">
        <v>0</v>
      </c>
      <c r="Q84" s="715">
        <v>0</v>
      </c>
      <c r="R84" s="715">
        <v>0</v>
      </c>
      <c r="S84" s="715">
        <v>0</v>
      </c>
      <c r="T84" s="715">
        <v>0</v>
      </c>
      <c r="U84" s="715"/>
      <c r="V84" s="715">
        <v>306.75</v>
      </c>
      <c r="W84" s="716">
        <v>0</v>
      </c>
      <c r="X84" s="716">
        <v>0</v>
      </c>
      <c r="Z84" s="1917">
        <v>0</v>
      </c>
      <c r="AA84" s="1917">
        <v>0</v>
      </c>
    </row>
    <row r="85" spans="1:27" s="88" customFormat="1" ht="63.75" x14ac:dyDescent="0.25">
      <c r="A85" s="1715" t="s">
        <v>2572</v>
      </c>
      <c r="B85" s="1716" t="s">
        <v>4130</v>
      </c>
      <c r="C85" s="1717" t="s">
        <v>41</v>
      </c>
      <c r="D85" s="1718">
        <v>121</v>
      </c>
      <c r="E85" s="1718">
        <v>1024.4489282477743</v>
      </c>
      <c r="F85" s="1718">
        <v>123958.3203179807</v>
      </c>
      <c r="G85" s="1719">
        <v>2.4057522652046592E-3</v>
      </c>
      <c r="H85" s="1720">
        <v>0.90579421547724381</v>
      </c>
      <c r="I85" s="719" t="s">
        <v>443</v>
      </c>
      <c r="J85" s="367"/>
      <c r="K85" s="368"/>
      <c r="L85" s="715">
        <v>0</v>
      </c>
      <c r="M85" s="715">
        <v>0</v>
      </c>
      <c r="N85" s="715">
        <v>0</v>
      </c>
      <c r="O85" s="715">
        <v>121</v>
      </c>
      <c r="P85" s="715">
        <v>0</v>
      </c>
      <c r="Q85" s="715">
        <v>0</v>
      </c>
      <c r="R85" s="715">
        <v>0</v>
      </c>
      <c r="S85" s="715">
        <v>0</v>
      </c>
      <c r="T85" s="715">
        <v>0</v>
      </c>
      <c r="U85" s="715"/>
      <c r="V85" s="715">
        <v>121</v>
      </c>
      <c r="W85" s="716">
        <v>35.060336931499322</v>
      </c>
      <c r="X85" s="716">
        <v>4242.3007687114177</v>
      </c>
      <c r="Z85" s="1917">
        <v>2.2967999999999999E-2</v>
      </c>
      <c r="AA85" s="1917">
        <v>2.779128</v>
      </c>
    </row>
    <row r="86" spans="1:27" s="88" customFormat="1" ht="25.5" x14ac:dyDescent="0.25">
      <c r="A86" s="1715" t="s">
        <v>3635</v>
      </c>
      <c r="B86" s="1716" t="s">
        <v>3639</v>
      </c>
      <c r="C86" s="1717" t="s">
        <v>55</v>
      </c>
      <c r="D86" s="1718">
        <v>5764.14</v>
      </c>
      <c r="E86" s="1718">
        <v>21.44</v>
      </c>
      <c r="F86" s="1718">
        <v>123583.16160000002</v>
      </c>
      <c r="G86" s="1719">
        <v>2.3984712780689985E-3</v>
      </c>
      <c r="H86" s="1720">
        <v>0.90819268675531284</v>
      </c>
      <c r="I86" s="719" t="s">
        <v>324</v>
      </c>
      <c r="J86" s="367"/>
      <c r="K86" s="368"/>
      <c r="L86" s="715">
        <v>0</v>
      </c>
      <c r="M86" s="715">
        <v>0</v>
      </c>
      <c r="N86" s="715">
        <v>5764.14</v>
      </c>
      <c r="O86" s="715">
        <v>0</v>
      </c>
      <c r="P86" s="715">
        <v>0</v>
      </c>
      <c r="Q86" s="715">
        <v>0</v>
      </c>
      <c r="R86" s="715">
        <v>0</v>
      </c>
      <c r="S86" s="715">
        <v>0</v>
      </c>
      <c r="T86" s="715">
        <v>0</v>
      </c>
      <c r="U86" s="715"/>
      <c r="V86" s="715">
        <v>5764.14</v>
      </c>
      <c r="W86" s="716">
        <v>0</v>
      </c>
      <c r="X86" s="716">
        <v>0</v>
      </c>
      <c r="Z86" s="1917">
        <v>0</v>
      </c>
      <c r="AA86" s="1917">
        <v>0</v>
      </c>
    </row>
    <row r="87" spans="1:27" s="88" customFormat="1" ht="25.5" x14ac:dyDescent="0.25">
      <c r="A87" s="1715" t="s">
        <v>2159</v>
      </c>
      <c r="B87" s="1716" t="s">
        <v>4059</v>
      </c>
      <c r="C87" s="1717" t="s">
        <v>51</v>
      </c>
      <c r="D87" s="1718">
        <v>21828.982000000004</v>
      </c>
      <c r="E87" s="1718">
        <v>5.4913917587156424</v>
      </c>
      <c r="F87" s="1718">
        <v>119871.49185595212</v>
      </c>
      <c r="G87" s="1719">
        <v>2.326436114382293E-3</v>
      </c>
      <c r="H87" s="1720">
        <v>0.91051912286969516</v>
      </c>
      <c r="I87" s="719" t="s">
        <v>463</v>
      </c>
      <c r="J87" s="367"/>
      <c r="K87" s="360"/>
      <c r="L87" s="715">
        <v>0</v>
      </c>
      <c r="M87" s="715">
        <v>0</v>
      </c>
      <c r="N87" s="715">
        <v>0</v>
      </c>
      <c r="O87" s="715">
        <v>0</v>
      </c>
      <c r="P87" s="715">
        <v>0</v>
      </c>
      <c r="Q87" s="715">
        <v>21828.982000000004</v>
      </c>
      <c r="R87" s="715">
        <v>0</v>
      </c>
      <c r="S87" s="715">
        <v>0</v>
      </c>
      <c r="T87" s="715">
        <v>0</v>
      </c>
      <c r="U87" s="715"/>
      <c r="V87" s="715">
        <v>21828.982000000004</v>
      </c>
      <c r="W87" s="716">
        <v>3.0099999999999998E-2</v>
      </c>
      <c r="X87" s="716">
        <v>657.05235820000007</v>
      </c>
      <c r="Z87" s="1917">
        <v>0</v>
      </c>
      <c r="AA87" s="1917">
        <v>0</v>
      </c>
    </row>
    <row r="88" spans="1:27" s="88" customFormat="1" ht="38.25" x14ac:dyDescent="0.25">
      <c r="A88" s="1715">
        <v>96399</v>
      </c>
      <c r="B88" s="1716" t="s">
        <v>577</v>
      </c>
      <c r="C88" s="1717" t="s">
        <v>44</v>
      </c>
      <c r="D88" s="1718">
        <v>695.6</v>
      </c>
      <c r="E88" s="1718">
        <v>171.06843283352831</v>
      </c>
      <c r="F88" s="1718">
        <v>118995.2018790023</v>
      </c>
      <c r="G88" s="1719">
        <v>2.3094292963517218E-3</v>
      </c>
      <c r="H88" s="1720">
        <v>0.91282855216604686</v>
      </c>
      <c r="I88" s="719" t="s">
        <v>463</v>
      </c>
      <c r="J88" s="367"/>
      <c r="K88" s="368"/>
      <c r="L88" s="715">
        <v>0</v>
      </c>
      <c r="M88" s="715">
        <v>0</v>
      </c>
      <c r="N88" s="715">
        <v>695.6</v>
      </c>
      <c r="O88" s="715">
        <v>0</v>
      </c>
      <c r="P88" s="715">
        <v>0</v>
      </c>
      <c r="Q88" s="715">
        <v>0</v>
      </c>
      <c r="R88" s="715">
        <v>0</v>
      </c>
      <c r="S88" s="715">
        <v>0</v>
      </c>
      <c r="T88" s="715">
        <v>0</v>
      </c>
      <c r="U88" s="715"/>
      <c r="V88" s="715">
        <v>695.6</v>
      </c>
      <c r="W88" s="716">
        <v>0.21199999999999999</v>
      </c>
      <c r="X88" s="716">
        <v>147.46719999999999</v>
      </c>
      <c r="Z88" s="1917">
        <v>0</v>
      </c>
      <c r="AA88" s="1917">
        <v>0</v>
      </c>
    </row>
    <row r="89" spans="1:27" s="88" customFormat="1" x14ac:dyDescent="0.25">
      <c r="A89" s="1715">
        <v>98504</v>
      </c>
      <c r="B89" s="1716" t="s">
        <v>627</v>
      </c>
      <c r="C89" s="1717" t="s">
        <v>51</v>
      </c>
      <c r="D89" s="1718">
        <v>8628.6948025999991</v>
      </c>
      <c r="E89" s="1718">
        <v>13.670071728959492</v>
      </c>
      <c r="F89" s="1718">
        <v>117954.87687884195</v>
      </c>
      <c r="G89" s="1719">
        <v>2.2892389273691102E-3</v>
      </c>
      <c r="H89" s="1720">
        <v>0.91511779109341596</v>
      </c>
      <c r="I89" s="719" t="s">
        <v>463</v>
      </c>
      <c r="J89" s="367"/>
      <c r="K89" s="368"/>
      <c r="L89" s="715">
        <v>0</v>
      </c>
      <c r="M89" s="715">
        <v>0</v>
      </c>
      <c r="N89" s="715">
        <v>0</v>
      </c>
      <c r="O89" s="715">
        <v>8628.6948025999991</v>
      </c>
      <c r="P89" s="715">
        <v>0</v>
      </c>
      <c r="Q89" s="715">
        <v>0</v>
      </c>
      <c r="R89" s="715">
        <v>0</v>
      </c>
      <c r="S89" s="715">
        <v>0</v>
      </c>
      <c r="T89" s="715">
        <v>0</v>
      </c>
      <c r="U89" s="715"/>
      <c r="V89" s="715">
        <v>8628.6948025999991</v>
      </c>
      <c r="W89" s="716">
        <v>0.19550000000000001</v>
      </c>
      <c r="X89" s="716">
        <v>1686.9098339082998</v>
      </c>
      <c r="Z89" s="1917">
        <v>0</v>
      </c>
      <c r="AA89" s="1917">
        <v>0</v>
      </c>
    </row>
    <row r="90" spans="1:27" s="88" customFormat="1" ht="51" x14ac:dyDescent="0.25">
      <c r="A90" s="1715">
        <v>92743</v>
      </c>
      <c r="B90" s="1716" t="s">
        <v>609</v>
      </c>
      <c r="C90" s="1717" t="s">
        <v>44</v>
      </c>
      <c r="D90" s="1718">
        <v>159.44999999999999</v>
      </c>
      <c r="E90" s="1718">
        <v>707.07724007212232</v>
      </c>
      <c r="F90" s="1718">
        <v>112743.4659294999</v>
      </c>
      <c r="G90" s="1719">
        <v>2.1880971591995281E-3</v>
      </c>
      <c r="H90" s="1720">
        <v>0.9173058882526155</v>
      </c>
      <c r="I90" s="719" t="s">
        <v>463</v>
      </c>
      <c r="J90" s="367"/>
      <c r="K90" s="368"/>
      <c r="L90" s="715">
        <v>0</v>
      </c>
      <c r="M90" s="715">
        <v>0</v>
      </c>
      <c r="N90" s="715">
        <v>0</v>
      </c>
      <c r="O90" s="715">
        <v>159.44999999999999</v>
      </c>
      <c r="P90" s="715">
        <v>0</v>
      </c>
      <c r="Q90" s="715">
        <v>0</v>
      </c>
      <c r="R90" s="715">
        <v>0</v>
      </c>
      <c r="S90" s="715">
        <v>0</v>
      </c>
      <c r="T90" s="715">
        <v>0</v>
      </c>
      <c r="U90" s="715"/>
      <c r="V90" s="715">
        <v>159.44999999999999</v>
      </c>
      <c r="W90" s="716">
        <v>5.718</v>
      </c>
      <c r="X90" s="716">
        <v>911.73509999999987</v>
      </c>
      <c r="Z90" s="1917">
        <v>0</v>
      </c>
      <c r="AA90" s="1917">
        <v>0</v>
      </c>
    </row>
    <row r="91" spans="1:27" s="88" customFormat="1" ht="51" x14ac:dyDescent="0.25">
      <c r="A91" s="1715">
        <v>92809</v>
      </c>
      <c r="B91" s="1716" t="s">
        <v>520</v>
      </c>
      <c r="C91" s="1717" t="s">
        <v>22</v>
      </c>
      <c r="D91" s="1718">
        <v>2348.7114999999999</v>
      </c>
      <c r="E91" s="1718">
        <v>47.96558618981738</v>
      </c>
      <c r="F91" s="1718">
        <v>112657.32388826525</v>
      </c>
      <c r="G91" s="1719">
        <v>2.1864253358778018E-3</v>
      </c>
      <c r="H91" s="1720">
        <v>0.91949231358849326</v>
      </c>
      <c r="I91" s="719" t="s">
        <v>463</v>
      </c>
      <c r="J91" s="367"/>
      <c r="K91" s="360"/>
      <c r="L91" s="715">
        <v>0</v>
      </c>
      <c r="M91" s="715">
        <v>0</v>
      </c>
      <c r="N91" s="715">
        <v>0</v>
      </c>
      <c r="O91" s="715">
        <v>2348.7114999999999</v>
      </c>
      <c r="P91" s="715">
        <v>0</v>
      </c>
      <c r="Q91" s="715">
        <v>0</v>
      </c>
      <c r="R91" s="715">
        <v>0</v>
      </c>
      <c r="S91" s="715">
        <v>0</v>
      </c>
      <c r="T91" s="715">
        <v>0</v>
      </c>
      <c r="U91" s="715"/>
      <c r="V91" s="715">
        <v>2348.7114999999999</v>
      </c>
      <c r="W91" s="716">
        <v>1.2841399999999998</v>
      </c>
      <c r="X91" s="716">
        <v>3016.0743856099994</v>
      </c>
      <c r="Z91" s="1917">
        <v>0</v>
      </c>
      <c r="AA91" s="1917">
        <v>0</v>
      </c>
    </row>
    <row r="92" spans="1:27" s="88" customFormat="1" ht="38.25" x14ac:dyDescent="0.25">
      <c r="A92" s="1715">
        <v>99318</v>
      </c>
      <c r="B92" s="1716" t="s">
        <v>1292</v>
      </c>
      <c r="C92" s="1717" t="s">
        <v>22</v>
      </c>
      <c r="D92" s="1718">
        <v>441</v>
      </c>
      <c r="E92" s="1718">
        <v>253.23326537343624</v>
      </c>
      <c r="F92" s="1718">
        <v>111675.87002968538</v>
      </c>
      <c r="G92" s="1719">
        <v>2.1673775233758612E-3</v>
      </c>
      <c r="H92" s="1720">
        <v>0.92165969111186907</v>
      </c>
      <c r="I92" s="1914">
        <v>98082</v>
      </c>
      <c r="J92" s="367"/>
      <c r="K92" s="360"/>
      <c r="L92" s="715">
        <v>0</v>
      </c>
      <c r="M92" s="715">
        <v>0</v>
      </c>
      <c r="N92" s="715">
        <v>0</v>
      </c>
      <c r="O92" s="715">
        <v>441</v>
      </c>
      <c r="P92" s="715">
        <v>0</v>
      </c>
      <c r="Q92" s="715">
        <v>0</v>
      </c>
      <c r="R92" s="715">
        <v>0</v>
      </c>
      <c r="S92" s="715">
        <v>0</v>
      </c>
      <c r="T92" s="715">
        <v>0</v>
      </c>
      <c r="U92" s="715"/>
      <c r="V92" s="715">
        <v>441</v>
      </c>
      <c r="W92" s="716">
        <v>0.78210399999999991</v>
      </c>
      <c r="X92" s="716">
        <v>344.90786399999996</v>
      </c>
      <c r="Z92" s="1917">
        <v>6.1999999999999998E-3</v>
      </c>
      <c r="AA92" s="1917">
        <v>2.7342</v>
      </c>
    </row>
    <row r="93" spans="1:27" s="88" customFormat="1" ht="38.25" x14ac:dyDescent="0.25">
      <c r="A93" s="1715">
        <v>100943</v>
      </c>
      <c r="B93" s="1716" t="s">
        <v>786</v>
      </c>
      <c r="C93" s="1717" t="s">
        <v>42</v>
      </c>
      <c r="D93" s="1718">
        <v>29589.668679940383</v>
      </c>
      <c r="E93" s="1718">
        <v>3.7303892922336646</v>
      </c>
      <c r="F93" s="1718">
        <v>110380.98320439144</v>
      </c>
      <c r="G93" s="1719">
        <v>2.1422466817740756E-3</v>
      </c>
      <c r="H93" s="1720">
        <v>0.92380193779364317</v>
      </c>
      <c r="I93" s="719" t="s">
        <v>400</v>
      </c>
      <c r="J93" s="366"/>
      <c r="K93" s="360"/>
      <c r="L93" s="715">
        <v>0</v>
      </c>
      <c r="M93" s="715">
        <v>0</v>
      </c>
      <c r="N93" s="715">
        <v>1147.74</v>
      </c>
      <c r="O93" s="715">
        <v>4872.3820799186369</v>
      </c>
      <c r="P93" s="715">
        <v>4245.5197213430338</v>
      </c>
      <c r="Q93" s="715">
        <v>17814.922028678713</v>
      </c>
      <c r="R93" s="715">
        <v>1509.1048499999999</v>
      </c>
      <c r="S93" s="715">
        <v>0</v>
      </c>
      <c r="T93" s="715">
        <v>0</v>
      </c>
      <c r="U93" s="715"/>
      <c r="V93" s="715">
        <v>29589.668679940383</v>
      </c>
      <c r="W93" s="716">
        <v>1.7000000000000001E-2</v>
      </c>
      <c r="X93" s="716">
        <v>503.02436755898657</v>
      </c>
      <c r="Z93" s="1917">
        <v>0</v>
      </c>
      <c r="AA93" s="1917">
        <v>0</v>
      </c>
    </row>
    <row r="94" spans="1:27" s="88" customFormat="1" x14ac:dyDescent="0.25">
      <c r="A94" s="1715" t="s">
        <v>2345</v>
      </c>
      <c r="B94" s="1716" t="s">
        <v>2366</v>
      </c>
      <c r="C94" s="1717" t="s">
        <v>22</v>
      </c>
      <c r="D94" s="1718">
        <v>127.13</v>
      </c>
      <c r="E94" s="1718">
        <v>860.83089335971272</v>
      </c>
      <c r="F94" s="1718">
        <v>109437.43147282027</v>
      </c>
      <c r="G94" s="1719">
        <v>2.1239344643308078E-3</v>
      </c>
      <c r="H94" s="1720">
        <v>0.92592587225797396</v>
      </c>
      <c r="I94" s="719" t="s">
        <v>463</v>
      </c>
      <c r="J94" s="367"/>
      <c r="K94" s="360"/>
      <c r="L94" s="715">
        <v>0</v>
      </c>
      <c r="M94" s="715">
        <v>0</v>
      </c>
      <c r="N94" s="715">
        <v>0</v>
      </c>
      <c r="O94" s="715">
        <v>127.13</v>
      </c>
      <c r="P94" s="715">
        <v>0</v>
      </c>
      <c r="Q94" s="715">
        <v>0</v>
      </c>
      <c r="R94" s="715">
        <v>0</v>
      </c>
      <c r="S94" s="715">
        <v>0</v>
      </c>
      <c r="T94" s="715">
        <v>0</v>
      </c>
      <c r="U94" s="715"/>
      <c r="V94" s="715">
        <v>127.13</v>
      </c>
      <c r="W94" s="716">
        <v>0</v>
      </c>
      <c r="X94" s="716">
        <v>0</v>
      </c>
      <c r="Z94" s="1917">
        <v>0</v>
      </c>
      <c r="AA94" s="1917">
        <v>0</v>
      </c>
    </row>
    <row r="95" spans="1:27" s="88" customFormat="1" ht="25.5" x14ac:dyDescent="0.25">
      <c r="A95" s="1715">
        <v>100577</v>
      </c>
      <c r="B95" s="1716" t="s">
        <v>635</v>
      </c>
      <c r="C95" s="1717" t="s">
        <v>51</v>
      </c>
      <c r="D95" s="1718">
        <v>117059.26630000002</v>
      </c>
      <c r="E95" s="1718">
        <v>0.92658056613545858</v>
      </c>
      <c r="F95" s="1718">
        <v>108464.84123965542</v>
      </c>
      <c r="G95" s="1719">
        <v>2.1050586748674613E-3</v>
      </c>
      <c r="H95" s="1720">
        <v>0.92803093093284139</v>
      </c>
      <c r="I95" s="1914">
        <v>100953</v>
      </c>
      <c r="J95" s="366"/>
      <c r="K95" s="360"/>
      <c r="L95" s="715">
        <v>3450</v>
      </c>
      <c r="M95" s="715">
        <v>0</v>
      </c>
      <c r="N95" s="715">
        <v>0</v>
      </c>
      <c r="O95" s="715">
        <v>2434.2552999999998</v>
      </c>
      <c r="P95" s="715">
        <v>0</v>
      </c>
      <c r="Q95" s="715">
        <v>111175.01100000001</v>
      </c>
      <c r="R95" s="715">
        <v>0</v>
      </c>
      <c r="S95" s="715">
        <v>0</v>
      </c>
      <c r="T95" s="715">
        <v>0</v>
      </c>
      <c r="U95" s="715"/>
      <c r="V95" s="715">
        <v>117059.26630000002</v>
      </c>
      <c r="W95" s="716">
        <v>1.21E-2</v>
      </c>
      <c r="X95" s="716">
        <v>1416.4171222300001</v>
      </c>
      <c r="Z95" s="1917">
        <v>0</v>
      </c>
      <c r="AA95" s="1917">
        <v>0</v>
      </c>
    </row>
    <row r="96" spans="1:27" s="88" customFormat="1" ht="38.25" x14ac:dyDescent="0.25">
      <c r="A96" s="1715" t="s">
        <v>3325</v>
      </c>
      <c r="B96" s="1716" t="s">
        <v>3326</v>
      </c>
      <c r="C96" s="1717" t="s">
        <v>55</v>
      </c>
      <c r="D96" s="1718">
        <v>32.5586184</v>
      </c>
      <c r="E96" s="1718">
        <v>3303.0696256429787</v>
      </c>
      <c r="F96" s="1718">
        <v>107543.38348994061</v>
      </c>
      <c r="G96" s="1719">
        <v>2.0871752519315886E-3</v>
      </c>
      <c r="H96" s="1720">
        <v>0.93011810618477297</v>
      </c>
      <c r="I96" s="1914">
        <v>97629</v>
      </c>
      <c r="J96" s="366"/>
      <c r="K96" s="360"/>
      <c r="L96" s="715">
        <v>0</v>
      </c>
      <c r="M96" s="715">
        <v>0</v>
      </c>
      <c r="N96" s="715">
        <v>0</v>
      </c>
      <c r="O96" s="715">
        <v>0</v>
      </c>
      <c r="P96" s="715">
        <v>0</v>
      </c>
      <c r="Q96" s="715">
        <v>32.5586184</v>
      </c>
      <c r="R96" s="715">
        <v>0</v>
      </c>
      <c r="S96" s="715">
        <v>0</v>
      </c>
      <c r="T96" s="715">
        <v>0</v>
      </c>
      <c r="U96" s="715"/>
      <c r="V96" s="715">
        <v>32.5586184</v>
      </c>
      <c r="W96" s="716">
        <v>0</v>
      </c>
      <c r="X96" s="716">
        <v>0</v>
      </c>
      <c r="Z96" s="1917">
        <v>0</v>
      </c>
      <c r="AA96" s="1917">
        <v>0</v>
      </c>
    </row>
    <row r="97" spans="1:27" s="88" customFormat="1" ht="51" x14ac:dyDescent="0.25">
      <c r="A97" s="1715">
        <v>100341</v>
      </c>
      <c r="B97" s="1716" t="s">
        <v>582</v>
      </c>
      <c r="C97" s="1717" t="s">
        <v>51</v>
      </c>
      <c r="D97" s="1718">
        <v>2920.09</v>
      </c>
      <c r="E97" s="1718">
        <v>36.076474510053309</v>
      </c>
      <c r="F97" s="1718">
        <v>105346.55245206157</v>
      </c>
      <c r="G97" s="1719">
        <v>2.0445397012715597E-3</v>
      </c>
      <c r="H97" s="1720">
        <v>0.93216264588604458</v>
      </c>
      <c r="I97" s="719" t="s">
        <v>322</v>
      </c>
      <c r="J97" s="366"/>
      <c r="K97" s="360"/>
      <c r="L97" s="715">
        <v>0</v>
      </c>
      <c r="M97" s="715">
        <v>0</v>
      </c>
      <c r="N97" s="715">
        <v>0</v>
      </c>
      <c r="O97" s="715">
        <v>2108.59</v>
      </c>
      <c r="P97" s="715">
        <v>0</v>
      </c>
      <c r="Q97" s="715">
        <v>0</v>
      </c>
      <c r="R97" s="715">
        <v>811.5</v>
      </c>
      <c r="S97" s="715">
        <v>0</v>
      </c>
      <c r="T97" s="715">
        <v>0</v>
      </c>
      <c r="U97" s="715"/>
      <c r="V97" s="715">
        <v>2920.09</v>
      </c>
      <c r="W97" s="716">
        <v>0.68709999999999993</v>
      </c>
      <c r="X97" s="716">
        <v>2006.3938389999998</v>
      </c>
      <c r="Z97" s="1917">
        <v>0</v>
      </c>
      <c r="AA97" s="1917">
        <v>0</v>
      </c>
    </row>
    <row r="98" spans="1:27" s="88" customFormat="1" ht="25.5" x14ac:dyDescent="0.25">
      <c r="A98" s="1715" t="s">
        <v>1183</v>
      </c>
      <c r="B98" s="1716" t="s">
        <v>2718</v>
      </c>
      <c r="C98" s="1717" t="s">
        <v>51</v>
      </c>
      <c r="D98" s="1718">
        <v>48.89</v>
      </c>
      <c r="E98" s="1718">
        <v>2072.791171235051</v>
      </c>
      <c r="F98" s="1718">
        <v>101338.76036168165</v>
      </c>
      <c r="G98" s="1719">
        <v>1.966757468702035E-3</v>
      </c>
      <c r="H98" s="1720">
        <v>0.93412940335474659</v>
      </c>
      <c r="I98" s="718">
        <v>98525</v>
      </c>
      <c r="J98" s="367"/>
      <c r="K98" s="368"/>
      <c r="L98" s="715">
        <v>0</v>
      </c>
      <c r="M98" s="715">
        <v>0</v>
      </c>
      <c r="N98" s="715">
        <v>0</v>
      </c>
      <c r="O98" s="715">
        <v>48.89</v>
      </c>
      <c r="P98" s="715">
        <v>0</v>
      </c>
      <c r="Q98" s="715">
        <v>0</v>
      </c>
      <c r="R98" s="715">
        <v>0</v>
      </c>
      <c r="S98" s="715">
        <v>0</v>
      </c>
      <c r="T98" s="715">
        <v>0</v>
      </c>
      <c r="U98" s="715"/>
      <c r="V98" s="715">
        <v>48.89</v>
      </c>
      <c r="W98" s="716">
        <v>17.627066666666668</v>
      </c>
      <c r="X98" s="716">
        <v>861.78728933333343</v>
      </c>
      <c r="Z98" s="1917">
        <v>0.24746666666666667</v>
      </c>
      <c r="AA98" s="1917">
        <v>12.098645333333334</v>
      </c>
    </row>
    <row r="99" spans="1:27" s="88" customFormat="1" ht="25.5" x14ac:dyDescent="0.25">
      <c r="A99" s="1715" t="s">
        <v>834</v>
      </c>
      <c r="B99" s="1716" t="s">
        <v>835</v>
      </c>
      <c r="C99" s="1717" t="s">
        <v>41</v>
      </c>
      <c r="D99" s="1718">
        <v>341</v>
      </c>
      <c r="E99" s="1718">
        <v>295.46943961043024</v>
      </c>
      <c r="F99" s="1718">
        <v>100755.07890715671</v>
      </c>
      <c r="G99" s="1719">
        <v>1.9554295241334149E-3</v>
      </c>
      <c r="H99" s="1720">
        <v>0.93608483287888</v>
      </c>
      <c r="I99" s="719" t="s">
        <v>463</v>
      </c>
      <c r="J99" s="367"/>
      <c r="K99" s="368"/>
      <c r="L99" s="715">
        <v>0</v>
      </c>
      <c r="M99" s="715">
        <v>0</v>
      </c>
      <c r="N99" s="715">
        <v>0</v>
      </c>
      <c r="O99" s="715">
        <v>0</v>
      </c>
      <c r="P99" s="715">
        <v>0</v>
      </c>
      <c r="Q99" s="715">
        <v>0</v>
      </c>
      <c r="R99" s="715">
        <v>0</v>
      </c>
      <c r="S99" s="715">
        <v>341</v>
      </c>
      <c r="T99" s="715">
        <v>0</v>
      </c>
      <c r="U99" s="715"/>
      <c r="V99" s="715">
        <v>341</v>
      </c>
      <c r="W99" s="716">
        <v>0.82812918187999995</v>
      </c>
      <c r="X99" s="716">
        <v>282.39205102107996</v>
      </c>
      <c r="Z99" s="1917">
        <v>4.5966599999999996E-2</v>
      </c>
      <c r="AA99" s="1917">
        <v>15.674610599999999</v>
      </c>
    </row>
    <row r="100" spans="1:27" s="88" customFormat="1" ht="25.5" x14ac:dyDescent="0.25">
      <c r="A100" s="1715">
        <v>101616</v>
      </c>
      <c r="B100" s="1716" t="s">
        <v>1169</v>
      </c>
      <c r="C100" s="1717" t="s">
        <v>51</v>
      </c>
      <c r="D100" s="1718">
        <v>15835.517999999998</v>
      </c>
      <c r="E100" s="1718">
        <v>6.3416617967972293</v>
      </c>
      <c r="F100" s="1718">
        <v>100423.49953309486</v>
      </c>
      <c r="G100" s="1719">
        <v>1.9489943140708862E-3</v>
      </c>
      <c r="H100" s="1720">
        <v>0.93803382719295092</v>
      </c>
      <c r="I100" s="719" t="s">
        <v>463</v>
      </c>
      <c r="J100" s="367"/>
      <c r="K100" s="368"/>
      <c r="L100" s="715">
        <v>0</v>
      </c>
      <c r="M100" s="715">
        <v>0</v>
      </c>
      <c r="N100" s="715">
        <v>0</v>
      </c>
      <c r="O100" s="715">
        <v>1799.6100000000001</v>
      </c>
      <c r="P100" s="715">
        <v>0</v>
      </c>
      <c r="Q100" s="715">
        <v>0</v>
      </c>
      <c r="R100" s="715">
        <v>0</v>
      </c>
      <c r="S100" s="715">
        <v>0</v>
      </c>
      <c r="T100" s="715">
        <v>14035.907999999998</v>
      </c>
      <c r="U100" s="715"/>
      <c r="V100" s="715">
        <v>15835.517999999998</v>
      </c>
      <c r="W100" s="716">
        <v>0.26229999999999998</v>
      </c>
      <c r="X100" s="716">
        <v>4153.6563713999994</v>
      </c>
      <c r="Z100" s="1917">
        <v>0</v>
      </c>
      <c r="AA100" s="1917">
        <v>0</v>
      </c>
    </row>
    <row r="101" spans="1:27" s="88" customFormat="1" x14ac:dyDescent="0.25">
      <c r="A101" s="1715" t="s">
        <v>568</v>
      </c>
      <c r="B101" s="1716" t="s">
        <v>74</v>
      </c>
      <c r="C101" s="1717" t="s">
        <v>51</v>
      </c>
      <c r="D101" s="1718">
        <v>12140.741002599998</v>
      </c>
      <c r="E101" s="1718">
        <v>7.7495829167692909</v>
      </c>
      <c r="F101" s="1718">
        <v>94085.679070669416</v>
      </c>
      <c r="G101" s="1719">
        <v>1.8259914700921366E-3</v>
      </c>
      <c r="H101" s="1720">
        <v>0.93985981866304302</v>
      </c>
      <c r="I101" s="719" t="s">
        <v>463</v>
      </c>
      <c r="J101" s="367"/>
      <c r="K101" s="368"/>
      <c r="L101" s="715">
        <v>0</v>
      </c>
      <c r="M101" s="715">
        <v>0</v>
      </c>
      <c r="N101" s="715">
        <v>0</v>
      </c>
      <c r="O101" s="715">
        <v>9677.5910025999983</v>
      </c>
      <c r="P101" s="715">
        <v>0</v>
      </c>
      <c r="Q101" s="715">
        <v>0</v>
      </c>
      <c r="R101" s="715">
        <v>2463.1499999999996</v>
      </c>
      <c r="S101" s="715">
        <v>0</v>
      </c>
      <c r="T101" s="715">
        <v>0</v>
      </c>
      <c r="U101" s="715"/>
      <c r="V101" s="715">
        <v>12140.741002599998</v>
      </c>
      <c r="W101" s="716">
        <v>0.02</v>
      </c>
      <c r="X101" s="716">
        <v>242.81482005199996</v>
      </c>
      <c r="Z101" s="1917">
        <v>0</v>
      </c>
      <c r="AA101" s="1917">
        <v>0</v>
      </c>
    </row>
    <row r="102" spans="1:27" s="88" customFormat="1" ht="38.25" x14ac:dyDescent="0.25">
      <c r="A102" s="1715">
        <v>98525</v>
      </c>
      <c r="B102" s="1716" t="s">
        <v>597</v>
      </c>
      <c r="C102" s="1717" t="s">
        <v>51</v>
      </c>
      <c r="D102" s="1718">
        <v>259013.04514999996</v>
      </c>
      <c r="E102" s="1718">
        <v>0.3610054153774514</v>
      </c>
      <c r="F102" s="1718">
        <v>93505.111952554304</v>
      </c>
      <c r="G102" s="1719">
        <v>1.8147239677903473E-3</v>
      </c>
      <c r="H102" s="1720">
        <v>0.94167454263083339</v>
      </c>
      <c r="I102" s="719" t="s">
        <v>239</v>
      </c>
      <c r="J102" s="367"/>
      <c r="K102" s="368"/>
      <c r="L102" s="715">
        <v>37020</v>
      </c>
      <c r="M102" s="715">
        <v>0</v>
      </c>
      <c r="N102" s="715">
        <v>0</v>
      </c>
      <c r="O102" s="715">
        <v>77429.407000000007</v>
      </c>
      <c r="P102" s="715">
        <v>142582.63814999996</v>
      </c>
      <c r="Q102" s="715">
        <v>0</v>
      </c>
      <c r="R102" s="715">
        <v>1981</v>
      </c>
      <c r="S102" s="715">
        <v>0</v>
      </c>
      <c r="T102" s="715">
        <v>0</v>
      </c>
      <c r="U102" s="715"/>
      <c r="V102" s="715">
        <v>259013.04514999996</v>
      </c>
      <c r="W102" s="716">
        <v>8.9999999999999993E-3</v>
      </c>
      <c r="X102" s="716">
        <v>2331.1174063499993</v>
      </c>
      <c r="Z102" s="1917">
        <v>0</v>
      </c>
      <c r="AA102" s="1917">
        <v>0</v>
      </c>
    </row>
    <row r="103" spans="1:27" s="88" customFormat="1" ht="51" x14ac:dyDescent="0.25">
      <c r="A103" s="1715">
        <v>100952</v>
      </c>
      <c r="B103" s="1716" t="s">
        <v>797</v>
      </c>
      <c r="C103" s="1717" t="s">
        <v>42</v>
      </c>
      <c r="D103" s="1718">
        <v>42269.961065059004</v>
      </c>
      <c r="E103" s="1718">
        <v>2.1780660061106234</v>
      </c>
      <c r="F103" s="1718">
        <v>92066.765275424623</v>
      </c>
      <c r="G103" s="1719">
        <v>1.7868088930476605E-3</v>
      </c>
      <c r="H103" s="1720">
        <v>0.943461351523881</v>
      </c>
      <c r="I103" s="719" t="s">
        <v>463</v>
      </c>
      <c r="J103" s="367"/>
      <c r="K103" s="368"/>
      <c r="L103" s="715">
        <v>17.600000000000001</v>
      </c>
      <c r="M103" s="715">
        <v>0</v>
      </c>
      <c r="N103" s="715">
        <v>476.15456655899987</v>
      </c>
      <c r="O103" s="715">
        <v>40991.4064985</v>
      </c>
      <c r="P103" s="715">
        <v>0</v>
      </c>
      <c r="Q103" s="715">
        <v>0</v>
      </c>
      <c r="R103" s="715">
        <v>784.80000000000007</v>
      </c>
      <c r="S103" s="715">
        <v>0</v>
      </c>
      <c r="T103" s="715">
        <v>0</v>
      </c>
      <c r="U103" s="715"/>
      <c r="V103" s="715">
        <v>42269.961065059004</v>
      </c>
      <c r="W103" s="716">
        <v>1.3299999999999999E-2</v>
      </c>
      <c r="X103" s="716">
        <v>562.19048216528472</v>
      </c>
      <c r="Z103" s="1917">
        <v>0</v>
      </c>
      <c r="AA103" s="1917">
        <v>0</v>
      </c>
    </row>
    <row r="104" spans="1:27" s="88" customFormat="1" ht="76.5" x14ac:dyDescent="0.25">
      <c r="A104" s="1715">
        <v>101232</v>
      </c>
      <c r="B104" s="1716" t="s">
        <v>562</v>
      </c>
      <c r="C104" s="1717" t="s">
        <v>44</v>
      </c>
      <c r="D104" s="1718">
        <v>10799.395</v>
      </c>
      <c r="E104" s="1718">
        <v>8.1827894152222314</v>
      </c>
      <c r="F104" s="1718">
        <v>88369.175096803898</v>
      </c>
      <c r="G104" s="1719">
        <v>1.7150469820666437E-3</v>
      </c>
      <c r="H104" s="1720">
        <v>0.94517639850594759</v>
      </c>
      <c r="I104" s="719" t="s">
        <v>463</v>
      </c>
      <c r="J104" s="367"/>
      <c r="K104" s="368"/>
      <c r="L104" s="715">
        <v>0</v>
      </c>
      <c r="M104" s="715">
        <v>0</v>
      </c>
      <c r="N104" s="715">
        <v>0</v>
      </c>
      <c r="O104" s="715">
        <v>10799.395</v>
      </c>
      <c r="P104" s="715">
        <v>0</v>
      </c>
      <c r="Q104" s="715">
        <v>0</v>
      </c>
      <c r="R104" s="715">
        <v>0</v>
      </c>
      <c r="S104" s="715">
        <v>0</v>
      </c>
      <c r="T104" s="715">
        <v>0</v>
      </c>
      <c r="U104" s="715"/>
      <c r="V104" s="715">
        <v>10799.395</v>
      </c>
      <c r="W104" s="716">
        <v>4.5600000000000002E-2</v>
      </c>
      <c r="X104" s="716">
        <v>492.45241200000004</v>
      </c>
      <c r="Z104" s="1917">
        <v>0</v>
      </c>
      <c r="AA104" s="1917">
        <v>0</v>
      </c>
    </row>
    <row r="105" spans="1:27" s="88" customFormat="1" ht="38.25" x14ac:dyDescent="0.25">
      <c r="A105" s="1715" t="s">
        <v>252</v>
      </c>
      <c r="B105" s="1716" t="s">
        <v>254</v>
      </c>
      <c r="C105" s="1717" t="s">
        <v>205</v>
      </c>
      <c r="D105" s="1718">
        <v>36</v>
      </c>
      <c r="E105" s="1718">
        <v>2406.7027691830094</v>
      </c>
      <c r="F105" s="1718">
        <v>86641.299690588334</v>
      </c>
      <c r="G105" s="1719">
        <v>1.681512805725505E-3</v>
      </c>
      <c r="H105" s="1720">
        <v>0.94685791131167307</v>
      </c>
      <c r="I105" s="719" t="s">
        <v>463</v>
      </c>
      <c r="J105" s="367"/>
      <c r="K105" s="368"/>
      <c r="L105" s="715">
        <v>36</v>
      </c>
      <c r="M105" s="715">
        <v>0</v>
      </c>
      <c r="N105" s="715">
        <v>0</v>
      </c>
      <c r="O105" s="715">
        <v>0</v>
      </c>
      <c r="P105" s="715">
        <v>0</v>
      </c>
      <c r="Q105" s="715">
        <v>0</v>
      </c>
      <c r="R105" s="715">
        <v>0</v>
      </c>
      <c r="S105" s="715">
        <v>0</v>
      </c>
      <c r="T105" s="715">
        <v>0</v>
      </c>
      <c r="U105" s="715"/>
      <c r="V105" s="715">
        <v>36</v>
      </c>
      <c r="W105" s="716">
        <v>0</v>
      </c>
      <c r="X105" s="716">
        <v>0</v>
      </c>
      <c r="Z105" s="1917">
        <v>0</v>
      </c>
      <c r="AA105" s="1917">
        <v>0</v>
      </c>
    </row>
    <row r="106" spans="1:27" s="88" customFormat="1" ht="25.5" x14ac:dyDescent="0.25">
      <c r="A106" s="1715" t="s">
        <v>2574</v>
      </c>
      <c r="B106" s="1716" t="s">
        <v>2575</v>
      </c>
      <c r="C106" s="1717" t="s">
        <v>41</v>
      </c>
      <c r="D106" s="1718">
        <v>13</v>
      </c>
      <c r="E106" s="1718">
        <v>5808.5544795102487</v>
      </c>
      <c r="F106" s="1718">
        <v>75511.208233633239</v>
      </c>
      <c r="G106" s="1719">
        <v>1.4655027576237099E-3</v>
      </c>
      <c r="H106" s="1720">
        <v>0.94832341406929677</v>
      </c>
      <c r="I106" s="719" t="s">
        <v>463</v>
      </c>
      <c r="J106" s="367"/>
      <c r="K106" s="368"/>
      <c r="L106" s="715">
        <v>0</v>
      </c>
      <c r="M106" s="715">
        <v>0</v>
      </c>
      <c r="N106" s="715">
        <v>0</v>
      </c>
      <c r="O106" s="715">
        <v>13</v>
      </c>
      <c r="P106" s="715">
        <v>0</v>
      </c>
      <c r="Q106" s="715">
        <v>0</v>
      </c>
      <c r="R106" s="715">
        <v>0</v>
      </c>
      <c r="S106" s="715">
        <v>0</v>
      </c>
      <c r="T106" s="715">
        <v>0</v>
      </c>
      <c r="U106" s="715"/>
      <c r="V106" s="715">
        <v>13</v>
      </c>
      <c r="W106" s="716">
        <v>248.74794484609794</v>
      </c>
      <c r="X106" s="716">
        <v>3233.7232829992731</v>
      </c>
      <c r="Z106" s="1917">
        <v>0.34237280000000003</v>
      </c>
      <c r="AA106" s="1917">
        <v>4.4508464000000005</v>
      </c>
    </row>
    <row r="107" spans="1:27" s="88" customFormat="1" x14ac:dyDescent="0.25">
      <c r="A107" s="1715" t="s">
        <v>2338</v>
      </c>
      <c r="B107" s="1716" t="s">
        <v>2361</v>
      </c>
      <c r="C107" s="1717" t="s">
        <v>22</v>
      </c>
      <c r="D107" s="1718">
        <v>199.82000000000002</v>
      </c>
      <c r="E107" s="1718">
        <v>371.90126524551698</v>
      </c>
      <c r="F107" s="1718">
        <v>74313.310821359206</v>
      </c>
      <c r="G107" s="1719">
        <v>1.442254262438647E-3</v>
      </c>
      <c r="H107" s="1720">
        <v>0.94976566833173537</v>
      </c>
      <c r="I107" s="719" t="s">
        <v>403</v>
      </c>
      <c r="J107" s="367"/>
      <c r="K107" s="368"/>
      <c r="L107" s="715">
        <v>0</v>
      </c>
      <c r="M107" s="715">
        <v>0</v>
      </c>
      <c r="N107" s="715">
        <v>0</v>
      </c>
      <c r="O107" s="715">
        <v>199.82000000000002</v>
      </c>
      <c r="P107" s="715">
        <v>0</v>
      </c>
      <c r="Q107" s="715">
        <v>0</v>
      </c>
      <c r="R107" s="715">
        <v>0</v>
      </c>
      <c r="S107" s="715">
        <v>0</v>
      </c>
      <c r="T107" s="715">
        <v>0</v>
      </c>
      <c r="U107" s="715"/>
      <c r="V107" s="715">
        <v>199.82000000000002</v>
      </c>
      <c r="W107" s="716">
        <v>0</v>
      </c>
      <c r="X107" s="716">
        <v>0</v>
      </c>
      <c r="Z107" s="1917">
        <v>0</v>
      </c>
      <c r="AA107" s="1917">
        <v>0</v>
      </c>
    </row>
    <row r="108" spans="1:27" s="88" customFormat="1" ht="25.5" x14ac:dyDescent="0.25">
      <c r="A108" s="1715">
        <v>100930</v>
      </c>
      <c r="B108" s="1716" t="s">
        <v>3656</v>
      </c>
      <c r="C108" s="1717" t="s">
        <v>22</v>
      </c>
      <c r="D108" s="1718">
        <v>175</v>
      </c>
      <c r="E108" s="1718">
        <v>422.79750897622523</v>
      </c>
      <c r="F108" s="1718">
        <v>73989.56407083942</v>
      </c>
      <c r="G108" s="1719">
        <v>1.4359710659866648E-3</v>
      </c>
      <c r="H108" s="1720">
        <v>0.95120163939772207</v>
      </c>
      <c r="I108" s="719" t="s">
        <v>917</v>
      </c>
      <c r="J108" s="366"/>
      <c r="K108" s="368"/>
      <c r="L108" s="715">
        <v>0</v>
      </c>
      <c r="M108" s="715">
        <v>0</v>
      </c>
      <c r="N108" s="715">
        <v>0</v>
      </c>
      <c r="O108" s="715">
        <v>175</v>
      </c>
      <c r="P108" s="715">
        <v>0</v>
      </c>
      <c r="Q108" s="715">
        <v>0</v>
      </c>
      <c r="R108" s="715">
        <v>0</v>
      </c>
      <c r="S108" s="715">
        <v>0</v>
      </c>
      <c r="T108" s="715">
        <v>0</v>
      </c>
      <c r="U108" s="715"/>
      <c r="V108" s="715">
        <v>175</v>
      </c>
      <c r="W108" s="716">
        <v>3.4083915999999999</v>
      </c>
      <c r="X108" s="716">
        <v>596.46852999999999</v>
      </c>
      <c r="Z108" s="1917">
        <v>0</v>
      </c>
      <c r="AA108" s="1917">
        <v>0</v>
      </c>
    </row>
    <row r="109" spans="1:27" s="88" customFormat="1" ht="51" x14ac:dyDescent="0.25">
      <c r="A109" s="1715" t="s">
        <v>2394</v>
      </c>
      <c r="B109" s="1716" t="s">
        <v>2414</v>
      </c>
      <c r="C109" s="1717" t="s">
        <v>41</v>
      </c>
      <c r="D109" s="1718">
        <v>17</v>
      </c>
      <c r="E109" s="1718">
        <v>4208.7267878651828</v>
      </c>
      <c r="F109" s="1718">
        <v>71548.355393708101</v>
      </c>
      <c r="G109" s="1719">
        <v>1.3885926948552995E-3</v>
      </c>
      <c r="H109" s="1720">
        <v>0.95259023209257732</v>
      </c>
      <c r="I109" s="719" t="s">
        <v>463</v>
      </c>
      <c r="J109" s="367"/>
      <c r="K109" s="368"/>
      <c r="L109" s="715">
        <v>0</v>
      </c>
      <c r="M109" s="715">
        <v>0</v>
      </c>
      <c r="N109" s="715">
        <v>0</v>
      </c>
      <c r="O109" s="715">
        <v>17</v>
      </c>
      <c r="P109" s="715">
        <v>0</v>
      </c>
      <c r="Q109" s="715">
        <v>0</v>
      </c>
      <c r="R109" s="715">
        <v>0</v>
      </c>
      <c r="S109" s="715">
        <v>0</v>
      </c>
      <c r="T109" s="715">
        <v>0</v>
      </c>
      <c r="U109" s="715"/>
      <c r="V109" s="715">
        <v>17</v>
      </c>
      <c r="W109" s="716">
        <v>51.193398683111404</v>
      </c>
      <c r="X109" s="716">
        <v>870.28777761289382</v>
      </c>
      <c r="Z109" s="1917">
        <v>0.30067400399999994</v>
      </c>
      <c r="AA109" s="1917">
        <v>5.1114580679999992</v>
      </c>
    </row>
    <row r="110" spans="1:27" s="88" customFormat="1" x14ac:dyDescent="0.25">
      <c r="A110" s="1715" t="s">
        <v>461</v>
      </c>
      <c r="B110" s="1716" t="s">
        <v>462</v>
      </c>
      <c r="C110" s="1717" t="s">
        <v>205</v>
      </c>
      <c r="D110" s="1718">
        <v>3</v>
      </c>
      <c r="E110" s="1718">
        <v>22972.639775113348</v>
      </c>
      <c r="F110" s="1718">
        <v>68917.919325340044</v>
      </c>
      <c r="G110" s="1719">
        <v>1.3375418455559599E-3</v>
      </c>
      <c r="H110" s="1720">
        <v>0.95392777393813333</v>
      </c>
      <c r="I110" s="719" t="s">
        <v>463</v>
      </c>
      <c r="J110" s="367"/>
      <c r="K110" s="368"/>
      <c r="L110" s="715">
        <v>0</v>
      </c>
      <c r="M110" s="715">
        <v>3</v>
      </c>
      <c r="N110" s="715">
        <v>0</v>
      </c>
      <c r="O110" s="715">
        <v>0</v>
      </c>
      <c r="P110" s="715">
        <v>0</v>
      </c>
      <c r="Q110" s="715">
        <v>0</v>
      </c>
      <c r="R110" s="715">
        <v>0</v>
      </c>
      <c r="S110" s="715">
        <v>0</v>
      </c>
      <c r="T110" s="715">
        <v>0</v>
      </c>
      <c r="U110" s="715"/>
      <c r="V110" s="715">
        <v>3</v>
      </c>
      <c r="W110" s="716">
        <v>0</v>
      </c>
      <c r="X110" s="716">
        <v>0</v>
      </c>
      <c r="Z110" s="1917">
        <v>0</v>
      </c>
      <c r="AA110" s="1917">
        <v>0</v>
      </c>
    </row>
    <row r="111" spans="1:27" s="88" customFormat="1" ht="38.25" x14ac:dyDescent="0.25">
      <c r="A111" s="1715" t="s">
        <v>843</v>
      </c>
      <c r="B111" s="1716" t="s">
        <v>844</v>
      </c>
      <c r="C111" s="1717" t="s">
        <v>41</v>
      </c>
      <c r="D111" s="1718">
        <v>339</v>
      </c>
      <c r="E111" s="1718">
        <v>199.76996637669197</v>
      </c>
      <c r="F111" s="1718">
        <v>67722.018601698583</v>
      </c>
      <c r="G111" s="1719">
        <v>1.3143321016075096E-3</v>
      </c>
      <c r="H111" s="1720">
        <v>0.9552421060397408</v>
      </c>
      <c r="I111" s="719" t="s">
        <v>463</v>
      </c>
      <c r="J111" s="367"/>
      <c r="K111" s="368"/>
      <c r="L111" s="715">
        <v>0</v>
      </c>
      <c r="M111" s="715">
        <v>0</v>
      </c>
      <c r="N111" s="715">
        <v>0</v>
      </c>
      <c r="O111" s="715">
        <v>0</v>
      </c>
      <c r="P111" s="715">
        <v>0</v>
      </c>
      <c r="Q111" s="715">
        <v>0</v>
      </c>
      <c r="R111" s="715">
        <v>0</v>
      </c>
      <c r="S111" s="715">
        <v>339</v>
      </c>
      <c r="T111" s="715">
        <v>0</v>
      </c>
      <c r="U111" s="715"/>
      <c r="V111" s="715">
        <v>339</v>
      </c>
      <c r="W111" s="716">
        <v>1.7762939089789334</v>
      </c>
      <c r="X111" s="716">
        <v>602.16363514385841</v>
      </c>
      <c r="Z111" s="1917">
        <v>0</v>
      </c>
      <c r="AA111" s="1917">
        <v>0</v>
      </c>
    </row>
    <row r="112" spans="1:27" s="88" customFormat="1" x14ac:dyDescent="0.25">
      <c r="A112" s="1715" t="s">
        <v>2347</v>
      </c>
      <c r="B112" s="1716" t="s">
        <v>2358</v>
      </c>
      <c r="C112" s="1717" t="s">
        <v>22</v>
      </c>
      <c r="D112" s="1718">
        <v>144.87</v>
      </c>
      <c r="E112" s="1718">
        <v>445.96494843106586</v>
      </c>
      <c r="F112" s="1718">
        <v>64606.942079208515</v>
      </c>
      <c r="G112" s="1719">
        <v>1.2538754708541862E-3</v>
      </c>
      <c r="H112" s="1720">
        <v>0.95649598151059501</v>
      </c>
      <c r="I112" s="719" t="s">
        <v>463</v>
      </c>
      <c r="J112" s="367"/>
      <c r="K112" s="368"/>
      <c r="L112" s="715">
        <v>0</v>
      </c>
      <c r="M112" s="715">
        <v>0</v>
      </c>
      <c r="N112" s="715">
        <v>0</v>
      </c>
      <c r="O112" s="715">
        <v>144.87</v>
      </c>
      <c r="P112" s="715">
        <v>0</v>
      </c>
      <c r="Q112" s="715">
        <v>0</v>
      </c>
      <c r="R112" s="715">
        <v>0</v>
      </c>
      <c r="S112" s="715">
        <v>0</v>
      </c>
      <c r="T112" s="715">
        <v>0</v>
      </c>
      <c r="U112" s="715"/>
      <c r="V112" s="715">
        <v>144.87</v>
      </c>
      <c r="W112" s="716">
        <v>0</v>
      </c>
      <c r="X112" s="716">
        <v>0</v>
      </c>
      <c r="Z112" s="1917">
        <v>0</v>
      </c>
      <c r="AA112" s="1917">
        <v>0</v>
      </c>
    </row>
    <row r="113" spans="1:27" s="88" customFormat="1" ht="38.25" x14ac:dyDescent="0.25">
      <c r="A113" s="1715">
        <v>93599</v>
      </c>
      <c r="B113" s="1716" t="s">
        <v>788</v>
      </c>
      <c r="C113" s="1717" t="s">
        <v>42</v>
      </c>
      <c r="D113" s="1718">
        <v>130755.57647624999</v>
      </c>
      <c r="E113" s="1718">
        <v>0.49337406768251685</v>
      </c>
      <c r="F113" s="1718">
        <v>64511.410638259869</v>
      </c>
      <c r="G113" s="1719">
        <v>1.2520214203969769E-3</v>
      </c>
      <c r="H113" s="1720">
        <v>0.95774800293099194</v>
      </c>
      <c r="I113" s="719" t="s">
        <v>463</v>
      </c>
      <c r="J113" s="367"/>
      <c r="K113" s="368"/>
      <c r="L113" s="715">
        <v>7698.5997412499983</v>
      </c>
      <c r="M113" s="715">
        <v>0</v>
      </c>
      <c r="N113" s="715">
        <v>30988.98</v>
      </c>
      <c r="O113" s="715">
        <v>51322.165784999997</v>
      </c>
      <c r="P113" s="715">
        <v>0</v>
      </c>
      <c r="Q113" s="715">
        <v>0</v>
      </c>
      <c r="R113" s="715">
        <v>40745.830949999996</v>
      </c>
      <c r="S113" s="715">
        <v>0</v>
      </c>
      <c r="T113" s="715">
        <v>0</v>
      </c>
      <c r="U113" s="715"/>
      <c r="V113" s="715">
        <v>130755.57647624999</v>
      </c>
      <c r="W113" s="716">
        <v>2.3E-3</v>
      </c>
      <c r="X113" s="716">
        <v>300.73782589537495</v>
      </c>
      <c r="Z113" s="1917">
        <v>0</v>
      </c>
      <c r="AA113" s="1917">
        <v>0</v>
      </c>
    </row>
    <row r="114" spans="1:27" s="88" customFormat="1" x14ac:dyDescent="0.25">
      <c r="A114" s="1715">
        <v>99063</v>
      </c>
      <c r="B114" s="1716" t="s">
        <v>53</v>
      </c>
      <c r="C114" s="1717" t="s">
        <v>22</v>
      </c>
      <c r="D114" s="1718">
        <v>11822.83</v>
      </c>
      <c r="E114" s="1718">
        <v>5.4511817721995168</v>
      </c>
      <c r="F114" s="1718">
        <v>64448.39539181361</v>
      </c>
      <c r="G114" s="1719">
        <v>1.250798436159278E-3</v>
      </c>
      <c r="H114" s="1720">
        <v>0.95899880136715121</v>
      </c>
      <c r="I114" s="719" t="s">
        <v>463</v>
      </c>
      <c r="J114" s="367"/>
      <c r="K114" s="368"/>
      <c r="L114" s="715">
        <v>0</v>
      </c>
      <c r="M114" s="715">
        <v>0</v>
      </c>
      <c r="N114" s="715">
        <v>0</v>
      </c>
      <c r="O114" s="715">
        <v>11777.83</v>
      </c>
      <c r="P114" s="715">
        <v>0</v>
      </c>
      <c r="Q114" s="715">
        <v>0</v>
      </c>
      <c r="R114" s="715">
        <v>45</v>
      </c>
      <c r="S114" s="715">
        <v>0</v>
      </c>
      <c r="T114" s="715">
        <v>0</v>
      </c>
      <c r="U114" s="715"/>
      <c r="V114" s="715">
        <v>11822.83</v>
      </c>
      <c r="W114" s="716">
        <v>0.12065999999999999</v>
      </c>
      <c r="X114" s="716">
        <v>1426.5426677999999</v>
      </c>
      <c r="Z114" s="1917">
        <v>0</v>
      </c>
      <c r="AA114" s="1917">
        <v>0</v>
      </c>
    </row>
    <row r="115" spans="1:27" s="88" customFormat="1" ht="25.5" x14ac:dyDescent="0.25">
      <c r="A115" s="1715">
        <v>92873</v>
      </c>
      <c r="B115" s="1716" t="s">
        <v>595</v>
      </c>
      <c r="C115" s="1717" t="s">
        <v>44</v>
      </c>
      <c r="D115" s="1718">
        <v>277.82</v>
      </c>
      <c r="E115" s="1718">
        <v>224.8943402663063</v>
      </c>
      <c r="F115" s="1718">
        <v>62480.145612785214</v>
      </c>
      <c r="G115" s="1719">
        <v>1.2125991337466645E-3</v>
      </c>
      <c r="H115" s="1720">
        <v>0.96021140050089793</v>
      </c>
      <c r="I115" s="719" t="s">
        <v>463</v>
      </c>
      <c r="J115" s="367"/>
      <c r="K115" s="368"/>
      <c r="L115" s="715">
        <v>0</v>
      </c>
      <c r="M115" s="715">
        <v>0</v>
      </c>
      <c r="N115" s="715">
        <v>0</v>
      </c>
      <c r="O115" s="715">
        <v>277.82</v>
      </c>
      <c r="P115" s="715">
        <v>0</v>
      </c>
      <c r="Q115" s="715">
        <v>0</v>
      </c>
      <c r="R115" s="715">
        <v>0</v>
      </c>
      <c r="S115" s="715">
        <v>0</v>
      </c>
      <c r="T115" s="715">
        <v>0</v>
      </c>
      <c r="U115" s="715"/>
      <c r="V115" s="715">
        <v>277.82</v>
      </c>
      <c r="W115" s="716">
        <v>9.23</v>
      </c>
      <c r="X115" s="716">
        <v>2564.2786000000001</v>
      </c>
      <c r="Z115" s="1917">
        <v>0</v>
      </c>
      <c r="AA115" s="1917">
        <v>0</v>
      </c>
    </row>
    <row r="116" spans="1:27" s="88" customFormat="1" x14ac:dyDescent="0.25">
      <c r="A116" s="1715" t="s">
        <v>2341</v>
      </c>
      <c r="B116" s="1716" t="s">
        <v>2353</v>
      </c>
      <c r="C116" s="1717" t="s">
        <v>22</v>
      </c>
      <c r="D116" s="1718">
        <v>377.07000000000005</v>
      </c>
      <c r="E116" s="1718">
        <v>165.50454665110212</v>
      </c>
      <c r="F116" s="1718">
        <v>62406.799405731086</v>
      </c>
      <c r="G116" s="1719">
        <v>1.2111756487937224E-3</v>
      </c>
      <c r="H116" s="1720">
        <v>0.96142257614969162</v>
      </c>
      <c r="I116" s="719" t="s">
        <v>463</v>
      </c>
      <c r="J116" s="367"/>
      <c r="K116" s="368"/>
      <c r="L116" s="715">
        <v>0</v>
      </c>
      <c r="M116" s="715">
        <v>0</v>
      </c>
      <c r="N116" s="715">
        <v>0</v>
      </c>
      <c r="O116" s="715">
        <v>377.07000000000005</v>
      </c>
      <c r="P116" s="715">
        <v>0</v>
      </c>
      <c r="Q116" s="715">
        <v>0</v>
      </c>
      <c r="R116" s="715">
        <v>0</v>
      </c>
      <c r="S116" s="715">
        <v>0</v>
      </c>
      <c r="T116" s="715">
        <v>0</v>
      </c>
      <c r="U116" s="715"/>
      <c r="V116" s="715">
        <v>377.07000000000005</v>
      </c>
      <c r="W116" s="716">
        <v>0</v>
      </c>
      <c r="X116" s="716">
        <v>0</v>
      </c>
      <c r="Z116" s="1917">
        <v>0</v>
      </c>
      <c r="AA116" s="1917">
        <v>0</v>
      </c>
    </row>
    <row r="117" spans="1:27" s="88" customFormat="1" ht="51" x14ac:dyDescent="0.25">
      <c r="A117" s="1715">
        <v>92815</v>
      </c>
      <c r="B117" s="1716" t="s">
        <v>516</v>
      </c>
      <c r="C117" s="1717" t="s">
        <v>22</v>
      </c>
      <c r="D117" s="1718">
        <v>506.57000000000005</v>
      </c>
      <c r="E117" s="1718">
        <v>123.09081312986503</v>
      </c>
      <c r="F117" s="1718">
        <v>62354.113207195733</v>
      </c>
      <c r="G117" s="1719">
        <v>1.2101531281501197E-3</v>
      </c>
      <c r="H117" s="1720">
        <v>0.96263272927784171</v>
      </c>
      <c r="I117" s="719" t="s">
        <v>463</v>
      </c>
      <c r="J117" s="367"/>
      <c r="K117" s="368"/>
      <c r="L117" s="715">
        <v>0</v>
      </c>
      <c r="M117" s="715">
        <v>0</v>
      </c>
      <c r="N117" s="715">
        <v>0</v>
      </c>
      <c r="O117" s="715">
        <v>506.57000000000005</v>
      </c>
      <c r="P117" s="715">
        <v>0</v>
      </c>
      <c r="Q117" s="715">
        <v>0</v>
      </c>
      <c r="R117" s="715">
        <v>0</v>
      </c>
      <c r="S117" s="715">
        <v>0</v>
      </c>
      <c r="T117" s="715">
        <v>0</v>
      </c>
      <c r="U117" s="715"/>
      <c r="V117" s="715">
        <v>506.57000000000005</v>
      </c>
      <c r="W117" s="716">
        <v>3.1199600000000003</v>
      </c>
      <c r="X117" s="716">
        <v>1580.4781372000002</v>
      </c>
      <c r="Z117" s="1917">
        <v>0</v>
      </c>
      <c r="AA117" s="1917">
        <v>0</v>
      </c>
    </row>
    <row r="118" spans="1:27" s="88" customFormat="1" ht="63.75" x14ac:dyDescent="0.25">
      <c r="A118" s="1715">
        <v>90100</v>
      </c>
      <c r="B118" s="1716" t="s">
        <v>1297</v>
      </c>
      <c r="C118" s="1717" t="s">
        <v>44</v>
      </c>
      <c r="D118" s="1718">
        <v>5203.7199999999993</v>
      </c>
      <c r="E118" s="1718">
        <v>11.708608972075341</v>
      </c>
      <c r="F118" s="1718">
        <v>60928.322680167883</v>
      </c>
      <c r="G118" s="1719">
        <v>1.1824817400472023E-3</v>
      </c>
      <c r="H118" s="1720">
        <v>0.96381521101788892</v>
      </c>
      <c r="I118" s="1914" t="s">
        <v>568</v>
      </c>
      <c r="J118" s="367"/>
      <c r="K118" s="368"/>
      <c r="L118" s="715">
        <v>0</v>
      </c>
      <c r="M118" s="715">
        <v>0</v>
      </c>
      <c r="N118" s="715">
        <v>0</v>
      </c>
      <c r="O118" s="715">
        <v>5203.7199999999993</v>
      </c>
      <c r="P118" s="715">
        <v>0</v>
      </c>
      <c r="Q118" s="715">
        <v>0</v>
      </c>
      <c r="R118" s="715">
        <v>0</v>
      </c>
      <c r="S118" s="715">
        <v>0</v>
      </c>
      <c r="T118" s="715">
        <v>0</v>
      </c>
      <c r="U118" s="715"/>
      <c r="V118" s="715">
        <v>5203.7199999999993</v>
      </c>
      <c r="W118" s="716">
        <v>0.22049999999999997</v>
      </c>
      <c r="X118" s="716">
        <v>1147.4202599999996</v>
      </c>
      <c r="Z118" s="1917">
        <v>0</v>
      </c>
      <c r="AA118" s="1917">
        <v>0</v>
      </c>
    </row>
    <row r="119" spans="1:27" s="88" customFormat="1" ht="38.25" x14ac:dyDescent="0.25">
      <c r="A119" s="1715">
        <v>96557</v>
      </c>
      <c r="B119" s="1716" t="s">
        <v>541</v>
      </c>
      <c r="C119" s="1717" t="s">
        <v>44</v>
      </c>
      <c r="D119" s="1718">
        <v>121.7</v>
      </c>
      <c r="E119" s="1718">
        <v>495.62433477170305</v>
      </c>
      <c r="F119" s="1718">
        <v>60317.481541716261</v>
      </c>
      <c r="G119" s="1719">
        <v>1.1706266870847185E-3</v>
      </c>
      <c r="H119" s="1720">
        <v>0.96498583770497359</v>
      </c>
      <c r="I119" s="719" t="s">
        <v>463</v>
      </c>
      <c r="J119" s="367"/>
      <c r="K119" s="368"/>
      <c r="L119" s="715">
        <v>0</v>
      </c>
      <c r="M119" s="715">
        <v>0</v>
      </c>
      <c r="N119" s="715">
        <v>0</v>
      </c>
      <c r="O119" s="715">
        <v>0</v>
      </c>
      <c r="P119" s="715">
        <v>0</v>
      </c>
      <c r="Q119" s="715">
        <v>0</v>
      </c>
      <c r="R119" s="715">
        <v>121.7</v>
      </c>
      <c r="S119" s="715">
        <v>0</v>
      </c>
      <c r="T119" s="715">
        <v>0</v>
      </c>
      <c r="U119" s="715"/>
      <c r="V119" s="715">
        <v>121.7</v>
      </c>
      <c r="W119" s="716">
        <v>0.90700000000000003</v>
      </c>
      <c r="X119" s="716">
        <v>110.3819</v>
      </c>
      <c r="Z119" s="1917">
        <v>0</v>
      </c>
      <c r="AA119" s="1917">
        <v>0</v>
      </c>
    </row>
    <row r="120" spans="1:27" s="88" customFormat="1" ht="25.5" x14ac:dyDescent="0.25">
      <c r="A120" s="1715" t="s">
        <v>3723</v>
      </c>
      <c r="B120" s="1716" t="s">
        <v>3730</v>
      </c>
      <c r="C120" s="1717" t="s">
        <v>22</v>
      </c>
      <c r="D120" s="1718">
        <v>64.400000000000006</v>
      </c>
      <c r="E120" s="1718">
        <v>926.60141740425195</v>
      </c>
      <c r="F120" s="1718">
        <v>59673.131280833833</v>
      </c>
      <c r="G120" s="1719">
        <v>1.1581212974043273E-3</v>
      </c>
      <c r="H120" s="1720">
        <v>0.96614395900237793</v>
      </c>
      <c r="I120" s="719" t="s">
        <v>463</v>
      </c>
      <c r="J120" s="367"/>
      <c r="K120" s="368"/>
      <c r="L120" s="715">
        <v>0</v>
      </c>
      <c r="M120" s="715">
        <v>0</v>
      </c>
      <c r="N120" s="715">
        <v>0</v>
      </c>
      <c r="O120" s="715">
        <v>0</v>
      </c>
      <c r="P120" s="715">
        <v>0</v>
      </c>
      <c r="Q120" s="715">
        <v>0</v>
      </c>
      <c r="R120" s="715">
        <v>64.400000000000006</v>
      </c>
      <c r="S120" s="715">
        <v>0</v>
      </c>
      <c r="T120" s="715">
        <v>0</v>
      </c>
      <c r="U120" s="715"/>
      <c r="V120" s="715">
        <v>64.400000000000006</v>
      </c>
      <c r="W120" s="716">
        <v>1</v>
      </c>
      <c r="X120" s="716">
        <v>64.400000000000006</v>
      </c>
      <c r="Z120" s="1917">
        <v>0</v>
      </c>
      <c r="AA120" s="1917">
        <v>0</v>
      </c>
    </row>
    <row r="121" spans="1:27" s="88" customFormat="1" x14ac:dyDescent="0.25">
      <c r="A121" s="1715" t="s">
        <v>917</v>
      </c>
      <c r="B121" s="1716" t="s">
        <v>919</v>
      </c>
      <c r="C121" s="1717" t="s">
        <v>44</v>
      </c>
      <c r="D121" s="1718">
        <v>220.99441499999998</v>
      </c>
      <c r="E121" s="1718">
        <v>267.36649790760259</v>
      </c>
      <c r="F121" s="1718">
        <v>59086.502795689354</v>
      </c>
      <c r="G121" s="1719">
        <v>1.1467361575980628E-3</v>
      </c>
      <c r="H121" s="1720">
        <v>0.96729069515997601</v>
      </c>
      <c r="I121" s="719" t="s">
        <v>470</v>
      </c>
      <c r="J121" s="366"/>
      <c r="K121" s="368"/>
      <c r="L121" s="715">
        <v>0</v>
      </c>
      <c r="M121" s="715">
        <v>0</v>
      </c>
      <c r="N121" s="715">
        <v>220.99441499999998</v>
      </c>
      <c r="O121" s="715">
        <v>0</v>
      </c>
      <c r="P121" s="715">
        <v>0</v>
      </c>
      <c r="Q121" s="715">
        <v>0</v>
      </c>
      <c r="R121" s="715">
        <v>0</v>
      </c>
      <c r="S121" s="715">
        <v>0</v>
      </c>
      <c r="T121" s="715">
        <v>0</v>
      </c>
      <c r="U121" s="715"/>
      <c r="V121" s="715">
        <v>220.99441499999998</v>
      </c>
      <c r="W121" s="716">
        <v>12.077294685990339</v>
      </c>
      <c r="X121" s="716">
        <v>2669.0146739130432</v>
      </c>
      <c r="Z121" s="1917">
        <v>0</v>
      </c>
      <c r="AA121" s="1917">
        <v>0</v>
      </c>
    </row>
    <row r="122" spans="1:27" s="88" customFormat="1" ht="25.5" x14ac:dyDescent="0.25">
      <c r="A122" s="1715" t="s">
        <v>4096</v>
      </c>
      <c r="B122" s="1716" t="s">
        <v>4098</v>
      </c>
      <c r="C122" s="1717" t="s">
        <v>51</v>
      </c>
      <c r="D122" s="1718">
        <v>161</v>
      </c>
      <c r="E122" s="1718">
        <v>364.15049455621971</v>
      </c>
      <c r="F122" s="1718">
        <v>58628.229623551371</v>
      </c>
      <c r="G122" s="1719">
        <v>1.1378421057980277E-3</v>
      </c>
      <c r="H122" s="1720">
        <v>0.96842853726577405</v>
      </c>
      <c r="I122" s="719" t="s">
        <v>463</v>
      </c>
      <c r="J122" s="367"/>
      <c r="K122" s="368"/>
      <c r="L122" s="715">
        <v>0</v>
      </c>
      <c r="M122" s="715">
        <v>0</v>
      </c>
      <c r="N122" s="715">
        <v>0</v>
      </c>
      <c r="O122" s="715">
        <v>0</v>
      </c>
      <c r="P122" s="715">
        <v>0</v>
      </c>
      <c r="Q122" s="715">
        <v>0</v>
      </c>
      <c r="R122" s="715">
        <v>0</v>
      </c>
      <c r="S122" s="715">
        <v>161</v>
      </c>
      <c r="T122" s="715">
        <v>0</v>
      </c>
      <c r="U122" s="715"/>
      <c r="V122" s="715">
        <v>161</v>
      </c>
      <c r="W122" s="716">
        <v>0.2</v>
      </c>
      <c r="X122" s="716">
        <v>32.200000000000003</v>
      </c>
      <c r="Z122" s="1917">
        <v>0</v>
      </c>
      <c r="AA122" s="1917">
        <v>0</v>
      </c>
    </row>
    <row r="123" spans="1:27" s="88" customFormat="1" x14ac:dyDescent="0.25">
      <c r="A123" s="1715" t="s">
        <v>441</v>
      </c>
      <c r="B123" s="1716" t="s">
        <v>57</v>
      </c>
      <c r="C123" s="1717" t="s">
        <v>51</v>
      </c>
      <c r="D123" s="1718">
        <v>11441.158400000002</v>
      </c>
      <c r="E123" s="1718">
        <v>4.9946001731008849</v>
      </c>
      <c r="F123" s="1718">
        <v>57144.011725114651</v>
      </c>
      <c r="G123" s="1719">
        <v>1.1090367737956104E-3</v>
      </c>
      <c r="H123" s="1720">
        <v>0.96953757403956964</v>
      </c>
      <c r="I123" s="1755">
        <v>97741</v>
      </c>
      <c r="J123" s="367"/>
      <c r="K123" s="368"/>
      <c r="L123" s="715">
        <v>0</v>
      </c>
      <c r="M123" s="715">
        <v>0</v>
      </c>
      <c r="N123" s="715">
        <v>0</v>
      </c>
      <c r="O123" s="715">
        <v>0</v>
      </c>
      <c r="P123" s="715">
        <v>0</v>
      </c>
      <c r="Q123" s="715">
        <v>11441.158400000002</v>
      </c>
      <c r="R123" s="715">
        <v>0</v>
      </c>
      <c r="S123" s="715">
        <v>0</v>
      </c>
      <c r="T123" s="715">
        <v>0</v>
      </c>
      <c r="U123" s="715"/>
      <c r="V123" s="715">
        <v>11441.158400000002</v>
      </c>
      <c r="W123" s="716">
        <v>0.1575</v>
      </c>
      <c r="X123" s="716">
        <v>1801.9824480000004</v>
      </c>
      <c r="Z123" s="1917">
        <v>0</v>
      </c>
      <c r="AA123" s="1917">
        <v>0</v>
      </c>
    </row>
    <row r="124" spans="1:27" s="88" customFormat="1" x14ac:dyDescent="0.25">
      <c r="A124" s="1715" t="s">
        <v>2350</v>
      </c>
      <c r="B124" s="1716" t="s">
        <v>2365</v>
      </c>
      <c r="C124" s="1717" t="s">
        <v>22</v>
      </c>
      <c r="D124" s="1718">
        <v>45</v>
      </c>
      <c r="E124" s="1718">
        <v>1258.3765950341742</v>
      </c>
      <c r="F124" s="1718">
        <v>56626.946776537843</v>
      </c>
      <c r="G124" s="1719">
        <v>1.0990017058138434E-3</v>
      </c>
      <c r="H124" s="1720">
        <v>0.97063657574538353</v>
      </c>
      <c r="I124" s="719" t="s">
        <v>463</v>
      </c>
      <c r="J124" s="367"/>
      <c r="K124" s="368"/>
      <c r="L124" s="715">
        <v>0</v>
      </c>
      <c r="M124" s="715">
        <v>0</v>
      </c>
      <c r="N124" s="715">
        <v>0</v>
      </c>
      <c r="O124" s="715">
        <v>0</v>
      </c>
      <c r="P124" s="715">
        <v>0</v>
      </c>
      <c r="Q124" s="715">
        <v>0</v>
      </c>
      <c r="R124" s="715">
        <v>45</v>
      </c>
      <c r="S124" s="715">
        <v>0</v>
      </c>
      <c r="T124" s="715">
        <v>0</v>
      </c>
      <c r="U124" s="715"/>
      <c r="V124" s="715">
        <v>45</v>
      </c>
      <c r="W124" s="716">
        <v>0</v>
      </c>
      <c r="X124" s="716">
        <v>0</v>
      </c>
      <c r="Z124" s="1917">
        <v>0</v>
      </c>
      <c r="AA124" s="1917">
        <v>0</v>
      </c>
    </row>
    <row r="125" spans="1:27" s="88" customFormat="1" ht="25.5" x14ac:dyDescent="0.25">
      <c r="A125" s="1715">
        <v>97629</v>
      </c>
      <c r="B125" s="1716" t="s">
        <v>551</v>
      </c>
      <c r="C125" s="1717" t="s">
        <v>44</v>
      </c>
      <c r="D125" s="1718">
        <v>413.09268000000003</v>
      </c>
      <c r="E125" s="1718">
        <v>127.74778298823414</v>
      </c>
      <c r="F125" s="1718">
        <v>52771.674038668054</v>
      </c>
      <c r="G125" s="1719">
        <v>1.024179530922154E-3</v>
      </c>
      <c r="H125" s="1720">
        <v>0.97166075527630569</v>
      </c>
      <c r="I125" s="1914">
        <v>93599</v>
      </c>
      <c r="J125" s="367"/>
      <c r="K125" s="368"/>
      <c r="L125" s="715">
        <v>0</v>
      </c>
      <c r="M125" s="715">
        <v>0</v>
      </c>
      <c r="N125" s="715">
        <v>413.09268000000003</v>
      </c>
      <c r="O125" s="715">
        <v>0</v>
      </c>
      <c r="P125" s="715">
        <v>0</v>
      </c>
      <c r="Q125" s="715">
        <v>0</v>
      </c>
      <c r="R125" s="715">
        <v>0</v>
      </c>
      <c r="S125" s="715">
        <v>0</v>
      </c>
      <c r="T125" s="715">
        <v>0</v>
      </c>
      <c r="U125" s="715"/>
      <c r="V125" s="715">
        <v>413.09268000000003</v>
      </c>
      <c r="W125" s="716">
        <v>5.4554</v>
      </c>
      <c r="X125" s="716">
        <v>2253.5858064720001</v>
      </c>
      <c r="Z125" s="1917">
        <v>0</v>
      </c>
      <c r="AA125" s="1917">
        <v>0</v>
      </c>
    </row>
    <row r="126" spans="1:27" s="88" customFormat="1" ht="63.75" x14ac:dyDescent="0.25">
      <c r="A126" s="1715">
        <v>102306</v>
      </c>
      <c r="B126" s="1716" t="s">
        <v>1296</v>
      </c>
      <c r="C126" s="1717" t="s">
        <v>44</v>
      </c>
      <c r="D126" s="1718">
        <v>3842.76</v>
      </c>
      <c r="E126" s="1718">
        <v>13.621937673575834</v>
      </c>
      <c r="F126" s="1718">
        <v>52345.837214510277</v>
      </c>
      <c r="G126" s="1719">
        <v>1.0159149957001763E-3</v>
      </c>
      <c r="H126" s="1720">
        <v>0.97267667027200588</v>
      </c>
      <c r="I126" s="1914">
        <v>95879</v>
      </c>
      <c r="J126" s="367"/>
      <c r="K126" s="368"/>
      <c r="L126" s="715">
        <v>0</v>
      </c>
      <c r="M126" s="715">
        <v>0</v>
      </c>
      <c r="N126" s="715">
        <v>3842.76</v>
      </c>
      <c r="O126" s="715">
        <v>0</v>
      </c>
      <c r="P126" s="715">
        <v>0</v>
      </c>
      <c r="Q126" s="715">
        <v>0</v>
      </c>
      <c r="R126" s="715">
        <v>0</v>
      </c>
      <c r="S126" s="715">
        <v>0</v>
      </c>
      <c r="T126" s="715">
        <v>0</v>
      </c>
      <c r="U126" s="715"/>
      <c r="V126" s="715">
        <v>3842.76</v>
      </c>
      <c r="W126" s="716">
        <v>0.189</v>
      </c>
      <c r="X126" s="716">
        <v>726.28164000000004</v>
      </c>
      <c r="Z126" s="1917">
        <v>0</v>
      </c>
      <c r="AA126" s="1917">
        <v>0</v>
      </c>
    </row>
    <row r="127" spans="1:27" s="88" customFormat="1" ht="38.25" x14ac:dyDescent="0.25">
      <c r="A127" s="1715" t="s">
        <v>325</v>
      </c>
      <c r="B127" s="1716" t="s">
        <v>206</v>
      </c>
      <c r="C127" s="1717" t="s">
        <v>205</v>
      </c>
      <c r="D127" s="1718">
        <v>90</v>
      </c>
      <c r="E127" s="1718">
        <v>549.96768329985537</v>
      </c>
      <c r="F127" s="1718">
        <v>49497.091496986985</v>
      </c>
      <c r="G127" s="1719">
        <v>9.6062724700090956E-4</v>
      </c>
      <c r="H127" s="1720">
        <v>0.97363729751900674</v>
      </c>
      <c r="I127" s="1914">
        <v>7030</v>
      </c>
      <c r="J127" s="366"/>
      <c r="K127" s="368"/>
      <c r="L127" s="715">
        <v>90</v>
      </c>
      <c r="M127" s="715">
        <v>0</v>
      </c>
      <c r="N127" s="715">
        <v>0</v>
      </c>
      <c r="O127" s="715">
        <v>0</v>
      </c>
      <c r="P127" s="715">
        <v>0</v>
      </c>
      <c r="Q127" s="715">
        <v>0</v>
      </c>
      <c r="R127" s="715">
        <v>0</v>
      </c>
      <c r="S127" s="715">
        <v>0</v>
      </c>
      <c r="T127" s="715">
        <v>0</v>
      </c>
      <c r="U127" s="715"/>
      <c r="V127" s="715">
        <v>90</v>
      </c>
      <c r="W127" s="716">
        <v>0</v>
      </c>
      <c r="X127" s="716">
        <v>0</v>
      </c>
      <c r="Z127" s="1917">
        <v>0</v>
      </c>
      <c r="AA127" s="1917">
        <v>0</v>
      </c>
    </row>
    <row r="128" spans="1:27" s="88" customFormat="1" ht="51" x14ac:dyDescent="0.25">
      <c r="A128" s="1715" t="s">
        <v>3032</v>
      </c>
      <c r="B128" s="1716" t="s">
        <v>3033</v>
      </c>
      <c r="C128" s="1717" t="s">
        <v>22</v>
      </c>
      <c r="D128" s="1718">
        <v>1490</v>
      </c>
      <c r="E128" s="1718">
        <v>31.172588456917122</v>
      </c>
      <c r="F128" s="1718">
        <v>46447.156800806515</v>
      </c>
      <c r="G128" s="1719">
        <v>9.0143487261861376E-4</v>
      </c>
      <c r="H128" s="1720">
        <v>0.97453873239162536</v>
      </c>
      <c r="I128" s="719" t="s">
        <v>463</v>
      </c>
      <c r="J128" s="367"/>
      <c r="K128" s="368"/>
      <c r="L128" s="715">
        <v>0</v>
      </c>
      <c r="M128" s="715">
        <v>0</v>
      </c>
      <c r="N128" s="715">
        <v>0</v>
      </c>
      <c r="O128" s="715">
        <v>1490</v>
      </c>
      <c r="P128" s="715">
        <v>0</v>
      </c>
      <c r="Q128" s="715">
        <v>0</v>
      </c>
      <c r="R128" s="715">
        <v>0</v>
      </c>
      <c r="S128" s="715">
        <v>0</v>
      </c>
      <c r="T128" s="715">
        <v>0</v>
      </c>
      <c r="U128" s="715"/>
      <c r="V128" s="715">
        <v>1490</v>
      </c>
      <c r="W128" s="716">
        <v>0.24076</v>
      </c>
      <c r="X128" s="716">
        <v>358.73239999999998</v>
      </c>
      <c r="Z128" s="1917">
        <v>0</v>
      </c>
      <c r="AA128" s="1917">
        <v>0</v>
      </c>
    </row>
    <row r="129" spans="1:27" s="88" customFormat="1" x14ac:dyDescent="0.25">
      <c r="A129" s="1715" t="s">
        <v>463</v>
      </c>
      <c r="B129" s="1716" t="s">
        <v>468</v>
      </c>
      <c r="C129" s="1717" t="s">
        <v>205</v>
      </c>
      <c r="D129" s="1718">
        <v>2</v>
      </c>
      <c r="E129" s="1718">
        <v>22972.639775113348</v>
      </c>
      <c r="F129" s="1718">
        <v>45945.279550226696</v>
      </c>
      <c r="G129" s="1719">
        <v>8.9169456370397332E-4</v>
      </c>
      <c r="H129" s="1720">
        <v>0.97543042695532933</v>
      </c>
      <c r="I129" s="718">
        <v>97636</v>
      </c>
      <c r="J129" s="367"/>
      <c r="K129" s="368"/>
      <c r="L129" s="715">
        <v>0</v>
      </c>
      <c r="M129" s="715">
        <v>2</v>
      </c>
      <c r="N129" s="715">
        <v>0</v>
      </c>
      <c r="O129" s="715">
        <v>0</v>
      </c>
      <c r="P129" s="715">
        <v>0</v>
      </c>
      <c r="Q129" s="715">
        <v>0</v>
      </c>
      <c r="R129" s="715">
        <v>0</v>
      </c>
      <c r="S129" s="715">
        <v>0</v>
      </c>
      <c r="T129" s="715">
        <v>0</v>
      </c>
      <c r="U129" s="715"/>
      <c r="V129" s="715">
        <v>2</v>
      </c>
      <c r="W129" s="716">
        <v>0</v>
      </c>
      <c r="X129" s="716">
        <v>0</v>
      </c>
      <c r="Z129" s="1917">
        <v>0</v>
      </c>
      <c r="AA129" s="1917">
        <v>0</v>
      </c>
    </row>
    <row r="130" spans="1:27" s="88" customFormat="1" x14ac:dyDescent="0.25">
      <c r="A130" s="1715" t="s">
        <v>464</v>
      </c>
      <c r="B130" s="1716" t="s">
        <v>465</v>
      </c>
      <c r="C130" s="1717" t="s">
        <v>205</v>
      </c>
      <c r="D130" s="1718">
        <v>2</v>
      </c>
      <c r="E130" s="1718">
        <v>22972.639775113348</v>
      </c>
      <c r="F130" s="1718">
        <v>45945.279550226696</v>
      </c>
      <c r="G130" s="1719">
        <v>8.9169456370397332E-4</v>
      </c>
      <c r="H130" s="1720">
        <v>0.9763221215190333</v>
      </c>
      <c r="I130" s="719" t="s">
        <v>463</v>
      </c>
      <c r="J130" s="367"/>
      <c r="K130" s="368"/>
      <c r="L130" s="715">
        <v>0</v>
      </c>
      <c r="M130" s="715">
        <v>2</v>
      </c>
      <c r="N130" s="715">
        <v>0</v>
      </c>
      <c r="O130" s="715">
        <v>0</v>
      </c>
      <c r="P130" s="715">
        <v>0</v>
      </c>
      <c r="Q130" s="715">
        <v>0</v>
      </c>
      <c r="R130" s="715">
        <v>0</v>
      </c>
      <c r="S130" s="715">
        <v>0</v>
      </c>
      <c r="T130" s="715">
        <v>0</v>
      </c>
      <c r="U130" s="715"/>
      <c r="V130" s="715">
        <v>2</v>
      </c>
      <c r="W130" s="716">
        <v>0</v>
      </c>
      <c r="X130" s="716">
        <v>0</v>
      </c>
      <c r="Z130" s="1917">
        <v>0</v>
      </c>
      <c r="AA130" s="1917">
        <v>0</v>
      </c>
    </row>
    <row r="131" spans="1:27" s="88" customFormat="1" ht="38.25" x14ac:dyDescent="0.25">
      <c r="A131" s="1715" t="s">
        <v>239</v>
      </c>
      <c r="B131" s="1716" t="s">
        <v>240</v>
      </c>
      <c r="C131" s="1717" t="s">
        <v>46</v>
      </c>
      <c r="D131" s="1718">
        <v>88</v>
      </c>
      <c r="E131" s="1718">
        <v>514.6493201620948</v>
      </c>
      <c r="F131" s="1718">
        <v>45289.140174264343</v>
      </c>
      <c r="G131" s="1719">
        <v>8.7896037380883623E-4</v>
      </c>
      <c r="H131" s="1720">
        <v>0.97720108189284216</v>
      </c>
      <c r="I131" s="719" t="s">
        <v>463</v>
      </c>
      <c r="J131" s="367"/>
      <c r="K131" s="368"/>
      <c r="L131" s="715">
        <v>88</v>
      </c>
      <c r="M131" s="715">
        <v>0</v>
      </c>
      <c r="N131" s="715">
        <v>0</v>
      </c>
      <c r="O131" s="715">
        <v>0</v>
      </c>
      <c r="P131" s="715">
        <v>0</v>
      </c>
      <c r="Q131" s="715">
        <v>0</v>
      </c>
      <c r="R131" s="715">
        <v>0</v>
      </c>
      <c r="S131" s="715">
        <v>0</v>
      </c>
      <c r="T131" s="715">
        <v>0</v>
      </c>
      <c r="U131" s="715"/>
      <c r="V131" s="715">
        <v>88</v>
      </c>
      <c r="W131" s="716">
        <v>4</v>
      </c>
      <c r="X131" s="716">
        <v>352</v>
      </c>
      <c r="Z131" s="1917">
        <v>0</v>
      </c>
      <c r="AA131" s="1917">
        <v>0</v>
      </c>
    </row>
    <row r="132" spans="1:27" s="88" customFormat="1" ht="38.25" x14ac:dyDescent="0.25">
      <c r="A132" s="1715">
        <v>97095</v>
      </c>
      <c r="B132" s="1716" t="s">
        <v>68</v>
      </c>
      <c r="C132" s="1717" t="s">
        <v>44</v>
      </c>
      <c r="D132" s="1718">
        <v>88.4</v>
      </c>
      <c r="E132" s="1718">
        <v>473.02539576907458</v>
      </c>
      <c r="F132" s="1718">
        <v>41815.444985986192</v>
      </c>
      <c r="G132" s="1719">
        <v>8.1154376114101769E-4</v>
      </c>
      <c r="H132" s="1720">
        <v>0.97801262565398317</v>
      </c>
      <c r="I132" s="1896">
        <v>101512</v>
      </c>
      <c r="J132" s="367"/>
      <c r="K132" s="368"/>
      <c r="L132" s="715">
        <v>0</v>
      </c>
      <c r="M132" s="715">
        <v>0</v>
      </c>
      <c r="N132" s="715">
        <v>0</v>
      </c>
      <c r="O132" s="715">
        <v>88.4</v>
      </c>
      <c r="P132" s="715">
        <v>0</v>
      </c>
      <c r="Q132" s="715">
        <v>0</v>
      </c>
      <c r="R132" s="715">
        <v>0</v>
      </c>
      <c r="S132" s="715">
        <v>0</v>
      </c>
      <c r="T132" s="715">
        <v>0</v>
      </c>
      <c r="U132" s="715"/>
      <c r="V132" s="715">
        <v>88.4</v>
      </c>
      <c r="W132" s="716">
        <v>0.88400000000000001</v>
      </c>
      <c r="X132" s="716">
        <v>78.145600000000002</v>
      </c>
      <c r="Z132" s="1917">
        <v>0</v>
      </c>
      <c r="AA132" s="1917">
        <v>0</v>
      </c>
    </row>
    <row r="133" spans="1:27" s="88" customFormat="1" x14ac:dyDescent="0.25">
      <c r="A133" s="1715" t="s">
        <v>3437</v>
      </c>
      <c r="B133" s="1716" t="s">
        <v>3446</v>
      </c>
      <c r="C133" s="1717" t="s">
        <v>41</v>
      </c>
      <c r="D133" s="1718">
        <v>1</v>
      </c>
      <c r="E133" s="1718">
        <v>41696.041241498722</v>
      </c>
      <c r="F133" s="1718">
        <v>41696.041241498722</v>
      </c>
      <c r="G133" s="1719">
        <v>8.0922640295128282E-4</v>
      </c>
      <c r="H133" s="1720">
        <v>0.9788218520569345</v>
      </c>
      <c r="I133" s="1914">
        <v>7031</v>
      </c>
      <c r="J133" s="366"/>
      <c r="K133" s="368"/>
      <c r="L133" s="715">
        <v>0</v>
      </c>
      <c r="M133" s="715">
        <v>1</v>
      </c>
      <c r="N133" s="715">
        <v>0</v>
      </c>
      <c r="O133" s="715">
        <v>0</v>
      </c>
      <c r="P133" s="715">
        <v>0</v>
      </c>
      <c r="Q133" s="715">
        <v>0</v>
      </c>
      <c r="R133" s="715">
        <v>0</v>
      </c>
      <c r="S133" s="715">
        <v>0</v>
      </c>
      <c r="T133" s="715">
        <v>0</v>
      </c>
      <c r="U133" s="715"/>
      <c r="V133" s="715">
        <v>1</v>
      </c>
      <c r="W133" s="716">
        <v>586</v>
      </c>
      <c r="X133" s="716">
        <v>586</v>
      </c>
      <c r="Z133" s="1917">
        <v>0</v>
      </c>
      <c r="AA133" s="1917">
        <v>0</v>
      </c>
    </row>
    <row r="134" spans="1:27" s="88" customFormat="1" ht="25.5" x14ac:dyDescent="0.25">
      <c r="A134" s="1715">
        <v>100206</v>
      </c>
      <c r="B134" s="1716" t="s">
        <v>658</v>
      </c>
      <c r="C134" s="1717" t="s">
        <v>43</v>
      </c>
      <c r="D134" s="1718">
        <v>37.617000000000004</v>
      </c>
      <c r="E134" s="1718">
        <v>1046.2779283607756</v>
      </c>
      <c r="F134" s="1718">
        <v>39357.836831147302</v>
      </c>
      <c r="G134" s="1719">
        <v>7.638471130231464E-4</v>
      </c>
      <c r="H134" s="1720">
        <v>0.97958569916995764</v>
      </c>
      <c r="I134" s="719" t="s">
        <v>463</v>
      </c>
      <c r="J134" s="367"/>
      <c r="K134" s="368"/>
      <c r="L134" s="715">
        <v>0</v>
      </c>
      <c r="M134" s="715">
        <v>0</v>
      </c>
      <c r="N134" s="715">
        <v>0</v>
      </c>
      <c r="O134" s="715">
        <v>0</v>
      </c>
      <c r="P134" s="715">
        <v>0</v>
      </c>
      <c r="Q134" s="715">
        <v>0</v>
      </c>
      <c r="R134" s="715">
        <v>37.617000000000004</v>
      </c>
      <c r="S134" s="715">
        <v>0</v>
      </c>
      <c r="T134" s="715">
        <v>0</v>
      </c>
      <c r="U134" s="715"/>
      <c r="V134" s="715">
        <v>37.617000000000004</v>
      </c>
      <c r="W134" s="716">
        <v>49.374000000000002</v>
      </c>
      <c r="X134" s="716">
        <v>1857.3017580000003</v>
      </c>
      <c r="Z134" s="1917">
        <v>0</v>
      </c>
      <c r="AA134" s="1917">
        <v>0</v>
      </c>
    </row>
    <row r="135" spans="1:27" s="88" customFormat="1" ht="38.25" x14ac:dyDescent="0.25">
      <c r="A135" s="1715">
        <v>101465</v>
      </c>
      <c r="B135" s="1716" t="s">
        <v>782</v>
      </c>
      <c r="C135" s="1717" t="s">
        <v>55</v>
      </c>
      <c r="D135" s="1718">
        <v>1743.3957</v>
      </c>
      <c r="E135" s="1718">
        <v>21.35948707649921</v>
      </c>
      <c r="F135" s="1718">
        <v>37238.037923374293</v>
      </c>
      <c r="G135" s="1719">
        <v>7.2270658279434538E-4</v>
      </c>
      <c r="H135" s="1720">
        <v>0.98030840575275202</v>
      </c>
      <c r="I135" s="719" t="s">
        <v>463</v>
      </c>
      <c r="J135" s="367"/>
      <c r="K135" s="368"/>
      <c r="L135" s="715">
        <v>0</v>
      </c>
      <c r="M135" s="715">
        <v>0</v>
      </c>
      <c r="N135" s="715">
        <v>0</v>
      </c>
      <c r="O135" s="715">
        <v>1743.3957</v>
      </c>
      <c r="P135" s="715">
        <v>0</v>
      </c>
      <c r="Q135" s="715">
        <v>0</v>
      </c>
      <c r="R135" s="715">
        <v>0</v>
      </c>
      <c r="S135" s="715">
        <v>0</v>
      </c>
      <c r="T135" s="715">
        <v>0</v>
      </c>
      <c r="U135" s="715"/>
      <c r="V135" s="715">
        <v>1743.3957</v>
      </c>
      <c r="W135" s="716">
        <v>0.31030000000000002</v>
      </c>
      <c r="X135" s="716">
        <v>540.97568570999999</v>
      </c>
      <c r="Z135" s="1917">
        <v>0</v>
      </c>
      <c r="AA135" s="1917">
        <v>0</v>
      </c>
    </row>
    <row r="136" spans="1:27" s="88" customFormat="1" ht="51" x14ac:dyDescent="0.25">
      <c r="A136" s="1715">
        <v>92819</v>
      </c>
      <c r="B136" s="1716" t="s">
        <v>518</v>
      </c>
      <c r="C136" s="1717" t="s">
        <v>22</v>
      </c>
      <c r="D136" s="1718">
        <v>172.13</v>
      </c>
      <c r="E136" s="1718">
        <v>207.34947707896217</v>
      </c>
      <c r="F136" s="1718">
        <v>35691.065489601759</v>
      </c>
      <c r="G136" s="1719">
        <v>6.9268332637064886E-4</v>
      </c>
      <c r="H136" s="1720">
        <v>0.98100108907912265</v>
      </c>
      <c r="I136" s="719" t="s">
        <v>398</v>
      </c>
      <c r="J136" s="366"/>
      <c r="K136" s="368"/>
      <c r="L136" s="715">
        <v>0</v>
      </c>
      <c r="M136" s="715">
        <v>0</v>
      </c>
      <c r="N136" s="715">
        <v>0</v>
      </c>
      <c r="O136" s="715">
        <v>127.13</v>
      </c>
      <c r="P136" s="715">
        <v>0</v>
      </c>
      <c r="Q136" s="715">
        <v>0</v>
      </c>
      <c r="R136" s="715">
        <v>45</v>
      </c>
      <c r="S136" s="715">
        <v>0</v>
      </c>
      <c r="T136" s="715">
        <v>0</v>
      </c>
      <c r="U136" s="715"/>
      <c r="V136" s="715">
        <v>172.13</v>
      </c>
      <c r="W136" s="716">
        <v>5.2546039999999996</v>
      </c>
      <c r="X136" s="716">
        <v>904.4749865199999</v>
      </c>
      <c r="Z136" s="1917">
        <v>0</v>
      </c>
      <c r="AA136" s="1917">
        <v>0</v>
      </c>
    </row>
    <row r="137" spans="1:27" s="88" customFormat="1" ht="63.75" x14ac:dyDescent="0.25">
      <c r="A137" s="1715">
        <v>90087</v>
      </c>
      <c r="B137" s="1716" t="s">
        <v>1299</v>
      </c>
      <c r="C137" s="1717" t="s">
        <v>44</v>
      </c>
      <c r="D137" s="1718">
        <v>4190.4769999999999</v>
      </c>
      <c r="E137" s="1718">
        <v>8.0744877906089965</v>
      </c>
      <c r="F137" s="1718">
        <v>33835.955373327815</v>
      </c>
      <c r="G137" s="1719">
        <v>6.5667981040672086E-4</v>
      </c>
      <c r="H137" s="1720">
        <v>0.98165776888952938</v>
      </c>
      <c r="I137" s="1914">
        <v>101125</v>
      </c>
      <c r="J137" s="367"/>
      <c r="K137" s="368"/>
      <c r="L137" s="715">
        <v>0</v>
      </c>
      <c r="M137" s="715">
        <v>0</v>
      </c>
      <c r="N137" s="715">
        <v>0</v>
      </c>
      <c r="O137" s="715">
        <v>4190.4769999999999</v>
      </c>
      <c r="P137" s="715">
        <v>0</v>
      </c>
      <c r="Q137" s="715">
        <v>0</v>
      </c>
      <c r="R137" s="715">
        <v>0</v>
      </c>
      <c r="S137" s="715">
        <v>0</v>
      </c>
      <c r="T137" s="715">
        <v>0</v>
      </c>
      <c r="U137" s="715"/>
      <c r="V137" s="715">
        <v>4190.4769999999999</v>
      </c>
      <c r="W137" s="716">
        <v>9.9400000000000002E-2</v>
      </c>
      <c r="X137" s="716">
        <v>416.53341380000001</v>
      </c>
      <c r="Z137" s="1917">
        <v>0</v>
      </c>
      <c r="AA137" s="1917">
        <v>0</v>
      </c>
    </row>
    <row r="138" spans="1:27" s="88" customFormat="1" ht="38.25" x14ac:dyDescent="0.25">
      <c r="A138" s="1715">
        <v>100324</v>
      </c>
      <c r="B138" s="1716" t="s">
        <v>1305</v>
      </c>
      <c r="C138" s="1717" t="s">
        <v>44</v>
      </c>
      <c r="D138" s="1718">
        <v>152.92749999999998</v>
      </c>
      <c r="E138" s="1718">
        <v>211.32053664811417</v>
      </c>
      <c r="F138" s="1718">
        <v>32316.721368254475</v>
      </c>
      <c r="G138" s="1719">
        <v>6.2719489451155952E-4</v>
      </c>
      <c r="H138" s="1720">
        <v>0.98228496378404095</v>
      </c>
      <c r="I138" s="719" t="s">
        <v>459</v>
      </c>
      <c r="J138" s="366"/>
      <c r="K138" s="368"/>
      <c r="L138" s="715">
        <v>152.92749999999998</v>
      </c>
      <c r="M138" s="715">
        <v>0</v>
      </c>
      <c r="N138" s="715">
        <v>0</v>
      </c>
      <c r="O138" s="715">
        <v>0</v>
      </c>
      <c r="P138" s="715">
        <v>0</v>
      </c>
      <c r="Q138" s="715">
        <v>0</v>
      </c>
      <c r="R138" s="715">
        <v>0</v>
      </c>
      <c r="S138" s="715">
        <v>0</v>
      </c>
      <c r="T138" s="715">
        <v>0</v>
      </c>
      <c r="U138" s="715"/>
      <c r="V138" s="715">
        <v>152.92749999999998</v>
      </c>
      <c r="W138" s="716">
        <v>1.373</v>
      </c>
      <c r="X138" s="716">
        <v>209.96945749999998</v>
      </c>
      <c r="Z138" s="1917">
        <v>0</v>
      </c>
      <c r="AA138" s="1917">
        <v>0</v>
      </c>
    </row>
    <row r="139" spans="1:27" s="88" customFormat="1" x14ac:dyDescent="0.25">
      <c r="A139" s="1715" t="s">
        <v>444</v>
      </c>
      <c r="B139" s="1716" t="s">
        <v>77</v>
      </c>
      <c r="C139" s="1717" t="s">
        <v>51</v>
      </c>
      <c r="D139" s="1718">
        <v>67.5</v>
      </c>
      <c r="E139" s="1718">
        <v>463.46200131031048</v>
      </c>
      <c r="F139" s="1718">
        <v>31283.685088445956</v>
      </c>
      <c r="G139" s="1719">
        <v>6.0714598320159036E-4</v>
      </c>
      <c r="H139" s="1720">
        <v>0.98289210976724251</v>
      </c>
      <c r="I139" s="719" t="s">
        <v>463</v>
      </c>
      <c r="J139" s="367"/>
      <c r="K139" s="368"/>
      <c r="L139" s="715">
        <v>67.5</v>
      </c>
      <c r="M139" s="715">
        <v>0</v>
      </c>
      <c r="N139" s="715">
        <v>0</v>
      </c>
      <c r="O139" s="715">
        <v>0</v>
      </c>
      <c r="P139" s="715">
        <v>0</v>
      </c>
      <c r="Q139" s="715">
        <v>0</v>
      </c>
      <c r="R139" s="715">
        <v>0</v>
      </c>
      <c r="S139" s="715">
        <v>0</v>
      </c>
      <c r="T139" s="715">
        <v>0</v>
      </c>
      <c r="U139" s="715"/>
      <c r="V139" s="715">
        <v>67.5</v>
      </c>
      <c r="W139" s="716">
        <v>3.034373</v>
      </c>
      <c r="X139" s="716">
        <v>204.8201775</v>
      </c>
      <c r="Z139" s="1917">
        <v>2.6629999999999997E-2</v>
      </c>
      <c r="AA139" s="1917">
        <v>1.7975249999999998</v>
      </c>
    </row>
    <row r="140" spans="1:27" s="88" customFormat="1" ht="25.5" x14ac:dyDescent="0.25">
      <c r="A140" s="1715" t="s">
        <v>949</v>
      </c>
      <c r="B140" s="1716" t="s">
        <v>3346</v>
      </c>
      <c r="C140" s="1717" t="s">
        <v>51</v>
      </c>
      <c r="D140" s="1718">
        <v>27132.182000000004</v>
      </c>
      <c r="E140" s="1718">
        <v>1.1505362923217837</v>
      </c>
      <c r="F140" s="1718">
        <v>31216.560080879841</v>
      </c>
      <c r="G140" s="1719">
        <v>6.0584323774174698E-4</v>
      </c>
      <c r="H140" s="1720">
        <v>0.98349795300498422</v>
      </c>
      <c r="I140" s="719" t="s">
        <v>463</v>
      </c>
      <c r="J140" s="367"/>
      <c r="K140" s="368"/>
      <c r="L140" s="715">
        <v>0</v>
      </c>
      <c r="M140" s="715">
        <v>0</v>
      </c>
      <c r="N140" s="715">
        <v>0</v>
      </c>
      <c r="O140" s="715">
        <v>0</v>
      </c>
      <c r="P140" s="715">
        <v>0</v>
      </c>
      <c r="Q140" s="715">
        <v>27132.182000000004</v>
      </c>
      <c r="R140" s="715">
        <v>0</v>
      </c>
      <c r="S140" s="715">
        <v>0</v>
      </c>
      <c r="T140" s="715">
        <v>0</v>
      </c>
      <c r="U140" s="715"/>
      <c r="V140" s="715">
        <v>27132.182000000004</v>
      </c>
      <c r="W140" s="716">
        <v>1.8000000000000002E-2</v>
      </c>
      <c r="X140" s="716">
        <v>488.37927600000012</v>
      </c>
      <c r="Z140" s="1917">
        <v>0</v>
      </c>
      <c r="AA140" s="1917">
        <v>0</v>
      </c>
    </row>
    <row r="141" spans="1:27" s="88" customFormat="1" ht="38.25" x14ac:dyDescent="0.25">
      <c r="A141" s="1715" t="s">
        <v>237</v>
      </c>
      <c r="B141" s="1716" t="s">
        <v>238</v>
      </c>
      <c r="C141" s="1717" t="s">
        <v>46</v>
      </c>
      <c r="D141" s="1718">
        <v>88</v>
      </c>
      <c r="E141" s="1718">
        <v>349.81424750075041</v>
      </c>
      <c r="F141" s="1718">
        <v>30783.653780066037</v>
      </c>
      <c r="G141" s="1719">
        <v>5.9744149987427195E-4</v>
      </c>
      <c r="H141" s="1720">
        <v>0.9840953945048585</v>
      </c>
      <c r="I141" s="719" t="s">
        <v>463</v>
      </c>
      <c r="J141" s="367"/>
      <c r="K141" s="368"/>
      <c r="L141" s="715">
        <v>88</v>
      </c>
      <c r="M141" s="715">
        <v>0</v>
      </c>
      <c r="N141" s="715">
        <v>0</v>
      </c>
      <c r="O141" s="715">
        <v>0</v>
      </c>
      <c r="P141" s="715">
        <v>0</v>
      </c>
      <c r="Q141" s="715">
        <v>0</v>
      </c>
      <c r="R141" s="715">
        <v>0</v>
      </c>
      <c r="S141" s="715">
        <v>0</v>
      </c>
      <c r="T141" s="715">
        <v>0</v>
      </c>
      <c r="U141" s="715"/>
      <c r="V141" s="715">
        <v>88</v>
      </c>
      <c r="W141" s="716">
        <v>2</v>
      </c>
      <c r="X141" s="716">
        <v>176</v>
      </c>
      <c r="Z141" s="1917">
        <v>0</v>
      </c>
      <c r="AA141" s="1917">
        <v>0</v>
      </c>
    </row>
    <row r="142" spans="1:27" s="88" customFormat="1" ht="38.25" x14ac:dyDescent="0.25">
      <c r="A142" s="1715" t="s">
        <v>2399</v>
      </c>
      <c r="B142" s="1716" t="s">
        <v>2416</v>
      </c>
      <c r="C142" s="1717" t="s">
        <v>41</v>
      </c>
      <c r="D142" s="1718">
        <v>4</v>
      </c>
      <c r="E142" s="1718">
        <v>7650.6422542232867</v>
      </c>
      <c r="F142" s="1718">
        <v>30602.569016893147</v>
      </c>
      <c r="G142" s="1719">
        <v>5.9392705180753716E-4</v>
      </c>
      <c r="H142" s="1720">
        <v>0.984689321556666</v>
      </c>
      <c r="I142" s="719" t="s">
        <v>463</v>
      </c>
      <c r="J142" s="367"/>
      <c r="K142" s="368"/>
      <c r="L142" s="715">
        <v>0</v>
      </c>
      <c r="M142" s="715">
        <v>0</v>
      </c>
      <c r="N142" s="715">
        <v>0</v>
      </c>
      <c r="O142" s="715">
        <v>4</v>
      </c>
      <c r="P142" s="715">
        <v>0</v>
      </c>
      <c r="Q142" s="715">
        <v>0</v>
      </c>
      <c r="R142" s="715">
        <v>0</v>
      </c>
      <c r="S142" s="715">
        <v>0</v>
      </c>
      <c r="T142" s="715">
        <v>0</v>
      </c>
      <c r="U142" s="715"/>
      <c r="V142" s="715">
        <v>4</v>
      </c>
      <c r="W142" s="716">
        <v>78.783830424711397</v>
      </c>
      <c r="X142" s="716">
        <v>315.13532169884559</v>
      </c>
      <c r="Z142" s="1917">
        <v>0</v>
      </c>
      <c r="AA142" s="1917">
        <v>0</v>
      </c>
    </row>
    <row r="143" spans="1:27" s="88" customFormat="1" ht="38.25" x14ac:dyDescent="0.25">
      <c r="A143" s="1715">
        <v>101580</v>
      </c>
      <c r="B143" s="1716" t="s">
        <v>1158</v>
      </c>
      <c r="C143" s="1717" t="s">
        <v>51</v>
      </c>
      <c r="D143" s="1718">
        <v>938.27785999999992</v>
      </c>
      <c r="E143" s="1718">
        <v>31.744409525523892</v>
      </c>
      <c r="F143" s="1718">
        <v>29785.076636572172</v>
      </c>
      <c r="G143" s="1719">
        <v>5.7806136291549859E-4</v>
      </c>
      <c r="H143" s="1720">
        <v>0.98526738291958149</v>
      </c>
      <c r="I143" s="719" t="s">
        <v>463</v>
      </c>
      <c r="J143" s="367"/>
      <c r="K143" s="368"/>
      <c r="L143" s="715">
        <v>0</v>
      </c>
      <c r="M143" s="715">
        <v>0</v>
      </c>
      <c r="N143" s="715">
        <v>0</v>
      </c>
      <c r="O143" s="715">
        <v>938.27785999999992</v>
      </c>
      <c r="P143" s="715">
        <v>0</v>
      </c>
      <c r="Q143" s="715">
        <v>0</v>
      </c>
      <c r="R143" s="715">
        <v>0</v>
      </c>
      <c r="S143" s="715">
        <v>0</v>
      </c>
      <c r="T143" s="715">
        <v>0</v>
      </c>
      <c r="U143" s="715"/>
      <c r="V143" s="715">
        <v>938.27785999999992</v>
      </c>
      <c r="W143" s="716">
        <v>0.41300000000000003</v>
      </c>
      <c r="X143" s="716">
        <v>387.50875617999998</v>
      </c>
      <c r="Z143" s="1917">
        <v>0</v>
      </c>
      <c r="AA143" s="1917">
        <v>0</v>
      </c>
    </row>
    <row r="144" spans="1:27" s="88" customFormat="1" ht="25.5" x14ac:dyDescent="0.25">
      <c r="A144" s="1715" t="s">
        <v>324</v>
      </c>
      <c r="B144" s="1716" t="s">
        <v>123</v>
      </c>
      <c r="C144" s="1717" t="s">
        <v>205</v>
      </c>
      <c r="D144" s="1718">
        <v>54</v>
      </c>
      <c r="E144" s="1718">
        <v>549.96768329985537</v>
      </c>
      <c r="F144" s="1718">
        <v>29698.25489819219</v>
      </c>
      <c r="G144" s="1719">
        <v>5.7637634820054573E-4</v>
      </c>
      <c r="H144" s="1720">
        <v>0.985843759267782</v>
      </c>
      <c r="I144" s="719" t="s">
        <v>463</v>
      </c>
      <c r="J144" s="367"/>
      <c r="K144" s="368"/>
      <c r="L144" s="715">
        <v>54</v>
      </c>
      <c r="M144" s="715">
        <v>0</v>
      </c>
      <c r="N144" s="715">
        <v>0</v>
      </c>
      <c r="O144" s="715">
        <v>0</v>
      </c>
      <c r="P144" s="715">
        <v>0</v>
      </c>
      <c r="Q144" s="715">
        <v>0</v>
      </c>
      <c r="R144" s="715">
        <v>0</v>
      </c>
      <c r="S144" s="715">
        <v>0</v>
      </c>
      <c r="T144" s="715">
        <v>0</v>
      </c>
      <c r="U144" s="715"/>
      <c r="V144" s="715">
        <v>54</v>
      </c>
      <c r="W144" s="716">
        <v>0</v>
      </c>
      <c r="X144" s="716">
        <v>0</v>
      </c>
      <c r="Z144" s="1917">
        <v>0</v>
      </c>
      <c r="AA144" s="1917">
        <v>0</v>
      </c>
    </row>
    <row r="145" spans="1:27" s="88" customFormat="1" ht="25.5" x14ac:dyDescent="0.25">
      <c r="A145" s="1715">
        <v>96616</v>
      </c>
      <c r="B145" s="1716" t="s">
        <v>70</v>
      </c>
      <c r="C145" s="1717" t="s">
        <v>44</v>
      </c>
      <c r="D145" s="1718">
        <v>39.900000000000006</v>
      </c>
      <c r="E145" s="1718">
        <v>658.69048089769785</v>
      </c>
      <c r="F145" s="1718">
        <v>26281.750187818147</v>
      </c>
      <c r="G145" s="1719">
        <v>5.1006967411057339E-4</v>
      </c>
      <c r="H145" s="1720">
        <v>0.98635382894189261</v>
      </c>
      <c r="I145" s="719" t="s">
        <v>463</v>
      </c>
      <c r="J145" s="367"/>
      <c r="K145" s="368"/>
      <c r="L145" s="715">
        <v>0</v>
      </c>
      <c r="M145" s="715">
        <v>0</v>
      </c>
      <c r="N145" s="715">
        <v>0</v>
      </c>
      <c r="O145" s="715">
        <v>39.900000000000006</v>
      </c>
      <c r="P145" s="715">
        <v>0</v>
      </c>
      <c r="Q145" s="715">
        <v>0</v>
      </c>
      <c r="R145" s="715">
        <v>0</v>
      </c>
      <c r="S145" s="715">
        <v>0</v>
      </c>
      <c r="T145" s="715">
        <v>0</v>
      </c>
      <c r="U145" s="715"/>
      <c r="V145" s="715">
        <v>39.900000000000006</v>
      </c>
      <c r="W145" s="716">
        <v>11.790149</v>
      </c>
      <c r="X145" s="716">
        <v>470.42694510000007</v>
      </c>
      <c r="Z145" s="1917">
        <v>1.1299999999999999</v>
      </c>
      <c r="AA145" s="1917">
        <v>45.087000000000003</v>
      </c>
    </row>
    <row r="146" spans="1:27" s="88" customFormat="1" ht="38.25" x14ac:dyDescent="0.25">
      <c r="A146" s="1715">
        <v>92508</v>
      </c>
      <c r="B146" s="1716" t="s">
        <v>1160</v>
      </c>
      <c r="C146" s="1717" t="s">
        <v>51</v>
      </c>
      <c r="D146" s="1718">
        <v>254.1</v>
      </c>
      <c r="E146" s="1718">
        <v>101.75539308105765</v>
      </c>
      <c r="F146" s="1718">
        <v>25856.045381896747</v>
      </c>
      <c r="G146" s="1719">
        <v>5.0180770106570825E-4</v>
      </c>
      <c r="H146" s="1720">
        <v>0.98685563664295828</v>
      </c>
      <c r="I146" s="1914">
        <v>100995</v>
      </c>
      <c r="J146" s="367"/>
      <c r="K146" s="368"/>
      <c r="L146" s="715">
        <v>0</v>
      </c>
      <c r="M146" s="715">
        <v>0</v>
      </c>
      <c r="N146" s="715">
        <v>0</v>
      </c>
      <c r="O146" s="715">
        <v>0</v>
      </c>
      <c r="P146" s="715">
        <v>0</v>
      </c>
      <c r="Q146" s="715">
        <v>0</v>
      </c>
      <c r="R146" s="715">
        <v>254.1</v>
      </c>
      <c r="S146" s="715">
        <v>0</v>
      </c>
      <c r="T146" s="715">
        <v>0</v>
      </c>
      <c r="U146" s="715"/>
      <c r="V146" s="715">
        <v>254.1</v>
      </c>
      <c r="W146" s="716">
        <v>1.424464</v>
      </c>
      <c r="X146" s="716">
        <v>361.95630239999997</v>
      </c>
      <c r="Z146" s="1917">
        <v>0</v>
      </c>
      <c r="AA146" s="1917">
        <v>0</v>
      </c>
    </row>
    <row r="147" spans="1:27" s="88" customFormat="1" ht="38.25" x14ac:dyDescent="0.25">
      <c r="A147" s="1715" t="s">
        <v>322</v>
      </c>
      <c r="B147" s="1716" t="s">
        <v>124</v>
      </c>
      <c r="C147" s="1717" t="s">
        <v>205</v>
      </c>
      <c r="D147" s="1718">
        <v>36</v>
      </c>
      <c r="E147" s="1718">
        <v>703.96055998603026</v>
      </c>
      <c r="F147" s="1718">
        <v>25342.580159497091</v>
      </c>
      <c r="G147" s="1719">
        <v>4.918424956747103E-4</v>
      </c>
      <c r="H147" s="1720">
        <v>0.98734747913863297</v>
      </c>
      <c r="I147" s="719" t="s">
        <v>463</v>
      </c>
      <c r="J147" s="367"/>
      <c r="K147" s="368"/>
      <c r="L147" s="715">
        <v>36</v>
      </c>
      <c r="M147" s="715">
        <v>0</v>
      </c>
      <c r="N147" s="715">
        <v>0</v>
      </c>
      <c r="O147" s="715">
        <v>0</v>
      </c>
      <c r="P147" s="715">
        <v>0</v>
      </c>
      <c r="Q147" s="715">
        <v>0</v>
      </c>
      <c r="R147" s="715">
        <v>0</v>
      </c>
      <c r="S147" s="715">
        <v>0</v>
      </c>
      <c r="T147" s="715">
        <v>0</v>
      </c>
      <c r="U147" s="715"/>
      <c r="V147" s="715">
        <v>36</v>
      </c>
      <c r="W147" s="716">
        <v>0</v>
      </c>
      <c r="X147" s="716">
        <v>0</v>
      </c>
      <c r="Z147" s="1917">
        <v>0</v>
      </c>
      <c r="AA147" s="1917">
        <v>0</v>
      </c>
    </row>
    <row r="148" spans="1:27" s="88" customFormat="1" ht="25.5" x14ac:dyDescent="0.25">
      <c r="A148" s="1715">
        <v>101003</v>
      </c>
      <c r="B148" s="1716" t="s">
        <v>768</v>
      </c>
      <c r="C148" s="1717" t="s">
        <v>55</v>
      </c>
      <c r="D148" s="1718">
        <v>4195.540488048</v>
      </c>
      <c r="E148" s="1718">
        <v>5.908455298344288</v>
      </c>
      <c r="F148" s="1718">
        <v>24789.163426025185</v>
      </c>
      <c r="G148" s="1719">
        <v>4.8110192128860292E-4</v>
      </c>
      <c r="H148" s="1720">
        <v>0.98782858105992155</v>
      </c>
      <c r="I148" s="1914">
        <v>100602</v>
      </c>
      <c r="J148" s="366"/>
      <c r="K148" s="368"/>
      <c r="L148" s="715">
        <v>0</v>
      </c>
      <c r="M148" s="715">
        <v>0</v>
      </c>
      <c r="N148" s="715">
        <v>0</v>
      </c>
      <c r="O148" s="715">
        <v>0</v>
      </c>
      <c r="P148" s="715">
        <v>0</v>
      </c>
      <c r="Q148" s="715">
        <v>4195.540488048</v>
      </c>
      <c r="R148" s="715">
        <v>0</v>
      </c>
      <c r="S148" s="715">
        <v>0</v>
      </c>
      <c r="T148" s="715">
        <v>0</v>
      </c>
      <c r="U148" s="715"/>
      <c r="V148" s="715">
        <v>4195.540488048</v>
      </c>
      <c r="W148" s="716">
        <v>2.87E-2</v>
      </c>
      <c r="X148" s="716">
        <v>120.4120120069776</v>
      </c>
      <c r="Z148" s="1917">
        <v>0</v>
      </c>
      <c r="AA148" s="1917">
        <v>0</v>
      </c>
    </row>
    <row r="149" spans="1:27" s="88" customFormat="1" ht="25.5" x14ac:dyDescent="0.25">
      <c r="A149" s="1715" t="s">
        <v>3425</v>
      </c>
      <c r="B149" s="1716" t="s">
        <v>3419</v>
      </c>
      <c r="C149" s="1717" t="s">
        <v>3428</v>
      </c>
      <c r="D149" s="1718">
        <v>36</v>
      </c>
      <c r="E149" s="1718">
        <v>673.87677537124262</v>
      </c>
      <c r="F149" s="1718">
        <v>24259.563913364735</v>
      </c>
      <c r="G149" s="1719">
        <v>4.7082358560314143E-4</v>
      </c>
      <c r="H149" s="1720">
        <v>0.98829940464552468</v>
      </c>
      <c r="I149" s="719" t="s">
        <v>324</v>
      </c>
      <c r="J149" s="367"/>
      <c r="K149" s="368"/>
      <c r="L149" s="715">
        <v>36</v>
      </c>
      <c r="M149" s="715">
        <v>0</v>
      </c>
      <c r="N149" s="715">
        <v>0</v>
      </c>
      <c r="O149" s="715">
        <v>0</v>
      </c>
      <c r="P149" s="715">
        <v>0</v>
      </c>
      <c r="Q149" s="715">
        <v>0</v>
      </c>
      <c r="R149" s="715">
        <v>0</v>
      </c>
      <c r="S149" s="715">
        <v>0</v>
      </c>
      <c r="T149" s="715">
        <v>0</v>
      </c>
      <c r="U149" s="715"/>
      <c r="V149" s="715">
        <v>36</v>
      </c>
      <c r="W149" s="716">
        <v>0</v>
      </c>
      <c r="X149" s="716">
        <v>0</v>
      </c>
      <c r="Z149" s="1917">
        <v>0</v>
      </c>
      <c r="AA149" s="1917">
        <v>0</v>
      </c>
    </row>
    <row r="150" spans="1:27" s="88" customFormat="1" ht="25.5" x14ac:dyDescent="0.25">
      <c r="A150" s="1715" t="s">
        <v>380</v>
      </c>
      <c r="B150" s="1716" t="s">
        <v>384</v>
      </c>
      <c r="C150" s="1717" t="s">
        <v>51</v>
      </c>
      <c r="D150" s="1718">
        <v>26.400000000000002</v>
      </c>
      <c r="E150" s="1718">
        <v>885.40574451268196</v>
      </c>
      <c r="F150" s="1718">
        <v>23374.711655134804</v>
      </c>
      <c r="G150" s="1719">
        <v>4.5365059294603352E-4</v>
      </c>
      <c r="H150" s="1720">
        <v>0.98875305523847068</v>
      </c>
      <c r="I150" s="719" t="s">
        <v>463</v>
      </c>
      <c r="J150" s="367"/>
      <c r="K150" s="368"/>
      <c r="L150" s="715">
        <v>26.400000000000002</v>
      </c>
      <c r="M150" s="715">
        <v>0</v>
      </c>
      <c r="N150" s="715">
        <v>0</v>
      </c>
      <c r="O150" s="715">
        <v>0</v>
      </c>
      <c r="P150" s="715">
        <v>0</v>
      </c>
      <c r="Q150" s="715">
        <v>0</v>
      </c>
      <c r="R150" s="715">
        <v>0</v>
      </c>
      <c r="S150" s="715">
        <v>0</v>
      </c>
      <c r="T150" s="715">
        <v>0</v>
      </c>
      <c r="U150" s="715"/>
      <c r="V150" s="715">
        <v>26.400000000000002</v>
      </c>
      <c r="W150" s="716">
        <v>8.266</v>
      </c>
      <c r="X150" s="716">
        <v>218.22240000000002</v>
      </c>
      <c r="Z150" s="1917">
        <v>0</v>
      </c>
      <c r="AA150" s="1917">
        <v>0</v>
      </c>
    </row>
    <row r="151" spans="1:27" s="88" customFormat="1" ht="38.25" x14ac:dyDescent="0.25">
      <c r="A151" s="1715" t="s">
        <v>445</v>
      </c>
      <c r="B151" s="1716" t="s">
        <v>71</v>
      </c>
      <c r="C151" s="1717" t="s">
        <v>51</v>
      </c>
      <c r="D151" s="1718">
        <v>19.2</v>
      </c>
      <c r="E151" s="1718">
        <v>1204.6687029790282</v>
      </c>
      <c r="F151" s="1718">
        <v>23129.639097197341</v>
      </c>
      <c r="G151" s="1719">
        <v>4.4889428566560947E-4</v>
      </c>
      <c r="H151" s="1720">
        <v>0.98920194952413631</v>
      </c>
      <c r="I151" s="719" t="s">
        <v>463</v>
      </c>
      <c r="J151" s="367"/>
      <c r="K151" s="368"/>
      <c r="L151" s="715">
        <v>0</v>
      </c>
      <c r="M151" s="715">
        <v>0</v>
      </c>
      <c r="N151" s="715">
        <v>0</v>
      </c>
      <c r="O151" s="715">
        <v>19.2</v>
      </c>
      <c r="P151" s="715">
        <v>0</v>
      </c>
      <c r="Q151" s="715">
        <v>0</v>
      </c>
      <c r="R151" s="715">
        <v>0</v>
      </c>
      <c r="S151" s="715">
        <v>0</v>
      </c>
      <c r="T151" s="715">
        <v>0</v>
      </c>
      <c r="U151" s="715"/>
      <c r="V151" s="715">
        <v>19.2</v>
      </c>
      <c r="W151" s="716">
        <v>23</v>
      </c>
      <c r="X151" s="716">
        <v>441.59999999999997</v>
      </c>
      <c r="Z151" s="1917">
        <v>0</v>
      </c>
      <c r="AA151" s="1917">
        <v>0</v>
      </c>
    </row>
    <row r="152" spans="1:27" s="88" customFormat="1" ht="25.5" x14ac:dyDescent="0.25">
      <c r="A152" s="1715" t="s">
        <v>377</v>
      </c>
      <c r="B152" s="1716" t="s">
        <v>379</v>
      </c>
      <c r="C152" s="1717" t="s">
        <v>41</v>
      </c>
      <c r="D152" s="1718">
        <v>24</v>
      </c>
      <c r="E152" s="1718">
        <v>900.97356755946828</v>
      </c>
      <c r="F152" s="1718">
        <v>21623.365621427238</v>
      </c>
      <c r="G152" s="1719">
        <v>4.1966090450123121E-4</v>
      </c>
      <c r="H152" s="1720">
        <v>0.9896216104286375</v>
      </c>
      <c r="I152" s="719" t="s">
        <v>463</v>
      </c>
      <c r="J152" s="367"/>
      <c r="K152" s="368"/>
      <c r="L152" s="715">
        <v>24</v>
      </c>
      <c r="M152" s="715">
        <v>0</v>
      </c>
      <c r="N152" s="715">
        <v>0</v>
      </c>
      <c r="O152" s="715">
        <v>0</v>
      </c>
      <c r="P152" s="715">
        <v>0</v>
      </c>
      <c r="Q152" s="715">
        <v>0</v>
      </c>
      <c r="R152" s="715">
        <v>0</v>
      </c>
      <c r="S152" s="715">
        <v>0</v>
      </c>
      <c r="T152" s="715">
        <v>0</v>
      </c>
      <c r="U152" s="715"/>
      <c r="V152" s="715">
        <v>24</v>
      </c>
      <c r="W152" s="716">
        <v>0.39700000000000002</v>
      </c>
      <c r="X152" s="716">
        <v>9.5280000000000005</v>
      </c>
      <c r="Z152" s="1917">
        <v>0</v>
      </c>
      <c r="AA152" s="1917">
        <v>0</v>
      </c>
    </row>
    <row r="153" spans="1:27" s="88" customFormat="1" ht="38.25" x14ac:dyDescent="0.25">
      <c r="A153" s="1715">
        <v>100349</v>
      </c>
      <c r="B153" s="1716" t="s">
        <v>542</v>
      </c>
      <c r="C153" s="1717" t="s">
        <v>44</v>
      </c>
      <c r="D153" s="1718">
        <v>44.2</v>
      </c>
      <c r="E153" s="1718">
        <v>485.60041773805585</v>
      </c>
      <c r="F153" s="1718">
        <v>21463.538464022069</v>
      </c>
      <c r="G153" s="1719">
        <v>4.1655901876268324E-4</v>
      </c>
      <c r="H153" s="1720">
        <v>0.9900381694474002</v>
      </c>
      <c r="I153" s="719" t="s">
        <v>463</v>
      </c>
      <c r="J153" s="367"/>
      <c r="K153" s="368"/>
      <c r="L153" s="715">
        <v>0</v>
      </c>
      <c r="M153" s="715">
        <v>0</v>
      </c>
      <c r="N153" s="715">
        <v>0</v>
      </c>
      <c r="O153" s="715">
        <v>44.2</v>
      </c>
      <c r="P153" s="715">
        <v>0</v>
      </c>
      <c r="Q153" s="715">
        <v>0</v>
      </c>
      <c r="R153" s="715">
        <v>0</v>
      </c>
      <c r="S153" s="715">
        <v>0</v>
      </c>
      <c r="T153" s="715">
        <v>0</v>
      </c>
      <c r="U153" s="715"/>
      <c r="V153" s="715">
        <v>44.2</v>
      </c>
      <c r="W153" s="716">
        <v>1.0844</v>
      </c>
      <c r="X153" s="716">
        <v>47.930480000000003</v>
      </c>
      <c r="Z153" s="1917">
        <v>0</v>
      </c>
      <c r="AA153" s="1917">
        <v>0</v>
      </c>
    </row>
    <row r="154" spans="1:27" s="88" customFormat="1" x14ac:dyDescent="0.25">
      <c r="A154" s="1715" t="s">
        <v>3445</v>
      </c>
      <c r="B154" s="1716" t="s">
        <v>3447</v>
      </c>
      <c r="C154" s="1717" t="s">
        <v>41</v>
      </c>
      <c r="D154" s="1718">
        <v>1</v>
      </c>
      <c r="E154" s="1718">
        <v>20934.066261504577</v>
      </c>
      <c r="F154" s="1718">
        <v>20934.066261504577</v>
      </c>
      <c r="G154" s="1719">
        <v>4.0628315388082753E-4</v>
      </c>
      <c r="H154" s="1720">
        <v>0.990444452601281</v>
      </c>
      <c r="I154" s="1914">
        <v>93243</v>
      </c>
      <c r="J154" s="367"/>
      <c r="K154" s="368"/>
      <c r="L154" s="715">
        <v>0</v>
      </c>
      <c r="M154" s="715">
        <v>1</v>
      </c>
      <c r="N154" s="715">
        <v>0</v>
      </c>
      <c r="O154" s="715">
        <v>0</v>
      </c>
      <c r="P154" s="715">
        <v>0</v>
      </c>
      <c r="Q154" s="715">
        <v>0</v>
      </c>
      <c r="R154" s="715">
        <v>0</v>
      </c>
      <c r="S154" s="715">
        <v>0</v>
      </c>
      <c r="T154" s="715">
        <v>0</v>
      </c>
      <c r="U154" s="715"/>
      <c r="V154" s="715">
        <v>1</v>
      </c>
      <c r="W154" s="716">
        <v>294</v>
      </c>
      <c r="X154" s="716">
        <v>294</v>
      </c>
      <c r="Z154" s="1917">
        <v>0</v>
      </c>
      <c r="AA154" s="1917">
        <v>0</v>
      </c>
    </row>
    <row r="155" spans="1:27" s="88" customFormat="1" ht="38.25" x14ac:dyDescent="0.25">
      <c r="A155" s="1715">
        <v>93583</v>
      </c>
      <c r="B155" s="1716" t="s">
        <v>80</v>
      </c>
      <c r="C155" s="1717" t="s">
        <v>51</v>
      </c>
      <c r="D155" s="1718">
        <v>40</v>
      </c>
      <c r="E155" s="1718">
        <v>487.32121021802169</v>
      </c>
      <c r="F155" s="1718">
        <v>19492.848408720867</v>
      </c>
      <c r="G155" s="1719">
        <v>3.7831235607480994E-4</v>
      </c>
      <c r="H155" s="1720">
        <v>0.99082276495735577</v>
      </c>
      <c r="I155" s="719" t="s">
        <v>463</v>
      </c>
      <c r="J155" s="367"/>
      <c r="K155" s="368"/>
      <c r="L155" s="715">
        <v>40</v>
      </c>
      <c r="M155" s="715">
        <v>0</v>
      </c>
      <c r="N155" s="715">
        <v>0</v>
      </c>
      <c r="O155" s="715">
        <v>0</v>
      </c>
      <c r="P155" s="715">
        <v>0</v>
      </c>
      <c r="Q155" s="715">
        <v>0</v>
      </c>
      <c r="R155" s="715">
        <v>0</v>
      </c>
      <c r="S155" s="715">
        <v>0</v>
      </c>
      <c r="T155" s="715">
        <v>0</v>
      </c>
      <c r="U155" s="715"/>
      <c r="V155" s="715">
        <v>40</v>
      </c>
      <c r="W155" s="716">
        <v>3.7257255399999987</v>
      </c>
      <c r="X155" s="716">
        <v>149.02902159999994</v>
      </c>
      <c r="Z155" s="1917">
        <v>0</v>
      </c>
      <c r="AA155" s="1917">
        <v>0</v>
      </c>
    </row>
    <row r="156" spans="1:27" s="88" customFormat="1" ht="63.75" x14ac:dyDescent="0.25">
      <c r="A156" s="1715">
        <v>93371</v>
      </c>
      <c r="B156" s="1716" t="s">
        <v>632</v>
      </c>
      <c r="C156" s="1717" t="s">
        <v>44</v>
      </c>
      <c r="D156" s="1718">
        <v>2165.1710000000003</v>
      </c>
      <c r="E156" s="1718">
        <v>8.8085321352098145</v>
      </c>
      <c r="F156" s="1718">
        <v>19071.978331724371</v>
      </c>
      <c r="G156" s="1719">
        <v>3.7014421424702565E-4</v>
      </c>
      <c r="H156" s="1720">
        <v>0.99119290917160274</v>
      </c>
      <c r="I156" s="719" t="s">
        <v>1481</v>
      </c>
      <c r="J156" s="366"/>
      <c r="K156" s="368"/>
      <c r="L156" s="715">
        <v>0</v>
      </c>
      <c r="M156" s="715">
        <v>0</v>
      </c>
      <c r="N156" s="715">
        <v>0</v>
      </c>
      <c r="O156" s="715">
        <v>2165.1710000000003</v>
      </c>
      <c r="P156" s="715">
        <v>0</v>
      </c>
      <c r="Q156" s="715">
        <v>0</v>
      </c>
      <c r="R156" s="715">
        <v>0</v>
      </c>
      <c r="S156" s="715">
        <v>0</v>
      </c>
      <c r="T156" s="715">
        <v>0</v>
      </c>
      <c r="U156" s="715"/>
      <c r="V156" s="715">
        <v>2165.1710000000003</v>
      </c>
      <c r="W156" s="716">
        <v>9.8000000000000004E-2</v>
      </c>
      <c r="X156" s="716">
        <v>212.18675800000003</v>
      </c>
      <c r="Z156" s="1917">
        <v>0</v>
      </c>
      <c r="AA156" s="1917">
        <v>0</v>
      </c>
    </row>
    <row r="157" spans="1:27" s="88" customFormat="1" ht="76.5" x14ac:dyDescent="0.25">
      <c r="A157" s="1715">
        <v>90090</v>
      </c>
      <c r="B157" s="1716" t="s">
        <v>1304</v>
      </c>
      <c r="C157" s="1717" t="s">
        <v>44</v>
      </c>
      <c r="D157" s="1718">
        <v>2410.509</v>
      </c>
      <c r="E157" s="1718">
        <v>7.9060185967661862</v>
      </c>
      <c r="F157" s="1718">
        <v>19057.528981672262</v>
      </c>
      <c r="G157" s="1719">
        <v>3.6986378485326306E-4</v>
      </c>
      <c r="H157" s="1720">
        <v>0.99156277295645601</v>
      </c>
      <c r="I157" s="719" t="s">
        <v>463</v>
      </c>
      <c r="J157" s="367"/>
      <c r="K157" s="368"/>
      <c r="L157" s="715">
        <v>0</v>
      </c>
      <c r="M157" s="715">
        <v>0</v>
      </c>
      <c r="N157" s="715">
        <v>0</v>
      </c>
      <c r="O157" s="715">
        <v>2410.509</v>
      </c>
      <c r="P157" s="715">
        <v>0</v>
      </c>
      <c r="Q157" s="715">
        <v>0</v>
      </c>
      <c r="R157" s="715">
        <v>0</v>
      </c>
      <c r="S157" s="715">
        <v>0</v>
      </c>
      <c r="T157" s="715">
        <v>0</v>
      </c>
      <c r="U157" s="715"/>
      <c r="V157" s="715">
        <v>2410.509</v>
      </c>
      <c r="W157" s="716">
        <v>9.7200000000000009E-2</v>
      </c>
      <c r="X157" s="716">
        <v>234.30147480000002</v>
      </c>
      <c r="Z157" s="1917">
        <v>0</v>
      </c>
      <c r="AA157" s="1917">
        <v>0</v>
      </c>
    </row>
    <row r="158" spans="1:27" s="88" customFormat="1" ht="38.25" x14ac:dyDescent="0.25">
      <c r="A158" s="1715">
        <v>93243</v>
      </c>
      <c r="B158" s="1716" t="s">
        <v>82</v>
      </c>
      <c r="C158" s="1717" t="s">
        <v>41</v>
      </c>
      <c r="D158" s="1718">
        <v>2</v>
      </c>
      <c r="E158" s="1718">
        <v>9435.3097373881446</v>
      </c>
      <c r="F158" s="1718">
        <v>18870.619474776289</v>
      </c>
      <c r="G158" s="1719">
        <v>3.6623629160835788E-4</v>
      </c>
      <c r="H158" s="1720">
        <v>0.99192900924806438</v>
      </c>
      <c r="I158" s="719" t="s">
        <v>327</v>
      </c>
      <c r="J158" s="366"/>
      <c r="K158" s="368"/>
      <c r="L158" s="715">
        <v>2</v>
      </c>
      <c r="M158" s="715">
        <v>0</v>
      </c>
      <c r="N158" s="715">
        <v>0</v>
      </c>
      <c r="O158" s="715">
        <v>0</v>
      </c>
      <c r="P158" s="715">
        <v>0</v>
      </c>
      <c r="Q158" s="715">
        <v>0</v>
      </c>
      <c r="R158" s="715">
        <v>0</v>
      </c>
      <c r="S158" s="715">
        <v>0</v>
      </c>
      <c r="T158" s="715">
        <v>0</v>
      </c>
      <c r="U158" s="715"/>
      <c r="V158" s="715">
        <v>2</v>
      </c>
      <c r="W158" s="716">
        <v>22.209099999999999</v>
      </c>
      <c r="X158" s="716">
        <v>44.418199999999999</v>
      </c>
      <c r="Z158" s="1917">
        <v>0</v>
      </c>
      <c r="AA158" s="1917">
        <v>0</v>
      </c>
    </row>
    <row r="159" spans="1:27" s="88" customFormat="1" ht="25.5" x14ac:dyDescent="0.25">
      <c r="A159" s="1715">
        <v>93358</v>
      </c>
      <c r="B159" s="1716" t="s">
        <v>1293</v>
      </c>
      <c r="C159" s="1717" t="s">
        <v>44</v>
      </c>
      <c r="D159" s="1718">
        <v>224</v>
      </c>
      <c r="E159" s="1718">
        <v>83.825457450644208</v>
      </c>
      <c r="F159" s="1718">
        <v>18776.902468944303</v>
      </c>
      <c r="G159" s="1719">
        <v>3.6441745525683144E-4</v>
      </c>
      <c r="H159" s="1720">
        <v>0.99229342670332121</v>
      </c>
      <c r="I159" s="719" t="s">
        <v>463</v>
      </c>
      <c r="J159" s="367"/>
      <c r="K159" s="368"/>
      <c r="L159" s="715">
        <v>0</v>
      </c>
      <c r="M159" s="715">
        <v>0</v>
      </c>
      <c r="N159" s="715">
        <v>0</v>
      </c>
      <c r="O159" s="715">
        <v>0</v>
      </c>
      <c r="P159" s="715">
        <v>0</v>
      </c>
      <c r="Q159" s="715">
        <v>0</v>
      </c>
      <c r="R159" s="715">
        <v>224</v>
      </c>
      <c r="S159" s="715">
        <v>0</v>
      </c>
      <c r="T159" s="715">
        <v>0</v>
      </c>
      <c r="U159" s="715"/>
      <c r="V159" s="715">
        <v>224</v>
      </c>
      <c r="W159" s="716">
        <v>3.956</v>
      </c>
      <c r="X159" s="716">
        <v>886.14400000000001</v>
      </c>
      <c r="Z159" s="1917">
        <v>0</v>
      </c>
      <c r="AA159" s="1917">
        <v>0</v>
      </c>
    </row>
    <row r="160" spans="1:27" s="88" customFormat="1" ht="25.5" x14ac:dyDescent="0.25">
      <c r="A160" s="1715" t="s">
        <v>3388</v>
      </c>
      <c r="B160" s="1716" t="s">
        <v>3387</v>
      </c>
      <c r="C160" s="1717" t="s">
        <v>46</v>
      </c>
      <c r="D160" s="1718">
        <v>464</v>
      </c>
      <c r="E160" s="1718">
        <v>40.143802189972597</v>
      </c>
      <c r="F160" s="1718">
        <v>18626.724216147286</v>
      </c>
      <c r="G160" s="1719">
        <v>3.6150283306024062E-4</v>
      </c>
      <c r="H160" s="1720">
        <v>0.99265492953638146</v>
      </c>
      <c r="I160" s="719" t="s">
        <v>463</v>
      </c>
      <c r="J160" s="367"/>
      <c r="K160" s="368"/>
      <c r="L160" s="715">
        <v>464</v>
      </c>
      <c r="M160" s="715">
        <v>0</v>
      </c>
      <c r="N160" s="715">
        <v>0</v>
      </c>
      <c r="O160" s="715">
        <v>0</v>
      </c>
      <c r="P160" s="715">
        <v>0</v>
      </c>
      <c r="Q160" s="715">
        <v>0</v>
      </c>
      <c r="R160" s="715">
        <v>0</v>
      </c>
      <c r="S160" s="715">
        <v>0</v>
      </c>
      <c r="T160" s="715">
        <v>0</v>
      </c>
      <c r="U160" s="715"/>
      <c r="V160" s="715">
        <v>464</v>
      </c>
      <c r="W160" s="716">
        <v>0</v>
      </c>
      <c r="X160" s="716">
        <v>0</v>
      </c>
      <c r="Z160" s="1917">
        <v>0</v>
      </c>
      <c r="AA160" s="1917">
        <v>0</v>
      </c>
    </row>
    <row r="161" spans="1:27" s="88" customFormat="1" ht="38.25" x14ac:dyDescent="0.25">
      <c r="A161" s="1715">
        <v>101576</v>
      </c>
      <c r="B161" s="1716" t="s">
        <v>1154</v>
      </c>
      <c r="C161" s="1717" t="s">
        <v>51</v>
      </c>
      <c r="D161" s="1718">
        <v>426.19229999999999</v>
      </c>
      <c r="E161" s="1718">
        <v>43.477085525291066</v>
      </c>
      <c r="F161" s="1718">
        <v>18529.599077320509</v>
      </c>
      <c r="G161" s="1719">
        <v>3.5961785251079911E-4</v>
      </c>
      <c r="H161" s="1720">
        <v>0.99301454738889228</v>
      </c>
      <c r="I161" s="719" t="s">
        <v>463</v>
      </c>
      <c r="J161" s="367"/>
      <c r="K161" s="368"/>
      <c r="L161" s="715">
        <v>0</v>
      </c>
      <c r="M161" s="715">
        <v>0</v>
      </c>
      <c r="N161" s="715">
        <v>0</v>
      </c>
      <c r="O161" s="715">
        <v>426.19229999999999</v>
      </c>
      <c r="P161" s="715">
        <v>0</v>
      </c>
      <c r="Q161" s="715">
        <v>0</v>
      </c>
      <c r="R161" s="715">
        <v>0</v>
      </c>
      <c r="S161" s="715">
        <v>0</v>
      </c>
      <c r="T161" s="715">
        <v>0</v>
      </c>
      <c r="U161" s="715"/>
      <c r="V161" s="715">
        <v>426.19229999999999</v>
      </c>
      <c r="W161" s="716">
        <v>0.85070000000000001</v>
      </c>
      <c r="X161" s="716">
        <v>362.56178961000001</v>
      </c>
      <c r="Z161" s="1917">
        <v>0</v>
      </c>
      <c r="AA161" s="1917">
        <v>0</v>
      </c>
    </row>
    <row r="162" spans="1:27" s="88" customFormat="1" ht="38.25" x14ac:dyDescent="0.25">
      <c r="A162" s="1715">
        <v>93585</v>
      </c>
      <c r="B162" s="1716" t="s">
        <v>79</v>
      </c>
      <c r="C162" s="1717" t="s">
        <v>51</v>
      </c>
      <c r="D162" s="1718">
        <v>13.049999999999999</v>
      </c>
      <c r="E162" s="1718">
        <v>1268.9220015378958</v>
      </c>
      <c r="F162" s="1718">
        <v>16559.432120069538</v>
      </c>
      <c r="G162" s="1719">
        <v>3.2138134197984465E-4</v>
      </c>
      <c r="H162" s="1720">
        <v>0.99333592873087218</v>
      </c>
      <c r="I162" s="719" t="s">
        <v>463</v>
      </c>
      <c r="J162" s="367"/>
      <c r="K162" s="368"/>
      <c r="L162" s="715">
        <v>13.049999999999999</v>
      </c>
      <c r="M162" s="715">
        <v>0</v>
      </c>
      <c r="N162" s="715">
        <v>0</v>
      </c>
      <c r="O162" s="715">
        <v>0</v>
      </c>
      <c r="P162" s="715">
        <v>0</v>
      </c>
      <c r="Q162" s="715">
        <v>0</v>
      </c>
      <c r="R162" s="715">
        <v>0</v>
      </c>
      <c r="S162" s="715">
        <v>0</v>
      </c>
      <c r="T162" s="715">
        <v>0</v>
      </c>
      <c r="U162" s="715"/>
      <c r="V162" s="715">
        <v>13.049999999999999</v>
      </c>
      <c r="W162" s="716">
        <v>9.4253213799999997</v>
      </c>
      <c r="X162" s="716">
        <v>123.00044400899999</v>
      </c>
      <c r="Z162" s="1917">
        <v>0</v>
      </c>
      <c r="AA162" s="1917">
        <v>0</v>
      </c>
    </row>
    <row r="163" spans="1:27" s="88" customFormat="1" x14ac:dyDescent="0.25">
      <c r="A163" s="1715" t="s">
        <v>2335</v>
      </c>
      <c r="B163" s="1716" t="s">
        <v>2355</v>
      </c>
      <c r="C163" s="1717" t="s">
        <v>22</v>
      </c>
      <c r="D163" s="1718">
        <v>167.60000000000002</v>
      </c>
      <c r="E163" s="1718">
        <v>95.289806410927667</v>
      </c>
      <c r="F163" s="1718">
        <v>15970.571554471479</v>
      </c>
      <c r="G163" s="1719">
        <v>3.0995288251102319E-4</v>
      </c>
      <c r="H163" s="1720">
        <v>0.99364588161338319</v>
      </c>
      <c r="I163" s="719" t="s">
        <v>463</v>
      </c>
      <c r="J163" s="367"/>
      <c r="K163" s="368"/>
      <c r="L163" s="715">
        <v>0</v>
      </c>
      <c r="M163" s="715">
        <v>0</v>
      </c>
      <c r="N163" s="715">
        <v>0</v>
      </c>
      <c r="O163" s="715">
        <v>167.60000000000002</v>
      </c>
      <c r="P163" s="715">
        <v>0</v>
      </c>
      <c r="Q163" s="715">
        <v>0</v>
      </c>
      <c r="R163" s="715">
        <v>0</v>
      </c>
      <c r="S163" s="715">
        <v>0</v>
      </c>
      <c r="T163" s="715">
        <v>0</v>
      </c>
      <c r="U163" s="715"/>
      <c r="V163" s="715">
        <v>167.60000000000002</v>
      </c>
      <c r="W163" s="716">
        <v>0</v>
      </c>
      <c r="X163" s="716">
        <v>0</v>
      </c>
      <c r="Z163" s="1917">
        <v>0</v>
      </c>
      <c r="AA163" s="1917">
        <v>0</v>
      </c>
    </row>
    <row r="164" spans="1:27" s="88" customFormat="1" ht="38.25" x14ac:dyDescent="0.25">
      <c r="A164" s="1715">
        <v>94962</v>
      </c>
      <c r="B164" s="1716" t="s">
        <v>3658</v>
      </c>
      <c r="C164" s="1717" t="s">
        <v>44</v>
      </c>
      <c r="D164" s="1718">
        <v>39.709999999999994</v>
      </c>
      <c r="E164" s="1718">
        <v>396.55241527828446</v>
      </c>
      <c r="F164" s="1718">
        <v>15747.096410700673</v>
      </c>
      <c r="G164" s="1719">
        <v>3.0561573247571763E-4</v>
      </c>
      <c r="H164" s="1720">
        <v>0.99395149734585886</v>
      </c>
      <c r="I164" s="719" t="s">
        <v>463</v>
      </c>
      <c r="J164" s="367"/>
      <c r="K164" s="368"/>
      <c r="L164" s="715">
        <v>0</v>
      </c>
      <c r="M164" s="715">
        <v>0</v>
      </c>
      <c r="N164" s="715">
        <v>0</v>
      </c>
      <c r="O164" s="715">
        <v>39.709999999999994</v>
      </c>
      <c r="P164" s="715">
        <v>0</v>
      </c>
      <c r="Q164" s="715">
        <v>0</v>
      </c>
      <c r="R164" s="715">
        <v>0</v>
      </c>
      <c r="S164" s="715">
        <v>0</v>
      </c>
      <c r="T164" s="715">
        <v>0</v>
      </c>
      <c r="U164" s="715"/>
      <c r="V164" s="715">
        <v>39.709999999999994</v>
      </c>
      <c r="W164" s="716">
        <v>3.8244000000000002</v>
      </c>
      <c r="X164" s="716">
        <v>151.86692399999998</v>
      </c>
      <c r="Z164" s="1917">
        <v>2.9622000000000002</v>
      </c>
      <c r="AA164" s="1917">
        <v>117.62896199999999</v>
      </c>
    </row>
    <row r="165" spans="1:27" s="88" customFormat="1" ht="25.5" x14ac:dyDescent="0.25">
      <c r="A165" s="1715" t="s">
        <v>457</v>
      </c>
      <c r="B165" s="1716" t="s">
        <v>454</v>
      </c>
      <c r="C165" s="1717" t="s">
        <v>205</v>
      </c>
      <c r="D165" s="1718">
        <v>3</v>
      </c>
      <c r="E165" s="1718">
        <v>5230.3667931269756</v>
      </c>
      <c r="F165" s="1718">
        <v>15691.100379380927</v>
      </c>
      <c r="G165" s="1719">
        <v>3.0452897542024618E-4</v>
      </c>
      <c r="H165" s="1720">
        <v>0.99425602632127907</v>
      </c>
      <c r="I165" s="719" t="s">
        <v>463</v>
      </c>
      <c r="J165" s="367"/>
      <c r="K165" s="368"/>
      <c r="L165" s="715">
        <v>3</v>
      </c>
      <c r="M165" s="715">
        <v>0</v>
      </c>
      <c r="N165" s="715">
        <v>0</v>
      </c>
      <c r="O165" s="715">
        <v>0</v>
      </c>
      <c r="P165" s="715">
        <v>0</v>
      </c>
      <c r="Q165" s="715">
        <v>0</v>
      </c>
      <c r="R165" s="715">
        <v>0</v>
      </c>
      <c r="S165" s="715">
        <v>0</v>
      </c>
      <c r="T165" s="715">
        <v>0</v>
      </c>
      <c r="U165" s="715"/>
      <c r="V165" s="715">
        <v>3</v>
      </c>
      <c r="W165" s="716">
        <v>0</v>
      </c>
      <c r="X165" s="716">
        <v>0</v>
      </c>
      <c r="Z165" s="1917">
        <v>0</v>
      </c>
      <c r="AA165" s="1917">
        <v>0</v>
      </c>
    </row>
    <row r="166" spans="1:27" s="88" customFormat="1" x14ac:dyDescent="0.25">
      <c r="A166" s="1715">
        <v>98458</v>
      </c>
      <c r="B166" s="1716" t="s">
        <v>654</v>
      </c>
      <c r="C166" s="1717" t="s">
        <v>51</v>
      </c>
      <c r="D166" s="1718">
        <v>101.20000000000002</v>
      </c>
      <c r="E166" s="1718">
        <v>148.42135977551618</v>
      </c>
      <c r="F166" s="1718">
        <v>15020.24160928224</v>
      </c>
      <c r="G166" s="1719">
        <v>2.9150911518289172E-4</v>
      </c>
      <c r="H166" s="1720">
        <v>0.99454753543646202</v>
      </c>
      <c r="I166" s="719" t="s">
        <v>463</v>
      </c>
      <c r="J166" s="367"/>
      <c r="K166" s="368"/>
      <c r="L166" s="715">
        <v>101.20000000000002</v>
      </c>
      <c r="M166" s="715">
        <v>0</v>
      </c>
      <c r="N166" s="715">
        <v>0</v>
      </c>
      <c r="O166" s="715">
        <v>0</v>
      </c>
      <c r="P166" s="715">
        <v>0</v>
      </c>
      <c r="Q166" s="715">
        <v>0</v>
      </c>
      <c r="R166" s="715">
        <v>0</v>
      </c>
      <c r="S166" s="715">
        <v>0</v>
      </c>
      <c r="T166" s="715">
        <v>0</v>
      </c>
      <c r="U166" s="715"/>
      <c r="V166" s="715">
        <v>101.20000000000002</v>
      </c>
      <c r="W166" s="716">
        <v>0.84982869999999999</v>
      </c>
      <c r="X166" s="716">
        <v>86.002664440000018</v>
      </c>
      <c r="Z166" s="1917">
        <v>0</v>
      </c>
      <c r="AA166" s="1917">
        <v>0</v>
      </c>
    </row>
    <row r="167" spans="1:27" s="88" customFormat="1" ht="25.5" x14ac:dyDescent="0.25">
      <c r="A167" s="1715">
        <v>92874</v>
      </c>
      <c r="B167" s="1716" t="s">
        <v>596</v>
      </c>
      <c r="C167" s="1717" t="s">
        <v>44</v>
      </c>
      <c r="D167" s="1718">
        <v>379.5</v>
      </c>
      <c r="E167" s="1718">
        <v>36.822552368500048</v>
      </c>
      <c r="F167" s="1718">
        <v>13974.158623845768</v>
      </c>
      <c r="G167" s="1719">
        <v>2.7120699665345244E-4</v>
      </c>
      <c r="H167" s="1720">
        <v>0.99481874243311552</v>
      </c>
      <c r="I167" s="719" t="s">
        <v>263</v>
      </c>
      <c r="J167" s="366"/>
      <c r="K167" s="368"/>
      <c r="L167" s="715">
        <v>0</v>
      </c>
      <c r="M167" s="715">
        <v>0</v>
      </c>
      <c r="N167" s="715">
        <v>0</v>
      </c>
      <c r="O167" s="715">
        <v>0</v>
      </c>
      <c r="P167" s="715">
        <v>0</v>
      </c>
      <c r="Q167" s="715">
        <v>0</v>
      </c>
      <c r="R167" s="715">
        <v>379.5</v>
      </c>
      <c r="S167" s="715">
        <v>0</v>
      </c>
      <c r="T167" s="715">
        <v>0</v>
      </c>
      <c r="U167" s="715"/>
      <c r="V167" s="715">
        <v>379.5</v>
      </c>
      <c r="W167" s="716">
        <v>1.5899999999999999</v>
      </c>
      <c r="X167" s="716">
        <v>603.40499999999997</v>
      </c>
      <c r="Z167" s="1917">
        <v>0</v>
      </c>
      <c r="AA167" s="1917">
        <v>0</v>
      </c>
    </row>
    <row r="168" spans="1:27" s="88" customFormat="1" ht="25.5" x14ac:dyDescent="0.25">
      <c r="A168" s="1715">
        <v>100933</v>
      </c>
      <c r="B168" s="1716" t="s">
        <v>3657</v>
      </c>
      <c r="C168" s="1717" t="s">
        <v>22</v>
      </c>
      <c r="D168" s="1718">
        <v>37.5</v>
      </c>
      <c r="E168" s="1718">
        <v>362.91874407895187</v>
      </c>
      <c r="F168" s="1718">
        <v>13609.452902960695</v>
      </c>
      <c r="G168" s="1719">
        <v>2.6412887868685161E-4</v>
      </c>
      <c r="H168" s="1720">
        <v>0.9950828713118024</v>
      </c>
      <c r="I168" s="719" t="s">
        <v>463</v>
      </c>
      <c r="J168" s="367"/>
      <c r="K168" s="368"/>
      <c r="L168" s="715">
        <v>0</v>
      </c>
      <c r="M168" s="715">
        <v>0</v>
      </c>
      <c r="N168" s="715">
        <v>0</v>
      </c>
      <c r="O168" s="715">
        <v>37.5</v>
      </c>
      <c r="P168" s="715">
        <v>0</v>
      </c>
      <c r="Q168" s="715">
        <v>0</v>
      </c>
      <c r="R168" s="715">
        <v>0</v>
      </c>
      <c r="S168" s="715">
        <v>0</v>
      </c>
      <c r="T168" s="715">
        <v>0</v>
      </c>
      <c r="U168" s="715"/>
      <c r="V168" s="715">
        <v>37.5</v>
      </c>
      <c r="W168" s="716">
        <v>3.3420349999999996</v>
      </c>
      <c r="X168" s="716">
        <v>125.32631249999999</v>
      </c>
      <c r="Z168" s="1917">
        <v>0</v>
      </c>
      <c r="AA168" s="1917">
        <v>0</v>
      </c>
    </row>
    <row r="169" spans="1:27" s="88" customFormat="1" ht="25.5" x14ac:dyDescent="0.25">
      <c r="A169" s="1715" t="s">
        <v>459</v>
      </c>
      <c r="B169" s="1716" t="s">
        <v>458</v>
      </c>
      <c r="C169" s="1717" t="s">
        <v>205</v>
      </c>
      <c r="D169" s="1718">
        <v>2</v>
      </c>
      <c r="E169" s="1718">
        <v>6781.35435921312</v>
      </c>
      <c r="F169" s="1718">
        <v>13562.70871842624</v>
      </c>
      <c r="G169" s="1719">
        <v>2.6322167917381821E-4</v>
      </c>
      <c r="H169" s="1720">
        <v>0.99534609299097621</v>
      </c>
      <c r="I169" s="1914">
        <v>93597</v>
      </c>
      <c r="J169" s="366"/>
      <c r="K169" s="368"/>
      <c r="L169" s="715">
        <v>2</v>
      </c>
      <c r="M169" s="715">
        <v>0</v>
      </c>
      <c r="N169" s="715">
        <v>0</v>
      </c>
      <c r="O169" s="715">
        <v>0</v>
      </c>
      <c r="P169" s="715">
        <v>0</v>
      </c>
      <c r="Q169" s="715">
        <v>0</v>
      </c>
      <c r="R169" s="715">
        <v>0</v>
      </c>
      <c r="S169" s="715">
        <v>0</v>
      </c>
      <c r="T169" s="715">
        <v>0</v>
      </c>
      <c r="U169" s="715"/>
      <c r="V169" s="715">
        <v>2</v>
      </c>
      <c r="W169" s="716">
        <v>0</v>
      </c>
      <c r="X169" s="716">
        <v>0</v>
      </c>
      <c r="Z169" s="1917">
        <v>0</v>
      </c>
      <c r="AA169" s="1917">
        <v>0</v>
      </c>
    </row>
    <row r="170" spans="1:27" s="88" customFormat="1" x14ac:dyDescent="0.25">
      <c r="A170" s="1715" t="s">
        <v>2346</v>
      </c>
      <c r="B170" s="1716" t="s">
        <v>2352</v>
      </c>
      <c r="C170" s="1717" t="s">
        <v>22</v>
      </c>
      <c r="D170" s="1718">
        <v>51.5</v>
      </c>
      <c r="E170" s="1718">
        <v>248.46179326960211</v>
      </c>
      <c r="F170" s="1718">
        <v>12795.782353384509</v>
      </c>
      <c r="G170" s="1719">
        <v>2.4833736293581666E-4</v>
      </c>
      <c r="H170" s="1720">
        <v>0.99559443035391204</v>
      </c>
      <c r="I170" s="719" t="s">
        <v>463</v>
      </c>
      <c r="J170" s="367"/>
      <c r="K170" s="368"/>
      <c r="L170" s="715">
        <v>0</v>
      </c>
      <c r="M170" s="715">
        <v>0</v>
      </c>
      <c r="N170" s="715">
        <v>0</v>
      </c>
      <c r="O170" s="715">
        <v>51.5</v>
      </c>
      <c r="P170" s="715">
        <v>0</v>
      </c>
      <c r="Q170" s="715">
        <v>0</v>
      </c>
      <c r="R170" s="715">
        <v>0</v>
      </c>
      <c r="S170" s="715">
        <v>0</v>
      </c>
      <c r="T170" s="715">
        <v>0</v>
      </c>
      <c r="U170" s="715"/>
      <c r="V170" s="715">
        <v>51.5</v>
      </c>
      <c r="W170" s="716">
        <v>0</v>
      </c>
      <c r="X170" s="716">
        <v>0</v>
      </c>
      <c r="Z170" s="1917">
        <v>0</v>
      </c>
      <c r="AA170" s="1917">
        <v>0</v>
      </c>
    </row>
    <row r="171" spans="1:27" s="88" customFormat="1" ht="25.5" x14ac:dyDescent="0.25">
      <c r="A171" s="1715" t="s">
        <v>1112</v>
      </c>
      <c r="B171" s="1716" t="s">
        <v>1113</v>
      </c>
      <c r="C171" s="1717" t="s">
        <v>41</v>
      </c>
      <c r="D171" s="1718">
        <v>1</v>
      </c>
      <c r="E171" s="1718">
        <v>12510.630118950638</v>
      </c>
      <c r="F171" s="1718">
        <v>12510.630118950638</v>
      </c>
      <c r="G171" s="1719">
        <v>2.4280319925759237E-4</v>
      </c>
      <c r="H171" s="1720">
        <v>0.99583723355316967</v>
      </c>
      <c r="I171" s="719" t="s">
        <v>463</v>
      </c>
      <c r="J171" s="367"/>
      <c r="K171" s="368"/>
      <c r="L171" s="715">
        <v>0</v>
      </c>
      <c r="M171" s="715">
        <v>0</v>
      </c>
      <c r="N171" s="715">
        <v>0</v>
      </c>
      <c r="O171" s="715">
        <v>0</v>
      </c>
      <c r="P171" s="715">
        <v>0</v>
      </c>
      <c r="Q171" s="715">
        <v>0</v>
      </c>
      <c r="R171" s="715">
        <v>1</v>
      </c>
      <c r="S171" s="715">
        <v>0</v>
      </c>
      <c r="T171" s="715">
        <v>0</v>
      </c>
      <c r="U171" s="715"/>
      <c r="V171" s="715">
        <v>1</v>
      </c>
      <c r="W171" s="716">
        <v>175.83699999999999</v>
      </c>
      <c r="X171" s="716">
        <v>175.83699999999999</v>
      </c>
      <c r="Z171" s="1917">
        <v>0</v>
      </c>
      <c r="AA171" s="1917">
        <v>0</v>
      </c>
    </row>
    <row r="172" spans="1:27" s="88" customFormat="1" ht="25.5" x14ac:dyDescent="0.25">
      <c r="A172" s="1715">
        <v>93582</v>
      </c>
      <c r="B172" s="1716" t="s">
        <v>81</v>
      </c>
      <c r="C172" s="1717" t="s">
        <v>51</v>
      </c>
      <c r="D172" s="1718">
        <v>40</v>
      </c>
      <c r="E172" s="1718">
        <v>299.92329909558663</v>
      </c>
      <c r="F172" s="1718">
        <v>11996.931963823465</v>
      </c>
      <c r="G172" s="1719">
        <v>2.3283347316612493E-4</v>
      </c>
      <c r="H172" s="1720">
        <v>0.99607006702633583</v>
      </c>
      <c r="I172" s="719" t="s">
        <v>463</v>
      </c>
      <c r="J172" s="367"/>
      <c r="K172" s="368"/>
      <c r="L172" s="715">
        <v>40</v>
      </c>
      <c r="M172" s="715">
        <v>0</v>
      </c>
      <c r="N172" s="715">
        <v>0</v>
      </c>
      <c r="O172" s="715">
        <v>0</v>
      </c>
      <c r="P172" s="715">
        <v>0</v>
      </c>
      <c r="Q172" s="715">
        <v>0</v>
      </c>
      <c r="R172" s="715">
        <v>0</v>
      </c>
      <c r="S172" s="715">
        <v>0</v>
      </c>
      <c r="T172" s="715">
        <v>0</v>
      </c>
      <c r="U172" s="715"/>
      <c r="V172" s="715">
        <v>40</v>
      </c>
      <c r="W172" s="716">
        <v>2.39580342</v>
      </c>
      <c r="X172" s="716">
        <v>95.832136800000001</v>
      </c>
      <c r="Z172" s="1917">
        <v>0</v>
      </c>
      <c r="AA172" s="1917">
        <v>0</v>
      </c>
    </row>
    <row r="173" spans="1:27" s="88" customFormat="1" ht="25.5" x14ac:dyDescent="0.25">
      <c r="A173" s="1715" t="s">
        <v>167</v>
      </c>
      <c r="B173" s="1716" t="s">
        <v>973</v>
      </c>
      <c r="C173" s="1717" t="s">
        <v>55</v>
      </c>
      <c r="D173" s="1718">
        <v>3.5987699999999996</v>
      </c>
      <c r="E173" s="1718">
        <v>3242.4441915171064</v>
      </c>
      <c r="F173" s="1718">
        <v>11668.810883106016</v>
      </c>
      <c r="G173" s="1719">
        <v>2.2646538080110681E-4</v>
      </c>
      <c r="H173" s="1720">
        <v>0.99629653240713689</v>
      </c>
      <c r="I173" s="719" t="s">
        <v>463</v>
      </c>
      <c r="J173" s="367"/>
      <c r="K173" s="368"/>
      <c r="L173" s="715">
        <v>0</v>
      </c>
      <c r="M173" s="715">
        <v>0</v>
      </c>
      <c r="N173" s="715">
        <v>0</v>
      </c>
      <c r="O173" s="715">
        <v>0</v>
      </c>
      <c r="P173" s="715">
        <v>0</v>
      </c>
      <c r="Q173" s="715">
        <v>3.5987699999999996</v>
      </c>
      <c r="R173" s="715">
        <v>0</v>
      </c>
      <c r="S173" s="715">
        <v>0</v>
      </c>
      <c r="T173" s="715">
        <v>0</v>
      </c>
      <c r="U173" s="715"/>
      <c r="V173" s="715">
        <v>3.5987699999999996</v>
      </c>
      <c r="W173" s="716">
        <v>0</v>
      </c>
      <c r="X173" s="716">
        <v>0</v>
      </c>
      <c r="Z173" s="1917">
        <v>0</v>
      </c>
      <c r="AA173" s="1917">
        <v>0</v>
      </c>
    </row>
    <row r="174" spans="1:27" s="88" customFormat="1" ht="38.25" x14ac:dyDescent="0.25">
      <c r="A174" s="1715">
        <v>96534</v>
      </c>
      <c r="B174" s="1716" t="s">
        <v>581</v>
      </c>
      <c r="C174" s="1717" t="s">
        <v>51</v>
      </c>
      <c r="D174" s="1718">
        <v>117.4</v>
      </c>
      <c r="E174" s="1718">
        <v>95.654401561178702</v>
      </c>
      <c r="F174" s="1718">
        <v>11229.82674328238</v>
      </c>
      <c r="G174" s="1719">
        <v>2.1794568574505464E-4</v>
      </c>
      <c r="H174" s="1720">
        <v>0.99651447809288196</v>
      </c>
      <c r="I174" s="1914">
        <v>100952</v>
      </c>
      <c r="J174" s="366"/>
      <c r="K174" s="368"/>
      <c r="L174" s="715">
        <v>0</v>
      </c>
      <c r="M174" s="715">
        <v>0</v>
      </c>
      <c r="N174" s="715">
        <v>0</v>
      </c>
      <c r="O174" s="715">
        <v>0</v>
      </c>
      <c r="P174" s="715">
        <v>0</v>
      </c>
      <c r="Q174" s="715">
        <v>0</v>
      </c>
      <c r="R174" s="715">
        <v>117.4</v>
      </c>
      <c r="S174" s="715">
        <v>0</v>
      </c>
      <c r="T174" s="715">
        <v>0</v>
      </c>
      <c r="U174" s="715"/>
      <c r="V174" s="715">
        <v>117.4</v>
      </c>
      <c r="W174" s="716">
        <v>2.0339999999999998</v>
      </c>
      <c r="X174" s="716">
        <v>238.79159999999999</v>
      </c>
      <c r="Z174" s="1917">
        <v>0</v>
      </c>
      <c r="AA174" s="1917">
        <v>0</v>
      </c>
    </row>
    <row r="175" spans="1:27" s="88" customFormat="1" ht="25.5" x14ac:dyDescent="0.25">
      <c r="A175" s="1715" t="s">
        <v>3039</v>
      </c>
      <c r="B175" s="1716" t="s">
        <v>3040</v>
      </c>
      <c r="C175" s="1717" t="s">
        <v>41</v>
      </c>
      <c r="D175" s="1718">
        <v>60</v>
      </c>
      <c r="E175" s="1718">
        <v>183.11301751218159</v>
      </c>
      <c r="F175" s="1718">
        <v>10986.781050730895</v>
      </c>
      <c r="G175" s="1719">
        <v>2.1322871536417126E-4</v>
      </c>
      <c r="H175" s="1720">
        <v>0.99672770680824618</v>
      </c>
      <c r="I175" s="719" t="s">
        <v>463</v>
      </c>
      <c r="J175" s="367"/>
      <c r="K175" s="368"/>
      <c r="L175" s="715">
        <v>0</v>
      </c>
      <c r="M175" s="715">
        <v>0</v>
      </c>
      <c r="N175" s="715">
        <v>0</v>
      </c>
      <c r="O175" s="715">
        <v>60</v>
      </c>
      <c r="P175" s="715">
        <v>0</v>
      </c>
      <c r="Q175" s="715">
        <v>0</v>
      </c>
      <c r="R175" s="715">
        <v>0</v>
      </c>
      <c r="S175" s="715">
        <v>0</v>
      </c>
      <c r="T175" s="715">
        <v>0</v>
      </c>
      <c r="U175" s="715"/>
      <c r="V175" s="715">
        <v>60</v>
      </c>
      <c r="W175" s="716">
        <v>3</v>
      </c>
      <c r="X175" s="716">
        <v>180</v>
      </c>
      <c r="Z175" s="1917">
        <v>0</v>
      </c>
      <c r="AA175" s="1917">
        <v>0</v>
      </c>
    </row>
    <row r="176" spans="1:27" s="88" customFormat="1" ht="51" x14ac:dyDescent="0.25">
      <c r="A176" s="1715">
        <v>98078</v>
      </c>
      <c r="B176" s="1716" t="s">
        <v>1309</v>
      </c>
      <c r="C176" s="1717" t="s">
        <v>41</v>
      </c>
      <c r="D176" s="1718">
        <v>2</v>
      </c>
      <c r="E176" s="1718">
        <v>5425.3578514861829</v>
      </c>
      <c r="F176" s="1718">
        <v>10850.715702972366</v>
      </c>
      <c r="G176" s="1719">
        <v>2.1058799292015748E-4</v>
      </c>
      <c r="H176" s="1720">
        <v>0.99693829480116636</v>
      </c>
      <c r="I176" s="719" t="s">
        <v>457</v>
      </c>
      <c r="J176" s="366"/>
      <c r="K176" s="368"/>
      <c r="L176" s="715">
        <v>2</v>
      </c>
      <c r="M176" s="715">
        <v>0</v>
      </c>
      <c r="N176" s="715">
        <v>0</v>
      </c>
      <c r="O176" s="715">
        <v>0</v>
      </c>
      <c r="P176" s="715">
        <v>0</v>
      </c>
      <c r="Q176" s="715">
        <v>0</v>
      </c>
      <c r="R176" s="715">
        <v>0</v>
      </c>
      <c r="S176" s="715">
        <v>0</v>
      </c>
      <c r="T176" s="715">
        <v>0</v>
      </c>
      <c r="U176" s="715"/>
      <c r="V176" s="715">
        <v>2</v>
      </c>
      <c r="W176" s="716">
        <v>91.837655060000003</v>
      </c>
      <c r="X176" s="716">
        <v>183.67531012000001</v>
      </c>
      <c r="Z176" s="1917">
        <v>1.0206</v>
      </c>
      <c r="AA176" s="1917">
        <v>2.0411999999999999</v>
      </c>
    </row>
    <row r="177" spans="1:27" s="88" customFormat="1" ht="25.5" x14ac:dyDescent="0.25">
      <c r="A177" s="1715" t="s">
        <v>470</v>
      </c>
      <c r="B177" s="1716" t="s">
        <v>460</v>
      </c>
      <c r="C177" s="1717" t="s">
        <v>205</v>
      </c>
      <c r="D177" s="1718">
        <v>2</v>
      </c>
      <c r="E177" s="1718">
        <v>4814.9698951659884</v>
      </c>
      <c r="F177" s="1718">
        <v>9629.9397903319768</v>
      </c>
      <c r="G177" s="1719">
        <v>1.8689547748748514E-4</v>
      </c>
      <c r="H177" s="1720">
        <v>0.99712519027865387</v>
      </c>
      <c r="I177" s="719" t="s">
        <v>324</v>
      </c>
      <c r="J177" s="367"/>
      <c r="K177" s="368"/>
      <c r="L177" s="715">
        <v>2</v>
      </c>
      <c r="M177" s="715">
        <v>0</v>
      </c>
      <c r="N177" s="715">
        <v>0</v>
      </c>
      <c r="O177" s="715">
        <v>0</v>
      </c>
      <c r="P177" s="715">
        <v>0</v>
      </c>
      <c r="Q177" s="715">
        <v>0</v>
      </c>
      <c r="R177" s="715">
        <v>0</v>
      </c>
      <c r="S177" s="715">
        <v>0</v>
      </c>
      <c r="T177" s="715">
        <v>0</v>
      </c>
      <c r="U177" s="715"/>
      <c r="V177" s="715">
        <v>2</v>
      </c>
      <c r="W177" s="716">
        <v>0</v>
      </c>
      <c r="X177" s="716">
        <v>0</v>
      </c>
      <c r="Z177" s="1917">
        <v>0</v>
      </c>
      <c r="AA177" s="1917">
        <v>0</v>
      </c>
    </row>
    <row r="178" spans="1:27" s="88" customFormat="1" ht="51" x14ac:dyDescent="0.25">
      <c r="A178" s="1715">
        <v>73658</v>
      </c>
      <c r="B178" s="1716" t="s">
        <v>63</v>
      </c>
      <c r="C178" s="1717" t="s">
        <v>41</v>
      </c>
      <c r="D178" s="1718">
        <v>12</v>
      </c>
      <c r="E178" s="1718">
        <v>794.2447653231925</v>
      </c>
      <c r="F178" s="1718">
        <v>9530.93718387831</v>
      </c>
      <c r="G178" s="1719">
        <v>1.8497405951307163E-4</v>
      </c>
      <c r="H178" s="1720">
        <v>0.99731016433816699</v>
      </c>
      <c r="I178" s="719" t="s">
        <v>164</v>
      </c>
      <c r="J178" s="367"/>
      <c r="K178" s="368"/>
      <c r="L178" s="715">
        <v>12</v>
      </c>
      <c r="M178" s="715">
        <v>0</v>
      </c>
      <c r="N178" s="715">
        <v>0</v>
      </c>
      <c r="O178" s="715">
        <v>0</v>
      </c>
      <c r="P178" s="715">
        <v>0</v>
      </c>
      <c r="Q178" s="715">
        <v>0</v>
      </c>
      <c r="R178" s="715">
        <v>0</v>
      </c>
      <c r="S178" s="715">
        <v>0</v>
      </c>
      <c r="T178" s="715">
        <v>0</v>
      </c>
      <c r="U178" s="715"/>
      <c r="V178" s="715">
        <v>12</v>
      </c>
      <c r="W178" s="716">
        <v>20</v>
      </c>
      <c r="X178" s="716">
        <v>240</v>
      </c>
      <c r="Z178" s="1917">
        <v>0</v>
      </c>
      <c r="AA178" s="1917">
        <v>0</v>
      </c>
    </row>
    <row r="179" spans="1:27" s="88" customFormat="1" ht="38.25" x14ac:dyDescent="0.25">
      <c r="A179" s="1715">
        <v>101467</v>
      </c>
      <c r="B179" s="1716" t="s">
        <v>776</v>
      </c>
      <c r="C179" s="1717" t="s">
        <v>55</v>
      </c>
      <c r="D179" s="1718">
        <v>617.1795595000001</v>
      </c>
      <c r="E179" s="1718">
        <v>14.536484725865376</v>
      </c>
      <c r="F179" s="1718">
        <v>8971.6212397880736</v>
      </c>
      <c r="G179" s="1719">
        <v>1.7411899471380307E-4</v>
      </c>
      <c r="H179" s="1720">
        <v>0.99748428333288075</v>
      </c>
      <c r="I179" s="719" t="s">
        <v>463</v>
      </c>
      <c r="J179" s="367"/>
      <c r="K179" s="368"/>
      <c r="L179" s="715">
        <v>0</v>
      </c>
      <c r="M179" s="715">
        <v>0</v>
      </c>
      <c r="N179" s="715">
        <v>0</v>
      </c>
      <c r="O179" s="715">
        <v>617.1795595000001</v>
      </c>
      <c r="P179" s="715">
        <v>0</v>
      </c>
      <c r="Q179" s="715">
        <v>0</v>
      </c>
      <c r="R179" s="715">
        <v>0</v>
      </c>
      <c r="S179" s="715">
        <v>0</v>
      </c>
      <c r="T179" s="715">
        <v>0</v>
      </c>
      <c r="U179" s="715"/>
      <c r="V179" s="715">
        <v>617.1795595000001</v>
      </c>
      <c r="W179" s="716">
        <v>0.21139999999999998</v>
      </c>
      <c r="X179" s="716">
        <v>130.47175887829999</v>
      </c>
      <c r="Z179" s="1917">
        <v>0</v>
      </c>
      <c r="AA179" s="1917">
        <v>0</v>
      </c>
    </row>
    <row r="180" spans="1:27" s="88" customFormat="1" ht="38.25" x14ac:dyDescent="0.25">
      <c r="A180" s="1715">
        <v>98082</v>
      </c>
      <c r="B180" s="1716" t="s">
        <v>1310</v>
      </c>
      <c r="C180" s="1717" t="s">
        <v>41</v>
      </c>
      <c r="D180" s="1718">
        <v>2</v>
      </c>
      <c r="E180" s="1718">
        <v>4293.7382429301779</v>
      </c>
      <c r="F180" s="1718">
        <v>8587.4764858603558</v>
      </c>
      <c r="G180" s="1719">
        <v>1.6666360882637395E-4</v>
      </c>
      <c r="H180" s="1720">
        <v>0.99765094694170708</v>
      </c>
      <c r="I180" s="719" t="s">
        <v>330</v>
      </c>
      <c r="J180" s="367"/>
      <c r="K180" s="368"/>
      <c r="L180" s="715">
        <v>2</v>
      </c>
      <c r="M180" s="715">
        <v>0</v>
      </c>
      <c r="N180" s="715">
        <v>0</v>
      </c>
      <c r="O180" s="715">
        <v>0</v>
      </c>
      <c r="P180" s="715">
        <v>0</v>
      </c>
      <c r="Q180" s="715">
        <v>0</v>
      </c>
      <c r="R180" s="715">
        <v>0</v>
      </c>
      <c r="S180" s="715">
        <v>0</v>
      </c>
      <c r="T180" s="715">
        <v>0</v>
      </c>
      <c r="U180" s="715"/>
      <c r="V180" s="715">
        <v>2</v>
      </c>
      <c r="W180" s="716">
        <v>78.044594619999998</v>
      </c>
      <c r="X180" s="716">
        <v>156.08918924</v>
      </c>
      <c r="Z180" s="1917">
        <v>1.597</v>
      </c>
      <c r="AA180" s="1917">
        <v>3.194</v>
      </c>
    </row>
    <row r="181" spans="1:27" s="88" customFormat="1" ht="51" x14ac:dyDescent="0.25">
      <c r="A181" s="1715">
        <v>101150</v>
      </c>
      <c r="B181" s="1716" t="s">
        <v>1082</v>
      </c>
      <c r="C181" s="1717" t="s">
        <v>44</v>
      </c>
      <c r="D181" s="1718">
        <v>497.33000000000004</v>
      </c>
      <c r="E181" s="1718">
        <v>16.173042608909821</v>
      </c>
      <c r="F181" s="1718">
        <v>8043.3392806891216</v>
      </c>
      <c r="G181" s="1719">
        <v>1.5610312921867354E-4</v>
      </c>
      <c r="H181" s="1720">
        <v>0.99780705007092574</v>
      </c>
      <c r="I181" s="719" t="s">
        <v>463</v>
      </c>
      <c r="J181" s="367"/>
      <c r="K181" s="368"/>
      <c r="L181" s="715">
        <v>0</v>
      </c>
      <c r="M181" s="715">
        <v>0</v>
      </c>
      <c r="N181" s="715">
        <v>0</v>
      </c>
      <c r="O181" s="715">
        <v>497.33000000000004</v>
      </c>
      <c r="P181" s="715">
        <v>0</v>
      </c>
      <c r="Q181" s="715">
        <v>0</v>
      </c>
      <c r="R181" s="715">
        <v>0</v>
      </c>
      <c r="S181" s="715">
        <v>0</v>
      </c>
      <c r="T181" s="715">
        <v>0</v>
      </c>
      <c r="U181" s="715"/>
      <c r="V181" s="715">
        <v>497.33000000000004</v>
      </c>
      <c r="W181" s="716">
        <v>8.14E-2</v>
      </c>
      <c r="X181" s="716">
        <v>40.482662000000005</v>
      </c>
      <c r="Z181" s="1917">
        <v>0</v>
      </c>
      <c r="AA181" s="1917">
        <v>0</v>
      </c>
    </row>
    <row r="182" spans="1:27" s="88" customFormat="1" ht="63.75" x14ac:dyDescent="0.25">
      <c r="A182" s="1715">
        <v>90091</v>
      </c>
      <c r="B182" s="1716" t="s">
        <v>1298</v>
      </c>
      <c r="C182" s="1717" t="s">
        <v>44</v>
      </c>
      <c r="D182" s="1718">
        <v>1440</v>
      </c>
      <c r="E182" s="1718">
        <v>5.2225450091271304</v>
      </c>
      <c r="F182" s="1718">
        <v>7520.4648131430677</v>
      </c>
      <c r="G182" s="1719">
        <v>1.4595531153697384E-4</v>
      </c>
      <c r="H182" s="1720">
        <v>0.99795300538246268</v>
      </c>
      <c r="I182" s="1896">
        <v>92756</v>
      </c>
      <c r="J182" s="367"/>
      <c r="K182" s="368"/>
      <c r="L182" s="715">
        <v>0</v>
      </c>
      <c r="M182" s="715">
        <v>0</v>
      </c>
      <c r="N182" s="715">
        <v>0</v>
      </c>
      <c r="O182" s="715">
        <v>1440</v>
      </c>
      <c r="P182" s="715">
        <v>0</v>
      </c>
      <c r="Q182" s="715">
        <v>0</v>
      </c>
      <c r="R182" s="715">
        <v>0</v>
      </c>
      <c r="S182" s="715">
        <v>0</v>
      </c>
      <c r="T182" s="715">
        <v>0</v>
      </c>
      <c r="U182" s="715"/>
      <c r="V182" s="715">
        <v>1440</v>
      </c>
      <c r="W182" s="716">
        <v>7.3599999999999999E-2</v>
      </c>
      <c r="X182" s="716">
        <v>105.98399999999999</v>
      </c>
      <c r="Z182" s="1917">
        <v>0</v>
      </c>
      <c r="AA182" s="1917">
        <v>0</v>
      </c>
    </row>
    <row r="183" spans="1:27" s="88" customFormat="1" x14ac:dyDescent="0.25">
      <c r="A183" s="1715" t="s">
        <v>248</v>
      </c>
      <c r="B183" s="1716" t="s">
        <v>245</v>
      </c>
      <c r="C183" s="1717" t="s">
        <v>205</v>
      </c>
      <c r="D183" s="1718">
        <v>36</v>
      </c>
      <c r="E183" s="1718">
        <v>204.54566835286397</v>
      </c>
      <c r="F183" s="1718">
        <v>7363.6440607031027</v>
      </c>
      <c r="G183" s="1719">
        <v>1.4291177335861067E-4</v>
      </c>
      <c r="H183" s="1720">
        <v>0.99809591715582124</v>
      </c>
      <c r="I183" s="719" t="s">
        <v>463</v>
      </c>
      <c r="J183" s="367"/>
      <c r="K183" s="368"/>
      <c r="L183" s="715">
        <v>36</v>
      </c>
      <c r="M183" s="715">
        <v>0</v>
      </c>
      <c r="N183" s="715">
        <v>0</v>
      </c>
      <c r="O183" s="715">
        <v>0</v>
      </c>
      <c r="P183" s="715">
        <v>0</v>
      </c>
      <c r="Q183" s="715">
        <v>0</v>
      </c>
      <c r="R183" s="715">
        <v>0</v>
      </c>
      <c r="S183" s="715">
        <v>0</v>
      </c>
      <c r="T183" s="715">
        <v>0</v>
      </c>
      <c r="U183" s="715"/>
      <c r="V183" s="715">
        <v>36</v>
      </c>
      <c r="W183" s="716">
        <v>0</v>
      </c>
      <c r="X183" s="716">
        <v>0</v>
      </c>
      <c r="Z183" s="1917">
        <v>0</v>
      </c>
      <c r="AA183" s="1917">
        <v>0</v>
      </c>
    </row>
    <row r="184" spans="1:27" s="88" customFormat="1" ht="38.25" x14ac:dyDescent="0.25">
      <c r="A184" s="1715">
        <v>97902</v>
      </c>
      <c r="B184" s="1716" t="s">
        <v>1291</v>
      </c>
      <c r="C184" s="1717" t="s">
        <v>41</v>
      </c>
      <c r="D184" s="1718">
        <v>10</v>
      </c>
      <c r="E184" s="1718">
        <v>681.02468259571629</v>
      </c>
      <c r="F184" s="1718">
        <v>6810.2468259571633</v>
      </c>
      <c r="G184" s="1719">
        <v>1.3217157739892952E-4</v>
      </c>
      <c r="H184" s="1720">
        <v>0.99822808873322022</v>
      </c>
      <c r="I184" s="719" t="s">
        <v>463</v>
      </c>
      <c r="J184" s="367"/>
      <c r="K184" s="368"/>
      <c r="L184" s="715">
        <v>10</v>
      </c>
      <c r="M184" s="715">
        <v>0</v>
      </c>
      <c r="N184" s="715">
        <v>0</v>
      </c>
      <c r="O184" s="715">
        <v>0</v>
      </c>
      <c r="P184" s="715">
        <v>0</v>
      </c>
      <c r="Q184" s="715">
        <v>0</v>
      </c>
      <c r="R184" s="715">
        <v>0</v>
      </c>
      <c r="S184" s="715">
        <v>0</v>
      </c>
      <c r="T184" s="715">
        <v>0</v>
      </c>
      <c r="U184" s="715"/>
      <c r="V184" s="715">
        <v>10</v>
      </c>
      <c r="W184" s="716">
        <v>15.358037320000001</v>
      </c>
      <c r="X184" s="716">
        <v>153.5803732</v>
      </c>
      <c r="Z184" s="1917">
        <v>0.19139999999999999</v>
      </c>
      <c r="AA184" s="1917">
        <v>1.9139999999999999</v>
      </c>
    </row>
    <row r="185" spans="1:27" s="88" customFormat="1" ht="25.5" x14ac:dyDescent="0.25">
      <c r="A185" s="1715">
        <v>100574</v>
      </c>
      <c r="B185" s="1716" t="s">
        <v>563</v>
      </c>
      <c r="C185" s="1717" t="s">
        <v>44</v>
      </c>
      <c r="D185" s="1718">
        <v>4726.7750000000005</v>
      </c>
      <c r="E185" s="1718">
        <v>1.2514854399751649</v>
      </c>
      <c r="F185" s="1718">
        <v>5915.4900905386112</v>
      </c>
      <c r="G185" s="1719">
        <v>1.1480636111075699E-4</v>
      </c>
      <c r="H185" s="1720">
        <v>0.99834289509433094</v>
      </c>
      <c r="I185" s="1896">
        <v>100991</v>
      </c>
      <c r="J185" s="367"/>
      <c r="K185" s="368"/>
      <c r="L185" s="715">
        <v>0</v>
      </c>
      <c r="M185" s="715">
        <v>0</v>
      </c>
      <c r="N185" s="715">
        <v>0</v>
      </c>
      <c r="O185" s="715">
        <v>0</v>
      </c>
      <c r="P185" s="715">
        <v>4726.7750000000005</v>
      </c>
      <c r="Q185" s="715">
        <v>0</v>
      </c>
      <c r="R185" s="715">
        <v>0</v>
      </c>
      <c r="S185" s="715">
        <v>0</v>
      </c>
      <c r="T185" s="715">
        <v>0</v>
      </c>
      <c r="U185" s="715"/>
      <c r="V185" s="715">
        <v>4726.7750000000005</v>
      </c>
      <c r="W185" s="716">
        <v>1.8000000000000002E-2</v>
      </c>
      <c r="X185" s="716">
        <v>85.08195000000002</v>
      </c>
      <c r="Z185" s="1917">
        <v>0</v>
      </c>
      <c r="AA185" s="1917">
        <v>0</v>
      </c>
    </row>
    <row r="186" spans="1:27" s="88" customFormat="1" ht="25.5" x14ac:dyDescent="0.25">
      <c r="A186" s="1715" t="s">
        <v>65</v>
      </c>
      <c r="B186" s="1716" t="s">
        <v>64</v>
      </c>
      <c r="C186" s="1717" t="s">
        <v>22</v>
      </c>
      <c r="D186" s="1718">
        <v>200</v>
      </c>
      <c r="E186" s="1718">
        <v>29.116049431299128</v>
      </c>
      <c r="F186" s="1718">
        <v>5823.2098862598259</v>
      </c>
      <c r="G186" s="1719">
        <v>1.1301540984659216E-4</v>
      </c>
      <c r="H186" s="1720">
        <v>0.99845591050417748</v>
      </c>
      <c r="I186" s="719" t="s">
        <v>252</v>
      </c>
      <c r="J186" s="366"/>
      <c r="K186" s="368"/>
      <c r="L186" s="715">
        <v>200</v>
      </c>
      <c r="M186" s="715">
        <v>0</v>
      </c>
      <c r="N186" s="715">
        <v>0</v>
      </c>
      <c r="O186" s="715">
        <v>0</v>
      </c>
      <c r="P186" s="715">
        <v>0</v>
      </c>
      <c r="Q186" s="715">
        <v>0</v>
      </c>
      <c r="R186" s="715">
        <v>0</v>
      </c>
      <c r="S186" s="715">
        <v>0</v>
      </c>
      <c r="T186" s="715">
        <v>0</v>
      </c>
      <c r="U186" s="715"/>
      <c r="V186" s="715">
        <v>200</v>
      </c>
      <c r="W186" s="716">
        <v>1.0057399999999999</v>
      </c>
      <c r="X186" s="716">
        <v>201.14799999999997</v>
      </c>
      <c r="Z186" s="1917">
        <v>0</v>
      </c>
      <c r="AA186" s="1917">
        <v>0</v>
      </c>
    </row>
    <row r="187" spans="1:27" s="88" customFormat="1" ht="76.5" x14ac:dyDescent="0.25">
      <c r="A187" s="1715">
        <v>101266</v>
      </c>
      <c r="B187" s="1716" t="s">
        <v>561</v>
      </c>
      <c r="C187" s="1717" t="s">
        <v>44</v>
      </c>
      <c r="D187" s="1718">
        <v>616</v>
      </c>
      <c r="E187" s="1718">
        <v>9.4342748551973958</v>
      </c>
      <c r="F187" s="1718">
        <v>5811.5133108015962</v>
      </c>
      <c r="G187" s="1719">
        <v>1.1278840561781922E-4</v>
      </c>
      <c r="H187" s="1720">
        <v>0.99856869890979527</v>
      </c>
      <c r="I187" s="719" t="s">
        <v>463</v>
      </c>
      <c r="J187" s="367"/>
      <c r="K187" s="368"/>
      <c r="L187" s="715">
        <v>0</v>
      </c>
      <c r="M187" s="715">
        <v>0</v>
      </c>
      <c r="N187" s="715">
        <v>0</v>
      </c>
      <c r="O187" s="715">
        <v>0</v>
      </c>
      <c r="P187" s="715">
        <v>0</v>
      </c>
      <c r="Q187" s="715">
        <v>0</v>
      </c>
      <c r="R187" s="715">
        <v>616</v>
      </c>
      <c r="S187" s="715">
        <v>0</v>
      </c>
      <c r="T187" s="715">
        <v>0</v>
      </c>
      <c r="U187" s="715"/>
      <c r="V187" s="715">
        <v>616</v>
      </c>
      <c r="W187" s="716">
        <v>6.7099999999999993E-2</v>
      </c>
      <c r="X187" s="716">
        <v>41.333599999999997</v>
      </c>
      <c r="Z187" s="1917">
        <v>0</v>
      </c>
      <c r="AA187" s="1917">
        <v>0</v>
      </c>
    </row>
    <row r="188" spans="1:27" s="88" customFormat="1" ht="25.5" x14ac:dyDescent="0.25">
      <c r="A188" s="1715" t="s">
        <v>978</v>
      </c>
      <c r="B188" s="1716" t="s">
        <v>981</v>
      </c>
      <c r="C188" s="1717" t="s">
        <v>51</v>
      </c>
      <c r="D188" s="1718">
        <v>5997.95</v>
      </c>
      <c r="E188" s="1718">
        <v>0.91265177385881202</v>
      </c>
      <c r="F188" s="1718">
        <v>5474.0397070164618</v>
      </c>
      <c r="G188" s="1719">
        <v>1.0623880181010207E-4</v>
      </c>
      <c r="H188" s="1720">
        <v>0.99867493771160543</v>
      </c>
      <c r="I188" s="1896">
        <v>100999</v>
      </c>
      <c r="J188" s="367"/>
      <c r="K188" s="368"/>
      <c r="L188" s="715">
        <v>0</v>
      </c>
      <c r="M188" s="715">
        <v>0</v>
      </c>
      <c r="N188" s="715">
        <v>0</v>
      </c>
      <c r="O188" s="715">
        <v>0</v>
      </c>
      <c r="P188" s="715">
        <v>0</v>
      </c>
      <c r="Q188" s="715">
        <v>5997.95</v>
      </c>
      <c r="R188" s="715">
        <v>0</v>
      </c>
      <c r="S188" s="715">
        <v>0</v>
      </c>
      <c r="T188" s="715">
        <v>0</v>
      </c>
      <c r="U188" s="715"/>
      <c r="V188" s="715">
        <v>5997.95</v>
      </c>
      <c r="W188" s="716">
        <v>1.7099999999999997E-2</v>
      </c>
      <c r="X188" s="716">
        <v>102.56494499999998</v>
      </c>
      <c r="Z188" s="1917">
        <v>0</v>
      </c>
      <c r="AA188" s="1917">
        <v>0</v>
      </c>
    </row>
    <row r="189" spans="1:27" s="88" customFormat="1" ht="76.5" x14ac:dyDescent="0.25">
      <c r="A189" s="1715">
        <v>90094</v>
      </c>
      <c r="B189" s="1716" t="s">
        <v>1302</v>
      </c>
      <c r="C189" s="1717" t="s">
        <v>44</v>
      </c>
      <c r="D189" s="1718">
        <v>1118.8209999999999</v>
      </c>
      <c r="E189" s="1718">
        <v>4.885606621441509</v>
      </c>
      <c r="F189" s="1718">
        <v>5466.1192858078102</v>
      </c>
      <c r="G189" s="1719">
        <v>1.0608508424426858E-4</v>
      </c>
      <c r="H189" s="1720">
        <v>0.99878102279584968</v>
      </c>
      <c r="I189" s="719" t="s">
        <v>1483</v>
      </c>
      <c r="J189" s="366"/>
      <c r="K189" s="368"/>
      <c r="L189" s="715">
        <v>0</v>
      </c>
      <c r="M189" s="715">
        <v>0</v>
      </c>
      <c r="N189" s="715">
        <v>0</v>
      </c>
      <c r="O189" s="715">
        <v>1118.8209999999999</v>
      </c>
      <c r="P189" s="715">
        <v>0</v>
      </c>
      <c r="Q189" s="715">
        <v>0</v>
      </c>
      <c r="R189" s="715">
        <v>0</v>
      </c>
      <c r="S189" s="715">
        <v>0</v>
      </c>
      <c r="T189" s="715">
        <v>0</v>
      </c>
      <c r="U189" s="715"/>
      <c r="V189" s="715">
        <v>1118.8209999999999</v>
      </c>
      <c r="W189" s="716">
        <v>6.8000000000000005E-2</v>
      </c>
      <c r="X189" s="716">
        <v>76.079828000000006</v>
      </c>
      <c r="Z189" s="1917">
        <v>0</v>
      </c>
      <c r="AA189" s="1917">
        <v>0</v>
      </c>
    </row>
    <row r="190" spans="1:27" s="88" customFormat="1" ht="25.5" x14ac:dyDescent="0.25">
      <c r="A190" s="1715">
        <v>96620</v>
      </c>
      <c r="B190" s="1716" t="s">
        <v>1308</v>
      </c>
      <c r="C190" s="1717" t="s">
        <v>44</v>
      </c>
      <c r="D190" s="1718">
        <v>8.5500000000000007</v>
      </c>
      <c r="E190" s="1718">
        <v>631.92794610438273</v>
      </c>
      <c r="F190" s="1718">
        <v>5402.9839391924725</v>
      </c>
      <c r="G190" s="1719">
        <v>1.0485976913234464E-4</v>
      </c>
      <c r="H190" s="1720">
        <v>0.99888588256498201</v>
      </c>
      <c r="I190" s="719" t="s">
        <v>463</v>
      </c>
      <c r="J190" s="367"/>
      <c r="K190" s="368"/>
      <c r="L190" s="715">
        <v>0</v>
      </c>
      <c r="M190" s="715">
        <v>0</v>
      </c>
      <c r="N190" s="715">
        <v>0</v>
      </c>
      <c r="O190" s="715">
        <v>8.5500000000000007</v>
      </c>
      <c r="P190" s="715">
        <v>0</v>
      </c>
      <c r="Q190" s="715">
        <v>0</v>
      </c>
      <c r="R190" s="715">
        <v>0</v>
      </c>
      <c r="S190" s="715">
        <v>0</v>
      </c>
      <c r="T190" s="715">
        <v>0</v>
      </c>
      <c r="U190" s="715"/>
      <c r="V190" s="715">
        <v>8.5500000000000007</v>
      </c>
      <c r="W190" s="716">
        <v>10.804148999999999</v>
      </c>
      <c r="X190" s="716">
        <v>92.37547395</v>
      </c>
      <c r="Z190" s="1917">
        <v>1.1299999999999999</v>
      </c>
      <c r="AA190" s="1917">
        <v>9.6615000000000002</v>
      </c>
    </row>
    <row r="191" spans="1:27" s="88" customFormat="1" ht="38.25" x14ac:dyDescent="0.25">
      <c r="A191" s="1715">
        <v>101512</v>
      </c>
      <c r="B191" s="1716" t="s">
        <v>785</v>
      </c>
      <c r="C191" s="1717" t="s">
        <v>41</v>
      </c>
      <c r="D191" s="1718">
        <v>2</v>
      </c>
      <c r="E191" s="1718">
        <v>2643.0650481444727</v>
      </c>
      <c r="F191" s="1718">
        <v>5286.1300962889454</v>
      </c>
      <c r="G191" s="1719">
        <v>1.0259189879865594E-4</v>
      </c>
      <c r="H191" s="1720">
        <v>0.9989884744637807</v>
      </c>
      <c r="I191" s="719" t="s">
        <v>463</v>
      </c>
      <c r="J191" s="367"/>
      <c r="K191" s="368"/>
      <c r="L191" s="715">
        <v>2</v>
      </c>
      <c r="M191" s="715">
        <v>0</v>
      </c>
      <c r="N191" s="715">
        <v>0</v>
      </c>
      <c r="O191" s="715">
        <v>0</v>
      </c>
      <c r="P191" s="715">
        <v>0</v>
      </c>
      <c r="Q191" s="715">
        <v>0</v>
      </c>
      <c r="R191" s="715">
        <v>0</v>
      </c>
      <c r="S191" s="715">
        <v>0</v>
      </c>
      <c r="T191" s="715">
        <v>0</v>
      </c>
      <c r="U191" s="715"/>
      <c r="V191" s="715">
        <v>2</v>
      </c>
      <c r="W191" s="716">
        <v>18.329492000000002</v>
      </c>
      <c r="X191" s="716">
        <v>36.658984000000004</v>
      </c>
      <c r="Z191" s="1917">
        <v>0</v>
      </c>
      <c r="AA191" s="1917">
        <v>0</v>
      </c>
    </row>
    <row r="192" spans="1:27" s="88" customFormat="1" ht="38.25" x14ac:dyDescent="0.25">
      <c r="A192" s="1715">
        <v>101468</v>
      </c>
      <c r="B192" s="1716" t="s">
        <v>777</v>
      </c>
      <c r="C192" s="1717" t="s">
        <v>55</v>
      </c>
      <c r="D192" s="1718">
        <v>375.24340000000001</v>
      </c>
      <c r="E192" s="1718">
        <v>13.297032799736128</v>
      </c>
      <c r="F192" s="1718">
        <v>4989.6237976845041</v>
      </c>
      <c r="G192" s="1719">
        <v>9.6837378265582751E-5</v>
      </c>
      <c r="H192" s="1720">
        <v>0.9990853118420463</v>
      </c>
      <c r="I192" s="719" t="s">
        <v>463</v>
      </c>
      <c r="J192" s="367"/>
      <c r="K192" s="368"/>
      <c r="L192" s="715">
        <v>0</v>
      </c>
      <c r="M192" s="715">
        <v>0</v>
      </c>
      <c r="N192" s="715">
        <v>0</v>
      </c>
      <c r="O192" s="715">
        <v>277.14339999999999</v>
      </c>
      <c r="P192" s="715">
        <v>0</v>
      </c>
      <c r="Q192" s="715">
        <v>0</v>
      </c>
      <c r="R192" s="715">
        <v>98.100000000000009</v>
      </c>
      <c r="S192" s="715">
        <v>0</v>
      </c>
      <c r="T192" s="715">
        <v>0</v>
      </c>
      <c r="U192" s="715"/>
      <c r="V192" s="715">
        <v>375.24340000000001</v>
      </c>
      <c r="W192" s="716">
        <v>0.19329999999999997</v>
      </c>
      <c r="X192" s="716">
        <v>72.534549219999988</v>
      </c>
      <c r="Z192" s="1917">
        <v>0</v>
      </c>
      <c r="AA192" s="1917">
        <v>0</v>
      </c>
    </row>
    <row r="193" spans="1:27" s="88" customFormat="1" ht="38.25" x14ac:dyDescent="0.25">
      <c r="A193" s="1715">
        <v>92792</v>
      </c>
      <c r="B193" s="1716" t="s">
        <v>548</v>
      </c>
      <c r="C193" s="1717" t="s">
        <v>54</v>
      </c>
      <c r="D193" s="1718">
        <v>332.6055332446</v>
      </c>
      <c r="E193" s="1718">
        <v>14.572585267403122</v>
      </c>
      <c r="F193" s="1718">
        <v>4846.9224936170176</v>
      </c>
      <c r="G193" s="1719">
        <v>9.4067866831196075E-5</v>
      </c>
      <c r="H193" s="1720">
        <v>0.99917937970887749</v>
      </c>
      <c r="I193" s="719" t="s">
        <v>463</v>
      </c>
      <c r="J193" s="367"/>
      <c r="K193" s="368"/>
      <c r="L193" s="715">
        <v>0</v>
      </c>
      <c r="M193" s="715">
        <v>0</v>
      </c>
      <c r="N193" s="715">
        <v>0</v>
      </c>
      <c r="O193" s="715">
        <v>332.6055332446</v>
      </c>
      <c r="P193" s="715">
        <v>0</v>
      </c>
      <c r="Q193" s="715">
        <v>0</v>
      </c>
      <c r="R193" s="715">
        <v>0</v>
      </c>
      <c r="S193" s="715">
        <v>0</v>
      </c>
      <c r="T193" s="715">
        <v>0</v>
      </c>
      <c r="U193" s="715"/>
      <c r="V193" s="715">
        <v>332.6055332446</v>
      </c>
      <c r="W193" s="716">
        <v>4.7900000000000005E-2</v>
      </c>
      <c r="X193" s="716">
        <v>15.931805042416341</v>
      </c>
      <c r="Z193" s="1917">
        <v>0</v>
      </c>
      <c r="AA193" s="1917">
        <v>0</v>
      </c>
    </row>
    <row r="194" spans="1:27" s="88" customFormat="1" ht="38.25" x14ac:dyDescent="0.25">
      <c r="A194" s="1715">
        <v>101617</v>
      </c>
      <c r="B194" s="1716" t="s">
        <v>1166</v>
      </c>
      <c r="C194" s="1717" t="s">
        <v>51</v>
      </c>
      <c r="D194" s="1718">
        <v>1445.1799999999998</v>
      </c>
      <c r="E194" s="1718">
        <v>3.140747113783827</v>
      </c>
      <c r="F194" s="1718">
        <v>4538.9449138981108</v>
      </c>
      <c r="G194" s="1719">
        <v>8.8090714525966462E-5</v>
      </c>
      <c r="H194" s="1720">
        <v>0.99926747042340347</v>
      </c>
      <c r="I194" s="719" t="s">
        <v>463</v>
      </c>
      <c r="J194" s="367"/>
      <c r="K194" s="368"/>
      <c r="L194" s="715">
        <v>0</v>
      </c>
      <c r="M194" s="715">
        <v>0</v>
      </c>
      <c r="N194" s="715">
        <v>0</v>
      </c>
      <c r="O194" s="715">
        <v>1445.1799999999998</v>
      </c>
      <c r="P194" s="715">
        <v>0</v>
      </c>
      <c r="Q194" s="715">
        <v>0</v>
      </c>
      <c r="R194" s="715">
        <v>0</v>
      </c>
      <c r="S194" s="715">
        <v>0</v>
      </c>
      <c r="T194" s="715">
        <v>0</v>
      </c>
      <c r="U194" s="715"/>
      <c r="V194" s="715">
        <v>1445.1799999999998</v>
      </c>
      <c r="W194" s="716">
        <v>0.12990000000000002</v>
      </c>
      <c r="X194" s="716">
        <v>187.728882</v>
      </c>
      <c r="Z194" s="1917">
        <v>0</v>
      </c>
      <c r="AA194" s="1917">
        <v>0</v>
      </c>
    </row>
    <row r="195" spans="1:27" s="88" customFormat="1" ht="38.25" x14ac:dyDescent="0.25">
      <c r="A195" s="1715">
        <v>98526</v>
      </c>
      <c r="B195" s="1716" t="s">
        <v>636</v>
      </c>
      <c r="C195" s="1717" t="s">
        <v>41</v>
      </c>
      <c r="D195" s="1718">
        <v>56</v>
      </c>
      <c r="E195" s="1718">
        <v>76.665516712324759</v>
      </c>
      <c r="F195" s="1718">
        <v>4293.2689358901862</v>
      </c>
      <c r="G195" s="1719">
        <v>8.3322696218822597E-5</v>
      </c>
      <c r="H195" s="1720">
        <v>0.99935079311962227</v>
      </c>
      <c r="I195" s="719" t="s">
        <v>463</v>
      </c>
      <c r="J195" s="367"/>
      <c r="K195" s="368"/>
      <c r="L195" s="715">
        <v>0</v>
      </c>
      <c r="M195" s="715">
        <v>0</v>
      </c>
      <c r="N195" s="715">
        <v>0</v>
      </c>
      <c r="O195" s="715">
        <v>0</v>
      </c>
      <c r="P195" s="715">
        <v>0</v>
      </c>
      <c r="Q195" s="715">
        <v>0</v>
      </c>
      <c r="R195" s="715">
        <v>56</v>
      </c>
      <c r="S195" s="715">
        <v>0</v>
      </c>
      <c r="T195" s="715">
        <v>0</v>
      </c>
      <c r="U195" s="715"/>
      <c r="V195" s="715">
        <v>56</v>
      </c>
      <c r="W195" s="716">
        <v>2.0339</v>
      </c>
      <c r="X195" s="716">
        <v>113.89840000000001</v>
      </c>
      <c r="Z195" s="1917">
        <v>0</v>
      </c>
      <c r="AA195" s="1917">
        <v>0</v>
      </c>
    </row>
    <row r="196" spans="1:27" s="88" customFormat="1" ht="38.25" x14ac:dyDescent="0.25">
      <c r="A196" s="1715">
        <v>98529</v>
      </c>
      <c r="B196" s="1716" t="s">
        <v>549</v>
      </c>
      <c r="C196" s="1717" t="s">
        <v>41</v>
      </c>
      <c r="D196" s="1718">
        <v>56</v>
      </c>
      <c r="E196" s="1718">
        <v>75.678768576959726</v>
      </c>
      <c r="F196" s="1718">
        <v>4238.0110403097442</v>
      </c>
      <c r="G196" s="1719">
        <v>8.2250264718282119E-5</v>
      </c>
      <c r="H196" s="1720">
        <v>0.99943304338434058</v>
      </c>
      <c r="I196" s="719" t="s">
        <v>463</v>
      </c>
      <c r="J196" s="367"/>
      <c r="K196" s="368"/>
      <c r="L196" s="715">
        <v>0</v>
      </c>
      <c r="M196" s="715">
        <v>0</v>
      </c>
      <c r="N196" s="715">
        <v>0</v>
      </c>
      <c r="O196" s="715">
        <v>0</v>
      </c>
      <c r="P196" s="715">
        <v>0</v>
      </c>
      <c r="Q196" s="715">
        <v>0</v>
      </c>
      <c r="R196" s="715">
        <v>56</v>
      </c>
      <c r="S196" s="715">
        <v>0</v>
      </c>
      <c r="T196" s="715">
        <v>0</v>
      </c>
      <c r="U196" s="715"/>
      <c r="V196" s="715">
        <v>56</v>
      </c>
      <c r="W196" s="716">
        <v>3.0888</v>
      </c>
      <c r="X196" s="716">
        <v>172.97280000000001</v>
      </c>
      <c r="Z196" s="1917">
        <v>0</v>
      </c>
      <c r="AA196" s="1917">
        <v>0</v>
      </c>
    </row>
    <row r="197" spans="1:27" s="88" customFormat="1" ht="63.75" x14ac:dyDescent="0.25">
      <c r="A197" s="1715">
        <v>102276</v>
      </c>
      <c r="B197" s="1716" t="s">
        <v>1295</v>
      </c>
      <c r="C197" s="1717" t="s">
        <v>44</v>
      </c>
      <c r="D197" s="1718">
        <v>379.995</v>
      </c>
      <c r="E197" s="1718">
        <v>10.890330030553118</v>
      </c>
      <c r="F197" s="1718">
        <v>4138.2709599600321</v>
      </c>
      <c r="G197" s="1719">
        <v>8.0314534033827133E-5</v>
      </c>
      <c r="H197" s="1720">
        <v>0.99951335791837437</v>
      </c>
      <c r="I197" s="719" t="s">
        <v>1497</v>
      </c>
      <c r="J197" s="367"/>
      <c r="K197" s="368"/>
      <c r="L197" s="715">
        <v>0</v>
      </c>
      <c r="M197" s="715">
        <v>0</v>
      </c>
      <c r="N197" s="715">
        <v>0</v>
      </c>
      <c r="O197" s="715">
        <v>379.995</v>
      </c>
      <c r="P197" s="715">
        <v>0</v>
      </c>
      <c r="Q197" s="715">
        <v>0</v>
      </c>
      <c r="R197" s="715">
        <v>0</v>
      </c>
      <c r="S197" s="715">
        <v>0</v>
      </c>
      <c r="T197" s="715">
        <v>0</v>
      </c>
      <c r="U197" s="715"/>
      <c r="V197" s="715">
        <v>379.995</v>
      </c>
      <c r="W197" s="716">
        <v>0.1512</v>
      </c>
      <c r="X197" s="716">
        <v>57.455244</v>
      </c>
      <c r="Z197" s="1917">
        <v>0</v>
      </c>
      <c r="AA197" s="1917">
        <v>0</v>
      </c>
    </row>
    <row r="198" spans="1:27" s="88" customFormat="1" ht="38.25" x14ac:dyDescent="0.25">
      <c r="A198" s="1715">
        <v>97892</v>
      </c>
      <c r="B198" s="1716" t="s">
        <v>1290</v>
      </c>
      <c r="C198" s="1717" t="s">
        <v>41</v>
      </c>
      <c r="D198" s="1718">
        <v>10</v>
      </c>
      <c r="E198" s="1718">
        <v>413.14663087180128</v>
      </c>
      <c r="F198" s="1718">
        <v>4131.4663087180124</v>
      </c>
      <c r="G198" s="1719">
        <v>8.0182471054130217E-5</v>
      </c>
      <c r="H198" s="1720">
        <v>0.99959354038942849</v>
      </c>
      <c r="I198" s="719" t="s">
        <v>463</v>
      </c>
      <c r="J198" s="367"/>
      <c r="K198" s="368"/>
      <c r="L198" s="715">
        <v>10</v>
      </c>
      <c r="M198" s="715">
        <v>0</v>
      </c>
      <c r="N198" s="715">
        <v>0</v>
      </c>
      <c r="O198" s="715">
        <v>0</v>
      </c>
      <c r="P198" s="715">
        <v>0</v>
      </c>
      <c r="Q198" s="715">
        <v>0</v>
      </c>
      <c r="R198" s="715">
        <v>0</v>
      </c>
      <c r="S198" s="715">
        <v>0</v>
      </c>
      <c r="T198" s="715">
        <v>0</v>
      </c>
      <c r="U198" s="715"/>
      <c r="V198" s="715">
        <v>10</v>
      </c>
      <c r="W198" s="716">
        <v>9.7383351200000003</v>
      </c>
      <c r="X198" s="716">
        <v>97.383351200000007</v>
      </c>
      <c r="Z198" s="1917">
        <v>5.8900000000000001E-2</v>
      </c>
      <c r="AA198" s="1917">
        <v>0.58899999999999997</v>
      </c>
    </row>
    <row r="199" spans="1:27" s="88" customFormat="1" x14ac:dyDescent="0.25">
      <c r="A199" s="1715" t="s">
        <v>1412</v>
      </c>
      <c r="B199" s="1716" t="s">
        <v>1530</v>
      </c>
      <c r="C199" s="1717" t="s">
        <v>41</v>
      </c>
      <c r="D199" s="1718">
        <v>2</v>
      </c>
      <c r="E199" s="1718">
        <v>1449.7014800450777</v>
      </c>
      <c r="F199" s="1718">
        <v>2899.4029600901554</v>
      </c>
      <c r="G199" s="1719">
        <v>5.6270891869823079E-5</v>
      </c>
      <c r="H199" s="1720">
        <v>0.99964981128129826</v>
      </c>
      <c r="I199" s="719">
        <v>97902</v>
      </c>
      <c r="J199" s="367"/>
      <c r="K199" s="368"/>
      <c r="L199" s="715">
        <v>2</v>
      </c>
      <c r="M199" s="715">
        <v>0</v>
      </c>
      <c r="N199" s="715">
        <v>0</v>
      </c>
      <c r="O199" s="715">
        <v>0</v>
      </c>
      <c r="P199" s="715">
        <v>0</v>
      </c>
      <c r="Q199" s="715">
        <v>0</v>
      </c>
      <c r="R199" s="715">
        <v>0</v>
      </c>
      <c r="S199" s="715">
        <v>0</v>
      </c>
      <c r="T199" s="715">
        <v>0</v>
      </c>
      <c r="U199" s="715"/>
      <c r="V199" s="715">
        <v>2</v>
      </c>
      <c r="W199" s="716">
        <v>0</v>
      </c>
      <c r="X199" s="716">
        <v>0</v>
      </c>
      <c r="Z199" s="1917">
        <v>0</v>
      </c>
      <c r="AA199" s="1917">
        <v>0</v>
      </c>
    </row>
    <row r="200" spans="1:27" s="88" customFormat="1" ht="51" x14ac:dyDescent="0.25">
      <c r="A200" s="1715">
        <v>100994</v>
      </c>
      <c r="B200" s="1716" t="s">
        <v>772</v>
      </c>
      <c r="C200" s="1717" t="s">
        <v>55</v>
      </c>
      <c r="D200" s="1718">
        <v>751.32169204086676</v>
      </c>
      <c r="E200" s="1718">
        <v>3.7303892922336646</v>
      </c>
      <c r="F200" s="1718">
        <v>2802.7223950121283</v>
      </c>
      <c r="G200" s="1719">
        <v>5.4394539497178093E-5</v>
      </c>
      <c r="H200" s="1720">
        <v>0.99970420582079544</v>
      </c>
      <c r="I200" s="719" t="s">
        <v>463</v>
      </c>
      <c r="J200" s="367"/>
      <c r="K200" s="368"/>
      <c r="L200" s="715">
        <v>0</v>
      </c>
      <c r="M200" s="715">
        <v>0</v>
      </c>
      <c r="N200" s="715">
        <v>0</v>
      </c>
      <c r="O200" s="715">
        <v>0</v>
      </c>
      <c r="P200" s="715">
        <v>0</v>
      </c>
      <c r="Q200" s="715">
        <v>0</v>
      </c>
      <c r="R200" s="715">
        <v>751.32169204086676</v>
      </c>
      <c r="S200" s="715">
        <v>0</v>
      </c>
      <c r="T200" s="715">
        <v>0</v>
      </c>
      <c r="U200" s="715"/>
      <c r="V200" s="715">
        <v>751.32169204086676</v>
      </c>
      <c r="W200" s="716">
        <v>2.7E-2</v>
      </c>
      <c r="X200" s="716">
        <v>20.285685685103402</v>
      </c>
      <c r="Z200" s="1917">
        <v>0</v>
      </c>
      <c r="AA200" s="1917">
        <v>0</v>
      </c>
    </row>
    <row r="201" spans="1:27" s="88" customFormat="1" ht="25.5" x14ac:dyDescent="0.25">
      <c r="A201" s="1715">
        <v>97086</v>
      </c>
      <c r="B201" s="1716" t="s">
        <v>583</v>
      </c>
      <c r="C201" s="1717" t="s">
        <v>51</v>
      </c>
      <c r="D201" s="1718">
        <v>20.100000000000001</v>
      </c>
      <c r="E201" s="1718">
        <v>135.00399183732091</v>
      </c>
      <c r="F201" s="1718">
        <v>2713.5802359301506</v>
      </c>
      <c r="G201" s="1719">
        <v>5.2664490634087824E-5</v>
      </c>
      <c r="H201" s="1720">
        <v>0.99975687031142957</v>
      </c>
      <c r="I201" s="719" t="s">
        <v>463</v>
      </c>
      <c r="J201" s="367"/>
      <c r="K201" s="368"/>
      <c r="L201" s="715">
        <v>0</v>
      </c>
      <c r="M201" s="715">
        <v>0</v>
      </c>
      <c r="N201" s="715">
        <v>0</v>
      </c>
      <c r="O201" s="715">
        <v>0</v>
      </c>
      <c r="P201" s="715">
        <v>0</v>
      </c>
      <c r="Q201" s="715">
        <v>0</v>
      </c>
      <c r="R201" s="715">
        <v>20.100000000000001</v>
      </c>
      <c r="S201" s="715">
        <v>0</v>
      </c>
      <c r="T201" s="715">
        <v>0</v>
      </c>
      <c r="U201" s="715"/>
      <c r="V201" s="715">
        <v>20.100000000000001</v>
      </c>
      <c r="W201" s="716">
        <v>3.8010000000000002</v>
      </c>
      <c r="X201" s="716">
        <v>76.400100000000009</v>
      </c>
      <c r="Z201" s="1917">
        <v>0</v>
      </c>
      <c r="AA201" s="1917">
        <v>0</v>
      </c>
    </row>
    <row r="202" spans="1:27" s="88" customFormat="1" ht="51" x14ac:dyDescent="0.25">
      <c r="A202" s="1715">
        <v>100602</v>
      </c>
      <c r="B202" s="1716" t="s">
        <v>515</v>
      </c>
      <c r="C202" s="1717" t="s">
        <v>41</v>
      </c>
      <c r="D202" s="1718">
        <v>2</v>
      </c>
      <c r="E202" s="1718">
        <v>935.70196963066223</v>
      </c>
      <c r="F202" s="1718">
        <v>1871.4039392613245</v>
      </c>
      <c r="G202" s="1719">
        <v>3.6319742429889955E-5</v>
      </c>
      <c r="H202" s="1720">
        <v>0.99979319005385947</v>
      </c>
      <c r="I202" s="1896">
        <v>95675</v>
      </c>
      <c r="J202" s="366"/>
      <c r="K202" s="368"/>
      <c r="L202" s="715">
        <v>2</v>
      </c>
      <c r="M202" s="715">
        <v>0</v>
      </c>
      <c r="N202" s="715">
        <v>0</v>
      </c>
      <c r="O202" s="715">
        <v>0</v>
      </c>
      <c r="P202" s="715">
        <v>0</v>
      </c>
      <c r="Q202" s="715">
        <v>0</v>
      </c>
      <c r="R202" s="715">
        <v>0</v>
      </c>
      <c r="S202" s="715">
        <v>0</v>
      </c>
      <c r="T202" s="715">
        <v>0</v>
      </c>
      <c r="U202" s="715"/>
      <c r="V202" s="715">
        <v>2</v>
      </c>
      <c r="W202" s="716">
        <v>14.067198400000001</v>
      </c>
      <c r="X202" s="716">
        <v>28.134396800000001</v>
      </c>
      <c r="Z202" s="1917">
        <v>0.83599999999999997</v>
      </c>
      <c r="AA202" s="1917">
        <v>1.6719999999999999</v>
      </c>
    </row>
    <row r="203" spans="1:27" s="88" customFormat="1" ht="51" x14ac:dyDescent="0.25">
      <c r="A203" s="1715">
        <v>100991</v>
      </c>
      <c r="B203" s="1716" t="s">
        <v>774</v>
      </c>
      <c r="C203" s="1717" t="s">
        <v>55</v>
      </c>
      <c r="D203" s="1718">
        <v>285.13332374999993</v>
      </c>
      <c r="E203" s="1718">
        <v>4.9939082460547448</v>
      </c>
      <c r="F203" s="1718">
        <v>1423.9296567001218</v>
      </c>
      <c r="G203" s="1719">
        <v>2.7635272794201527E-5</v>
      </c>
      <c r="H203" s="1720">
        <v>0.99982082532665362</v>
      </c>
      <c r="I203" s="1896">
        <v>101009</v>
      </c>
      <c r="J203" s="366"/>
      <c r="K203" s="368"/>
      <c r="L203" s="715">
        <v>285.13332374999993</v>
      </c>
      <c r="M203" s="715">
        <v>0</v>
      </c>
      <c r="N203" s="715">
        <v>0</v>
      </c>
      <c r="O203" s="715">
        <v>0</v>
      </c>
      <c r="P203" s="715">
        <v>0</v>
      </c>
      <c r="Q203" s="715">
        <v>0</v>
      </c>
      <c r="R203" s="715">
        <v>0</v>
      </c>
      <c r="S203" s="715">
        <v>0</v>
      </c>
      <c r="T203" s="715">
        <v>0</v>
      </c>
      <c r="U203" s="715"/>
      <c r="V203" s="715">
        <v>285.13332374999993</v>
      </c>
      <c r="W203" s="716">
        <v>3.0000000000000002E-2</v>
      </c>
      <c r="X203" s="716">
        <v>8.5539997124999978</v>
      </c>
      <c r="Z203" s="1917">
        <v>0</v>
      </c>
      <c r="AA203" s="1917">
        <v>0</v>
      </c>
    </row>
    <row r="204" spans="1:27" s="88" customFormat="1" x14ac:dyDescent="0.25">
      <c r="A204" s="1715" t="s">
        <v>759</v>
      </c>
      <c r="B204" s="1716" t="s">
        <v>760</v>
      </c>
      <c r="C204" s="1717" t="s">
        <v>41</v>
      </c>
      <c r="D204" s="1718">
        <v>12</v>
      </c>
      <c r="E204" s="1718">
        <v>102.96282916191498</v>
      </c>
      <c r="F204" s="1718">
        <v>1235.5539499429797</v>
      </c>
      <c r="G204" s="1719">
        <v>2.3979323906881967E-5</v>
      </c>
      <c r="H204" s="1720">
        <v>0.99984480465056047</v>
      </c>
      <c r="I204" s="719" t="s">
        <v>463</v>
      </c>
      <c r="J204" s="367"/>
      <c r="K204" s="368"/>
      <c r="L204" s="715">
        <v>0</v>
      </c>
      <c r="M204" s="715">
        <v>0</v>
      </c>
      <c r="N204" s="715">
        <v>0</v>
      </c>
      <c r="O204" s="715">
        <v>0</v>
      </c>
      <c r="P204" s="715">
        <v>0</v>
      </c>
      <c r="Q204" s="715">
        <v>0</v>
      </c>
      <c r="R204" s="715">
        <v>0</v>
      </c>
      <c r="S204" s="715">
        <v>0</v>
      </c>
      <c r="T204" s="715">
        <v>12</v>
      </c>
      <c r="U204" s="715"/>
      <c r="V204" s="715">
        <v>12</v>
      </c>
      <c r="W204" s="716">
        <v>0.22490863086870957</v>
      </c>
      <c r="X204" s="716">
        <v>2.6989035704245148</v>
      </c>
      <c r="Z204" s="1917">
        <v>0</v>
      </c>
      <c r="AA204" s="1917">
        <v>0</v>
      </c>
    </row>
    <row r="205" spans="1:27" s="88" customFormat="1" x14ac:dyDescent="0.25">
      <c r="A205" s="1715" t="s">
        <v>2824</v>
      </c>
      <c r="B205" s="1716" t="s">
        <v>2825</v>
      </c>
      <c r="C205" s="1717" t="s">
        <v>22</v>
      </c>
      <c r="D205" s="1718">
        <v>12</v>
      </c>
      <c r="E205" s="1718">
        <v>99.377884864742541</v>
      </c>
      <c r="F205" s="1718">
        <v>1192.5346183769104</v>
      </c>
      <c r="G205" s="1719">
        <v>2.3144415414275933E-5</v>
      </c>
      <c r="H205" s="1720">
        <v>0.99986794906597476</v>
      </c>
      <c r="I205" s="719" t="s">
        <v>463</v>
      </c>
      <c r="J205" s="367"/>
      <c r="K205" s="368"/>
      <c r="L205" s="715">
        <v>0</v>
      </c>
      <c r="M205" s="715">
        <v>0</v>
      </c>
      <c r="N205" s="715">
        <v>0</v>
      </c>
      <c r="O205" s="715">
        <v>12</v>
      </c>
      <c r="P205" s="715">
        <v>0</v>
      </c>
      <c r="Q205" s="715">
        <v>0</v>
      </c>
      <c r="R205" s="715">
        <v>0</v>
      </c>
      <c r="S205" s="715">
        <v>0</v>
      </c>
      <c r="T205" s="715">
        <v>0</v>
      </c>
      <c r="U205" s="715"/>
      <c r="V205" s="715">
        <v>12</v>
      </c>
      <c r="W205" s="716">
        <v>0</v>
      </c>
      <c r="X205" s="716">
        <v>0</v>
      </c>
      <c r="Z205" s="1917">
        <v>0</v>
      </c>
      <c r="AA205" s="1917">
        <v>0</v>
      </c>
    </row>
    <row r="206" spans="1:27" s="88" customFormat="1" ht="63.75" x14ac:dyDescent="0.25">
      <c r="A206" s="1715">
        <v>93367</v>
      </c>
      <c r="B206" s="1716" t="s">
        <v>62</v>
      </c>
      <c r="C206" s="1717" t="s">
        <v>44</v>
      </c>
      <c r="D206" s="1718">
        <v>62.275999999999996</v>
      </c>
      <c r="E206" s="1718">
        <v>18.302974559636787</v>
      </c>
      <c r="F206" s="1718">
        <v>1139.8360436759406</v>
      </c>
      <c r="G206" s="1719">
        <v>2.2121654577127629E-5</v>
      </c>
      <c r="H206" s="1720">
        <v>0.99989007072055192</v>
      </c>
      <c r="I206" s="1755">
        <v>100943</v>
      </c>
      <c r="J206" s="367"/>
      <c r="K206" s="368"/>
      <c r="L206" s="715">
        <v>0</v>
      </c>
      <c r="M206" s="715">
        <v>0</v>
      </c>
      <c r="N206" s="715">
        <v>0</v>
      </c>
      <c r="O206" s="715">
        <v>62.275999999999996</v>
      </c>
      <c r="P206" s="715">
        <v>0</v>
      </c>
      <c r="Q206" s="715">
        <v>0</v>
      </c>
      <c r="R206" s="715">
        <v>0</v>
      </c>
      <c r="S206" s="715">
        <v>0</v>
      </c>
      <c r="T206" s="715">
        <v>0</v>
      </c>
      <c r="U206" s="715"/>
      <c r="V206" s="715">
        <v>62.275999999999996</v>
      </c>
      <c r="W206" s="716">
        <v>0.31900000000000001</v>
      </c>
      <c r="X206" s="716">
        <v>19.866043999999999</v>
      </c>
      <c r="Z206" s="1917">
        <v>0</v>
      </c>
      <c r="AA206" s="1917">
        <v>0</v>
      </c>
    </row>
    <row r="207" spans="1:27" s="88" customFormat="1" ht="38.25" x14ac:dyDescent="0.25">
      <c r="A207" s="1715">
        <v>101009</v>
      </c>
      <c r="B207" s="1716" t="s">
        <v>771</v>
      </c>
      <c r="C207" s="1717" t="s">
        <v>55</v>
      </c>
      <c r="D207" s="1718">
        <v>24.591999999999999</v>
      </c>
      <c r="E207" s="1718">
        <v>32.995894965499062</v>
      </c>
      <c r="F207" s="1718">
        <v>811.43504899155289</v>
      </c>
      <c r="G207" s="1719">
        <v>1.5748129711424618E-5</v>
      </c>
      <c r="H207" s="1720">
        <v>0.99990581885026331</v>
      </c>
      <c r="I207" s="719" t="s">
        <v>463</v>
      </c>
      <c r="J207" s="367"/>
      <c r="K207" s="368"/>
      <c r="L207" s="715">
        <v>2.2000000000000002</v>
      </c>
      <c r="M207" s="715">
        <v>0</v>
      </c>
      <c r="N207" s="715">
        <v>0</v>
      </c>
      <c r="O207" s="715">
        <v>22.391999999999999</v>
      </c>
      <c r="P207" s="715">
        <v>0</v>
      </c>
      <c r="Q207" s="715">
        <v>0</v>
      </c>
      <c r="R207" s="715">
        <v>0</v>
      </c>
      <c r="S207" s="715">
        <v>0</v>
      </c>
      <c r="T207" s="715">
        <v>0</v>
      </c>
      <c r="U207" s="715"/>
      <c r="V207" s="715">
        <v>24.591999999999999</v>
      </c>
      <c r="W207" s="716">
        <v>0.20099999999999998</v>
      </c>
      <c r="X207" s="716">
        <v>4.9429919999999994</v>
      </c>
      <c r="Z207" s="1917">
        <v>0</v>
      </c>
      <c r="AA207" s="1917">
        <v>0</v>
      </c>
    </row>
    <row r="208" spans="1:27" s="88" customFormat="1" ht="25.5" x14ac:dyDescent="0.25">
      <c r="A208" s="1715">
        <v>98524</v>
      </c>
      <c r="B208" s="1716" t="s">
        <v>52</v>
      </c>
      <c r="C208" s="1717" t="s">
        <v>51</v>
      </c>
      <c r="D208" s="1718">
        <v>219.64</v>
      </c>
      <c r="E208" s="1718">
        <v>3.5137860430071934</v>
      </c>
      <c r="F208" s="1718">
        <v>771.76796648609991</v>
      </c>
      <c r="G208" s="1719">
        <v>1.4978280835231746E-5</v>
      </c>
      <c r="H208" s="1720">
        <v>0.99992079713109849</v>
      </c>
      <c r="I208" s="719" t="s">
        <v>1508</v>
      </c>
      <c r="J208" s="366"/>
      <c r="K208" s="368"/>
      <c r="L208" s="715">
        <v>0</v>
      </c>
      <c r="M208" s="715">
        <v>0</v>
      </c>
      <c r="N208" s="715">
        <v>0</v>
      </c>
      <c r="O208" s="715">
        <v>219.64</v>
      </c>
      <c r="P208" s="715">
        <v>0</v>
      </c>
      <c r="Q208" s="715">
        <v>0</v>
      </c>
      <c r="R208" s="715">
        <v>0</v>
      </c>
      <c r="S208" s="715">
        <v>0</v>
      </c>
      <c r="T208" s="715">
        <v>0</v>
      </c>
      <c r="U208" s="715"/>
      <c r="V208" s="715">
        <v>219.64</v>
      </c>
      <c r="W208" s="716">
        <v>0.14360000000000001</v>
      </c>
      <c r="X208" s="716">
        <v>31.540303999999999</v>
      </c>
      <c r="Z208" s="1917">
        <v>0</v>
      </c>
      <c r="AA208" s="1917">
        <v>0</v>
      </c>
    </row>
    <row r="209" spans="1:27" s="88" customFormat="1" ht="38.25" x14ac:dyDescent="0.25">
      <c r="A209" s="1715">
        <v>101010</v>
      </c>
      <c r="B209" s="1716" t="s">
        <v>770</v>
      </c>
      <c r="C209" s="1717" t="s">
        <v>55</v>
      </c>
      <c r="D209" s="1718">
        <v>33.3384</v>
      </c>
      <c r="E209" s="1718">
        <v>20.769844898049374</v>
      </c>
      <c r="F209" s="1718">
        <v>692.43339714912929</v>
      </c>
      <c r="G209" s="1719">
        <v>1.3438575235786251E-5</v>
      </c>
      <c r="H209" s="1720">
        <v>0.99993423570633433</v>
      </c>
      <c r="I209" s="719" t="s">
        <v>463</v>
      </c>
      <c r="J209" s="367"/>
      <c r="K209" s="368"/>
      <c r="L209" s="715">
        <v>0</v>
      </c>
      <c r="M209" s="715">
        <v>0</v>
      </c>
      <c r="N209" s="715">
        <v>0</v>
      </c>
      <c r="O209" s="715">
        <v>33.3384</v>
      </c>
      <c r="P209" s="715">
        <v>0</v>
      </c>
      <c r="Q209" s="715">
        <v>0</v>
      </c>
      <c r="R209" s="715">
        <v>0</v>
      </c>
      <c r="S209" s="715">
        <v>0</v>
      </c>
      <c r="T209" s="715">
        <v>0</v>
      </c>
      <c r="U209" s="715"/>
      <c r="V209" s="715">
        <v>33.3384</v>
      </c>
      <c r="W209" s="716">
        <v>0.12659999999999999</v>
      </c>
      <c r="X209" s="716">
        <v>4.2206414399999996</v>
      </c>
      <c r="Z209" s="1917">
        <v>0</v>
      </c>
      <c r="AA209" s="1917">
        <v>0</v>
      </c>
    </row>
    <row r="210" spans="1:27" s="88" customFormat="1" ht="25.5" x14ac:dyDescent="0.25">
      <c r="A210" s="1715">
        <v>100575</v>
      </c>
      <c r="B210" s="1716" t="s">
        <v>634</v>
      </c>
      <c r="C210" s="1717" t="s">
        <v>51</v>
      </c>
      <c r="D210" s="1718">
        <v>5742.05</v>
      </c>
      <c r="E210" s="1718">
        <v>8.4234596921405336E-2</v>
      </c>
      <c r="F210" s="1718">
        <v>483.67926725255552</v>
      </c>
      <c r="G210" s="1719">
        <v>9.3871269781684669E-6</v>
      </c>
      <c r="H210" s="1720">
        <v>0.99994362283331251</v>
      </c>
      <c r="I210" s="719" t="s">
        <v>463</v>
      </c>
      <c r="J210" s="367"/>
      <c r="K210" s="368"/>
      <c r="L210" s="715">
        <v>0</v>
      </c>
      <c r="M210" s="715">
        <v>0</v>
      </c>
      <c r="N210" s="715">
        <v>0</v>
      </c>
      <c r="O210" s="715">
        <v>3582.8</v>
      </c>
      <c r="P210" s="715">
        <v>0</v>
      </c>
      <c r="Q210" s="715">
        <v>0</v>
      </c>
      <c r="R210" s="715">
        <v>2159.25</v>
      </c>
      <c r="S210" s="715">
        <v>0</v>
      </c>
      <c r="T210" s="715">
        <v>0</v>
      </c>
      <c r="U210" s="715"/>
      <c r="V210" s="715">
        <v>5742.05</v>
      </c>
      <c r="W210" s="716">
        <v>2.1000000000000003E-3</v>
      </c>
      <c r="X210" s="716">
        <v>12.058305000000002</v>
      </c>
      <c r="Z210" s="1917">
        <v>0</v>
      </c>
      <c r="AA210" s="1917">
        <v>0</v>
      </c>
    </row>
    <row r="211" spans="1:27" s="88" customFormat="1" ht="51" x14ac:dyDescent="0.25">
      <c r="A211" s="1715">
        <v>92808</v>
      </c>
      <c r="B211" s="1716" t="s">
        <v>519</v>
      </c>
      <c r="C211" s="1717" t="s">
        <v>22</v>
      </c>
      <c r="D211" s="1718">
        <v>12</v>
      </c>
      <c r="E211" s="1718">
        <v>37.376094005412135</v>
      </c>
      <c r="F211" s="1718">
        <v>448.51312806494559</v>
      </c>
      <c r="G211" s="1719">
        <v>8.7046312909723644E-6</v>
      </c>
      <c r="H211" s="1720">
        <v>0.9999523274646035</v>
      </c>
      <c r="I211" s="719" t="s">
        <v>461</v>
      </c>
      <c r="J211" s="366"/>
      <c r="K211" s="368"/>
      <c r="L211" s="715">
        <v>0</v>
      </c>
      <c r="M211" s="715">
        <v>0</v>
      </c>
      <c r="N211" s="715">
        <v>0</v>
      </c>
      <c r="O211" s="715">
        <v>12</v>
      </c>
      <c r="P211" s="715">
        <v>0</v>
      </c>
      <c r="Q211" s="715">
        <v>0</v>
      </c>
      <c r="R211" s="715">
        <v>0</v>
      </c>
      <c r="S211" s="715">
        <v>0</v>
      </c>
      <c r="T211" s="715">
        <v>0</v>
      </c>
      <c r="U211" s="715"/>
      <c r="V211" s="715">
        <v>12</v>
      </c>
      <c r="W211" s="716">
        <v>1.00657</v>
      </c>
      <c r="X211" s="716">
        <v>12.07884</v>
      </c>
      <c r="Z211" s="1917">
        <v>0</v>
      </c>
      <c r="AA211" s="1917">
        <v>0</v>
      </c>
    </row>
    <row r="212" spans="1:27" s="88" customFormat="1" ht="38.25" x14ac:dyDescent="0.25">
      <c r="A212" s="1715">
        <v>96624</v>
      </c>
      <c r="B212" s="1716" t="s">
        <v>1306</v>
      </c>
      <c r="C212" s="1717" t="s">
        <v>44</v>
      </c>
      <c r="D212" s="1718">
        <v>1.92</v>
      </c>
      <c r="E212" s="1718">
        <v>211.78984368810484</v>
      </c>
      <c r="F212" s="1718">
        <v>406.63649988116128</v>
      </c>
      <c r="G212" s="1719">
        <v>7.8919001015383708E-6</v>
      </c>
      <c r="H212" s="1720">
        <v>0.99996021936470503</v>
      </c>
      <c r="I212" s="1896">
        <v>100577</v>
      </c>
      <c r="J212" s="367"/>
      <c r="K212" s="368"/>
      <c r="L212" s="715">
        <v>0</v>
      </c>
      <c r="M212" s="715">
        <v>0</v>
      </c>
      <c r="N212" s="715">
        <v>0</v>
      </c>
      <c r="O212" s="715">
        <v>1.92</v>
      </c>
      <c r="P212" s="715">
        <v>0</v>
      </c>
      <c r="Q212" s="715">
        <v>0</v>
      </c>
      <c r="R212" s="715">
        <v>0</v>
      </c>
      <c r="S212" s="715">
        <v>0</v>
      </c>
      <c r="T212" s="715">
        <v>0</v>
      </c>
      <c r="U212" s="715"/>
      <c r="V212" s="715">
        <v>1.92</v>
      </c>
      <c r="W212" s="716">
        <v>1.373</v>
      </c>
      <c r="X212" s="716">
        <v>2.6361599999999998</v>
      </c>
      <c r="Z212" s="1917">
        <v>0</v>
      </c>
      <c r="AA212" s="1917">
        <v>0</v>
      </c>
    </row>
    <row r="213" spans="1:27" s="88" customFormat="1" ht="25.5" x14ac:dyDescent="0.25">
      <c r="A213" s="1715">
        <v>101946</v>
      </c>
      <c r="B213" s="1716" t="s">
        <v>1172</v>
      </c>
      <c r="C213" s="1717" t="s">
        <v>41</v>
      </c>
      <c r="D213" s="1718">
        <v>2</v>
      </c>
      <c r="E213" s="1718">
        <v>194.37734915306575</v>
      </c>
      <c r="F213" s="1718">
        <v>388.7546983061315</v>
      </c>
      <c r="G213" s="1719">
        <v>7.5448545419122457E-6</v>
      </c>
      <c r="H213" s="1720">
        <v>0.99996776421924694</v>
      </c>
      <c r="I213" s="719" t="s">
        <v>1412</v>
      </c>
      <c r="J213" s="367"/>
      <c r="K213" s="368"/>
      <c r="L213" s="715">
        <v>2</v>
      </c>
      <c r="M213" s="715">
        <v>0</v>
      </c>
      <c r="N213" s="715">
        <v>0</v>
      </c>
      <c r="O213" s="715">
        <v>0</v>
      </c>
      <c r="P213" s="715">
        <v>0</v>
      </c>
      <c r="Q213" s="715">
        <v>0</v>
      </c>
      <c r="R213" s="715">
        <v>0</v>
      </c>
      <c r="S213" s="715">
        <v>0</v>
      </c>
      <c r="T213" s="715">
        <v>0</v>
      </c>
      <c r="U213" s="715"/>
      <c r="V213" s="715">
        <v>2</v>
      </c>
      <c r="W213" s="716">
        <v>3.0466000000000002</v>
      </c>
      <c r="X213" s="716">
        <v>6.0932000000000004</v>
      </c>
      <c r="Z213" s="1917">
        <v>0</v>
      </c>
      <c r="AA213" s="1917">
        <v>0</v>
      </c>
    </row>
    <row r="214" spans="1:27" s="88" customFormat="1" ht="51" x14ac:dyDescent="0.25">
      <c r="A214" s="1715">
        <v>97741</v>
      </c>
      <c r="B214" s="1716" t="s">
        <v>594</v>
      </c>
      <c r="C214" s="1717" t="s">
        <v>41</v>
      </c>
      <c r="D214" s="1718">
        <v>2</v>
      </c>
      <c r="E214" s="1718">
        <v>192.5602885623326</v>
      </c>
      <c r="F214" s="1718">
        <v>385.1205771246652</v>
      </c>
      <c r="G214" s="1719">
        <v>7.4743244214498712E-6</v>
      </c>
      <c r="H214" s="1720">
        <v>0.99997523854366843</v>
      </c>
      <c r="I214" s="719" t="s">
        <v>463</v>
      </c>
      <c r="J214" s="367"/>
      <c r="K214" s="368"/>
      <c r="L214" s="715">
        <v>2</v>
      </c>
      <c r="M214" s="715">
        <v>0</v>
      </c>
      <c r="N214" s="715">
        <v>0</v>
      </c>
      <c r="O214" s="715">
        <v>0</v>
      </c>
      <c r="P214" s="715">
        <v>0</v>
      </c>
      <c r="Q214" s="715">
        <v>0</v>
      </c>
      <c r="R214" s="715">
        <v>0</v>
      </c>
      <c r="S214" s="715">
        <v>0</v>
      </c>
      <c r="T214" s="715">
        <v>0</v>
      </c>
      <c r="U214" s="715"/>
      <c r="V214" s="715">
        <v>2</v>
      </c>
      <c r="W214" s="716">
        <v>2.9011999999999998</v>
      </c>
      <c r="X214" s="716">
        <v>5.8023999999999996</v>
      </c>
      <c r="Z214" s="1917">
        <v>0</v>
      </c>
      <c r="AA214" s="1917">
        <v>0</v>
      </c>
    </row>
    <row r="215" spans="1:27" s="88" customFormat="1" ht="25.5" x14ac:dyDescent="0.25">
      <c r="A215" s="1715">
        <v>95675</v>
      </c>
      <c r="B215" s="1716" t="s">
        <v>592</v>
      </c>
      <c r="C215" s="1717" t="s">
        <v>41</v>
      </c>
      <c r="D215" s="1718">
        <v>2</v>
      </c>
      <c r="E215" s="1718">
        <v>173.96850967039381</v>
      </c>
      <c r="F215" s="1718">
        <v>347.93701934078763</v>
      </c>
      <c r="G215" s="1719">
        <v>6.7526751756593406E-6</v>
      </c>
      <c r="H215" s="1720">
        <v>0.99998199121884412</v>
      </c>
      <c r="I215" s="719" t="s">
        <v>1495</v>
      </c>
      <c r="J215" s="366"/>
      <c r="K215" s="368"/>
      <c r="L215" s="715">
        <v>2</v>
      </c>
      <c r="M215" s="715">
        <v>0</v>
      </c>
      <c r="N215" s="715">
        <v>0</v>
      </c>
      <c r="O215" s="715">
        <v>0</v>
      </c>
      <c r="P215" s="715">
        <v>0</v>
      </c>
      <c r="Q215" s="715">
        <v>0</v>
      </c>
      <c r="R215" s="715">
        <v>0</v>
      </c>
      <c r="S215" s="715">
        <v>0</v>
      </c>
      <c r="T215" s="715">
        <v>0</v>
      </c>
      <c r="U215" s="715"/>
      <c r="V215" s="715">
        <v>2</v>
      </c>
      <c r="W215" s="716">
        <v>1.0518000000000001</v>
      </c>
      <c r="X215" s="716">
        <v>2.1036000000000001</v>
      </c>
      <c r="Z215" s="1917">
        <v>0</v>
      </c>
      <c r="AA215" s="1917">
        <v>0</v>
      </c>
    </row>
    <row r="216" spans="1:27" s="88" customFormat="1" ht="38.25" x14ac:dyDescent="0.25">
      <c r="A216" s="1715">
        <v>72850</v>
      </c>
      <c r="B216" s="1716" t="s">
        <v>1312</v>
      </c>
      <c r="C216" s="1717" t="s">
        <v>55</v>
      </c>
      <c r="D216" s="1718">
        <v>22.674026978999997</v>
      </c>
      <c r="E216" s="1718">
        <v>14.252674301809471</v>
      </c>
      <c r="F216" s="1718">
        <v>323.16552164212789</v>
      </c>
      <c r="G216" s="1719">
        <v>6.2719161064158193E-6</v>
      </c>
      <c r="H216" s="1720">
        <v>0.99998826313495059</v>
      </c>
      <c r="I216" s="719" t="s">
        <v>463</v>
      </c>
      <c r="J216" s="367"/>
      <c r="K216" s="368"/>
      <c r="L216" s="715">
        <v>0</v>
      </c>
      <c r="M216" s="715">
        <v>0</v>
      </c>
      <c r="N216" s="715">
        <v>22.674026978999997</v>
      </c>
      <c r="O216" s="715">
        <v>0</v>
      </c>
      <c r="P216" s="715">
        <v>0</v>
      </c>
      <c r="Q216" s="715">
        <v>0</v>
      </c>
      <c r="R216" s="715">
        <v>0</v>
      </c>
      <c r="S216" s="715">
        <v>0</v>
      </c>
      <c r="T216" s="715">
        <v>0</v>
      </c>
      <c r="U216" s="715"/>
      <c r="V216" s="715">
        <v>22.674026978999997</v>
      </c>
      <c r="W216" s="716">
        <v>8.43E-2</v>
      </c>
      <c r="X216" s="716">
        <v>1.9114204743296999</v>
      </c>
      <c r="Z216" s="1917">
        <v>0</v>
      </c>
      <c r="AA216" s="1917">
        <v>0</v>
      </c>
    </row>
    <row r="217" spans="1:27" s="88" customFormat="1" ht="25.5" x14ac:dyDescent="0.25">
      <c r="A217" s="1715" t="s">
        <v>870</v>
      </c>
      <c r="B217" s="1716" t="s">
        <v>862</v>
      </c>
      <c r="C217" s="1717" t="s">
        <v>51</v>
      </c>
      <c r="D217" s="1718">
        <v>0.75</v>
      </c>
      <c r="E217" s="1718">
        <v>414.04666535717712</v>
      </c>
      <c r="F217" s="1718">
        <v>310.53499901788285</v>
      </c>
      <c r="G217" s="1719">
        <v>6.0267860632202552E-6</v>
      </c>
      <c r="H217" s="1720">
        <v>0.9999942899210138</v>
      </c>
      <c r="I217" s="719">
        <v>98078</v>
      </c>
      <c r="J217" s="367"/>
      <c r="K217" s="368"/>
      <c r="L217" s="715">
        <v>0</v>
      </c>
      <c r="M217" s="715">
        <v>0</v>
      </c>
      <c r="N217" s="715">
        <v>0</v>
      </c>
      <c r="O217" s="715">
        <v>0</v>
      </c>
      <c r="P217" s="715">
        <v>0</v>
      </c>
      <c r="Q217" s="715">
        <v>0</v>
      </c>
      <c r="R217" s="715">
        <v>0</v>
      </c>
      <c r="S217" s="715">
        <v>0.75</v>
      </c>
      <c r="T217" s="715">
        <v>0</v>
      </c>
      <c r="U217" s="715"/>
      <c r="V217" s="715">
        <v>0.75</v>
      </c>
      <c r="W217" s="716">
        <v>2.9000498933333336</v>
      </c>
      <c r="X217" s="716">
        <v>2.1750374200000002</v>
      </c>
      <c r="Z217" s="1917">
        <v>0</v>
      </c>
      <c r="AA217" s="1917">
        <v>0</v>
      </c>
    </row>
    <row r="218" spans="1:27" s="88" customFormat="1" ht="38.25" x14ac:dyDescent="0.25">
      <c r="A218" s="1715">
        <v>101014</v>
      </c>
      <c r="B218" s="1716" t="s">
        <v>778</v>
      </c>
      <c r="C218" s="1717" t="s">
        <v>55</v>
      </c>
      <c r="D218" s="1718">
        <v>2.7115</v>
      </c>
      <c r="E218" s="1718">
        <v>33.224531728571442</v>
      </c>
      <c r="F218" s="1718">
        <v>90.088317782021463</v>
      </c>
      <c r="G218" s="1719">
        <v>1.7484116759295716E-6</v>
      </c>
      <c r="H218" s="1720">
        <v>0.99999603833268969</v>
      </c>
      <c r="I218" s="719" t="s">
        <v>407</v>
      </c>
      <c r="J218" s="366"/>
      <c r="K218" s="368"/>
      <c r="L218" s="715">
        <v>0</v>
      </c>
      <c r="M218" s="715">
        <v>0</v>
      </c>
      <c r="N218" s="715">
        <v>0</v>
      </c>
      <c r="O218" s="715">
        <v>2.7115</v>
      </c>
      <c r="P218" s="715">
        <v>0</v>
      </c>
      <c r="Q218" s="715">
        <v>0</v>
      </c>
      <c r="R218" s="715">
        <v>0</v>
      </c>
      <c r="S218" s="715">
        <v>0</v>
      </c>
      <c r="T218" s="715">
        <v>0</v>
      </c>
      <c r="U218" s="715"/>
      <c r="V218" s="715">
        <v>2.7115</v>
      </c>
      <c r="W218" s="716">
        <v>0.48270000000000002</v>
      </c>
      <c r="X218" s="716">
        <v>1.3088410500000001</v>
      </c>
      <c r="Z218" s="1917">
        <v>0</v>
      </c>
      <c r="AA218" s="1917">
        <v>0</v>
      </c>
    </row>
    <row r="219" spans="1:27" s="88" customFormat="1" ht="38.25" x14ac:dyDescent="0.25">
      <c r="A219" s="1715">
        <v>100969</v>
      </c>
      <c r="B219" s="1716" t="s">
        <v>798</v>
      </c>
      <c r="C219" s="1717" t="s">
        <v>42</v>
      </c>
      <c r="D219" s="1718">
        <v>32.5586184</v>
      </c>
      <c r="E219" s="1718">
        <v>2.0456973538055578</v>
      </c>
      <c r="F219" s="1718">
        <v>66.605079504444944</v>
      </c>
      <c r="G219" s="1719">
        <v>1.2926548252744595E-6</v>
      </c>
      <c r="H219" s="1720">
        <v>0.99999733098751498</v>
      </c>
      <c r="I219" s="719" t="s">
        <v>463</v>
      </c>
      <c r="J219" s="367"/>
      <c r="K219" s="368"/>
      <c r="L219" s="715">
        <v>0</v>
      </c>
      <c r="M219" s="715">
        <v>0</v>
      </c>
      <c r="N219" s="715">
        <v>0</v>
      </c>
      <c r="O219" s="715">
        <v>0</v>
      </c>
      <c r="P219" s="715">
        <v>0</v>
      </c>
      <c r="Q219" s="715">
        <v>32.5586184</v>
      </c>
      <c r="R219" s="715">
        <v>0</v>
      </c>
      <c r="S219" s="715">
        <v>0</v>
      </c>
      <c r="T219" s="715">
        <v>0</v>
      </c>
      <c r="U219" s="715"/>
      <c r="V219" s="715">
        <v>32.5586184</v>
      </c>
      <c r="W219" s="716">
        <v>7.6E-3</v>
      </c>
      <c r="X219" s="716">
        <v>0.24744549984</v>
      </c>
      <c r="Z219" s="1917">
        <v>0</v>
      </c>
      <c r="AA219" s="1917">
        <v>0</v>
      </c>
    </row>
    <row r="220" spans="1:27" s="88" customFormat="1" ht="51" x14ac:dyDescent="0.25">
      <c r="A220" s="1715">
        <v>92427</v>
      </c>
      <c r="B220" s="1716" t="s">
        <v>1164</v>
      </c>
      <c r="C220" s="1717" t="s">
        <v>51</v>
      </c>
      <c r="D220" s="1718">
        <v>0.9</v>
      </c>
      <c r="E220" s="1718">
        <v>59.74639624496821</v>
      </c>
      <c r="F220" s="1718">
        <v>53.771756620471393</v>
      </c>
      <c r="G220" s="1719">
        <v>1.0435888850533917E-6</v>
      </c>
      <c r="H220" s="1720">
        <v>0.99999837457640006</v>
      </c>
      <c r="I220" s="1896">
        <v>98520</v>
      </c>
      <c r="J220" s="367"/>
      <c r="K220" s="368"/>
      <c r="L220" s="715">
        <v>0</v>
      </c>
      <c r="M220" s="715">
        <v>0</v>
      </c>
      <c r="N220" s="715">
        <v>0</v>
      </c>
      <c r="O220" s="715">
        <v>0</v>
      </c>
      <c r="P220" s="715">
        <v>0</v>
      </c>
      <c r="Q220" s="715">
        <v>0</v>
      </c>
      <c r="R220" s="715">
        <v>0.9</v>
      </c>
      <c r="S220" s="715">
        <v>0</v>
      </c>
      <c r="T220" s="715">
        <v>0</v>
      </c>
      <c r="U220" s="715"/>
      <c r="V220" s="715">
        <v>0.9</v>
      </c>
      <c r="W220" s="716">
        <v>1.0467</v>
      </c>
      <c r="X220" s="716">
        <v>0.94203000000000003</v>
      </c>
      <c r="Z220" s="1917">
        <v>0</v>
      </c>
      <c r="AA220" s="1917">
        <v>0</v>
      </c>
    </row>
    <row r="221" spans="1:27" s="88" customFormat="1" ht="25.5" x14ac:dyDescent="0.25">
      <c r="A221" s="1715">
        <v>90455</v>
      </c>
      <c r="B221" s="1716" t="s">
        <v>615</v>
      </c>
      <c r="C221" s="1717" t="s">
        <v>41</v>
      </c>
      <c r="D221" s="1718">
        <v>6</v>
      </c>
      <c r="E221" s="1718">
        <v>7.3645104737000091</v>
      </c>
      <c r="F221" s="1718">
        <v>44.187062842200056</v>
      </c>
      <c r="G221" s="1719">
        <v>8.5757153092000771E-7</v>
      </c>
      <c r="H221" s="1720">
        <v>0.99999923214793096</v>
      </c>
      <c r="I221" s="719" t="s">
        <v>327</v>
      </c>
      <c r="J221" s="366"/>
      <c r="K221" s="368"/>
      <c r="L221" s="715">
        <v>0</v>
      </c>
      <c r="M221" s="715">
        <v>0</v>
      </c>
      <c r="N221" s="715">
        <v>0</v>
      </c>
      <c r="O221" s="715">
        <v>0</v>
      </c>
      <c r="P221" s="715">
        <v>0</v>
      </c>
      <c r="Q221" s="715">
        <v>0</v>
      </c>
      <c r="R221" s="715">
        <v>6</v>
      </c>
      <c r="S221" s="715">
        <v>0</v>
      </c>
      <c r="T221" s="715">
        <v>0</v>
      </c>
      <c r="U221" s="715"/>
      <c r="V221" s="715">
        <v>6</v>
      </c>
      <c r="W221" s="716">
        <v>0.16999999999999998</v>
      </c>
      <c r="X221" s="716">
        <v>1.02</v>
      </c>
      <c r="Z221" s="1917">
        <v>0</v>
      </c>
      <c r="AA221" s="1917">
        <v>0</v>
      </c>
    </row>
    <row r="222" spans="1:27" s="88" customFormat="1" ht="25.5" x14ac:dyDescent="0.25">
      <c r="A222" s="1715">
        <v>90454</v>
      </c>
      <c r="B222" s="1716" t="s">
        <v>616</v>
      </c>
      <c r="C222" s="1717" t="s">
        <v>41</v>
      </c>
      <c r="D222" s="1718">
        <v>6</v>
      </c>
      <c r="E222" s="1718">
        <v>5.6196509660423271</v>
      </c>
      <c r="F222" s="1718">
        <v>33.717905796253959</v>
      </c>
      <c r="G222" s="1719">
        <v>6.5438873356150908E-7</v>
      </c>
      <c r="H222" s="1720">
        <v>0.9999998865366645</v>
      </c>
      <c r="I222" s="719" t="s">
        <v>463</v>
      </c>
      <c r="J222" s="367"/>
      <c r="K222" s="368"/>
      <c r="L222" s="715">
        <v>0</v>
      </c>
      <c r="M222" s="715">
        <v>0</v>
      </c>
      <c r="N222" s="715">
        <v>0</v>
      </c>
      <c r="O222" s="715">
        <v>0</v>
      </c>
      <c r="P222" s="715">
        <v>0</v>
      </c>
      <c r="Q222" s="715">
        <v>0</v>
      </c>
      <c r="R222" s="715">
        <v>6</v>
      </c>
      <c r="S222" s="715">
        <v>0</v>
      </c>
      <c r="T222" s="715">
        <v>0</v>
      </c>
      <c r="U222" s="715"/>
      <c r="V222" s="715">
        <v>6</v>
      </c>
      <c r="W222" s="716">
        <v>0.11700000000000001</v>
      </c>
      <c r="X222" s="716">
        <v>0.70200000000000007</v>
      </c>
      <c r="Z222" s="1917">
        <v>0</v>
      </c>
      <c r="AA222" s="1917">
        <v>0</v>
      </c>
    </row>
    <row r="223" spans="1:27" s="88" customFormat="1" ht="38.25" x14ac:dyDescent="0.25">
      <c r="A223" s="1715">
        <v>102332</v>
      </c>
      <c r="B223" s="1716" t="s">
        <v>799</v>
      </c>
      <c r="C223" s="1717" t="s">
        <v>42</v>
      </c>
      <c r="D223" s="1718">
        <v>3.5987699999999996</v>
      </c>
      <c r="E223" s="1718">
        <v>1.6245243691985314</v>
      </c>
      <c r="F223" s="1718">
        <v>5.8462895641405979</v>
      </c>
      <c r="G223" s="1719">
        <v>1.1346333449738953E-7</v>
      </c>
      <c r="H223" s="1720">
        <v>0.999999999999999</v>
      </c>
      <c r="I223" s="719" t="s">
        <v>463</v>
      </c>
      <c r="J223" s="367"/>
      <c r="K223" s="368"/>
      <c r="L223" s="715">
        <v>0</v>
      </c>
      <c r="M223" s="715">
        <v>0</v>
      </c>
      <c r="N223" s="715">
        <v>0</v>
      </c>
      <c r="O223" s="715">
        <v>0</v>
      </c>
      <c r="P223" s="715">
        <v>0</v>
      </c>
      <c r="Q223" s="715">
        <v>3.5987699999999996</v>
      </c>
      <c r="R223" s="715">
        <v>0</v>
      </c>
      <c r="S223" s="715">
        <v>0</v>
      </c>
      <c r="T223" s="715">
        <v>0</v>
      </c>
      <c r="U223" s="715"/>
      <c r="V223" s="715">
        <v>3.5987699999999996</v>
      </c>
      <c r="W223" s="716">
        <v>6.0000000000000001E-3</v>
      </c>
      <c r="X223" s="716">
        <v>2.1592619999999996E-2</v>
      </c>
      <c r="Z223" s="1917">
        <v>0</v>
      </c>
      <c r="AA223" s="1917">
        <v>0</v>
      </c>
    </row>
    <row r="224" spans="1:27" s="88" customFormat="1" ht="25.5" hidden="1" x14ac:dyDescent="0.25">
      <c r="A224" s="1715">
        <v>7030</v>
      </c>
      <c r="B224" s="1716" t="s">
        <v>653</v>
      </c>
      <c r="C224" s="1717" t="s">
        <v>76</v>
      </c>
      <c r="D224" s="1718">
        <f t="shared" ref="D198:D261" si="0">SUM(L224:U224)</f>
        <v>0</v>
      </c>
      <c r="E224" s="1718">
        <v>212.8006588511617</v>
      </c>
      <c r="F224" s="1718">
        <f t="shared" ref="F198:F261" si="1">D224*E224</f>
        <v>0</v>
      </c>
      <c r="G224" s="1719">
        <f t="shared" ref="G198:G261" si="2">F224/$F$270</f>
        <v>0</v>
      </c>
      <c r="H224" s="1720">
        <f>SUM(G$6:G224)</f>
        <v>0.999999999999999</v>
      </c>
      <c r="I224" s="719" t="s">
        <v>463</v>
      </c>
      <c r="J224" s="367"/>
      <c r="K224" s="368"/>
      <c r="L224" s="715">
        <f>IFERROR(SUMIF('01-CO'!$F:$F,$A224,'01-CO'!$I:$I),0)</f>
        <v>0</v>
      </c>
      <c r="M224" s="715">
        <f>IFERROR(SUMIF('02-AL'!$F:$F,$A224,'02-AL'!$I:$I),0)</f>
        <v>0</v>
      </c>
      <c r="N224" s="715">
        <f>IFERROR(SUMIF('03-SP'!$F:$F,$A224,'03-SP'!$I:$I),0)</f>
        <v>0</v>
      </c>
      <c r="O224" s="715">
        <f>IFERROR(SUMIF('04-DR'!$F:$F,$A224,'04-DR'!$I:$I),0)</f>
        <v>0</v>
      </c>
      <c r="P224" s="715">
        <f>IFERROR(SUMIF('05-TR'!$F:$F,$A224,'05-TR'!$I:$I),0)</f>
        <v>0</v>
      </c>
      <c r="Q224" s="715">
        <f>IFERROR(SUMIF('06-PAV'!$F:$F,$A224,'06-PAV'!$I:$I),0)</f>
        <v>0</v>
      </c>
      <c r="R224" s="715">
        <f>IFERROR(SUMIF('07-OAEeOAC'!$F:$F,$A224,'07-OAEeOAC'!$I:$I),0)</f>
        <v>0</v>
      </c>
      <c r="S224" s="715">
        <f>IFERROR(SUMIF('08-SIN'!$F:$F,$A224,'08-SIN'!$I:$I),0)</f>
        <v>0</v>
      </c>
      <c r="T224" s="715">
        <f>IFERROR(SUMIF('09-URB'!$F:$F,$A224,'09-URB'!$I:$I),0)</f>
        <v>0</v>
      </c>
      <c r="U224" s="715"/>
      <c r="V224" s="715">
        <f t="shared" ref="V198:V261" si="3">SUM(L224:U224)</f>
        <v>0</v>
      </c>
      <c r="W224" s="716">
        <v>0</v>
      </c>
      <c r="X224" s="716">
        <f t="shared" ref="X198:X261" si="4">V224*W224</f>
        <v>0</v>
      </c>
      <c r="Z224" s="1917">
        <v>0</v>
      </c>
      <c r="AA224" s="1917">
        <f t="shared" ref="AA198:AA261" si="5">D224 * Z224</f>
        <v>0</v>
      </c>
    </row>
    <row r="225" spans="1:27" s="88" customFormat="1" ht="25.5" hidden="1" x14ac:dyDescent="0.25">
      <c r="A225" s="1715">
        <v>7031</v>
      </c>
      <c r="B225" s="1716" t="s">
        <v>652</v>
      </c>
      <c r="C225" s="1717" t="s">
        <v>75</v>
      </c>
      <c r="D225" s="1718">
        <f t="shared" si="0"/>
        <v>0</v>
      </c>
      <c r="E225" s="1718">
        <v>6.449963421410466</v>
      </c>
      <c r="F225" s="1718">
        <f t="shared" si="1"/>
        <v>0</v>
      </c>
      <c r="G225" s="1719">
        <f t="shared" si="2"/>
        <v>0</v>
      </c>
      <c r="H225" s="1720">
        <f>SUM(G$6:G225)</f>
        <v>0.999999999999999</v>
      </c>
      <c r="I225" s="719" t="s">
        <v>463</v>
      </c>
      <c r="J225" s="367"/>
      <c r="K225" s="368"/>
      <c r="L225" s="715">
        <f>IFERROR(SUMIF('01-CO'!$F:$F,$A225,'01-CO'!$I:$I),0)</f>
        <v>0</v>
      </c>
      <c r="M225" s="715">
        <f>IFERROR(SUMIF('02-AL'!$F:$F,$A225,'02-AL'!$I:$I),0)</f>
        <v>0</v>
      </c>
      <c r="N225" s="715">
        <f>IFERROR(SUMIF('03-SP'!$F:$F,$A225,'03-SP'!$I:$I),0)</f>
        <v>0</v>
      </c>
      <c r="O225" s="715">
        <f>IFERROR(SUMIF('04-DR'!$F:$F,$A225,'04-DR'!$I:$I),0)</f>
        <v>0</v>
      </c>
      <c r="P225" s="715">
        <f>IFERROR(SUMIF('05-TR'!$F:$F,$A225,'05-TR'!$I:$I),0)</f>
        <v>0</v>
      </c>
      <c r="Q225" s="715">
        <f>IFERROR(SUMIF('06-PAV'!$F:$F,$A225,'06-PAV'!$I:$I),0)</f>
        <v>0</v>
      </c>
      <c r="R225" s="715">
        <f>IFERROR(SUMIF('07-OAEeOAC'!$F:$F,$A225,'07-OAEeOAC'!$I:$I),0)</f>
        <v>0</v>
      </c>
      <c r="S225" s="715">
        <f>IFERROR(SUMIF('08-SIN'!$F:$F,$A225,'08-SIN'!$I:$I),0)</f>
        <v>0</v>
      </c>
      <c r="T225" s="715">
        <f>IFERROR(SUMIF('09-URB'!$F:$F,$A225,'09-URB'!$I:$I),0)</f>
        <v>0</v>
      </c>
      <c r="U225" s="715"/>
      <c r="V225" s="715">
        <f t="shared" si="3"/>
        <v>0</v>
      </c>
      <c r="W225" s="716">
        <v>0</v>
      </c>
      <c r="X225" s="716">
        <f t="shared" si="4"/>
        <v>0</v>
      </c>
      <c r="Z225" s="1917">
        <v>0</v>
      </c>
      <c r="AA225" s="1917">
        <f t="shared" si="5"/>
        <v>0</v>
      </c>
    </row>
    <row r="226" spans="1:27" s="88" customFormat="1" ht="63.75" hidden="1" x14ac:dyDescent="0.25">
      <c r="A226" s="1715">
        <v>90082</v>
      </c>
      <c r="B226" s="1716" t="s">
        <v>1294</v>
      </c>
      <c r="C226" s="1717" t="s">
        <v>44</v>
      </c>
      <c r="D226" s="1718">
        <f t="shared" si="0"/>
        <v>0</v>
      </c>
      <c r="E226" s="1718">
        <v>9.686978645961613</v>
      </c>
      <c r="F226" s="1718">
        <f t="shared" si="1"/>
        <v>0</v>
      </c>
      <c r="G226" s="1719">
        <f t="shared" si="2"/>
        <v>0</v>
      </c>
      <c r="H226" s="1720">
        <f>SUM(G$6:G226)</f>
        <v>0.999999999999999</v>
      </c>
      <c r="I226" s="719" t="s">
        <v>463</v>
      </c>
      <c r="J226" s="367"/>
      <c r="K226" s="368"/>
      <c r="L226" s="715">
        <f>IFERROR(SUMIF('01-CO'!$F:$F,$A226,'01-CO'!$I:$I),0)</f>
        <v>0</v>
      </c>
      <c r="M226" s="715">
        <f>IFERROR(SUMIF('02-AL'!$F:$F,$A226,'02-AL'!$I:$I),0)</f>
        <v>0</v>
      </c>
      <c r="N226" s="715">
        <f>IFERROR(SUMIF('03-SP'!$F:$F,$A226,'03-SP'!$I:$I),0)</f>
        <v>0</v>
      </c>
      <c r="O226" s="715">
        <f>IFERROR(SUMIF('04-DR'!$F:$F,$A226,'04-DR'!$I:$I),0)</f>
        <v>0</v>
      </c>
      <c r="P226" s="715">
        <f>IFERROR(SUMIF('05-TR'!$F:$F,$A226,'05-TR'!$I:$I),0)</f>
        <v>0</v>
      </c>
      <c r="Q226" s="715">
        <f>IFERROR(SUMIF('06-PAV'!$F:$F,$A226,'06-PAV'!$I:$I),0)</f>
        <v>0</v>
      </c>
      <c r="R226" s="715">
        <f>IFERROR(SUMIF('07-OAEeOAC'!$F:$F,$A226,'07-OAEeOAC'!$I:$I),0)</f>
        <v>0</v>
      </c>
      <c r="S226" s="715">
        <f>IFERROR(SUMIF('08-SIN'!$F:$F,$A226,'08-SIN'!$I:$I),0)</f>
        <v>0</v>
      </c>
      <c r="T226" s="715">
        <f>IFERROR(SUMIF('09-URB'!$F:$F,$A226,'09-URB'!$I:$I),0)</f>
        <v>0</v>
      </c>
      <c r="U226" s="715"/>
      <c r="V226" s="715">
        <f t="shared" si="3"/>
        <v>0</v>
      </c>
      <c r="W226" s="716">
        <v>0.13430000000000003</v>
      </c>
      <c r="X226" s="716">
        <f t="shared" si="4"/>
        <v>0</v>
      </c>
      <c r="Z226" s="1917">
        <v>0</v>
      </c>
      <c r="AA226" s="1917">
        <f t="shared" si="5"/>
        <v>0</v>
      </c>
    </row>
    <row r="227" spans="1:27" s="88" customFormat="1" ht="51" hidden="1" x14ac:dyDescent="0.25">
      <c r="A227" s="1715">
        <v>92810</v>
      </c>
      <c r="B227" s="1716" t="s">
        <v>521</v>
      </c>
      <c r="C227" s="1717" t="s">
        <v>22</v>
      </c>
      <c r="D227" s="1718">
        <f t="shared" si="0"/>
        <v>0</v>
      </c>
      <c r="E227" s="1718">
        <v>58.386609180379814</v>
      </c>
      <c r="F227" s="1718">
        <f t="shared" si="1"/>
        <v>0</v>
      </c>
      <c r="G227" s="1719">
        <f t="shared" si="2"/>
        <v>0</v>
      </c>
      <c r="H227" s="1720">
        <f>SUM(G$6:G227)</f>
        <v>0.999999999999999</v>
      </c>
      <c r="I227" s="719" t="s">
        <v>463</v>
      </c>
      <c r="J227" s="367"/>
      <c r="K227" s="368"/>
      <c r="L227" s="715">
        <f>IFERROR(SUMIF('01-CO'!$F:$F,$A227,'01-CO'!$I:$I),0)</f>
        <v>0</v>
      </c>
      <c r="M227" s="715">
        <f>IFERROR(SUMIF('02-AL'!$F:$F,$A227,'02-AL'!$I:$I),0)</f>
        <v>0</v>
      </c>
      <c r="N227" s="715">
        <f>IFERROR(SUMIF('03-SP'!$F:$F,$A227,'03-SP'!$I:$I),0)</f>
        <v>0</v>
      </c>
      <c r="O227" s="715">
        <f>IFERROR(SUMIF('04-DR'!$F:$F,$A227,'04-DR'!$I:$I),0)</f>
        <v>0</v>
      </c>
      <c r="P227" s="715">
        <f>IFERROR(SUMIF('05-TR'!$F:$F,$A227,'05-TR'!$I:$I),0)</f>
        <v>0</v>
      </c>
      <c r="Q227" s="715">
        <f>IFERROR(SUMIF('06-PAV'!$F:$F,$A227,'06-PAV'!$I:$I),0)</f>
        <v>0</v>
      </c>
      <c r="R227" s="715">
        <f>IFERROR(SUMIF('07-OAEeOAC'!$F:$F,$A227,'07-OAEeOAC'!$I:$I),0)</f>
        <v>0</v>
      </c>
      <c r="S227" s="715">
        <f>IFERROR(SUMIF('08-SIN'!$F:$F,$A227,'08-SIN'!$I:$I),0)</f>
        <v>0</v>
      </c>
      <c r="T227" s="715">
        <f>IFERROR(SUMIF('09-URB'!$F:$F,$A227,'09-URB'!$I:$I),0)</f>
        <v>0</v>
      </c>
      <c r="U227" s="715"/>
      <c r="V227" s="715">
        <f t="shared" si="3"/>
        <v>0</v>
      </c>
      <c r="W227" s="716">
        <v>1.5617099999999999</v>
      </c>
      <c r="X227" s="716">
        <f t="shared" si="4"/>
        <v>0</v>
      </c>
      <c r="Z227" s="1917">
        <v>0</v>
      </c>
      <c r="AA227" s="1917">
        <f t="shared" si="5"/>
        <v>0</v>
      </c>
    </row>
    <row r="228" spans="1:27" s="88" customFormat="1" ht="51" hidden="1" x14ac:dyDescent="0.25">
      <c r="A228" s="1715">
        <v>92817</v>
      </c>
      <c r="B228" s="1716" t="s">
        <v>517</v>
      </c>
      <c r="C228" s="1717" t="s">
        <v>22</v>
      </c>
      <c r="D228" s="1718">
        <f t="shared" si="0"/>
        <v>0</v>
      </c>
      <c r="E228" s="1718">
        <v>154.04101074155849</v>
      </c>
      <c r="F228" s="1718">
        <f t="shared" si="1"/>
        <v>0</v>
      </c>
      <c r="G228" s="1719">
        <f t="shared" si="2"/>
        <v>0</v>
      </c>
      <c r="H228" s="1720">
        <f>SUM(G$6:G228)</f>
        <v>0.999999999999999</v>
      </c>
      <c r="I228" s="719" t="s">
        <v>463</v>
      </c>
      <c r="J228" s="367"/>
      <c r="K228" s="368"/>
      <c r="L228" s="715">
        <f>IFERROR(SUMIF('01-CO'!$F:$F,$A228,'01-CO'!$I:$I),0)</f>
        <v>0</v>
      </c>
      <c r="M228" s="715">
        <f>IFERROR(SUMIF('02-AL'!$F:$F,$A228,'02-AL'!$I:$I),0)</f>
        <v>0</v>
      </c>
      <c r="N228" s="715">
        <f>IFERROR(SUMIF('03-SP'!$F:$F,$A228,'03-SP'!$I:$I),0)</f>
        <v>0</v>
      </c>
      <c r="O228" s="715">
        <f>IFERROR(SUMIF('04-DR'!$F:$F,$A228,'04-DR'!$I:$I),0)</f>
        <v>0</v>
      </c>
      <c r="P228" s="715">
        <f>IFERROR(SUMIF('05-TR'!$F:$F,$A228,'05-TR'!$I:$I),0)</f>
        <v>0</v>
      </c>
      <c r="Q228" s="715">
        <f>IFERROR(SUMIF('06-PAV'!$F:$F,$A228,'06-PAV'!$I:$I),0)</f>
        <v>0</v>
      </c>
      <c r="R228" s="715">
        <f>IFERROR(SUMIF('07-OAEeOAC'!$F:$F,$A228,'07-OAEeOAC'!$I:$I),0)</f>
        <v>0</v>
      </c>
      <c r="S228" s="715">
        <f>IFERROR(SUMIF('08-SIN'!$F:$F,$A228,'08-SIN'!$I:$I),0)</f>
        <v>0</v>
      </c>
      <c r="T228" s="715">
        <f>IFERROR(SUMIF('09-URB'!$F:$F,$A228,'09-URB'!$I:$I),0)</f>
        <v>0</v>
      </c>
      <c r="U228" s="715"/>
      <c r="V228" s="715">
        <f t="shared" si="3"/>
        <v>0</v>
      </c>
      <c r="W228" s="716">
        <v>3.90415</v>
      </c>
      <c r="X228" s="716">
        <f t="shared" si="4"/>
        <v>0</v>
      </c>
      <c r="Z228" s="1917">
        <v>0</v>
      </c>
      <c r="AA228" s="1917">
        <f t="shared" si="5"/>
        <v>0</v>
      </c>
    </row>
    <row r="229" spans="1:27" s="88" customFormat="1" ht="63.75" hidden="1" x14ac:dyDescent="0.25">
      <c r="A229" s="1715">
        <v>93368</v>
      </c>
      <c r="B229" s="1716" t="s">
        <v>61</v>
      </c>
      <c r="C229" s="1717" t="s">
        <v>44</v>
      </c>
      <c r="D229" s="1718">
        <f t="shared" si="0"/>
        <v>0</v>
      </c>
      <c r="E229" s="1718">
        <v>14.873423113550997</v>
      </c>
      <c r="F229" s="1718">
        <f t="shared" si="1"/>
        <v>0</v>
      </c>
      <c r="G229" s="1719">
        <f t="shared" si="2"/>
        <v>0</v>
      </c>
      <c r="H229" s="1720">
        <f>SUM(G$6:G229)</f>
        <v>0.999999999999999</v>
      </c>
      <c r="I229" s="719" t="s">
        <v>463</v>
      </c>
      <c r="J229" s="367"/>
      <c r="K229" s="368"/>
      <c r="L229" s="715">
        <f>IFERROR(SUMIF('01-CO'!$F:$F,$A229,'01-CO'!$I:$I),0)</f>
        <v>0</v>
      </c>
      <c r="M229" s="715">
        <f>IFERROR(SUMIF('02-AL'!$F:$F,$A229,'02-AL'!$I:$I),0)</f>
        <v>0</v>
      </c>
      <c r="N229" s="715">
        <f>IFERROR(SUMIF('03-SP'!$F:$F,$A229,'03-SP'!$I:$I),0)</f>
        <v>0</v>
      </c>
      <c r="O229" s="715">
        <f>IFERROR(SUMIF('04-DR'!$F:$F,$A229,'04-DR'!$I:$I),0)</f>
        <v>0</v>
      </c>
      <c r="P229" s="715">
        <f>IFERROR(SUMIF('05-TR'!$F:$F,$A229,'05-TR'!$I:$I),0)</f>
        <v>0</v>
      </c>
      <c r="Q229" s="715">
        <f>IFERROR(SUMIF('06-PAV'!$F:$F,$A229,'06-PAV'!$I:$I),0)</f>
        <v>0</v>
      </c>
      <c r="R229" s="715">
        <f>IFERROR(SUMIF('07-OAEeOAC'!$F:$F,$A229,'07-OAEeOAC'!$I:$I),0)</f>
        <v>0</v>
      </c>
      <c r="S229" s="715">
        <f>IFERROR(SUMIF('08-SIN'!$F:$F,$A229,'08-SIN'!$I:$I),0)</f>
        <v>0</v>
      </c>
      <c r="T229" s="715">
        <f>IFERROR(SUMIF('09-URB'!$F:$F,$A229,'09-URB'!$I:$I),0)</f>
        <v>0</v>
      </c>
      <c r="U229" s="715"/>
      <c r="V229" s="715">
        <f t="shared" si="3"/>
        <v>0</v>
      </c>
      <c r="W229" s="716">
        <v>0.23700000000000002</v>
      </c>
      <c r="X229" s="716">
        <f t="shared" si="4"/>
        <v>0</v>
      </c>
      <c r="Z229" s="1917">
        <v>0</v>
      </c>
      <c r="AA229" s="1917">
        <f t="shared" si="5"/>
        <v>0</v>
      </c>
    </row>
    <row r="230" spans="1:27" s="88" customFormat="1" ht="63.75" hidden="1" x14ac:dyDescent="0.25">
      <c r="A230" s="1715">
        <v>93370</v>
      </c>
      <c r="B230" s="1716" t="s">
        <v>59</v>
      </c>
      <c r="C230" s="1717" t="s">
        <v>44</v>
      </c>
      <c r="D230" s="1718">
        <f t="shared" si="0"/>
        <v>0</v>
      </c>
      <c r="E230" s="1718">
        <v>11.492005722848871</v>
      </c>
      <c r="F230" s="1718">
        <f t="shared" si="1"/>
        <v>0</v>
      </c>
      <c r="G230" s="1719">
        <f t="shared" si="2"/>
        <v>0</v>
      </c>
      <c r="H230" s="1720">
        <f>SUM(G$6:G230)</f>
        <v>0.999999999999999</v>
      </c>
      <c r="I230" s="719" t="s">
        <v>463</v>
      </c>
      <c r="J230" s="367"/>
      <c r="K230" s="368"/>
      <c r="L230" s="715">
        <f>IFERROR(SUMIF('01-CO'!$F:$F,$A230,'01-CO'!$I:$I),0)</f>
        <v>0</v>
      </c>
      <c r="M230" s="715">
        <f>IFERROR(SUMIF('02-AL'!$F:$F,$A230,'02-AL'!$I:$I),0)</f>
        <v>0</v>
      </c>
      <c r="N230" s="715">
        <f>IFERROR(SUMIF('03-SP'!$F:$F,$A230,'03-SP'!$I:$I),0)</f>
        <v>0</v>
      </c>
      <c r="O230" s="715">
        <f>IFERROR(SUMIF('04-DR'!$F:$F,$A230,'04-DR'!$I:$I),0)</f>
        <v>0</v>
      </c>
      <c r="P230" s="715">
        <f>IFERROR(SUMIF('05-TR'!$F:$F,$A230,'05-TR'!$I:$I),0)</f>
        <v>0</v>
      </c>
      <c r="Q230" s="715">
        <f>IFERROR(SUMIF('06-PAV'!$F:$F,$A230,'06-PAV'!$I:$I),0)</f>
        <v>0</v>
      </c>
      <c r="R230" s="715">
        <f>IFERROR(SUMIF('07-OAEeOAC'!$F:$F,$A230,'07-OAEeOAC'!$I:$I),0)</f>
        <v>0</v>
      </c>
      <c r="S230" s="715">
        <f>IFERROR(SUMIF('08-SIN'!$F:$F,$A230,'08-SIN'!$I:$I),0)</f>
        <v>0</v>
      </c>
      <c r="T230" s="715">
        <f>IFERROR(SUMIF('09-URB'!$F:$F,$A230,'09-URB'!$I:$I),0)</f>
        <v>0</v>
      </c>
      <c r="U230" s="715"/>
      <c r="V230" s="715">
        <f t="shared" si="3"/>
        <v>0</v>
      </c>
      <c r="W230" s="716">
        <v>0.153</v>
      </c>
      <c r="X230" s="716">
        <f t="shared" si="4"/>
        <v>0</v>
      </c>
      <c r="Z230" s="1917">
        <v>0</v>
      </c>
      <c r="AA230" s="1917">
        <f t="shared" si="5"/>
        <v>0</v>
      </c>
    </row>
    <row r="231" spans="1:27" s="88" customFormat="1" ht="63.75" hidden="1" x14ac:dyDescent="0.25">
      <c r="A231" s="1715">
        <v>93372</v>
      </c>
      <c r="B231" s="1716" t="s">
        <v>631</v>
      </c>
      <c r="C231" s="1717" t="s">
        <v>44</v>
      </c>
      <c r="D231" s="1718">
        <f t="shared" si="0"/>
        <v>0</v>
      </c>
      <c r="E231" s="1718">
        <v>10.023917033647233</v>
      </c>
      <c r="F231" s="1718">
        <f t="shared" si="1"/>
        <v>0</v>
      </c>
      <c r="G231" s="1719">
        <f t="shared" si="2"/>
        <v>0</v>
      </c>
      <c r="H231" s="1720">
        <f>SUM(G$6:G231)</f>
        <v>0.999999999999999</v>
      </c>
      <c r="I231" s="1896">
        <v>96399</v>
      </c>
      <c r="J231" s="367"/>
      <c r="K231" s="368"/>
      <c r="L231" s="715">
        <f>IFERROR(SUMIF('01-CO'!$F:$F,$A231,'01-CO'!$I:$I),0)</f>
        <v>0</v>
      </c>
      <c r="M231" s="715">
        <f>IFERROR(SUMIF('02-AL'!$F:$F,$A231,'02-AL'!$I:$I),0)</f>
        <v>0</v>
      </c>
      <c r="N231" s="715">
        <f>IFERROR(SUMIF('03-SP'!$F:$F,$A231,'03-SP'!$I:$I),0)</f>
        <v>0</v>
      </c>
      <c r="O231" s="715">
        <f>IFERROR(SUMIF('04-DR'!$F:$F,$A231,'04-DR'!$I:$I),0)</f>
        <v>0</v>
      </c>
      <c r="P231" s="715">
        <f>IFERROR(SUMIF('05-TR'!$F:$F,$A231,'05-TR'!$I:$I),0)</f>
        <v>0</v>
      </c>
      <c r="Q231" s="715">
        <f>IFERROR(SUMIF('06-PAV'!$F:$F,$A231,'06-PAV'!$I:$I),0)</f>
        <v>0</v>
      </c>
      <c r="R231" s="715">
        <f>IFERROR(SUMIF('07-OAEeOAC'!$F:$F,$A231,'07-OAEeOAC'!$I:$I),0)</f>
        <v>0</v>
      </c>
      <c r="S231" s="715">
        <f>IFERROR(SUMIF('08-SIN'!$F:$F,$A231,'08-SIN'!$I:$I),0)</f>
        <v>0</v>
      </c>
      <c r="T231" s="715">
        <f>IFERROR(SUMIF('09-URB'!$F:$F,$A231,'09-URB'!$I:$I),0)</f>
        <v>0</v>
      </c>
      <c r="U231" s="715"/>
      <c r="V231" s="715">
        <f t="shared" si="3"/>
        <v>0</v>
      </c>
      <c r="W231" s="716">
        <v>0.12</v>
      </c>
      <c r="X231" s="716">
        <f t="shared" si="4"/>
        <v>0</v>
      </c>
      <c r="Z231" s="1917">
        <v>0</v>
      </c>
      <c r="AA231" s="1917">
        <f t="shared" si="5"/>
        <v>0</v>
      </c>
    </row>
    <row r="232" spans="1:27" s="88" customFormat="1" ht="63.75" hidden="1" x14ac:dyDescent="0.25">
      <c r="A232" s="1715">
        <v>93373</v>
      </c>
      <c r="B232" s="1716" t="s">
        <v>633</v>
      </c>
      <c r="C232" s="1717" t="s">
        <v>44</v>
      </c>
      <c r="D232" s="1718">
        <f t="shared" si="0"/>
        <v>0</v>
      </c>
      <c r="E232" s="1718">
        <v>7.9661861659957616</v>
      </c>
      <c r="F232" s="1718">
        <f t="shared" si="1"/>
        <v>0</v>
      </c>
      <c r="G232" s="1719">
        <f t="shared" si="2"/>
        <v>0</v>
      </c>
      <c r="H232" s="1720">
        <f>SUM(G$6:G232)</f>
        <v>0.999999999999999</v>
      </c>
      <c r="I232" s="719" t="s">
        <v>463</v>
      </c>
      <c r="J232" s="367"/>
      <c r="K232" s="368"/>
      <c r="L232" s="715">
        <f>IFERROR(SUMIF('01-CO'!$F:$F,$A232,'01-CO'!$I:$I),0)</f>
        <v>0</v>
      </c>
      <c r="M232" s="715">
        <f>IFERROR(SUMIF('02-AL'!$F:$F,$A232,'02-AL'!$I:$I),0)</f>
        <v>0</v>
      </c>
      <c r="N232" s="715">
        <f>IFERROR(SUMIF('03-SP'!$F:$F,$A232,'03-SP'!$I:$I),0)</f>
        <v>0</v>
      </c>
      <c r="O232" s="715">
        <f>IFERROR(SUMIF('04-DR'!$F:$F,$A232,'04-DR'!$I:$I),0)</f>
        <v>0</v>
      </c>
      <c r="P232" s="715">
        <f>IFERROR(SUMIF('05-TR'!$F:$F,$A232,'05-TR'!$I:$I),0)</f>
        <v>0</v>
      </c>
      <c r="Q232" s="715">
        <f>IFERROR(SUMIF('06-PAV'!$F:$F,$A232,'06-PAV'!$I:$I),0)</f>
        <v>0</v>
      </c>
      <c r="R232" s="715">
        <f>IFERROR(SUMIF('07-OAEeOAC'!$F:$F,$A232,'07-OAEeOAC'!$I:$I),0)</f>
        <v>0</v>
      </c>
      <c r="S232" s="715">
        <f>IFERROR(SUMIF('08-SIN'!$F:$F,$A232,'08-SIN'!$I:$I),0)</f>
        <v>0</v>
      </c>
      <c r="T232" s="715">
        <f>IFERROR(SUMIF('09-URB'!$F:$F,$A232,'09-URB'!$I:$I),0)</f>
        <v>0</v>
      </c>
      <c r="U232" s="715"/>
      <c r="V232" s="715">
        <f t="shared" si="3"/>
        <v>0</v>
      </c>
      <c r="W232" s="716">
        <v>8.299999999999999E-2</v>
      </c>
      <c r="X232" s="716">
        <f t="shared" si="4"/>
        <v>0</v>
      </c>
      <c r="Z232" s="1917">
        <v>0</v>
      </c>
      <c r="AA232" s="1917">
        <f t="shared" si="5"/>
        <v>0</v>
      </c>
    </row>
    <row r="233" spans="1:27" s="88" customFormat="1" ht="25.5" hidden="1" x14ac:dyDescent="0.25">
      <c r="A233" s="1715">
        <v>93597</v>
      </c>
      <c r="B233" s="1716" t="s">
        <v>787</v>
      </c>
      <c r="C233" s="1717" t="s">
        <v>42</v>
      </c>
      <c r="D233" s="1718">
        <f t="shared" si="0"/>
        <v>0</v>
      </c>
      <c r="E233" s="1718">
        <v>1.5643567999689563</v>
      </c>
      <c r="F233" s="1718">
        <f t="shared" si="1"/>
        <v>0</v>
      </c>
      <c r="G233" s="1719">
        <f t="shared" si="2"/>
        <v>0</v>
      </c>
      <c r="H233" s="1720">
        <f>SUM(G$6:G233)</f>
        <v>0.999999999999999</v>
      </c>
      <c r="I233" s="719" t="s">
        <v>463</v>
      </c>
      <c r="J233" s="367"/>
      <c r="K233" s="368"/>
      <c r="L233" s="715">
        <f>IFERROR(SUMIF('01-CO'!$F:$F,$A233,'01-CO'!$I:$I),0)</f>
        <v>0</v>
      </c>
      <c r="M233" s="715">
        <f>IFERROR(SUMIF('02-AL'!$F:$F,$A233,'02-AL'!$I:$I),0)</f>
        <v>0</v>
      </c>
      <c r="N233" s="715">
        <f>IFERROR(SUMIF('03-SP'!$F:$F,$A233,'03-SP'!$I:$I),0)</f>
        <v>0</v>
      </c>
      <c r="O233" s="715">
        <f>IFERROR(SUMIF('04-DR'!$F:$F,$A233,'04-DR'!$I:$I),0)</f>
        <v>0</v>
      </c>
      <c r="P233" s="715">
        <f>IFERROR(SUMIF('05-TR'!$F:$F,$A233,'05-TR'!$I:$I),0)</f>
        <v>0</v>
      </c>
      <c r="Q233" s="715">
        <f>IFERROR(SUMIF('06-PAV'!$F:$F,$A233,'06-PAV'!$I:$I),0)</f>
        <v>0</v>
      </c>
      <c r="R233" s="715">
        <f>IFERROR(SUMIF('07-OAEeOAC'!$F:$F,$A233,'07-OAEeOAC'!$I:$I),0)</f>
        <v>0</v>
      </c>
      <c r="S233" s="715">
        <f>IFERROR(SUMIF('08-SIN'!$F:$F,$A233,'08-SIN'!$I:$I),0)</f>
        <v>0</v>
      </c>
      <c r="T233" s="715">
        <f>IFERROR(SUMIF('09-URB'!$F:$F,$A233,'09-URB'!$I:$I),0)</f>
        <v>0</v>
      </c>
      <c r="U233" s="715"/>
      <c r="V233" s="715">
        <f t="shared" si="3"/>
        <v>0</v>
      </c>
      <c r="W233" s="716">
        <v>7.1000000000000004E-3</v>
      </c>
      <c r="X233" s="716">
        <f t="shared" si="4"/>
        <v>0</v>
      </c>
      <c r="Z233" s="1917">
        <v>0</v>
      </c>
      <c r="AA233" s="1917">
        <f t="shared" si="5"/>
        <v>0</v>
      </c>
    </row>
    <row r="234" spans="1:27" s="88" customFormat="1" ht="25.5" hidden="1" x14ac:dyDescent="0.25">
      <c r="A234" s="1715">
        <v>95601</v>
      </c>
      <c r="B234" s="1716" t="s">
        <v>3655</v>
      </c>
      <c r="C234" s="1717" t="s">
        <v>41</v>
      </c>
      <c r="D234" s="1718">
        <f t="shared" si="0"/>
        <v>0</v>
      </c>
      <c r="E234" s="1718">
        <v>16.654383162746424</v>
      </c>
      <c r="F234" s="1718">
        <f t="shared" si="1"/>
        <v>0</v>
      </c>
      <c r="G234" s="1719">
        <f t="shared" si="2"/>
        <v>0</v>
      </c>
      <c r="H234" s="1720">
        <f>SUM(G$6:G234)</f>
        <v>0.999999999999999</v>
      </c>
      <c r="I234" s="719" t="s">
        <v>463</v>
      </c>
      <c r="J234" s="367"/>
      <c r="K234" s="368"/>
      <c r="L234" s="715">
        <f>IFERROR(SUMIF('01-CO'!$F:$F,$A234,'01-CO'!$I:$I),0)</f>
        <v>0</v>
      </c>
      <c r="M234" s="715">
        <f>IFERROR(SUMIF('02-AL'!$F:$F,$A234,'02-AL'!$I:$I),0)</f>
        <v>0</v>
      </c>
      <c r="N234" s="715">
        <f>IFERROR(SUMIF('03-SP'!$F:$F,$A234,'03-SP'!$I:$I),0)</f>
        <v>0</v>
      </c>
      <c r="O234" s="715">
        <f>IFERROR(SUMIF('04-DR'!$F:$F,$A234,'04-DR'!$I:$I),0)</f>
        <v>0</v>
      </c>
      <c r="P234" s="715">
        <f>IFERROR(SUMIF('05-TR'!$F:$F,$A234,'05-TR'!$I:$I),0)</f>
        <v>0</v>
      </c>
      <c r="Q234" s="715">
        <f>IFERROR(SUMIF('06-PAV'!$F:$F,$A234,'06-PAV'!$I:$I),0)</f>
        <v>0</v>
      </c>
      <c r="R234" s="715">
        <f>IFERROR(SUMIF('07-OAEeOAC'!$F:$F,$A234,'07-OAEeOAC'!$I:$I),0)</f>
        <v>0</v>
      </c>
      <c r="S234" s="715">
        <f>IFERROR(SUMIF('08-SIN'!$F:$F,$A234,'08-SIN'!$I:$I),0)</f>
        <v>0</v>
      </c>
      <c r="T234" s="715">
        <f>IFERROR(SUMIF('09-URB'!$F:$F,$A234,'09-URB'!$I:$I),0)</f>
        <v>0</v>
      </c>
      <c r="U234" s="715"/>
      <c r="V234" s="715">
        <f t="shared" si="3"/>
        <v>0</v>
      </c>
      <c r="W234" s="716">
        <v>0.72599999999999998</v>
      </c>
      <c r="X234" s="716">
        <f t="shared" si="4"/>
        <v>0</v>
      </c>
      <c r="Z234" s="1917">
        <v>0</v>
      </c>
      <c r="AA234" s="1917">
        <f t="shared" si="5"/>
        <v>0</v>
      </c>
    </row>
    <row r="235" spans="1:27" s="88" customFormat="1" ht="38.25" hidden="1" x14ac:dyDescent="0.25">
      <c r="A235" s="1715">
        <v>96536</v>
      </c>
      <c r="B235" s="1716" t="s">
        <v>67</v>
      </c>
      <c r="C235" s="1717" t="s">
        <v>51</v>
      </c>
      <c r="D235" s="1718">
        <f t="shared" si="0"/>
        <v>0</v>
      </c>
      <c r="E235" s="1718">
        <v>82.573972010669053</v>
      </c>
      <c r="F235" s="1718">
        <f t="shared" si="1"/>
        <v>0</v>
      </c>
      <c r="G235" s="1719">
        <f t="shared" si="2"/>
        <v>0</v>
      </c>
      <c r="H235" s="1720">
        <f>SUM(G$6:G235)</f>
        <v>0.999999999999999</v>
      </c>
      <c r="I235" s="719" t="s">
        <v>463</v>
      </c>
      <c r="J235" s="367"/>
      <c r="K235" s="368"/>
      <c r="L235" s="715">
        <f>IFERROR(SUMIF('01-CO'!$F:$F,$A235,'01-CO'!$I:$I),0)</f>
        <v>0</v>
      </c>
      <c r="M235" s="715">
        <f>IFERROR(SUMIF('02-AL'!$F:$F,$A235,'02-AL'!$I:$I),0)</f>
        <v>0</v>
      </c>
      <c r="N235" s="715">
        <f>IFERROR(SUMIF('03-SP'!$F:$F,$A235,'03-SP'!$I:$I),0)</f>
        <v>0</v>
      </c>
      <c r="O235" s="715">
        <f>IFERROR(SUMIF('04-DR'!$F:$F,$A235,'04-DR'!$I:$I),0)</f>
        <v>0</v>
      </c>
      <c r="P235" s="715">
        <f>IFERROR(SUMIF('05-TR'!$F:$F,$A235,'05-TR'!$I:$I),0)</f>
        <v>0</v>
      </c>
      <c r="Q235" s="715">
        <f>IFERROR(SUMIF('06-PAV'!$F:$F,$A235,'06-PAV'!$I:$I),0)</f>
        <v>0</v>
      </c>
      <c r="R235" s="715">
        <f>IFERROR(SUMIF('07-OAEeOAC'!$F:$F,$A235,'07-OAEeOAC'!$I:$I),0)</f>
        <v>0</v>
      </c>
      <c r="S235" s="715">
        <f>IFERROR(SUMIF('08-SIN'!$F:$F,$A235,'08-SIN'!$I:$I),0)</f>
        <v>0</v>
      </c>
      <c r="T235" s="715">
        <f>IFERROR(SUMIF('09-URB'!$F:$F,$A235,'09-URB'!$I:$I),0)</f>
        <v>0</v>
      </c>
      <c r="U235" s="715"/>
      <c r="V235" s="715">
        <f t="shared" si="3"/>
        <v>0</v>
      </c>
      <c r="W235" s="716">
        <v>1.647</v>
      </c>
      <c r="X235" s="716">
        <f t="shared" si="4"/>
        <v>0</v>
      </c>
      <c r="Z235" s="1917">
        <v>0</v>
      </c>
      <c r="AA235" s="1917">
        <f t="shared" si="5"/>
        <v>0</v>
      </c>
    </row>
    <row r="236" spans="1:27" s="88" customFormat="1" ht="25.5" hidden="1" x14ac:dyDescent="0.25">
      <c r="A236" s="1715">
        <v>96544</v>
      </c>
      <c r="B236" s="1716" t="s">
        <v>496</v>
      </c>
      <c r="C236" s="1717" t="s">
        <v>54</v>
      </c>
      <c r="D236" s="1718">
        <f t="shared" si="0"/>
        <v>0</v>
      </c>
      <c r="E236" s="1718">
        <v>20.878146522662608</v>
      </c>
      <c r="F236" s="1718">
        <f t="shared" si="1"/>
        <v>0</v>
      </c>
      <c r="G236" s="1719">
        <f t="shared" si="2"/>
        <v>0</v>
      </c>
      <c r="H236" s="1720">
        <f>SUM(G$6:G236)</f>
        <v>0.999999999999999</v>
      </c>
      <c r="I236" s="1896">
        <v>101946</v>
      </c>
      <c r="J236" s="366"/>
      <c r="K236" s="368"/>
      <c r="L236" s="715">
        <f>IFERROR(SUMIF('01-CO'!$F:$F,$A236,'01-CO'!$I:$I),0)</f>
        <v>0</v>
      </c>
      <c r="M236" s="715">
        <f>IFERROR(SUMIF('02-AL'!$F:$F,$A236,'02-AL'!$I:$I),0)</f>
        <v>0</v>
      </c>
      <c r="N236" s="715">
        <f>IFERROR(SUMIF('03-SP'!$F:$F,$A236,'03-SP'!$I:$I),0)</f>
        <v>0</v>
      </c>
      <c r="O236" s="715">
        <f>IFERROR(SUMIF('04-DR'!$F:$F,$A236,'04-DR'!$I:$I),0)</f>
        <v>0</v>
      </c>
      <c r="P236" s="715">
        <f>IFERROR(SUMIF('05-TR'!$F:$F,$A236,'05-TR'!$I:$I),0)</f>
        <v>0</v>
      </c>
      <c r="Q236" s="715">
        <f>IFERROR(SUMIF('06-PAV'!$F:$F,$A236,'06-PAV'!$I:$I),0)</f>
        <v>0</v>
      </c>
      <c r="R236" s="715">
        <f>IFERROR(SUMIF('07-OAEeOAC'!$F:$F,$A236,'07-OAEeOAC'!$I:$I),0)</f>
        <v>0</v>
      </c>
      <c r="S236" s="715">
        <f>IFERROR(SUMIF('08-SIN'!$F:$F,$A236,'08-SIN'!$I:$I),0)</f>
        <v>0</v>
      </c>
      <c r="T236" s="715">
        <f>IFERROR(SUMIF('09-URB'!$F:$F,$A236,'09-URB'!$I:$I),0)</f>
        <v>0</v>
      </c>
      <c r="U236" s="715"/>
      <c r="V236" s="715">
        <f t="shared" si="3"/>
        <v>0</v>
      </c>
      <c r="W236" s="716">
        <v>0.24790000000000001</v>
      </c>
      <c r="X236" s="716">
        <f t="shared" si="4"/>
        <v>0</v>
      </c>
      <c r="Z236" s="1917">
        <v>0</v>
      </c>
      <c r="AA236" s="1917">
        <f t="shared" si="5"/>
        <v>0</v>
      </c>
    </row>
    <row r="237" spans="1:27" s="88" customFormat="1" ht="25.5" hidden="1" x14ac:dyDescent="0.25">
      <c r="A237" s="1715">
        <v>96545</v>
      </c>
      <c r="B237" s="1716" t="s">
        <v>497</v>
      </c>
      <c r="C237" s="1717" t="s">
        <v>54</v>
      </c>
      <c r="D237" s="1718">
        <f t="shared" si="0"/>
        <v>0</v>
      </c>
      <c r="E237" s="1718">
        <v>19.446158374998717</v>
      </c>
      <c r="F237" s="1718">
        <f t="shared" si="1"/>
        <v>0</v>
      </c>
      <c r="G237" s="1719">
        <f t="shared" si="2"/>
        <v>0</v>
      </c>
      <c r="H237" s="1720">
        <f>SUM(G$6:G237)</f>
        <v>0.999999999999999</v>
      </c>
      <c r="I237" s="719" t="s">
        <v>463</v>
      </c>
      <c r="J237" s="367"/>
      <c r="K237" s="368"/>
      <c r="L237" s="715">
        <f>IFERROR(SUMIF('01-CO'!$F:$F,$A237,'01-CO'!$I:$I),0)</f>
        <v>0</v>
      </c>
      <c r="M237" s="715">
        <f>IFERROR(SUMIF('02-AL'!$F:$F,$A237,'02-AL'!$I:$I),0)</f>
        <v>0</v>
      </c>
      <c r="N237" s="715">
        <f>IFERROR(SUMIF('03-SP'!$F:$F,$A237,'03-SP'!$I:$I),0)</f>
        <v>0</v>
      </c>
      <c r="O237" s="715">
        <f>IFERROR(SUMIF('04-DR'!$F:$F,$A237,'04-DR'!$I:$I),0)</f>
        <v>0</v>
      </c>
      <c r="P237" s="715">
        <f>IFERROR(SUMIF('05-TR'!$F:$F,$A237,'05-TR'!$I:$I),0)</f>
        <v>0</v>
      </c>
      <c r="Q237" s="715">
        <f>IFERROR(SUMIF('06-PAV'!$F:$F,$A237,'06-PAV'!$I:$I),0)</f>
        <v>0</v>
      </c>
      <c r="R237" s="715">
        <f>IFERROR(SUMIF('07-OAEeOAC'!$F:$F,$A237,'07-OAEeOAC'!$I:$I),0)</f>
        <v>0</v>
      </c>
      <c r="S237" s="715">
        <f>IFERROR(SUMIF('08-SIN'!$F:$F,$A237,'08-SIN'!$I:$I),0)</f>
        <v>0</v>
      </c>
      <c r="T237" s="715">
        <f>IFERROR(SUMIF('09-URB'!$F:$F,$A237,'09-URB'!$I:$I),0)</f>
        <v>0</v>
      </c>
      <c r="U237" s="715"/>
      <c r="V237" s="715">
        <f t="shared" si="3"/>
        <v>0</v>
      </c>
      <c r="W237" s="716">
        <v>0.17860000000000001</v>
      </c>
      <c r="X237" s="716">
        <f t="shared" si="4"/>
        <v>0</v>
      </c>
      <c r="Z237" s="1917">
        <v>0</v>
      </c>
      <c r="AA237" s="1917">
        <f t="shared" si="5"/>
        <v>0</v>
      </c>
    </row>
    <row r="238" spans="1:27" s="88" customFormat="1" ht="25.5" hidden="1" x14ac:dyDescent="0.25">
      <c r="A238" s="1715">
        <v>96546</v>
      </c>
      <c r="B238" s="1716" t="s">
        <v>494</v>
      </c>
      <c r="C238" s="1717" t="s">
        <v>54</v>
      </c>
      <c r="D238" s="1718">
        <f t="shared" si="0"/>
        <v>0</v>
      </c>
      <c r="E238" s="1718">
        <v>17.328259938117668</v>
      </c>
      <c r="F238" s="1718">
        <f t="shared" si="1"/>
        <v>0</v>
      </c>
      <c r="G238" s="1719">
        <f t="shared" si="2"/>
        <v>0</v>
      </c>
      <c r="H238" s="1720">
        <f>SUM(G$6:G238)</f>
        <v>0.999999999999999</v>
      </c>
      <c r="I238" s="719" t="s">
        <v>463</v>
      </c>
      <c r="J238" s="367"/>
      <c r="K238" s="368"/>
      <c r="L238" s="715">
        <f>IFERROR(SUMIF('01-CO'!$F:$F,$A238,'01-CO'!$I:$I),0)</f>
        <v>0</v>
      </c>
      <c r="M238" s="715">
        <f>IFERROR(SUMIF('02-AL'!$F:$F,$A238,'02-AL'!$I:$I),0)</f>
        <v>0</v>
      </c>
      <c r="N238" s="715">
        <f>IFERROR(SUMIF('03-SP'!$F:$F,$A238,'03-SP'!$I:$I),0)</f>
        <v>0</v>
      </c>
      <c r="O238" s="715">
        <f>IFERROR(SUMIF('04-DR'!$F:$F,$A238,'04-DR'!$I:$I),0)</f>
        <v>0</v>
      </c>
      <c r="P238" s="715">
        <f>IFERROR(SUMIF('05-TR'!$F:$F,$A238,'05-TR'!$I:$I),0)</f>
        <v>0</v>
      </c>
      <c r="Q238" s="715">
        <f>IFERROR(SUMIF('06-PAV'!$F:$F,$A238,'06-PAV'!$I:$I),0)</f>
        <v>0</v>
      </c>
      <c r="R238" s="715">
        <f>IFERROR(SUMIF('07-OAEeOAC'!$F:$F,$A238,'07-OAEeOAC'!$I:$I),0)</f>
        <v>0</v>
      </c>
      <c r="S238" s="715">
        <f>IFERROR(SUMIF('08-SIN'!$F:$F,$A238,'08-SIN'!$I:$I),0)</f>
        <v>0</v>
      </c>
      <c r="T238" s="715">
        <f>IFERROR(SUMIF('09-URB'!$F:$F,$A238,'09-URB'!$I:$I),0)</f>
        <v>0</v>
      </c>
      <c r="U238" s="715"/>
      <c r="V238" s="715">
        <f t="shared" si="3"/>
        <v>0</v>
      </c>
      <c r="W238" s="716">
        <v>0.1323</v>
      </c>
      <c r="X238" s="716">
        <f t="shared" si="4"/>
        <v>0</v>
      </c>
      <c r="Z238" s="1917">
        <v>0</v>
      </c>
      <c r="AA238" s="1917">
        <f t="shared" si="5"/>
        <v>0</v>
      </c>
    </row>
    <row r="239" spans="1:27" s="88" customFormat="1" ht="25.5" hidden="1" x14ac:dyDescent="0.25">
      <c r="A239" s="1715">
        <v>96547</v>
      </c>
      <c r="B239" s="1716" t="s">
        <v>495</v>
      </c>
      <c r="C239" s="1717" t="s">
        <v>54</v>
      </c>
      <c r="D239" s="1718">
        <f t="shared" si="0"/>
        <v>0</v>
      </c>
      <c r="E239" s="1718">
        <v>14.608685808940868</v>
      </c>
      <c r="F239" s="1718">
        <f t="shared" si="1"/>
        <v>0</v>
      </c>
      <c r="G239" s="1719">
        <f t="shared" si="2"/>
        <v>0</v>
      </c>
      <c r="H239" s="1720">
        <f>SUM(G$6:G239)</f>
        <v>0.999999999999999</v>
      </c>
      <c r="I239" s="719" t="s">
        <v>463</v>
      </c>
      <c r="J239" s="367"/>
      <c r="K239" s="368"/>
      <c r="L239" s="715">
        <f>IFERROR(SUMIF('01-CO'!$F:$F,$A239,'01-CO'!$I:$I),0)</f>
        <v>0</v>
      </c>
      <c r="M239" s="715">
        <f>IFERROR(SUMIF('02-AL'!$F:$F,$A239,'02-AL'!$I:$I),0)</f>
        <v>0</v>
      </c>
      <c r="N239" s="715">
        <f>IFERROR(SUMIF('03-SP'!$F:$F,$A239,'03-SP'!$I:$I),0)</f>
        <v>0</v>
      </c>
      <c r="O239" s="715">
        <f>IFERROR(SUMIF('04-DR'!$F:$F,$A239,'04-DR'!$I:$I),0)</f>
        <v>0</v>
      </c>
      <c r="P239" s="715">
        <f>IFERROR(SUMIF('05-TR'!$F:$F,$A239,'05-TR'!$I:$I),0)</f>
        <v>0</v>
      </c>
      <c r="Q239" s="715">
        <f>IFERROR(SUMIF('06-PAV'!$F:$F,$A239,'06-PAV'!$I:$I),0)</f>
        <v>0</v>
      </c>
      <c r="R239" s="715">
        <f>IFERROR(SUMIF('07-OAEeOAC'!$F:$F,$A239,'07-OAEeOAC'!$I:$I),0)</f>
        <v>0</v>
      </c>
      <c r="S239" s="715">
        <f>IFERROR(SUMIF('08-SIN'!$F:$F,$A239,'08-SIN'!$I:$I),0)</f>
        <v>0</v>
      </c>
      <c r="T239" s="715">
        <f>IFERROR(SUMIF('09-URB'!$F:$F,$A239,'09-URB'!$I:$I),0)</f>
        <v>0</v>
      </c>
      <c r="U239" s="715"/>
      <c r="V239" s="715">
        <f t="shared" si="3"/>
        <v>0</v>
      </c>
      <c r="W239" s="716">
        <v>9.8000000000000004E-2</v>
      </c>
      <c r="X239" s="716">
        <f t="shared" si="4"/>
        <v>0</v>
      </c>
      <c r="Z239" s="1917">
        <v>0</v>
      </c>
      <c r="AA239" s="1917">
        <f t="shared" si="5"/>
        <v>0</v>
      </c>
    </row>
    <row r="240" spans="1:27" s="88" customFormat="1" ht="38.25" hidden="1" x14ac:dyDescent="0.25">
      <c r="A240" s="1715">
        <v>96555</v>
      </c>
      <c r="B240" s="1716" t="s">
        <v>540</v>
      </c>
      <c r="C240" s="1717" t="s">
        <v>44</v>
      </c>
      <c r="D240" s="1718">
        <f t="shared" si="0"/>
        <v>0</v>
      </c>
      <c r="E240" s="1718">
        <v>687.60701466943169</v>
      </c>
      <c r="F240" s="1718">
        <f t="shared" si="1"/>
        <v>0</v>
      </c>
      <c r="G240" s="1719">
        <f t="shared" si="2"/>
        <v>0</v>
      </c>
      <c r="H240" s="1720">
        <f>SUM(G$6:G240)</f>
        <v>0.999999999999999</v>
      </c>
      <c r="I240" s="719" t="s">
        <v>463</v>
      </c>
      <c r="J240" s="367"/>
      <c r="K240" s="368"/>
      <c r="L240" s="715">
        <f>IFERROR(SUMIF('01-CO'!$F:$F,$A240,'01-CO'!$I:$I),0)</f>
        <v>0</v>
      </c>
      <c r="M240" s="715">
        <f>IFERROR(SUMIF('02-AL'!$F:$F,$A240,'02-AL'!$I:$I),0)</f>
        <v>0</v>
      </c>
      <c r="N240" s="715">
        <f>IFERROR(SUMIF('03-SP'!$F:$F,$A240,'03-SP'!$I:$I),0)</f>
        <v>0</v>
      </c>
      <c r="O240" s="715">
        <f>IFERROR(SUMIF('04-DR'!$F:$F,$A240,'04-DR'!$I:$I),0)</f>
        <v>0</v>
      </c>
      <c r="P240" s="715">
        <f>IFERROR(SUMIF('05-TR'!$F:$F,$A240,'05-TR'!$I:$I),0)</f>
        <v>0</v>
      </c>
      <c r="Q240" s="715">
        <f>IFERROR(SUMIF('06-PAV'!$F:$F,$A240,'06-PAV'!$I:$I),0)</f>
        <v>0</v>
      </c>
      <c r="R240" s="715">
        <f>IFERROR(SUMIF('07-OAEeOAC'!$F:$F,$A240,'07-OAEeOAC'!$I:$I),0)</f>
        <v>0</v>
      </c>
      <c r="S240" s="715">
        <f>IFERROR(SUMIF('08-SIN'!$F:$F,$A240,'08-SIN'!$I:$I),0)</f>
        <v>0</v>
      </c>
      <c r="T240" s="715">
        <f>IFERROR(SUMIF('09-URB'!$F:$F,$A240,'09-URB'!$I:$I),0)</f>
        <v>0</v>
      </c>
      <c r="U240" s="715"/>
      <c r="V240" s="715">
        <f t="shared" si="3"/>
        <v>0</v>
      </c>
      <c r="W240" s="716">
        <v>8.5197950000000002</v>
      </c>
      <c r="X240" s="716">
        <f t="shared" si="4"/>
        <v>0</v>
      </c>
      <c r="Z240" s="1917">
        <v>1.1499999999999999</v>
      </c>
      <c r="AA240" s="1917">
        <f t="shared" si="5"/>
        <v>0</v>
      </c>
    </row>
    <row r="241" spans="1:27" s="88" customFormat="1" ht="25.5" hidden="1" x14ac:dyDescent="0.25">
      <c r="A241" s="1715">
        <v>97636</v>
      </c>
      <c r="B241" s="1716" t="s">
        <v>552</v>
      </c>
      <c r="C241" s="1717" t="s">
        <v>51</v>
      </c>
      <c r="D241" s="1718">
        <f t="shared" si="0"/>
        <v>0</v>
      </c>
      <c r="E241" s="1718">
        <v>16.678450190438255</v>
      </c>
      <c r="F241" s="1718">
        <f t="shared" si="1"/>
        <v>0</v>
      </c>
      <c r="G241" s="1719">
        <f t="shared" si="2"/>
        <v>0</v>
      </c>
      <c r="H241" s="1720">
        <f>SUM(G$6:G241)</f>
        <v>0.999999999999999</v>
      </c>
      <c r="I241" s="719" t="s">
        <v>463</v>
      </c>
      <c r="J241" s="367"/>
      <c r="K241" s="368"/>
      <c r="L241" s="715">
        <f>IFERROR(SUMIF('01-CO'!$F:$F,$A241,'01-CO'!$I:$I),0)</f>
        <v>0</v>
      </c>
      <c r="M241" s="715">
        <f>IFERROR(SUMIF('02-AL'!$F:$F,$A241,'02-AL'!$I:$I),0)</f>
        <v>0</v>
      </c>
      <c r="N241" s="715">
        <f>IFERROR(SUMIF('03-SP'!$F:$F,$A241,'03-SP'!$I:$I),0)</f>
        <v>0</v>
      </c>
      <c r="O241" s="715">
        <f>IFERROR(SUMIF('04-DR'!$F:$F,$A241,'04-DR'!$I:$I),0)</f>
        <v>0</v>
      </c>
      <c r="P241" s="715">
        <f>IFERROR(SUMIF('05-TR'!$F:$F,$A241,'05-TR'!$I:$I),0)</f>
        <v>0</v>
      </c>
      <c r="Q241" s="715">
        <f>IFERROR(SUMIF('06-PAV'!$F:$F,$A241,'06-PAV'!$I:$I),0)</f>
        <v>0</v>
      </c>
      <c r="R241" s="715">
        <f>IFERROR(SUMIF('07-OAEeOAC'!$F:$F,$A241,'07-OAEeOAC'!$I:$I),0)</f>
        <v>0</v>
      </c>
      <c r="S241" s="715">
        <f>IFERROR(SUMIF('08-SIN'!$F:$F,$A241,'08-SIN'!$I:$I),0)</f>
        <v>0</v>
      </c>
      <c r="T241" s="715">
        <f>IFERROR(SUMIF('09-URB'!$F:$F,$A241,'09-URB'!$I:$I),0)</f>
        <v>0</v>
      </c>
      <c r="U241" s="715"/>
      <c r="V241" s="715">
        <f t="shared" si="3"/>
        <v>0</v>
      </c>
      <c r="W241" s="716">
        <v>0.25819999999999999</v>
      </c>
      <c r="X241" s="716">
        <f t="shared" si="4"/>
        <v>0</v>
      </c>
      <c r="Z241" s="1917">
        <v>0</v>
      </c>
      <c r="AA241" s="1917">
        <f t="shared" si="5"/>
        <v>0</v>
      </c>
    </row>
    <row r="242" spans="1:27" s="88" customFormat="1" hidden="1" x14ac:dyDescent="0.25">
      <c r="A242" s="1715">
        <v>98505</v>
      </c>
      <c r="B242" s="1716" t="s">
        <v>626</v>
      </c>
      <c r="C242" s="1717" t="s">
        <v>51</v>
      </c>
      <c r="D242" s="1718">
        <f t="shared" si="0"/>
        <v>0</v>
      </c>
      <c r="E242" s="1718">
        <v>65.4984158633156</v>
      </c>
      <c r="F242" s="1718">
        <f t="shared" si="1"/>
        <v>0</v>
      </c>
      <c r="G242" s="1719">
        <f t="shared" si="2"/>
        <v>0</v>
      </c>
      <c r="H242" s="1720">
        <f>SUM(G$6:G242)</f>
        <v>0.999999999999999</v>
      </c>
      <c r="I242" s="719" t="s">
        <v>463</v>
      </c>
      <c r="J242" s="367"/>
      <c r="K242" s="368"/>
      <c r="L242" s="715">
        <f>IFERROR(SUMIF('01-CO'!$F:$F,$A242,'01-CO'!$I:$I),0)</f>
        <v>0</v>
      </c>
      <c r="M242" s="715">
        <f>IFERROR(SUMIF('02-AL'!$F:$F,$A242,'02-AL'!$I:$I),0)</f>
        <v>0</v>
      </c>
      <c r="N242" s="715">
        <f>IFERROR(SUMIF('03-SP'!$F:$F,$A242,'03-SP'!$I:$I),0)</f>
        <v>0</v>
      </c>
      <c r="O242" s="715">
        <f>IFERROR(SUMIF('04-DR'!$F:$F,$A242,'04-DR'!$I:$I),0)</f>
        <v>0</v>
      </c>
      <c r="P242" s="715">
        <f>IFERROR(SUMIF('05-TR'!$F:$F,$A242,'05-TR'!$I:$I),0)</f>
        <v>0</v>
      </c>
      <c r="Q242" s="715">
        <f>IFERROR(SUMIF('06-PAV'!$F:$F,$A242,'06-PAV'!$I:$I),0)</f>
        <v>0</v>
      </c>
      <c r="R242" s="715">
        <f>IFERROR(SUMIF('07-OAEeOAC'!$F:$F,$A242,'07-OAEeOAC'!$I:$I),0)</f>
        <v>0</v>
      </c>
      <c r="S242" s="715">
        <f>IFERROR(SUMIF('08-SIN'!$F:$F,$A242,'08-SIN'!$I:$I),0)</f>
        <v>0</v>
      </c>
      <c r="T242" s="715">
        <f>IFERROR(SUMIF('09-URB'!$F:$F,$A242,'09-URB'!$I:$I),0)</f>
        <v>0</v>
      </c>
      <c r="U242" s="715"/>
      <c r="V242" s="715">
        <f t="shared" si="3"/>
        <v>0</v>
      </c>
      <c r="W242" s="716">
        <v>0.26379999999999998</v>
      </c>
      <c r="X242" s="716">
        <f t="shared" si="4"/>
        <v>0</v>
      </c>
      <c r="Z242" s="1917">
        <v>0</v>
      </c>
      <c r="AA242" s="1917">
        <f t="shared" si="5"/>
        <v>0</v>
      </c>
    </row>
    <row r="243" spans="1:27" s="88" customFormat="1" ht="25.5" hidden="1" x14ac:dyDescent="0.25">
      <c r="A243" s="1715">
        <v>98510</v>
      </c>
      <c r="B243" s="1716" t="s">
        <v>625</v>
      </c>
      <c r="C243" s="1717" t="s">
        <v>41</v>
      </c>
      <c r="D243" s="1718">
        <f t="shared" si="0"/>
        <v>0</v>
      </c>
      <c r="E243" s="1718">
        <v>71.118066829357929</v>
      </c>
      <c r="F243" s="1718">
        <f t="shared" si="1"/>
        <v>0</v>
      </c>
      <c r="G243" s="1719">
        <f t="shared" si="2"/>
        <v>0</v>
      </c>
      <c r="H243" s="1720">
        <f>SUM(G$6:G243)</f>
        <v>0.999999999999999</v>
      </c>
      <c r="I243" s="719" t="s">
        <v>463</v>
      </c>
      <c r="J243" s="367"/>
      <c r="K243" s="368"/>
      <c r="L243" s="715">
        <f>IFERROR(SUMIF('01-CO'!$F:$F,$A243,'01-CO'!$I:$I),0)</f>
        <v>0</v>
      </c>
      <c r="M243" s="715">
        <f>IFERROR(SUMIF('02-AL'!$F:$F,$A243,'02-AL'!$I:$I),0)</f>
        <v>0</v>
      </c>
      <c r="N243" s="715">
        <f>IFERROR(SUMIF('03-SP'!$F:$F,$A243,'03-SP'!$I:$I),0)</f>
        <v>0</v>
      </c>
      <c r="O243" s="715">
        <f>IFERROR(SUMIF('04-DR'!$F:$F,$A243,'04-DR'!$I:$I),0)</f>
        <v>0</v>
      </c>
      <c r="P243" s="715">
        <f>IFERROR(SUMIF('05-TR'!$F:$F,$A243,'05-TR'!$I:$I),0)</f>
        <v>0</v>
      </c>
      <c r="Q243" s="715">
        <f>IFERROR(SUMIF('06-PAV'!$F:$F,$A243,'06-PAV'!$I:$I),0)</f>
        <v>0</v>
      </c>
      <c r="R243" s="715">
        <f>IFERROR(SUMIF('07-OAEeOAC'!$F:$F,$A243,'07-OAEeOAC'!$I:$I),0)</f>
        <v>0</v>
      </c>
      <c r="S243" s="715">
        <f>IFERROR(SUMIF('08-SIN'!$F:$F,$A243,'08-SIN'!$I:$I),0)</f>
        <v>0</v>
      </c>
      <c r="T243" s="715">
        <f>IFERROR(SUMIF('09-URB'!$F:$F,$A243,'09-URB'!$I:$I),0)</f>
        <v>0</v>
      </c>
      <c r="U243" s="715"/>
      <c r="V243" s="715">
        <f t="shared" si="3"/>
        <v>0</v>
      </c>
      <c r="W243" s="716">
        <v>0.90899999999999992</v>
      </c>
      <c r="X243" s="716">
        <f t="shared" si="4"/>
        <v>0</v>
      </c>
      <c r="Z243" s="1917">
        <v>0</v>
      </c>
      <c r="AA243" s="1917">
        <f t="shared" si="5"/>
        <v>0</v>
      </c>
    </row>
    <row r="244" spans="1:27" s="88" customFormat="1" ht="25.5" hidden="1" x14ac:dyDescent="0.25">
      <c r="A244" s="1715">
        <v>98516</v>
      </c>
      <c r="B244" s="1716" t="s">
        <v>628</v>
      </c>
      <c r="C244" s="1717" t="s">
        <v>41</v>
      </c>
      <c r="D244" s="1718">
        <f t="shared" si="0"/>
        <v>0</v>
      </c>
      <c r="E244" s="1718">
        <v>332.46192053494087</v>
      </c>
      <c r="F244" s="1718">
        <f t="shared" si="1"/>
        <v>0</v>
      </c>
      <c r="G244" s="1719">
        <f t="shared" si="2"/>
        <v>0</v>
      </c>
      <c r="H244" s="1720">
        <f>SUM(G$6:G244)</f>
        <v>0.999999999999999</v>
      </c>
      <c r="I244" s="719" t="s">
        <v>1491</v>
      </c>
      <c r="J244" s="367"/>
      <c r="K244" s="368"/>
      <c r="L244" s="715">
        <f>IFERROR(SUMIF('01-CO'!$F:$F,$A244,'01-CO'!$I:$I),0)</f>
        <v>0</v>
      </c>
      <c r="M244" s="715">
        <f>IFERROR(SUMIF('02-AL'!$F:$F,$A244,'02-AL'!$I:$I),0)</f>
        <v>0</v>
      </c>
      <c r="N244" s="715">
        <f>IFERROR(SUMIF('03-SP'!$F:$F,$A244,'03-SP'!$I:$I),0)</f>
        <v>0</v>
      </c>
      <c r="O244" s="715">
        <f>IFERROR(SUMIF('04-DR'!$F:$F,$A244,'04-DR'!$I:$I),0)</f>
        <v>0</v>
      </c>
      <c r="P244" s="715">
        <f>IFERROR(SUMIF('05-TR'!$F:$F,$A244,'05-TR'!$I:$I),0)</f>
        <v>0</v>
      </c>
      <c r="Q244" s="715">
        <f>IFERROR(SUMIF('06-PAV'!$F:$F,$A244,'06-PAV'!$I:$I),0)</f>
        <v>0</v>
      </c>
      <c r="R244" s="715">
        <f>IFERROR(SUMIF('07-OAEeOAC'!$F:$F,$A244,'07-OAEeOAC'!$I:$I),0)</f>
        <v>0</v>
      </c>
      <c r="S244" s="715">
        <f>IFERROR(SUMIF('08-SIN'!$F:$F,$A244,'08-SIN'!$I:$I),0)</f>
        <v>0</v>
      </c>
      <c r="T244" s="715">
        <f>IFERROR(SUMIF('09-URB'!$F:$F,$A244,'09-URB'!$I:$I),0)</f>
        <v>0</v>
      </c>
      <c r="U244" s="715"/>
      <c r="V244" s="715">
        <f t="shared" si="3"/>
        <v>0</v>
      </c>
      <c r="W244" s="716">
        <v>6.9776000000000007</v>
      </c>
      <c r="X244" s="716">
        <f t="shared" si="4"/>
        <v>0</v>
      </c>
      <c r="Z244" s="1917">
        <v>0</v>
      </c>
      <c r="AA244" s="1917">
        <f t="shared" si="5"/>
        <v>0</v>
      </c>
    </row>
    <row r="245" spans="1:27" s="88" customFormat="1" hidden="1" x14ac:dyDescent="0.25">
      <c r="A245" s="1715">
        <v>98520</v>
      </c>
      <c r="B245" s="1716" t="s">
        <v>487</v>
      </c>
      <c r="C245" s="1717" t="s">
        <v>51</v>
      </c>
      <c r="D245" s="1718">
        <f t="shared" si="0"/>
        <v>0</v>
      </c>
      <c r="E245" s="1718">
        <v>5.9204888121902028</v>
      </c>
      <c r="F245" s="1718">
        <f t="shared" si="1"/>
        <v>0</v>
      </c>
      <c r="G245" s="1719">
        <f t="shared" si="2"/>
        <v>0</v>
      </c>
      <c r="H245" s="1720">
        <f>SUM(G$6:G245)</f>
        <v>0.999999999999999</v>
      </c>
      <c r="I245" s="719" t="s">
        <v>463</v>
      </c>
      <c r="J245" s="367"/>
      <c r="K245" s="368"/>
      <c r="L245" s="715">
        <f>IFERROR(SUMIF('01-CO'!$F:$F,$A245,'01-CO'!$I:$I),0)</f>
        <v>0</v>
      </c>
      <c r="M245" s="715">
        <f>IFERROR(SUMIF('02-AL'!$F:$F,$A245,'02-AL'!$I:$I),0)</f>
        <v>0</v>
      </c>
      <c r="N245" s="715">
        <f>IFERROR(SUMIF('03-SP'!$F:$F,$A245,'03-SP'!$I:$I),0)</f>
        <v>0</v>
      </c>
      <c r="O245" s="715">
        <f>IFERROR(SUMIF('04-DR'!$F:$F,$A245,'04-DR'!$I:$I),0)</f>
        <v>0</v>
      </c>
      <c r="P245" s="715">
        <f>IFERROR(SUMIF('05-TR'!$F:$F,$A245,'05-TR'!$I:$I),0)</f>
        <v>0</v>
      </c>
      <c r="Q245" s="715">
        <f>IFERROR(SUMIF('06-PAV'!$F:$F,$A245,'06-PAV'!$I:$I),0)</f>
        <v>0</v>
      </c>
      <c r="R245" s="715">
        <f>IFERROR(SUMIF('07-OAEeOAC'!$F:$F,$A245,'07-OAEeOAC'!$I:$I),0)</f>
        <v>0</v>
      </c>
      <c r="S245" s="715">
        <f>IFERROR(SUMIF('08-SIN'!$F:$F,$A245,'08-SIN'!$I:$I),0)</f>
        <v>0</v>
      </c>
      <c r="T245" s="715">
        <f>IFERROR(SUMIF('09-URB'!$F:$F,$A245,'09-URB'!$I:$I),0)</f>
        <v>0</v>
      </c>
      <c r="U245" s="715"/>
      <c r="V245" s="715">
        <f t="shared" si="3"/>
        <v>0</v>
      </c>
      <c r="W245" s="716">
        <v>7.8899999999999998E-2</v>
      </c>
      <c r="X245" s="716">
        <f t="shared" si="4"/>
        <v>0</v>
      </c>
      <c r="Z245" s="1917">
        <v>0</v>
      </c>
      <c r="AA245" s="1917">
        <f t="shared" si="5"/>
        <v>0</v>
      </c>
    </row>
    <row r="246" spans="1:27" s="88" customFormat="1" ht="25.5" hidden="1" x14ac:dyDescent="0.25">
      <c r="A246" s="1715">
        <v>98521</v>
      </c>
      <c r="B246" s="1716" t="s">
        <v>488</v>
      </c>
      <c r="C246" s="1717" t="s">
        <v>51</v>
      </c>
      <c r="D246" s="1718">
        <f t="shared" si="0"/>
        <v>0</v>
      </c>
      <c r="E246" s="1718">
        <v>0.38507244306928151</v>
      </c>
      <c r="F246" s="1718">
        <f t="shared" si="1"/>
        <v>0</v>
      </c>
      <c r="G246" s="1719">
        <f t="shared" si="2"/>
        <v>0</v>
      </c>
      <c r="H246" s="1720">
        <f>SUM(G$6:G246)</f>
        <v>0.999999999999999</v>
      </c>
      <c r="I246" s="1896">
        <v>98504</v>
      </c>
      <c r="J246" s="367"/>
      <c r="K246" s="368"/>
      <c r="L246" s="715">
        <f>IFERROR(SUMIF('01-CO'!$F:$F,$A246,'01-CO'!$I:$I),0)</f>
        <v>0</v>
      </c>
      <c r="M246" s="715">
        <f>IFERROR(SUMIF('02-AL'!$F:$F,$A246,'02-AL'!$I:$I),0)</f>
        <v>0</v>
      </c>
      <c r="N246" s="715">
        <f>IFERROR(SUMIF('03-SP'!$F:$F,$A246,'03-SP'!$I:$I),0)</f>
        <v>0</v>
      </c>
      <c r="O246" s="715">
        <f>IFERROR(SUMIF('04-DR'!$F:$F,$A246,'04-DR'!$I:$I),0)</f>
        <v>0</v>
      </c>
      <c r="P246" s="715">
        <f>IFERROR(SUMIF('05-TR'!$F:$F,$A246,'05-TR'!$I:$I),0)</f>
        <v>0</v>
      </c>
      <c r="Q246" s="715">
        <f>IFERROR(SUMIF('06-PAV'!$F:$F,$A246,'06-PAV'!$I:$I),0)</f>
        <v>0</v>
      </c>
      <c r="R246" s="715">
        <f>IFERROR(SUMIF('07-OAEeOAC'!$F:$F,$A246,'07-OAEeOAC'!$I:$I),0)</f>
        <v>0</v>
      </c>
      <c r="S246" s="715">
        <f>IFERROR(SUMIF('08-SIN'!$F:$F,$A246,'08-SIN'!$I:$I),0)</f>
        <v>0</v>
      </c>
      <c r="T246" s="715">
        <f>IFERROR(SUMIF('09-URB'!$F:$F,$A246,'09-URB'!$I:$I),0)</f>
        <v>0</v>
      </c>
      <c r="U246" s="715"/>
      <c r="V246" s="715">
        <f t="shared" si="3"/>
        <v>0</v>
      </c>
      <c r="W246" s="716">
        <v>1.66E-2</v>
      </c>
      <c r="X246" s="716">
        <f t="shared" si="4"/>
        <v>0</v>
      </c>
      <c r="Z246" s="1917">
        <v>0</v>
      </c>
      <c r="AA246" s="1917">
        <f t="shared" si="5"/>
        <v>0</v>
      </c>
    </row>
    <row r="247" spans="1:27" s="88" customFormat="1" ht="38.25" hidden="1" x14ac:dyDescent="0.25">
      <c r="A247" s="1715">
        <v>100948</v>
      </c>
      <c r="B247" s="1716" t="s">
        <v>792</v>
      </c>
      <c r="C247" s="1717" t="s">
        <v>42</v>
      </c>
      <c r="D247" s="1718">
        <f t="shared" si="0"/>
        <v>0</v>
      </c>
      <c r="E247" s="1718">
        <v>0.67387677537124269</v>
      </c>
      <c r="F247" s="1718">
        <f t="shared" si="1"/>
        <v>0</v>
      </c>
      <c r="G247" s="1719">
        <f t="shared" si="2"/>
        <v>0</v>
      </c>
      <c r="H247" s="1720">
        <f>SUM(G$6:G247)</f>
        <v>0.999999999999999</v>
      </c>
      <c r="I247" s="719" t="s">
        <v>463</v>
      </c>
      <c r="J247" s="367"/>
      <c r="K247" s="368"/>
      <c r="L247" s="715">
        <f>IFERROR(SUMIF('01-CO'!$F:$F,$A247,'01-CO'!$I:$I),0)</f>
        <v>0</v>
      </c>
      <c r="M247" s="715">
        <f>IFERROR(SUMIF('02-AL'!$F:$F,$A247,'02-AL'!$I:$I),0)</f>
        <v>0</v>
      </c>
      <c r="N247" s="715">
        <f>IFERROR(SUMIF('03-SP'!$F:$F,$A247,'03-SP'!$I:$I),0)</f>
        <v>0</v>
      </c>
      <c r="O247" s="715">
        <f>IFERROR(SUMIF('04-DR'!$F:$F,$A247,'04-DR'!$I:$I),0)</f>
        <v>0</v>
      </c>
      <c r="P247" s="715">
        <f>IFERROR(SUMIF('05-TR'!$F:$F,$A247,'05-TR'!$I:$I),0)</f>
        <v>0</v>
      </c>
      <c r="Q247" s="715">
        <f>IFERROR(SUMIF('06-PAV'!$F:$F,$A247,'06-PAV'!$I:$I),0)</f>
        <v>0</v>
      </c>
      <c r="R247" s="715">
        <f>IFERROR(SUMIF('07-OAEeOAC'!$F:$F,$A247,'07-OAEeOAC'!$I:$I),0)</f>
        <v>0</v>
      </c>
      <c r="S247" s="715">
        <f>IFERROR(SUMIF('08-SIN'!$F:$F,$A247,'08-SIN'!$I:$I),0)</f>
        <v>0</v>
      </c>
      <c r="T247" s="715">
        <f>IFERROR(SUMIF('09-URB'!$F:$F,$A247,'09-URB'!$I:$I),0)</f>
        <v>0</v>
      </c>
      <c r="U247" s="715"/>
      <c r="V247" s="715">
        <f t="shared" si="3"/>
        <v>0</v>
      </c>
      <c r="W247" s="716">
        <v>5.3E-3</v>
      </c>
      <c r="X247" s="716">
        <f t="shared" si="4"/>
        <v>0</v>
      </c>
      <c r="Z247" s="1917">
        <v>0</v>
      </c>
      <c r="AA247" s="1917">
        <f t="shared" si="5"/>
        <v>0</v>
      </c>
    </row>
    <row r="248" spans="1:27" s="88" customFormat="1" ht="51" hidden="1" x14ac:dyDescent="0.25">
      <c r="A248" s="1715">
        <v>100953</v>
      </c>
      <c r="B248" s="1716" t="s">
        <v>796</v>
      </c>
      <c r="C248" s="1717" t="s">
        <v>42</v>
      </c>
      <c r="D248" s="1718">
        <f t="shared" si="0"/>
        <v>0</v>
      </c>
      <c r="E248" s="1718">
        <v>0.85437948305996825</v>
      </c>
      <c r="F248" s="1718">
        <f t="shared" si="1"/>
        <v>0</v>
      </c>
      <c r="G248" s="1719">
        <f t="shared" si="2"/>
        <v>0</v>
      </c>
      <c r="H248" s="1720">
        <f>SUM(G$6:G248)</f>
        <v>0.999999999999999</v>
      </c>
      <c r="I248" s="1896">
        <v>93378</v>
      </c>
      <c r="J248" s="366"/>
      <c r="K248" s="368"/>
      <c r="L248" s="715">
        <f>IFERROR(SUMIF('01-CO'!$F:$F,$A248,'01-CO'!$I:$I),0)</f>
        <v>0</v>
      </c>
      <c r="M248" s="715">
        <f>IFERROR(SUMIF('02-AL'!$F:$F,$A248,'02-AL'!$I:$I),0)</f>
        <v>0</v>
      </c>
      <c r="N248" s="715">
        <f>IFERROR(SUMIF('03-SP'!$F:$F,$A248,'03-SP'!$I:$I),0)</f>
        <v>0</v>
      </c>
      <c r="O248" s="715">
        <f>IFERROR(SUMIF('04-DR'!$F:$F,$A248,'04-DR'!$I:$I),0)</f>
        <v>0</v>
      </c>
      <c r="P248" s="715">
        <f>IFERROR(SUMIF('05-TR'!$F:$F,$A248,'05-TR'!$I:$I),0)</f>
        <v>0</v>
      </c>
      <c r="Q248" s="715">
        <f>IFERROR(SUMIF('06-PAV'!$F:$F,$A248,'06-PAV'!$I:$I),0)</f>
        <v>0</v>
      </c>
      <c r="R248" s="715">
        <f>IFERROR(SUMIF('07-OAEeOAC'!$F:$F,$A248,'07-OAEeOAC'!$I:$I),0)</f>
        <v>0</v>
      </c>
      <c r="S248" s="715">
        <f>IFERROR(SUMIF('08-SIN'!$F:$F,$A248,'08-SIN'!$I:$I),0)</f>
        <v>0</v>
      </c>
      <c r="T248" s="715">
        <f>IFERROR(SUMIF('09-URB'!$F:$F,$A248,'09-URB'!$I:$I),0)</f>
        <v>0</v>
      </c>
      <c r="U248" s="715"/>
      <c r="V248" s="715">
        <f t="shared" si="3"/>
        <v>0</v>
      </c>
      <c r="W248" s="716">
        <v>5.3E-3</v>
      </c>
      <c r="X248" s="716">
        <f t="shared" si="4"/>
        <v>0</v>
      </c>
      <c r="Z248" s="1917">
        <v>0</v>
      </c>
      <c r="AA248" s="1917">
        <f t="shared" si="5"/>
        <v>0</v>
      </c>
    </row>
    <row r="249" spans="1:27" s="88" customFormat="1" ht="38.25" hidden="1" x14ac:dyDescent="0.25">
      <c r="A249" s="1715">
        <v>101013</v>
      </c>
      <c r="B249" s="1716" t="s">
        <v>784</v>
      </c>
      <c r="C249" s="1717" t="s">
        <v>55</v>
      </c>
      <c r="D249" s="1718">
        <f t="shared" si="0"/>
        <v>0</v>
      </c>
      <c r="E249" s="1718">
        <v>36.256977217742033</v>
      </c>
      <c r="F249" s="1718">
        <f t="shared" si="1"/>
        <v>0</v>
      </c>
      <c r="G249" s="1719">
        <f t="shared" si="2"/>
        <v>0</v>
      </c>
      <c r="H249" s="1720">
        <f>SUM(G$6:G249)</f>
        <v>0.999999999999999</v>
      </c>
      <c r="I249" s="1896">
        <v>92744</v>
      </c>
      <c r="J249" s="367"/>
      <c r="K249" s="368"/>
      <c r="L249" s="715">
        <f>IFERROR(SUMIF('01-CO'!$F:$F,$A249,'01-CO'!$I:$I),0)</f>
        <v>0</v>
      </c>
      <c r="M249" s="715">
        <f>IFERROR(SUMIF('02-AL'!$F:$F,$A249,'02-AL'!$I:$I),0)</f>
        <v>0</v>
      </c>
      <c r="N249" s="715">
        <f>IFERROR(SUMIF('03-SP'!$F:$F,$A249,'03-SP'!$I:$I),0)</f>
        <v>0</v>
      </c>
      <c r="O249" s="715">
        <f>IFERROR(SUMIF('04-DR'!$F:$F,$A249,'04-DR'!$I:$I),0)</f>
        <v>0</v>
      </c>
      <c r="P249" s="715">
        <f>IFERROR(SUMIF('05-TR'!$F:$F,$A249,'05-TR'!$I:$I),0)</f>
        <v>0</v>
      </c>
      <c r="Q249" s="715">
        <f>IFERROR(SUMIF('06-PAV'!$F:$F,$A249,'06-PAV'!$I:$I),0)</f>
        <v>0</v>
      </c>
      <c r="R249" s="715">
        <f>IFERROR(SUMIF('07-OAEeOAC'!$F:$F,$A249,'07-OAEeOAC'!$I:$I),0)</f>
        <v>0</v>
      </c>
      <c r="S249" s="715">
        <f>IFERROR(SUMIF('08-SIN'!$F:$F,$A249,'08-SIN'!$I:$I),0)</f>
        <v>0</v>
      </c>
      <c r="T249" s="715">
        <f>IFERROR(SUMIF('09-URB'!$F:$F,$A249,'09-URB'!$I:$I),0)</f>
        <v>0</v>
      </c>
      <c r="U249" s="715"/>
      <c r="V249" s="715">
        <f t="shared" si="3"/>
        <v>0</v>
      </c>
      <c r="W249" s="716">
        <v>0.52689999999999992</v>
      </c>
      <c r="X249" s="716">
        <f t="shared" si="4"/>
        <v>0</v>
      </c>
      <c r="Z249" s="1917">
        <v>0</v>
      </c>
      <c r="AA249" s="1917">
        <f t="shared" si="5"/>
        <v>0</v>
      </c>
    </row>
    <row r="250" spans="1:27" s="88" customFormat="1" ht="38.25" hidden="1" x14ac:dyDescent="0.25">
      <c r="A250" s="1715">
        <v>101015</v>
      </c>
      <c r="B250" s="1716" t="s">
        <v>779</v>
      </c>
      <c r="C250" s="1717" t="s">
        <v>55</v>
      </c>
      <c r="D250" s="1718">
        <f t="shared" si="0"/>
        <v>0</v>
      </c>
      <c r="E250" s="1718">
        <v>27.279975888689414</v>
      </c>
      <c r="F250" s="1718">
        <f t="shared" si="1"/>
        <v>0</v>
      </c>
      <c r="G250" s="1719">
        <f t="shared" si="2"/>
        <v>0</v>
      </c>
      <c r="H250" s="1720">
        <f>SUM(G$6:G250)</f>
        <v>0.999999999999999</v>
      </c>
      <c r="I250" s="719" t="s">
        <v>463</v>
      </c>
      <c r="J250" s="367"/>
      <c r="K250" s="368"/>
      <c r="L250" s="715">
        <f>IFERROR(SUMIF('01-CO'!$F:$F,$A250,'01-CO'!$I:$I),0)</f>
        <v>0</v>
      </c>
      <c r="M250" s="715">
        <f>IFERROR(SUMIF('02-AL'!$F:$F,$A250,'02-AL'!$I:$I),0)</f>
        <v>0</v>
      </c>
      <c r="N250" s="715">
        <f>IFERROR(SUMIF('03-SP'!$F:$F,$A250,'03-SP'!$I:$I),0)</f>
        <v>0</v>
      </c>
      <c r="O250" s="715">
        <f>IFERROR(SUMIF('04-DR'!$F:$F,$A250,'04-DR'!$I:$I),0)</f>
        <v>0</v>
      </c>
      <c r="P250" s="715">
        <f>IFERROR(SUMIF('05-TR'!$F:$F,$A250,'05-TR'!$I:$I),0)</f>
        <v>0</v>
      </c>
      <c r="Q250" s="715">
        <f>IFERROR(SUMIF('06-PAV'!$F:$F,$A250,'06-PAV'!$I:$I),0)</f>
        <v>0</v>
      </c>
      <c r="R250" s="715">
        <f>IFERROR(SUMIF('07-OAEeOAC'!$F:$F,$A250,'07-OAEeOAC'!$I:$I),0)</f>
        <v>0</v>
      </c>
      <c r="S250" s="715">
        <f>IFERROR(SUMIF('08-SIN'!$F:$F,$A250,'08-SIN'!$I:$I),0)</f>
        <v>0</v>
      </c>
      <c r="T250" s="715">
        <f>IFERROR(SUMIF('09-URB'!$F:$F,$A250,'09-URB'!$I:$I),0)</f>
        <v>0</v>
      </c>
      <c r="U250" s="715"/>
      <c r="V250" s="715">
        <f t="shared" si="3"/>
        <v>0</v>
      </c>
      <c r="W250" s="716">
        <v>0.39660000000000001</v>
      </c>
      <c r="X250" s="716">
        <f t="shared" si="4"/>
        <v>0</v>
      </c>
      <c r="Z250" s="1917">
        <v>0</v>
      </c>
      <c r="AA250" s="1917">
        <f t="shared" si="5"/>
        <v>0</v>
      </c>
    </row>
    <row r="251" spans="1:27" s="88" customFormat="1" ht="38.25" hidden="1" x14ac:dyDescent="0.25">
      <c r="A251" s="1715">
        <v>101176</v>
      </c>
      <c r="B251" s="1716" t="s">
        <v>566</v>
      </c>
      <c r="C251" s="1717" t="s">
        <v>22</v>
      </c>
      <c r="D251" s="1718">
        <f t="shared" si="0"/>
        <v>0</v>
      </c>
      <c r="E251" s="1718">
        <v>165.41268132594826</v>
      </c>
      <c r="F251" s="1718">
        <f t="shared" si="1"/>
        <v>0</v>
      </c>
      <c r="G251" s="1719">
        <f t="shared" si="2"/>
        <v>0</v>
      </c>
      <c r="H251" s="1720">
        <f>SUM(G$6:G251)</f>
        <v>0.999999999999999</v>
      </c>
      <c r="I251" s="719" t="s">
        <v>463</v>
      </c>
      <c r="J251" s="367"/>
      <c r="K251" s="368"/>
      <c r="L251" s="715">
        <f>IFERROR(SUMIF('01-CO'!$F:$F,$A251,'01-CO'!$I:$I),0)</f>
        <v>0</v>
      </c>
      <c r="M251" s="715">
        <f>IFERROR(SUMIF('02-AL'!$F:$F,$A251,'02-AL'!$I:$I),0)</f>
        <v>0</v>
      </c>
      <c r="N251" s="715">
        <f>IFERROR(SUMIF('03-SP'!$F:$F,$A251,'03-SP'!$I:$I),0)</f>
        <v>0</v>
      </c>
      <c r="O251" s="715">
        <f>IFERROR(SUMIF('04-DR'!$F:$F,$A251,'04-DR'!$I:$I),0)</f>
        <v>0</v>
      </c>
      <c r="P251" s="715">
        <f>IFERROR(SUMIF('05-TR'!$F:$F,$A251,'05-TR'!$I:$I),0)</f>
        <v>0</v>
      </c>
      <c r="Q251" s="715">
        <f>IFERROR(SUMIF('06-PAV'!$F:$F,$A251,'06-PAV'!$I:$I),0)</f>
        <v>0</v>
      </c>
      <c r="R251" s="715">
        <f>IFERROR(SUMIF('07-OAEeOAC'!$F:$F,$A251,'07-OAEeOAC'!$I:$I),0)</f>
        <v>0</v>
      </c>
      <c r="S251" s="715">
        <f>IFERROR(SUMIF('08-SIN'!$F:$F,$A251,'08-SIN'!$I:$I),0)</f>
        <v>0</v>
      </c>
      <c r="T251" s="715">
        <f>IFERROR(SUMIF('09-URB'!$F:$F,$A251,'09-URB'!$I:$I),0)</f>
        <v>0</v>
      </c>
      <c r="U251" s="715"/>
      <c r="V251" s="715">
        <f t="shared" si="3"/>
        <v>0</v>
      </c>
      <c r="W251" s="716">
        <v>3.1560069999999998</v>
      </c>
      <c r="X251" s="716">
        <f t="shared" si="4"/>
        <v>0</v>
      </c>
      <c r="Z251" s="1917">
        <v>8.5999999999999993E-2</v>
      </c>
      <c r="AA251" s="1917">
        <f t="shared" si="5"/>
        <v>0</v>
      </c>
    </row>
    <row r="252" spans="1:27" s="88" customFormat="1" ht="38.25" hidden="1" x14ac:dyDescent="0.25">
      <c r="A252" s="1715">
        <v>101464</v>
      </c>
      <c r="B252" s="1716" t="s">
        <v>781</v>
      </c>
      <c r="C252" s="1717" t="s">
        <v>55</v>
      </c>
      <c r="D252" s="1718">
        <f t="shared" si="0"/>
        <v>0</v>
      </c>
      <c r="E252" s="1718">
        <v>27.941819150214737</v>
      </c>
      <c r="F252" s="1718">
        <f t="shared" si="1"/>
        <v>0</v>
      </c>
      <c r="G252" s="1719">
        <f t="shared" si="2"/>
        <v>0</v>
      </c>
      <c r="H252" s="1720">
        <f>SUM(G$6:G252)</f>
        <v>0.999999999999999</v>
      </c>
      <c r="I252" s="393">
        <v>72850</v>
      </c>
      <c r="J252" s="367"/>
      <c r="K252" s="368"/>
      <c r="L252" s="715">
        <f>IFERROR(SUMIF('01-CO'!$F:$F,$A252,'01-CO'!$I:$I),0)</f>
        <v>0</v>
      </c>
      <c r="M252" s="715">
        <f>IFERROR(SUMIF('02-AL'!$F:$F,$A252,'02-AL'!$I:$I),0)</f>
        <v>0</v>
      </c>
      <c r="N252" s="715">
        <f>IFERROR(SUMIF('03-SP'!$F:$F,$A252,'03-SP'!$I:$I),0)</f>
        <v>0</v>
      </c>
      <c r="O252" s="715">
        <f>IFERROR(SUMIF('04-DR'!$F:$F,$A252,'04-DR'!$I:$I),0)</f>
        <v>0</v>
      </c>
      <c r="P252" s="715">
        <f>IFERROR(SUMIF('05-TR'!$F:$F,$A252,'05-TR'!$I:$I),0)</f>
        <v>0</v>
      </c>
      <c r="Q252" s="715">
        <f>IFERROR(SUMIF('06-PAV'!$F:$F,$A252,'06-PAV'!$I:$I),0)</f>
        <v>0</v>
      </c>
      <c r="R252" s="715">
        <f>IFERROR(SUMIF('07-OAEeOAC'!$F:$F,$A252,'07-OAEeOAC'!$I:$I),0)</f>
        <v>0</v>
      </c>
      <c r="S252" s="715">
        <f>IFERROR(SUMIF('08-SIN'!$F:$F,$A252,'08-SIN'!$I:$I),0)</f>
        <v>0</v>
      </c>
      <c r="T252" s="715">
        <f>IFERROR(SUMIF('09-URB'!$F:$F,$A252,'09-URB'!$I:$I),0)</f>
        <v>0</v>
      </c>
      <c r="U252" s="715"/>
      <c r="V252" s="715">
        <f t="shared" si="3"/>
        <v>0</v>
      </c>
      <c r="W252" s="716">
        <v>0.40590000000000004</v>
      </c>
      <c r="X252" s="716">
        <f t="shared" si="4"/>
        <v>0</v>
      </c>
      <c r="Z252" s="1917">
        <v>0</v>
      </c>
      <c r="AA252" s="1917">
        <f t="shared" si="5"/>
        <v>0</v>
      </c>
    </row>
    <row r="253" spans="1:27" s="88" customFormat="1" ht="38.25" hidden="1" x14ac:dyDescent="0.25">
      <c r="A253" s="1715">
        <v>101466</v>
      </c>
      <c r="B253" s="1716" t="s">
        <v>783</v>
      </c>
      <c r="C253" s="1717" t="s">
        <v>55</v>
      </c>
      <c r="D253" s="1718">
        <f t="shared" si="0"/>
        <v>0</v>
      </c>
      <c r="E253" s="1718">
        <v>17.376393993501328</v>
      </c>
      <c r="F253" s="1718">
        <f t="shared" si="1"/>
        <v>0</v>
      </c>
      <c r="G253" s="1719">
        <f t="shared" si="2"/>
        <v>0</v>
      </c>
      <c r="H253" s="1720">
        <f>SUM(G$6:G253)</f>
        <v>0.999999999999999</v>
      </c>
      <c r="I253" s="719" t="s">
        <v>1392</v>
      </c>
      <c r="J253" s="366"/>
      <c r="K253" s="368"/>
      <c r="L253" s="715">
        <f>IFERROR(SUMIF('01-CO'!$F:$F,$A253,'01-CO'!$I:$I),0)</f>
        <v>0</v>
      </c>
      <c r="M253" s="715">
        <f>IFERROR(SUMIF('02-AL'!$F:$F,$A253,'02-AL'!$I:$I),0)</f>
        <v>0</v>
      </c>
      <c r="N253" s="715">
        <f>IFERROR(SUMIF('03-SP'!$F:$F,$A253,'03-SP'!$I:$I),0)</f>
        <v>0</v>
      </c>
      <c r="O253" s="715">
        <f>IFERROR(SUMIF('04-DR'!$F:$F,$A253,'04-DR'!$I:$I),0)</f>
        <v>0</v>
      </c>
      <c r="P253" s="715">
        <f>IFERROR(SUMIF('05-TR'!$F:$F,$A253,'05-TR'!$I:$I),0)</f>
        <v>0</v>
      </c>
      <c r="Q253" s="715">
        <f>IFERROR(SUMIF('06-PAV'!$F:$F,$A253,'06-PAV'!$I:$I),0)</f>
        <v>0</v>
      </c>
      <c r="R253" s="715">
        <f>IFERROR(SUMIF('07-OAEeOAC'!$F:$F,$A253,'07-OAEeOAC'!$I:$I),0)</f>
        <v>0</v>
      </c>
      <c r="S253" s="715">
        <f>IFERROR(SUMIF('08-SIN'!$F:$F,$A253,'08-SIN'!$I:$I),0)</f>
        <v>0</v>
      </c>
      <c r="T253" s="715">
        <f>IFERROR(SUMIF('09-URB'!$F:$F,$A253,'09-URB'!$I:$I),0)</f>
        <v>0</v>
      </c>
      <c r="U253" s="715"/>
      <c r="V253" s="715">
        <f t="shared" si="3"/>
        <v>0</v>
      </c>
      <c r="W253" s="716">
        <v>0.2525</v>
      </c>
      <c r="X253" s="716">
        <f t="shared" si="4"/>
        <v>0</v>
      </c>
      <c r="Z253" s="1917">
        <v>0</v>
      </c>
      <c r="AA253" s="1917">
        <f t="shared" si="5"/>
        <v>0</v>
      </c>
    </row>
    <row r="254" spans="1:27" s="88" customFormat="1" ht="38.25" hidden="1" x14ac:dyDescent="0.25">
      <c r="A254" s="1715">
        <v>101577</v>
      </c>
      <c r="B254" s="1716" t="s">
        <v>1153</v>
      </c>
      <c r="C254" s="1717" t="s">
        <v>51</v>
      </c>
      <c r="D254" s="1718">
        <f t="shared" si="0"/>
        <v>0</v>
      </c>
      <c r="E254" s="1718">
        <v>54.656219888146147</v>
      </c>
      <c r="F254" s="1718">
        <f t="shared" si="1"/>
        <v>0</v>
      </c>
      <c r="G254" s="1719">
        <f t="shared" si="2"/>
        <v>0</v>
      </c>
      <c r="H254" s="1720">
        <f>SUM(G$6:G254)</f>
        <v>0.999999999999999</v>
      </c>
      <c r="I254" s="719" t="s">
        <v>463</v>
      </c>
      <c r="J254" s="367"/>
      <c r="K254" s="368"/>
      <c r="L254" s="715">
        <f>IFERROR(SUMIF('01-CO'!$F:$F,$A254,'01-CO'!$I:$I),0)</f>
        <v>0</v>
      </c>
      <c r="M254" s="715">
        <f>IFERROR(SUMIF('02-AL'!$F:$F,$A254,'02-AL'!$I:$I),0)</f>
        <v>0</v>
      </c>
      <c r="N254" s="715">
        <f>IFERROR(SUMIF('03-SP'!$F:$F,$A254,'03-SP'!$I:$I),0)</f>
        <v>0</v>
      </c>
      <c r="O254" s="715">
        <f>IFERROR(SUMIF('04-DR'!$F:$F,$A254,'04-DR'!$I:$I),0)</f>
        <v>0</v>
      </c>
      <c r="P254" s="715">
        <f>IFERROR(SUMIF('05-TR'!$F:$F,$A254,'05-TR'!$I:$I),0)</f>
        <v>0</v>
      </c>
      <c r="Q254" s="715">
        <f>IFERROR(SUMIF('06-PAV'!$F:$F,$A254,'06-PAV'!$I:$I),0)</f>
        <v>0</v>
      </c>
      <c r="R254" s="715">
        <f>IFERROR(SUMIF('07-OAEeOAC'!$F:$F,$A254,'07-OAEeOAC'!$I:$I),0)</f>
        <v>0</v>
      </c>
      <c r="S254" s="715">
        <f>IFERROR(SUMIF('08-SIN'!$F:$F,$A254,'08-SIN'!$I:$I),0)</f>
        <v>0</v>
      </c>
      <c r="T254" s="715">
        <f>IFERROR(SUMIF('09-URB'!$F:$F,$A254,'09-URB'!$I:$I),0)</f>
        <v>0</v>
      </c>
      <c r="U254" s="715"/>
      <c r="V254" s="715">
        <f t="shared" si="3"/>
        <v>0</v>
      </c>
      <c r="W254" s="716">
        <v>1.2590999999999999</v>
      </c>
      <c r="X254" s="716">
        <f t="shared" si="4"/>
        <v>0</v>
      </c>
      <c r="Z254" s="1917">
        <v>0</v>
      </c>
      <c r="AA254" s="1917">
        <f t="shared" si="5"/>
        <v>0</v>
      </c>
    </row>
    <row r="255" spans="1:27" s="88" customFormat="1" ht="76.5" hidden="1" x14ac:dyDescent="0.25">
      <c r="A255" s="1715">
        <v>102280</v>
      </c>
      <c r="B255" s="1716" t="s">
        <v>1303</v>
      </c>
      <c r="C255" s="1717" t="s">
        <v>44</v>
      </c>
      <c r="D255" s="1718">
        <f t="shared" si="0"/>
        <v>0</v>
      </c>
      <c r="E255" s="1718">
        <v>4.7532379691364435</v>
      </c>
      <c r="F255" s="1718">
        <f t="shared" si="1"/>
        <v>0</v>
      </c>
      <c r="G255" s="1719">
        <f t="shared" si="2"/>
        <v>0</v>
      </c>
      <c r="H255" s="1720">
        <f>SUM(G$6:G255)</f>
        <v>0.999999999999999</v>
      </c>
      <c r="I255" s="719" t="s">
        <v>463</v>
      </c>
      <c r="J255" s="367"/>
      <c r="K255" s="368"/>
      <c r="L255" s="715">
        <f>IFERROR(SUMIF('01-CO'!$F:$F,$A255,'01-CO'!$I:$I),0)</f>
        <v>0</v>
      </c>
      <c r="M255" s="715">
        <f>IFERROR(SUMIF('02-AL'!$F:$F,$A255,'02-AL'!$I:$I),0)</f>
        <v>0</v>
      </c>
      <c r="N255" s="715">
        <f>IFERROR(SUMIF('03-SP'!$F:$F,$A255,'03-SP'!$I:$I),0)</f>
        <v>0</v>
      </c>
      <c r="O255" s="715">
        <f>IFERROR(SUMIF('04-DR'!$F:$F,$A255,'04-DR'!$I:$I),0)</f>
        <v>0</v>
      </c>
      <c r="P255" s="715">
        <f>IFERROR(SUMIF('05-TR'!$F:$F,$A255,'05-TR'!$I:$I),0)</f>
        <v>0</v>
      </c>
      <c r="Q255" s="715">
        <f>IFERROR(SUMIF('06-PAV'!$F:$F,$A255,'06-PAV'!$I:$I),0)</f>
        <v>0</v>
      </c>
      <c r="R255" s="715">
        <f>IFERROR(SUMIF('07-OAEeOAC'!$F:$F,$A255,'07-OAEeOAC'!$I:$I),0)</f>
        <v>0</v>
      </c>
      <c r="S255" s="715">
        <f>IFERROR(SUMIF('08-SIN'!$F:$F,$A255,'08-SIN'!$I:$I),0)</f>
        <v>0</v>
      </c>
      <c r="T255" s="715">
        <f>IFERROR(SUMIF('09-URB'!$F:$F,$A255,'09-URB'!$I:$I),0)</f>
        <v>0</v>
      </c>
      <c r="U255" s="715"/>
      <c r="V255" s="715">
        <f t="shared" si="3"/>
        <v>0</v>
      </c>
      <c r="W255" s="716">
        <v>6.6000000000000003E-2</v>
      </c>
      <c r="X255" s="716">
        <f t="shared" si="4"/>
        <v>0</v>
      </c>
      <c r="Z255" s="1917">
        <v>0</v>
      </c>
      <c r="AA255" s="1917">
        <f t="shared" si="5"/>
        <v>0</v>
      </c>
    </row>
    <row r="256" spans="1:27" s="88" customFormat="1" hidden="1" x14ac:dyDescent="0.25">
      <c r="A256" s="1715" t="s">
        <v>2334</v>
      </c>
      <c r="B256" s="1716" t="s">
        <v>2368</v>
      </c>
      <c r="C256" s="1717" t="s">
        <v>22</v>
      </c>
      <c r="D256" s="1718">
        <f t="shared" si="0"/>
        <v>0</v>
      </c>
      <c r="E256" s="1718">
        <v>79.609349500334034</v>
      </c>
      <c r="F256" s="1718">
        <f t="shared" si="1"/>
        <v>0</v>
      </c>
      <c r="G256" s="1719">
        <f t="shared" si="2"/>
        <v>0</v>
      </c>
      <c r="H256" s="1720">
        <f>SUM(G$6:G256)</f>
        <v>0.999999999999999</v>
      </c>
      <c r="I256" s="719" t="s">
        <v>463</v>
      </c>
      <c r="J256" s="367"/>
      <c r="K256" s="368"/>
      <c r="L256" s="715">
        <f>IFERROR(SUMIF('01-CO'!$F:$F,$A256,'01-CO'!$I:$I),0)</f>
        <v>0</v>
      </c>
      <c r="M256" s="715">
        <f>IFERROR(SUMIF('02-AL'!$F:$F,$A256,'02-AL'!$I:$I),0)</f>
        <v>0</v>
      </c>
      <c r="N256" s="715">
        <f>IFERROR(SUMIF('03-SP'!$F:$F,$A256,'03-SP'!$I:$I),0)</f>
        <v>0</v>
      </c>
      <c r="O256" s="715">
        <f>IFERROR(SUMIF('04-DR'!$F:$F,$A256,'04-DR'!$I:$I),0)</f>
        <v>0</v>
      </c>
      <c r="P256" s="715">
        <f>IFERROR(SUMIF('05-TR'!$F:$F,$A256,'05-TR'!$I:$I),0)</f>
        <v>0</v>
      </c>
      <c r="Q256" s="715">
        <f>IFERROR(SUMIF('06-PAV'!$F:$F,$A256,'06-PAV'!$I:$I),0)</f>
        <v>0</v>
      </c>
      <c r="R256" s="715">
        <f>IFERROR(SUMIF('07-OAEeOAC'!$F:$F,$A256,'07-OAEeOAC'!$I:$I),0)</f>
        <v>0</v>
      </c>
      <c r="S256" s="715">
        <f>IFERROR(SUMIF('08-SIN'!$F:$F,$A256,'08-SIN'!$I:$I),0)</f>
        <v>0</v>
      </c>
      <c r="T256" s="715">
        <f>IFERROR(SUMIF('09-URB'!$F:$F,$A256,'09-URB'!$I:$I),0)</f>
        <v>0</v>
      </c>
      <c r="U256" s="715"/>
      <c r="V256" s="715">
        <f t="shared" si="3"/>
        <v>0</v>
      </c>
      <c r="W256" s="716">
        <v>0</v>
      </c>
      <c r="X256" s="716">
        <f t="shared" si="4"/>
        <v>0</v>
      </c>
      <c r="Z256" s="1917">
        <v>0</v>
      </c>
      <c r="AA256" s="1917">
        <f t="shared" si="5"/>
        <v>0</v>
      </c>
    </row>
    <row r="257" spans="1:27" s="88" customFormat="1" hidden="1" x14ac:dyDescent="0.25">
      <c r="A257" s="1715" t="s">
        <v>2339</v>
      </c>
      <c r="B257" s="1716" t="s">
        <v>2362</v>
      </c>
      <c r="C257" s="1717" t="s">
        <v>22</v>
      </c>
      <c r="D257" s="1718">
        <f t="shared" si="0"/>
        <v>0</v>
      </c>
      <c r="E257" s="1718">
        <v>555.44346167612548</v>
      </c>
      <c r="F257" s="1718">
        <f t="shared" si="1"/>
        <v>0</v>
      </c>
      <c r="G257" s="1719">
        <f t="shared" si="2"/>
        <v>0</v>
      </c>
      <c r="H257" s="1720">
        <f>SUM(G$6:G257)</f>
        <v>0.999999999999999</v>
      </c>
      <c r="I257" s="719" t="s">
        <v>463</v>
      </c>
      <c r="J257" s="367"/>
      <c r="K257" s="368"/>
      <c r="L257" s="715">
        <f>IFERROR(SUMIF('01-CO'!$F:$F,$A257,'01-CO'!$I:$I),0)</f>
        <v>0</v>
      </c>
      <c r="M257" s="715">
        <f>IFERROR(SUMIF('02-AL'!$F:$F,$A257,'02-AL'!$I:$I),0)</f>
        <v>0</v>
      </c>
      <c r="N257" s="715">
        <f>IFERROR(SUMIF('03-SP'!$F:$F,$A257,'03-SP'!$I:$I),0)</f>
        <v>0</v>
      </c>
      <c r="O257" s="715">
        <f>IFERROR(SUMIF('04-DR'!$F:$F,$A257,'04-DR'!$I:$I),0)</f>
        <v>0</v>
      </c>
      <c r="P257" s="715">
        <f>IFERROR(SUMIF('05-TR'!$F:$F,$A257,'05-TR'!$I:$I),0)</f>
        <v>0</v>
      </c>
      <c r="Q257" s="715">
        <f>IFERROR(SUMIF('06-PAV'!$F:$F,$A257,'06-PAV'!$I:$I),0)</f>
        <v>0</v>
      </c>
      <c r="R257" s="715">
        <f>IFERROR(SUMIF('07-OAEeOAC'!$F:$F,$A257,'07-OAEeOAC'!$I:$I),0)</f>
        <v>0</v>
      </c>
      <c r="S257" s="715">
        <f>IFERROR(SUMIF('08-SIN'!$F:$F,$A257,'08-SIN'!$I:$I),0)</f>
        <v>0</v>
      </c>
      <c r="T257" s="715">
        <f>IFERROR(SUMIF('09-URB'!$F:$F,$A257,'09-URB'!$I:$I),0)</f>
        <v>0</v>
      </c>
      <c r="U257" s="715"/>
      <c r="V257" s="715">
        <f t="shared" si="3"/>
        <v>0</v>
      </c>
      <c r="W257" s="716">
        <v>0</v>
      </c>
      <c r="X257" s="716">
        <f t="shared" si="4"/>
        <v>0</v>
      </c>
      <c r="Z257" s="1917">
        <v>0</v>
      </c>
      <c r="AA257" s="1917">
        <f t="shared" si="5"/>
        <v>0</v>
      </c>
    </row>
    <row r="258" spans="1:27" s="88" customFormat="1" hidden="1" x14ac:dyDescent="0.25">
      <c r="A258" s="1715" t="s">
        <v>2340</v>
      </c>
      <c r="B258" s="1716" t="s">
        <v>2367</v>
      </c>
      <c r="C258" s="1717" t="s">
        <v>22</v>
      </c>
      <c r="D258" s="1718">
        <f t="shared" si="0"/>
        <v>0</v>
      </c>
      <c r="E258" s="1718">
        <v>804.72514811752319</v>
      </c>
      <c r="F258" s="1718">
        <f t="shared" si="1"/>
        <v>0</v>
      </c>
      <c r="G258" s="1719">
        <f t="shared" si="2"/>
        <v>0</v>
      </c>
      <c r="H258" s="1720">
        <f>SUM(G$6:G258)</f>
        <v>0.999999999999999</v>
      </c>
      <c r="I258" s="719" t="s">
        <v>463</v>
      </c>
      <c r="J258" s="367"/>
      <c r="K258" s="368"/>
      <c r="L258" s="715">
        <f>IFERROR(SUMIF('01-CO'!$F:$F,$A258,'01-CO'!$I:$I),0)</f>
        <v>0</v>
      </c>
      <c r="M258" s="715">
        <f>IFERROR(SUMIF('02-AL'!$F:$F,$A258,'02-AL'!$I:$I),0)</f>
        <v>0</v>
      </c>
      <c r="N258" s="715">
        <f>IFERROR(SUMIF('03-SP'!$F:$F,$A258,'03-SP'!$I:$I),0)</f>
        <v>0</v>
      </c>
      <c r="O258" s="715">
        <f>IFERROR(SUMIF('04-DR'!$F:$F,$A258,'04-DR'!$I:$I),0)</f>
        <v>0</v>
      </c>
      <c r="P258" s="715">
        <f>IFERROR(SUMIF('05-TR'!$F:$F,$A258,'05-TR'!$I:$I),0)</f>
        <v>0</v>
      </c>
      <c r="Q258" s="715">
        <f>IFERROR(SUMIF('06-PAV'!$F:$F,$A258,'06-PAV'!$I:$I),0)</f>
        <v>0</v>
      </c>
      <c r="R258" s="715">
        <f>IFERROR(SUMIF('07-OAEeOAC'!$F:$F,$A258,'07-OAEeOAC'!$I:$I),0)</f>
        <v>0</v>
      </c>
      <c r="S258" s="715">
        <f>IFERROR(SUMIF('08-SIN'!$F:$F,$A258,'08-SIN'!$I:$I),0)</f>
        <v>0</v>
      </c>
      <c r="T258" s="715">
        <f>IFERROR(SUMIF('09-URB'!$F:$F,$A258,'09-URB'!$I:$I),0)</f>
        <v>0</v>
      </c>
      <c r="U258" s="715"/>
      <c r="V258" s="715">
        <f t="shared" si="3"/>
        <v>0</v>
      </c>
      <c r="W258" s="716">
        <v>0</v>
      </c>
      <c r="X258" s="716">
        <f t="shared" si="4"/>
        <v>0</v>
      </c>
      <c r="Z258" s="1917">
        <v>0</v>
      </c>
      <c r="AA258" s="1917">
        <f t="shared" si="5"/>
        <v>0</v>
      </c>
    </row>
    <row r="259" spans="1:27" s="88" customFormat="1" hidden="1" x14ac:dyDescent="0.25">
      <c r="A259" s="1715" t="s">
        <v>2344</v>
      </c>
      <c r="B259" s="1716" t="s">
        <v>2363</v>
      </c>
      <c r="C259" s="1717" t="s">
        <v>22</v>
      </c>
      <c r="D259" s="1718">
        <f t="shared" si="0"/>
        <v>0</v>
      </c>
      <c r="E259" s="1718">
        <v>599.53549447047442</v>
      </c>
      <c r="F259" s="1718">
        <f t="shared" si="1"/>
        <v>0</v>
      </c>
      <c r="G259" s="1719">
        <f t="shared" si="2"/>
        <v>0</v>
      </c>
      <c r="H259" s="1720">
        <f>SUM(G$6:G259)</f>
        <v>0.999999999999999</v>
      </c>
      <c r="I259" s="719" t="s">
        <v>463</v>
      </c>
      <c r="J259" s="367"/>
      <c r="K259" s="368"/>
      <c r="L259" s="715">
        <f>IFERROR(SUMIF('01-CO'!$F:$F,$A259,'01-CO'!$I:$I),0)</f>
        <v>0</v>
      </c>
      <c r="M259" s="715">
        <f>IFERROR(SUMIF('02-AL'!$F:$F,$A259,'02-AL'!$I:$I),0)</f>
        <v>0</v>
      </c>
      <c r="N259" s="715">
        <f>IFERROR(SUMIF('03-SP'!$F:$F,$A259,'03-SP'!$I:$I),0)</f>
        <v>0</v>
      </c>
      <c r="O259" s="715">
        <f>IFERROR(SUMIF('04-DR'!$F:$F,$A259,'04-DR'!$I:$I),0)</f>
        <v>0</v>
      </c>
      <c r="P259" s="715">
        <f>IFERROR(SUMIF('05-TR'!$F:$F,$A259,'05-TR'!$I:$I),0)</f>
        <v>0</v>
      </c>
      <c r="Q259" s="715">
        <f>IFERROR(SUMIF('06-PAV'!$F:$F,$A259,'06-PAV'!$I:$I),0)</f>
        <v>0</v>
      </c>
      <c r="R259" s="715">
        <f>IFERROR(SUMIF('07-OAEeOAC'!$F:$F,$A259,'07-OAEeOAC'!$I:$I),0)</f>
        <v>0</v>
      </c>
      <c r="S259" s="715">
        <f>IFERROR(SUMIF('08-SIN'!$F:$F,$A259,'08-SIN'!$I:$I),0)</f>
        <v>0</v>
      </c>
      <c r="T259" s="715">
        <f>IFERROR(SUMIF('09-URB'!$F:$F,$A259,'09-URB'!$I:$I),0)</f>
        <v>0</v>
      </c>
      <c r="U259" s="715"/>
      <c r="V259" s="715">
        <f t="shared" si="3"/>
        <v>0</v>
      </c>
      <c r="W259" s="716">
        <v>0</v>
      </c>
      <c r="X259" s="716">
        <f t="shared" si="4"/>
        <v>0</v>
      </c>
      <c r="Z259" s="1917">
        <v>0</v>
      </c>
      <c r="AA259" s="1917">
        <f t="shared" si="5"/>
        <v>0</v>
      </c>
    </row>
    <row r="260" spans="1:27" s="88" customFormat="1" hidden="1" x14ac:dyDescent="0.25">
      <c r="A260" s="1715" t="s">
        <v>2348</v>
      </c>
      <c r="B260" s="1716" t="s">
        <v>2359</v>
      </c>
      <c r="C260" s="1717" t="s">
        <v>22</v>
      </c>
      <c r="D260" s="1718">
        <f t="shared" si="0"/>
        <v>0</v>
      </c>
      <c r="E260" s="1718">
        <v>520.98517365037651</v>
      </c>
      <c r="F260" s="1718">
        <f t="shared" si="1"/>
        <v>0</v>
      </c>
      <c r="G260" s="1719">
        <f t="shared" si="2"/>
        <v>0</v>
      </c>
      <c r="H260" s="1720">
        <f>SUM(G$6:G260)</f>
        <v>0.999999999999999</v>
      </c>
      <c r="I260" s="719" t="s">
        <v>463</v>
      </c>
      <c r="J260" s="367"/>
      <c r="K260" s="368"/>
      <c r="L260" s="715">
        <f>IFERROR(SUMIF('01-CO'!$F:$F,$A260,'01-CO'!$I:$I),0)</f>
        <v>0</v>
      </c>
      <c r="M260" s="715">
        <f>IFERROR(SUMIF('02-AL'!$F:$F,$A260,'02-AL'!$I:$I),0)</f>
        <v>0</v>
      </c>
      <c r="N260" s="715">
        <f>IFERROR(SUMIF('03-SP'!$F:$F,$A260,'03-SP'!$I:$I),0)</f>
        <v>0</v>
      </c>
      <c r="O260" s="715">
        <f>IFERROR(SUMIF('04-DR'!$F:$F,$A260,'04-DR'!$I:$I),0)</f>
        <v>0</v>
      </c>
      <c r="P260" s="715">
        <f>IFERROR(SUMIF('05-TR'!$F:$F,$A260,'05-TR'!$I:$I),0)</f>
        <v>0</v>
      </c>
      <c r="Q260" s="715">
        <f>IFERROR(SUMIF('06-PAV'!$F:$F,$A260,'06-PAV'!$I:$I),0)</f>
        <v>0</v>
      </c>
      <c r="R260" s="715">
        <f>IFERROR(SUMIF('07-OAEeOAC'!$F:$F,$A260,'07-OAEeOAC'!$I:$I),0)</f>
        <v>0</v>
      </c>
      <c r="S260" s="715">
        <f>IFERROR(SUMIF('08-SIN'!$F:$F,$A260,'08-SIN'!$I:$I),0)</f>
        <v>0</v>
      </c>
      <c r="T260" s="715">
        <f>IFERROR(SUMIF('09-URB'!$F:$F,$A260,'09-URB'!$I:$I),0)</f>
        <v>0</v>
      </c>
      <c r="U260" s="715"/>
      <c r="V260" s="715">
        <f t="shared" si="3"/>
        <v>0</v>
      </c>
      <c r="W260" s="716">
        <v>0</v>
      </c>
      <c r="X260" s="716">
        <f t="shared" si="4"/>
        <v>0</v>
      </c>
      <c r="Z260" s="1917">
        <v>0</v>
      </c>
      <c r="AA260" s="1917">
        <f t="shared" si="5"/>
        <v>0</v>
      </c>
    </row>
    <row r="261" spans="1:27" s="88" customFormat="1" hidden="1" x14ac:dyDescent="0.25">
      <c r="A261" s="1715" t="s">
        <v>2349</v>
      </c>
      <c r="B261" s="1716" t="s">
        <v>2364</v>
      </c>
      <c r="C261" s="1717" t="s">
        <v>22</v>
      </c>
      <c r="D261" s="1718">
        <f t="shared" si="0"/>
        <v>0</v>
      </c>
      <c r="E261" s="1718">
        <v>828.60453674607436</v>
      </c>
      <c r="F261" s="1718">
        <f t="shared" si="1"/>
        <v>0</v>
      </c>
      <c r="G261" s="1719">
        <f t="shared" si="2"/>
        <v>0</v>
      </c>
      <c r="H261" s="1720">
        <f>SUM(G$6:G261)</f>
        <v>0.999999999999999</v>
      </c>
      <c r="I261" s="719" t="s">
        <v>463</v>
      </c>
      <c r="J261" s="367"/>
      <c r="K261" s="368"/>
      <c r="L261" s="715">
        <f>IFERROR(SUMIF('01-CO'!$F:$F,$A261,'01-CO'!$I:$I),0)</f>
        <v>0</v>
      </c>
      <c r="M261" s="715">
        <f>IFERROR(SUMIF('02-AL'!$F:$F,$A261,'02-AL'!$I:$I),0)</f>
        <v>0</v>
      </c>
      <c r="N261" s="715">
        <f>IFERROR(SUMIF('03-SP'!$F:$F,$A261,'03-SP'!$I:$I),0)</f>
        <v>0</v>
      </c>
      <c r="O261" s="715">
        <f>IFERROR(SUMIF('04-DR'!$F:$F,$A261,'04-DR'!$I:$I),0)</f>
        <v>0</v>
      </c>
      <c r="P261" s="715">
        <f>IFERROR(SUMIF('05-TR'!$F:$F,$A261,'05-TR'!$I:$I),0)</f>
        <v>0</v>
      </c>
      <c r="Q261" s="715">
        <f>IFERROR(SUMIF('06-PAV'!$F:$F,$A261,'06-PAV'!$I:$I),0)</f>
        <v>0</v>
      </c>
      <c r="R261" s="715">
        <f>IFERROR(SUMIF('07-OAEeOAC'!$F:$F,$A261,'07-OAEeOAC'!$I:$I),0)</f>
        <v>0</v>
      </c>
      <c r="S261" s="715">
        <f>IFERROR(SUMIF('08-SIN'!$F:$F,$A261,'08-SIN'!$I:$I),0)</f>
        <v>0</v>
      </c>
      <c r="T261" s="715">
        <f>IFERROR(SUMIF('09-URB'!$F:$F,$A261,'09-URB'!$I:$I),0)</f>
        <v>0</v>
      </c>
      <c r="U261" s="715"/>
      <c r="V261" s="715">
        <f t="shared" si="3"/>
        <v>0</v>
      </c>
      <c r="W261" s="716">
        <v>0</v>
      </c>
      <c r="X261" s="716">
        <f t="shared" si="4"/>
        <v>0</v>
      </c>
      <c r="Z261" s="1917">
        <v>0</v>
      </c>
      <c r="AA261" s="1917">
        <f t="shared" si="5"/>
        <v>0</v>
      </c>
    </row>
    <row r="262" spans="1:27" s="88" customFormat="1" ht="51" hidden="1" x14ac:dyDescent="0.25">
      <c r="A262" s="1715" t="s">
        <v>2397</v>
      </c>
      <c r="B262" s="1716" t="s">
        <v>2415</v>
      </c>
      <c r="C262" s="1717" t="s">
        <v>41</v>
      </c>
      <c r="D262" s="1718">
        <f t="shared" ref="D262:D269" si="6">SUM(L262:U262)</f>
        <v>0</v>
      </c>
      <c r="E262" s="1718">
        <v>5609.4104009940356</v>
      </c>
      <c r="F262" s="1718">
        <f t="shared" ref="F262:F269" si="7">D262*E262</f>
        <v>0</v>
      </c>
      <c r="G262" s="1719">
        <f t="shared" ref="G262:G269" si="8">F262/$F$270</f>
        <v>0</v>
      </c>
      <c r="H262" s="1720">
        <f>SUM(G$6:G262)</f>
        <v>0.999999999999999</v>
      </c>
      <c r="I262" s="719" t="s">
        <v>463</v>
      </c>
      <c r="J262" s="367"/>
      <c r="K262" s="368"/>
      <c r="L262" s="715">
        <f>IFERROR(SUMIF('01-CO'!$F:$F,$A262,'01-CO'!$I:$I),0)</f>
        <v>0</v>
      </c>
      <c r="M262" s="715">
        <f>IFERROR(SUMIF('02-AL'!$F:$F,$A262,'02-AL'!$I:$I),0)</f>
        <v>0</v>
      </c>
      <c r="N262" s="715">
        <f>IFERROR(SUMIF('03-SP'!$F:$F,$A262,'03-SP'!$I:$I),0)</f>
        <v>0</v>
      </c>
      <c r="O262" s="715">
        <f>IFERROR(SUMIF('04-DR'!$F:$F,$A262,'04-DR'!$I:$I),0)</f>
        <v>0</v>
      </c>
      <c r="P262" s="715">
        <f>IFERROR(SUMIF('05-TR'!$F:$F,$A262,'05-TR'!$I:$I),0)</f>
        <v>0</v>
      </c>
      <c r="Q262" s="715">
        <f>IFERROR(SUMIF('06-PAV'!$F:$F,$A262,'06-PAV'!$I:$I),0)</f>
        <v>0</v>
      </c>
      <c r="R262" s="715">
        <f>IFERROR(SUMIF('07-OAEeOAC'!$F:$F,$A262,'07-OAEeOAC'!$I:$I),0)</f>
        <v>0</v>
      </c>
      <c r="S262" s="715">
        <f>IFERROR(SUMIF('08-SIN'!$F:$F,$A262,'08-SIN'!$I:$I),0)</f>
        <v>0</v>
      </c>
      <c r="T262" s="715">
        <f>IFERROR(SUMIF('09-URB'!$F:$F,$A262,'09-URB'!$I:$I),0)</f>
        <v>0</v>
      </c>
      <c r="U262" s="715"/>
      <c r="V262" s="715">
        <f t="shared" ref="V262:V269" si="9">SUM(L262:U262)</f>
        <v>0</v>
      </c>
      <c r="W262" s="716">
        <v>59.377563819111394</v>
      </c>
      <c r="X262" s="716">
        <f t="shared" ref="X262:X269" si="10">V262*W262</f>
        <v>0</v>
      </c>
      <c r="Z262" s="1917">
        <v>0.40085606400000001</v>
      </c>
      <c r="AA262" s="1917">
        <f t="shared" ref="AA262:AA269" si="11">D262 * Z262</f>
        <v>0</v>
      </c>
    </row>
    <row r="263" spans="1:27" s="88" customFormat="1" ht="38.25" hidden="1" x14ac:dyDescent="0.25">
      <c r="A263" s="1715" t="s">
        <v>858</v>
      </c>
      <c r="B263" s="1716" t="s">
        <v>860</v>
      </c>
      <c r="C263" s="1717" t="s">
        <v>41</v>
      </c>
      <c r="D263" s="1718">
        <f t="shared" si="6"/>
        <v>0</v>
      </c>
      <c r="E263" s="1718">
        <v>241.8011004751873</v>
      </c>
      <c r="F263" s="1718">
        <f t="shared" si="7"/>
        <v>0</v>
      </c>
      <c r="G263" s="1719">
        <f t="shared" si="8"/>
        <v>0</v>
      </c>
      <c r="H263" s="1720">
        <f>SUM(G$6:G263)</f>
        <v>0.999999999999999</v>
      </c>
      <c r="I263" s="719" t="s">
        <v>1395</v>
      </c>
      <c r="J263" s="367"/>
      <c r="K263" s="368"/>
      <c r="L263" s="715">
        <f>IFERROR(SUMIF('01-CO'!$F:$F,$A263,'01-CO'!$I:$I),0)</f>
        <v>0</v>
      </c>
      <c r="M263" s="715">
        <f>IFERROR(SUMIF('02-AL'!$F:$F,$A263,'02-AL'!$I:$I),0)</f>
        <v>0</v>
      </c>
      <c r="N263" s="715">
        <f>IFERROR(SUMIF('03-SP'!$F:$F,$A263,'03-SP'!$I:$I),0)</f>
        <v>0</v>
      </c>
      <c r="O263" s="715">
        <f>IFERROR(SUMIF('04-DR'!$F:$F,$A263,'04-DR'!$I:$I),0)</f>
        <v>0</v>
      </c>
      <c r="P263" s="715">
        <f>IFERROR(SUMIF('05-TR'!$F:$F,$A263,'05-TR'!$I:$I),0)</f>
        <v>0</v>
      </c>
      <c r="Q263" s="715">
        <f>IFERROR(SUMIF('06-PAV'!$F:$F,$A263,'06-PAV'!$I:$I),0)</f>
        <v>0</v>
      </c>
      <c r="R263" s="715">
        <f>IFERROR(SUMIF('07-OAEeOAC'!$F:$F,$A263,'07-OAEeOAC'!$I:$I),0)</f>
        <v>0</v>
      </c>
      <c r="S263" s="715">
        <f>IFERROR(SUMIF('08-SIN'!$F:$F,$A263,'08-SIN'!$I:$I),0)</f>
        <v>0</v>
      </c>
      <c r="T263" s="715">
        <f>IFERROR(SUMIF('09-URB'!$F:$F,$A263,'09-URB'!$I:$I),0)</f>
        <v>0</v>
      </c>
      <c r="U263" s="715"/>
      <c r="V263" s="715">
        <f t="shared" si="9"/>
        <v>0</v>
      </c>
      <c r="W263" s="716">
        <v>1.8973355717333333</v>
      </c>
      <c r="X263" s="716">
        <f t="shared" si="10"/>
        <v>0</v>
      </c>
      <c r="Z263" s="1917">
        <v>0</v>
      </c>
      <c r="AA263" s="1917">
        <f t="shared" si="11"/>
        <v>0</v>
      </c>
    </row>
    <row r="264" spans="1:27" s="88" customFormat="1" ht="25.5" hidden="1" x14ac:dyDescent="0.25">
      <c r="A264" s="1715" t="s">
        <v>738</v>
      </c>
      <c r="B264" s="1716" t="s">
        <v>739</v>
      </c>
      <c r="C264" s="1717" t="s">
        <v>51</v>
      </c>
      <c r="D264" s="1718">
        <f t="shared" si="6"/>
        <v>0</v>
      </c>
      <c r="E264" s="1718">
        <v>65.506172666340689</v>
      </c>
      <c r="F264" s="1718">
        <f t="shared" si="7"/>
        <v>0</v>
      </c>
      <c r="G264" s="1719">
        <f t="shared" si="8"/>
        <v>0</v>
      </c>
      <c r="H264" s="1720">
        <f>SUM(G$6:G264)</f>
        <v>0.999999999999999</v>
      </c>
      <c r="I264" s="719" t="s">
        <v>248</v>
      </c>
      <c r="J264" s="366"/>
      <c r="K264" s="368"/>
      <c r="L264" s="715">
        <f>IFERROR(SUMIF('01-CO'!$F:$F,$A264,'01-CO'!$I:$I),0)</f>
        <v>0</v>
      </c>
      <c r="M264" s="715">
        <f>IFERROR(SUMIF('02-AL'!$F:$F,$A264,'02-AL'!$I:$I),0)</f>
        <v>0</v>
      </c>
      <c r="N264" s="715">
        <f>IFERROR(SUMIF('03-SP'!$F:$F,$A264,'03-SP'!$I:$I),0)</f>
        <v>0</v>
      </c>
      <c r="O264" s="715">
        <f>IFERROR(SUMIF('04-DR'!$F:$F,$A264,'04-DR'!$I:$I),0)</f>
        <v>0</v>
      </c>
      <c r="P264" s="715">
        <f>IFERROR(SUMIF('05-TR'!$F:$F,$A264,'05-TR'!$I:$I),0)</f>
        <v>0</v>
      </c>
      <c r="Q264" s="715">
        <f>IFERROR(SUMIF('06-PAV'!$F:$F,$A264,'06-PAV'!$I:$I),0)</f>
        <v>0</v>
      </c>
      <c r="R264" s="715">
        <f>IFERROR(SUMIF('07-OAEeOAC'!$F:$F,$A264,'07-OAEeOAC'!$I:$I),0)</f>
        <v>0</v>
      </c>
      <c r="S264" s="715">
        <f>IFERROR(SUMIF('08-SIN'!$F:$F,$A264,'08-SIN'!$I:$I),0)</f>
        <v>0</v>
      </c>
      <c r="T264" s="715">
        <f>IFERROR(SUMIF('09-URB'!$F:$F,$A264,'09-URB'!$I:$I),0)</f>
        <v>0</v>
      </c>
      <c r="U264" s="715"/>
      <c r="V264" s="715">
        <f t="shared" si="9"/>
        <v>0</v>
      </c>
      <c r="W264" s="716">
        <v>0.26379999999999998</v>
      </c>
      <c r="X264" s="716">
        <f t="shared" si="10"/>
        <v>0</v>
      </c>
      <c r="Z264" s="1917">
        <v>0</v>
      </c>
      <c r="AA264" s="1917">
        <f t="shared" si="11"/>
        <v>0</v>
      </c>
    </row>
    <row r="265" spans="1:27" s="88" customFormat="1" hidden="1" x14ac:dyDescent="0.25">
      <c r="A265" s="1715" t="s">
        <v>747</v>
      </c>
      <c r="B265" s="1716" t="s">
        <v>748</v>
      </c>
      <c r="C265" s="1717" t="s">
        <v>41</v>
      </c>
      <c r="D265" s="1718">
        <f t="shared" si="6"/>
        <v>0</v>
      </c>
      <c r="E265" s="1718">
        <v>748.53344066372904</v>
      </c>
      <c r="F265" s="1718">
        <f t="shared" si="7"/>
        <v>0</v>
      </c>
      <c r="G265" s="1719">
        <f t="shared" si="8"/>
        <v>0</v>
      </c>
      <c r="H265" s="1720">
        <f>SUM(G$6:G265)</f>
        <v>0.999999999999999</v>
      </c>
      <c r="I265" s="719" t="s">
        <v>463</v>
      </c>
      <c r="J265" s="367"/>
      <c r="K265" s="368"/>
      <c r="L265" s="715">
        <f>IFERROR(SUMIF('01-CO'!$F:$F,$A265,'01-CO'!$I:$I),0)</f>
        <v>0</v>
      </c>
      <c r="M265" s="715">
        <f>IFERROR(SUMIF('02-AL'!$F:$F,$A265,'02-AL'!$I:$I),0)</f>
        <v>0</v>
      </c>
      <c r="N265" s="715">
        <f>IFERROR(SUMIF('03-SP'!$F:$F,$A265,'03-SP'!$I:$I),0)</f>
        <v>0</v>
      </c>
      <c r="O265" s="715">
        <f>IFERROR(SUMIF('04-DR'!$F:$F,$A265,'04-DR'!$I:$I),0)</f>
        <v>0</v>
      </c>
      <c r="P265" s="715">
        <f>IFERROR(SUMIF('05-TR'!$F:$F,$A265,'05-TR'!$I:$I),0)</f>
        <v>0</v>
      </c>
      <c r="Q265" s="715">
        <f>IFERROR(SUMIF('06-PAV'!$F:$F,$A265,'06-PAV'!$I:$I),0)</f>
        <v>0</v>
      </c>
      <c r="R265" s="715">
        <f>IFERROR(SUMIF('07-OAEeOAC'!$F:$F,$A265,'07-OAEeOAC'!$I:$I),0)</f>
        <v>0</v>
      </c>
      <c r="S265" s="715">
        <f>IFERROR(SUMIF('08-SIN'!$F:$F,$A265,'08-SIN'!$I:$I),0)</f>
        <v>0</v>
      </c>
      <c r="T265" s="715">
        <f>IFERROR(SUMIF('09-URB'!$F:$F,$A265,'09-URB'!$I:$I),0)</f>
        <v>0</v>
      </c>
      <c r="U265" s="715"/>
      <c r="V265" s="715">
        <f t="shared" si="9"/>
        <v>0</v>
      </c>
      <c r="W265" s="716">
        <v>14.902162980126</v>
      </c>
      <c r="X265" s="716">
        <f t="shared" si="10"/>
        <v>0</v>
      </c>
      <c r="Z265" s="1917">
        <v>0</v>
      </c>
      <c r="AA265" s="1917">
        <f t="shared" si="11"/>
        <v>0</v>
      </c>
    </row>
    <row r="266" spans="1:27" s="88" customFormat="1" ht="25.5" hidden="1" x14ac:dyDescent="0.25">
      <c r="A266" s="1715" t="s">
        <v>3348</v>
      </c>
      <c r="B266" s="1716" t="s">
        <v>3349</v>
      </c>
      <c r="C266" s="1717" t="s">
        <v>46</v>
      </c>
      <c r="D266" s="1718">
        <f t="shared" si="6"/>
        <v>0</v>
      </c>
      <c r="E266" s="1718">
        <v>0</v>
      </c>
      <c r="F266" s="1718">
        <f t="shared" si="7"/>
        <v>0</v>
      </c>
      <c r="G266" s="1719">
        <f t="shared" si="8"/>
        <v>0</v>
      </c>
      <c r="H266" s="1720">
        <f>SUM(G$6:G266)</f>
        <v>0.999999999999999</v>
      </c>
      <c r="I266" s="719" t="s">
        <v>65</v>
      </c>
      <c r="J266" s="367"/>
      <c r="K266" s="368"/>
      <c r="L266" s="715">
        <f>IFERROR(SUMIF('01-CO'!$F:$F,$A266,'01-CO'!$I:$I),0)</f>
        <v>0</v>
      </c>
      <c r="M266" s="715">
        <f>IFERROR(SUMIF('02-AL'!$F:$F,$A266,'02-AL'!$I:$I),0)</f>
        <v>0</v>
      </c>
      <c r="N266" s="715">
        <f>IFERROR(SUMIF('03-SP'!$F:$F,$A266,'03-SP'!$I:$I),0)</f>
        <v>0</v>
      </c>
      <c r="O266" s="715">
        <f>IFERROR(SUMIF('04-DR'!$F:$F,$A266,'04-DR'!$I:$I),0)</f>
        <v>0</v>
      </c>
      <c r="P266" s="715">
        <f>IFERROR(SUMIF('05-TR'!$F:$F,$A266,'05-TR'!$I:$I),0)</f>
        <v>0</v>
      </c>
      <c r="Q266" s="715">
        <f>IFERROR(SUMIF('06-PAV'!$F:$F,$A266,'06-PAV'!$I:$I),0)</f>
        <v>0</v>
      </c>
      <c r="R266" s="715">
        <f>IFERROR(SUMIF('07-OAEeOAC'!$F:$F,$A266,'07-OAEeOAC'!$I:$I),0)</f>
        <v>0</v>
      </c>
      <c r="S266" s="715">
        <f>IFERROR(SUMIF('08-SIN'!$F:$F,$A266,'08-SIN'!$I:$I),0)</f>
        <v>0</v>
      </c>
      <c r="T266" s="715">
        <f>IFERROR(SUMIF('09-URB'!$F:$F,$A266,'09-URB'!$I:$I),0)</f>
        <v>0</v>
      </c>
      <c r="U266" s="715"/>
      <c r="V266" s="715">
        <f t="shared" si="9"/>
        <v>0</v>
      </c>
      <c r="W266" s="716">
        <v>0</v>
      </c>
      <c r="X266" s="716">
        <f t="shared" si="10"/>
        <v>0</v>
      </c>
      <c r="Z266" s="1917">
        <v>0</v>
      </c>
      <c r="AA266" s="1917">
        <f t="shared" si="11"/>
        <v>0</v>
      </c>
    </row>
    <row r="267" spans="1:27" s="88" customFormat="1" ht="25.5" hidden="1" x14ac:dyDescent="0.25">
      <c r="A267" s="1715" t="s">
        <v>263</v>
      </c>
      <c r="B267" s="1716" t="s">
        <v>411</v>
      </c>
      <c r="C267" s="1717" t="s">
        <v>205</v>
      </c>
      <c r="D267" s="1718">
        <f t="shared" si="6"/>
        <v>0</v>
      </c>
      <c r="E267" s="1718">
        <v>549.96768329985537</v>
      </c>
      <c r="F267" s="1718">
        <f t="shared" si="7"/>
        <v>0</v>
      </c>
      <c r="G267" s="1719">
        <f t="shared" si="8"/>
        <v>0</v>
      </c>
      <c r="H267" s="1720">
        <f>SUM(G$6:G267)</f>
        <v>0.999999999999999</v>
      </c>
      <c r="I267" s="719" t="s">
        <v>463</v>
      </c>
      <c r="J267" s="367"/>
      <c r="K267" s="368"/>
      <c r="L267" s="715">
        <f>IFERROR(SUMIF('01-CO'!$F:$F,$A267,'01-CO'!$I:$I),0)</f>
        <v>0</v>
      </c>
      <c r="M267" s="715">
        <f>IFERROR(SUMIF('02-AL'!$F:$F,$A267,'02-AL'!$I:$I),0)</f>
        <v>0</v>
      </c>
      <c r="N267" s="715">
        <f>IFERROR(SUMIF('03-SP'!$F:$F,$A267,'03-SP'!$I:$I),0)</f>
        <v>0</v>
      </c>
      <c r="O267" s="715">
        <f>IFERROR(SUMIF('04-DR'!$F:$F,$A267,'04-DR'!$I:$I),0)</f>
        <v>0</v>
      </c>
      <c r="P267" s="715">
        <f>IFERROR(SUMIF('05-TR'!$F:$F,$A267,'05-TR'!$I:$I),0)</f>
        <v>0</v>
      </c>
      <c r="Q267" s="715">
        <f>IFERROR(SUMIF('06-PAV'!$F:$F,$A267,'06-PAV'!$I:$I),0)</f>
        <v>0</v>
      </c>
      <c r="R267" s="715">
        <f>IFERROR(SUMIF('07-OAEeOAC'!$F:$F,$A267,'07-OAEeOAC'!$I:$I),0)</f>
        <v>0</v>
      </c>
      <c r="S267" s="715">
        <f>IFERROR(SUMIF('08-SIN'!$F:$F,$A267,'08-SIN'!$I:$I),0)</f>
        <v>0</v>
      </c>
      <c r="T267" s="715">
        <f>IFERROR(SUMIF('09-URB'!$F:$F,$A267,'09-URB'!$I:$I),0)</f>
        <v>0</v>
      </c>
      <c r="U267" s="715"/>
      <c r="V267" s="715">
        <f t="shared" si="9"/>
        <v>0</v>
      </c>
      <c r="W267" s="716">
        <v>0</v>
      </c>
      <c r="X267" s="716">
        <f t="shared" si="10"/>
        <v>0</v>
      </c>
      <c r="Z267" s="1917">
        <v>0</v>
      </c>
      <c r="AA267" s="1917">
        <f t="shared" si="11"/>
        <v>0</v>
      </c>
    </row>
    <row r="268" spans="1:27" s="88" customFormat="1" ht="25.5" hidden="1" x14ac:dyDescent="0.25">
      <c r="A268" s="1715" t="s">
        <v>281</v>
      </c>
      <c r="B268" s="1716" t="s">
        <v>410</v>
      </c>
      <c r="C268" s="1717" t="s">
        <v>205</v>
      </c>
      <c r="D268" s="1718">
        <f t="shared" si="6"/>
        <v>0</v>
      </c>
      <c r="E268" s="1718">
        <v>549.96768329985537</v>
      </c>
      <c r="F268" s="1718">
        <f t="shared" si="7"/>
        <v>0</v>
      </c>
      <c r="G268" s="1719">
        <f t="shared" si="8"/>
        <v>0</v>
      </c>
      <c r="H268" s="1720">
        <f>SUM(G$6:G268)</f>
        <v>0.999999999999999</v>
      </c>
      <c r="I268" s="719" t="s">
        <v>463</v>
      </c>
      <c r="J268" s="367"/>
      <c r="K268" s="368"/>
      <c r="L268" s="715">
        <f>IFERROR(SUMIF('01-CO'!$F:$F,$A268,'01-CO'!$I:$I),0)</f>
        <v>0</v>
      </c>
      <c r="M268" s="715">
        <f>IFERROR(SUMIF('02-AL'!$F:$F,$A268,'02-AL'!$I:$I),0)</f>
        <v>0</v>
      </c>
      <c r="N268" s="715">
        <f>IFERROR(SUMIF('03-SP'!$F:$F,$A268,'03-SP'!$I:$I),0)</f>
        <v>0</v>
      </c>
      <c r="O268" s="715">
        <f>IFERROR(SUMIF('04-DR'!$F:$F,$A268,'04-DR'!$I:$I),0)</f>
        <v>0</v>
      </c>
      <c r="P268" s="715">
        <f>IFERROR(SUMIF('05-TR'!$F:$F,$A268,'05-TR'!$I:$I),0)</f>
        <v>0</v>
      </c>
      <c r="Q268" s="715">
        <f>IFERROR(SUMIF('06-PAV'!$F:$F,$A268,'06-PAV'!$I:$I),0)</f>
        <v>0</v>
      </c>
      <c r="R268" s="715">
        <f>IFERROR(SUMIF('07-OAEeOAC'!$F:$F,$A268,'07-OAEeOAC'!$I:$I),0)</f>
        <v>0</v>
      </c>
      <c r="S268" s="715">
        <f>IFERROR(SUMIF('08-SIN'!$F:$F,$A268,'08-SIN'!$I:$I),0)</f>
        <v>0</v>
      </c>
      <c r="T268" s="715">
        <f>IFERROR(SUMIF('09-URB'!$F:$F,$A268,'09-URB'!$I:$I),0)</f>
        <v>0</v>
      </c>
      <c r="U268" s="715"/>
      <c r="V268" s="715">
        <f t="shared" si="9"/>
        <v>0</v>
      </c>
      <c r="W268" s="716">
        <v>0</v>
      </c>
      <c r="X268" s="716">
        <f t="shared" si="10"/>
        <v>0</v>
      </c>
      <c r="Z268" s="1917">
        <v>0</v>
      </c>
      <c r="AA268" s="1917">
        <f t="shared" si="11"/>
        <v>0</v>
      </c>
    </row>
    <row r="269" spans="1:27" s="88" customFormat="1" ht="38.25" hidden="1" x14ac:dyDescent="0.25">
      <c r="A269" s="1715" t="s">
        <v>327</v>
      </c>
      <c r="B269" s="1716" t="s">
        <v>120</v>
      </c>
      <c r="C269" s="1717" t="s">
        <v>205</v>
      </c>
      <c r="D269" s="1718">
        <f t="shared" si="6"/>
        <v>0</v>
      </c>
      <c r="E269" s="1718">
        <v>879.9506999825378</v>
      </c>
      <c r="F269" s="1718">
        <f t="shared" si="7"/>
        <v>0</v>
      </c>
      <c r="G269" s="1719">
        <f t="shared" si="8"/>
        <v>0</v>
      </c>
      <c r="H269" s="1720">
        <f>SUM(G$6:G269)</f>
        <v>0.999999999999999</v>
      </c>
      <c r="I269" s="719" t="s">
        <v>463</v>
      </c>
      <c r="J269" s="367"/>
      <c r="K269" s="368"/>
      <c r="L269" s="715">
        <f>IFERROR(SUMIF('01-CO'!$F:$F,$A269,'01-CO'!$I:$I),0)</f>
        <v>0</v>
      </c>
      <c r="M269" s="715">
        <f>IFERROR(SUMIF('02-AL'!$F:$F,$A269,'02-AL'!$I:$I),0)</f>
        <v>0</v>
      </c>
      <c r="N269" s="715">
        <f>IFERROR(SUMIF('03-SP'!$F:$F,$A269,'03-SP'!$I:$I),0)</f>
        <v>0</v>
      </c>
      <c r="O269" s="715">
        <f>IFERROR(SUMIF('04-DR'!$F:$F,$A269,'04-DR'!$I:$I),0)</f>
        <v>0</v>
      </c>
      <c r="P269" s="715">
        <f>IFERROR(SUMIF('05-TR'!$F:$F,$A269,'05-TR'!$I:$I),0)</f>
        <v>0</v>
      </c>
      <c r="Q269" s="715">
        <f>IFERROR(SUMIF('06-PAV'!$F:$F,$A269,'06-PAV'!$I:$I),0)</f>
        <v>0</v>
      </c>
      <c r="R269" s="715">
        <f>IFERROR(SUMIF('07-OAEeOAC'!$F:$F,$A269,'07-OAEeOAC'!$I:$I),0)</f>
        <v>0</v>
      </c>
      <c r="S269" s="715">
        <f>IFERROR(SUMIF('08-SIN'!$F:$F,$A269,'08-SIN'!$I:$I),0)</f>
        <v>0</v>
      </c>
      <c r="T269" s="715">
        <f>IFERROR(SUMIF('09-URB'!$F:$F,$A269,'09-URB'!$I:$I),0)</f>
        <v>0</v>
      </c>
      <c r="U269" s="715"/>
      <c r="V269" s="715">
        <f t="shared" si="9"/>
        <v>0</v>
      </c>
      <c r="W269" s="716">
        <v>0</v>
      </c>
      <c r="X269" s="716">
        <f t="shared" si="10"/>
        <v>0</v>
      </c>
      <c r="Z269" s="1917">
        <v>0</v>
      </c>
      <c r="AA269" s="1917">
        <f t="shared" si="11"/>
        <v>0</v>
      </c>
    </row>
    <row r="270" spans="1:27" x14ac:dyDescent="0.25">
      <c r="A270" s="342"/>
      <c r="B270" s="84"/>
      <c r="C270" s="99"/>
      <c r="D270" s="85"/>
      <c r="E270" s="100" t="s">
        <v>1525</v>
      </c>
      <c r="F270" s="101">
        <v>51525804.261244446</v>
      </c>
      <c r="G270" s="102"/>
      <c r="H270" s="103"/>
      <c r="I270" s="45"/>
      <c r="J270" s="364"/>
      <c r="L270" s="1592">
        <f t="shared" ref="L270:T270" si="12">SUMPRODUCT($E$6:$E$269, L6:L269)</f>
        <v>1747582.6244827877</v>
      </c>
      <c r="M270" s="1593">
        <f t="shared" si="12"/>
        <v>3571835.7619339437</v>
      </c>
      <c r="N270" s="1592">
        <f t="shared" si="12"/>
        <v>703821.75660940458</v>
      </c>
      <c r="O270" s="1592">
        <f t="shared" si="12"/>
        <v>20385874.786871042</v>
      </c>
      <c r="P270" s="1592">
        <f t="shared" si="12"/>
        <v>2325856.917479963</v>
      </c>
      <c r="Q270" s="1592">
        <f t="shared" si="12"/>
        <v>14898899.148945387</v>
      </c>
      <c r="R270" s="1592">
        <f t="shared" si="12"/>
        <v>6599348.7318358012</v>
      </c>
      <c r="S270" s="1592">
        <f t="shared" si="12"/>
        <v>405272.52654953004</v>
      </c>
      <c r="T270" s="1592">
        <f t="shared" si="12"/>
        <v>887312.00653654814</v>
      </c>
      <c r="U270" s="1592"/>
      <c r="V270" s="1592"/>
      <c r="W270" s="712" t="s">
        <v>1106</v>
      </c>
      <c r="X270" s="714">
        <v>514151.5991861432</v>
      </c>
      <c r="AA270" s="1920">
        <v>2579.1866599813343</v>
      </c>
    </row>
    <row r="271" spans="1:27" x14ac:dyDescent="0.25">
      <c r="A271" s="343"/>
      <c r="I271" s="45"/>
      <c r="L271" s="715">
        <f>'01-CO'!$M$9</f>
        <v>1739810.3222918774</v>
      </c>
      <c r="M271" s="1594">
        <f>'02-AL'!$M$9</f>
        <v>3571835.7619339433</v>
      </c>
      <c r="N271" s="715">
        <f>'03-SP'!$M$9</f>
        <v>703821.75660940469</v>
      </c>
      <c r="O271" s="715">
        <f>'04-DR'!$M$9</f>
        <v>20385874.786871046</v>
      </c>
      <c r="P271" s="715">
        <f>'05-TR'!$M$9</f>
        <v>2325856.9174799626</v>
      </c>
      <c r="Q271" s="715">
        <f>'06-PAV'!$M$9</f>
        <v>14898899.148945386</v>
      </c>
      <c r="R271" s="715">
        <f>'07-OAEeOAC'!$M$9</f>
        <v>6599348.7318358049</v>
      </c>
      <c r="S271" s="715">
        <f>'08-SIN'!$M$9</f>
        <v>405272.52654953004</v>
      </c>
      <c r="T271" s="715">
        <f>'09-URB'!$M$9</f>
        <v>887312.00653654826</v>
      </c>
      <c r="U271" s="715"/>
      <c r="V271" s="715"/>
      <c r="W271" s="713" t="s">
        <v>1107</v>
      </c>
      <c r="X271" s="716">
        <v>18</v>
      </c>
    </row>
    <row r="272" spans="1:27" s="233" customFormat="1" x14ac:dyDescent="0.25">
      <c r="A272" s="343"/>
      <c r="C272" s="235"/>
      <c r="D272" s="234"/>
      <c r="E272" s="234"/>
      <c r="F272" s="234"/>
      <c r="G272" s="87"/>
      <c r="H272" s="87"/>
      <c r="J272" s="46"/>
      <c r="K272" s="46"/>
      <c r="L272" s="715"/>
      <c r="M272" s="1594"/>
      <c r="N272" s="715"/>
      <c r="O272" s="715"/>
      <c r="P272" s="715"/>
      <c r="Q272" s="715"/>
      <c r="R272" s="715"/>
      <c r="S272" s="715"/>
      <c r="T272" s="715"/>
      <c r="U272" s="715"/>
      <c r="V272" s="715"/>
      <c r="W272" s="713" t="s">
        <v>1108</v>
      </c>
      <c r="X272" s="716">
        <v>28563.977732563511</v>
      </c>
      <c r="Z272" s="1916"/>
      <c r="AA272" s="1916"/>
    </row>
    <row r="273" spans="1:27" s="233" customFormat="1" x14ac:dyDescent="0.25">
      <c r="A273" s="235"/>
      <c r="C273" s="235"/>
      <c r="D273" s="234"/>
      <c r="E273" s="234"/>
      <c r="F273" s="234"/>
      <c r="G273" s="87"/>
      <c r="H273" s="87"/>
      <c r="J273" s="46"/>
      <c r="K273" s="46"/>
      <c r="L273" s="715"/>
      <c r="M273" s="1594"/>
      <c r="N273" s="715"/>
      <c r="O273" s="715"/>
      <c r="P273" s="715"/>
      <c r="Q273" s="715"/>
      <c r="R273" s="715"/>
      <c r="S273" s="715"/>
      <c r="T273" s="715"/>
      <c r="U273" s="715"/>
      <c r="V273" s="715"/>
      <c r="W273" s="713" t="s">
        <v>1109</v>
      </c>
      <c r="X273" s="716">
        <v>191.2</v>
      </c>
      <c r="Z273" s="1916"/>
      <c r="AA273" s="1916"/>
    </row>
    <row r="274" spans="1:27" x14ac:dyDescent="0.25">
      <c r="A274" s="45"/>
      <c r="F274" s="191" t="s">
        <v>135</v>
      </c>
      <c r="G274" s="192"/>
      <c r="H274" s="193"/>
      <c r="I274" s="45"/>
      <c r="L274" s="715"/>
      <c r="M274" s="1594"/>
      <c r="N274" s="715"/>
      <c r="O274" s="715"/>
      <c r="P274" s="715"/>
      <c r="Q274" s="715"/>
      <c r="R274" s="715"/>
      <c r="S274" s="715"/>
      <c r="T274" s="715"/>
      <c r="U274" s="715"/>
      <c r="V274" s="715"/>
      <c r="W274" s="713" t="s">
        <v>1110</v>
      </c>
      <c r="X274" s="716">
        <v>150</v>
      </c>
    </row>
    <row r="275" spans="1:27" x14ac:dyDescent="0.25">
      <c r="A275" s="256" t="str">
        <f>'PSP-RESUMO'!$A$16</f>
        <v>RRT DO ORÇAMENTO: 0</v>
      </c>
      <c r="F275" s="194" t="s">
        <v>136</v>
      </c>
      <c r="G275" s="195"/>
      <c r="H275" s="196"/>
      <c r="I275" s="45"/>
    </row>
    <row r="276" spans="1:27" x14ac:dyDescent="0.25">
      <c r="I276" s="45"/>
    </row>
    <row r="277" spans="1:27" ht="15.75" thickBot="1" x14ac:dyDescent="0.3">
      <c r="I277" s="45"/>
    </row>
    <row r="278" spans="1:27" x14ac:dyDescent="0.25">
      <c r="A278" s="316" t="s">
        <v>1003</v>
      </c>
      <c r="B278" s="317"/>
      <c r="C278" s="318"/>
      <c r="D278" s="319"/>
      <c r="E278" s="319"/>
      <c r="F278" s="320"/>
      <c r="I278" s="45"/>
    </row>
    <row r="279" spans="1:27" x14ac:dyDescent="0.25">
      <c r="A279" s="321" t="s">
        <v>165</v>
      </c>
      <c r="B279" s="281" t="s">
        <v>974</v>
      </c>
      <c r="C279" s="322" t="s">
        <v>55</v>
      </c>
      <c r="D279" s="323">
        <f>SUMIF($A$5:$A$270,$A279,D$5:D$270)</f>
        <v>0</v>
      </c>
      <c r="E279" s="323">
        <v>5994.75</v>
      </c>
      <c r="F279" s="324">
        <f>SUMIF($A$5:$A$270,$A279,F$5:F$270)</f>
        <v>0</v>
      </c>
      <c r="I279" s="45"/>
    </row>
    <row r="280" spans="1:27" x14ac:dyDescent="0.25">
      <c r="A280" s="321" t="s">
        <v>167</v>
      </c>
      <c r="B280" s="281" t="s">
        <v>973</v>
      </c>
      <c r="C280" s="322" t="s">
        <v>55</v>
      </c>
      <c r="D280" s="323">
        <f>SUMIF($A$5:$A$270,$A280,D$5:D$270)</f>
        <v>3.5987699999999996</v>
      </c>
      <c r="E280" s="323">
        <v>2918.58</v>
      </c>
      <c r="F280" s="324">
        <f>SUMIF($A$5:$A$270,$A280,F$5:F$270)</f>
        <v>11668.810883106016</v>
      </c>
      <c r="I280" s="45"/>
    </row>
    <row r="281" spans="1:27" x14ac:dyDescent="0.25">
      <c r="A281" s="321" t="s">
        <v>271</v>
      </c>
      <c r="B281" s="281" t="s">
        <v>946</v>
      </c>
      <c r="C281" s="322" t="s">
        <v>55</v>
      </c>
      <c r="D281" s="323">
        <f>SUMIF($A$5:$A$270,$A281,D$5:D$270)</f>
        <v>0</v>
      </c>
      <c r="E281" s="323">
        <v>4162.1000000000004</v>
      </c>
      <c r="F281" s="324">
        <f>SUMIF($A$5:$A$270,$A281,F$5:F$270)</f>
        <v>0</v>
      </c>
      <c r="I281" s="45"/>
    </row>
    <row r="282" spans="1:27" s="233" customFormat="1" x14ac:dyDescent="0.25">
      <c r="A282" s="321" t="s">
        <v>164</v>
      </c>
      <c r="B282" s="281" t="s">
        <v>3638</v>
      </c>
      <c r="C282" s="322" t="s">
        <v>55</v>
      </c>
      <c r="D282" s="323">
        <f>SUMIF($A$5:$A$270,$A282,D$5:D$270)</f>
        <v>28096.973968500621</v>
      </c>
      <c r="E282" s="323">
        <v>12.23</v>
      </c>
      <c r="F282" s="324">
        <f>SUMIF($A$5:$A$270,$A282,F$5:F$270)</f>
        <v>343625.99163476261</v>
      </c>
      <c r="G282" s="87"/>
      <c r="H282" s="87"/>
      <c r="J282" s="46"/>
      <c r="K282" s="46"/>
      <c r="L282" s="278"/>
      <c r="M282" s="365"/>
      <c r="N282" s="278"/>
      <c r="O282" s="278"/>
      <c r="P282" s="278"/>
      <c r="Q282" s="278"/>
      <c r="R282" s="278"/>
      <c r="S282" s="278"/>
      <c r="T282" s="278"/>
      <c r="U282" s="278"/>
      <c r="V282" s="278"/>
      <c r="W282" s="709"/>
      <c r="X282" s="709"/>
      <c r="Z282" s="1916"/>
      <c r="AA282" s="1916"/>
    </row>
    <row r="283" spans="1:27" ht="15.75" thickBot="1" x14ac:dyDescent="0.3">
      <c r="A283" s="325"/>
      <c r="B283" s="326"/>
      <c r="C283" s="327"/>
      <c r="D283" s="328"/>
      <c r="E283" s="329" t="s">
        <v>1004</v>
      </c>
      <c r="F283" s="330">
        <f>SUM(F278:F282)</f>
        <v>355294.80251786864</v>
      </c>
      <c r="I283" s="45"/>
    </row>
    <row r="285" spans="1:27" ht="15.75" thickBot="1" x14ac:dyDescent="0.3"/>
    <row r="286" spans="1:27" s="233" customFormat="1" x14ac:dyDescent="0.25">
      <c r="A286" s="316" t="s">
        <v>1084</v>
      </c>
      <c r="B286" s="134"/>
      <c r="C286" s="135"/>
      <c r="D286" s="344" t="s">
        <v>1086</v>
      </c>
      <c r="E286" s="344" t="s">
        <v>916</v>
      </c>
      <c r="F286" s="344" t="s">
        <v>1085</v>
      </c>
      <c r="G286" s="345" t="s">
        <v>964</v>
      </c>
      <c r="H286" s="87"/>
      <c r="I286" s="717"/>
      <c r="J286" s="46"/>
      <c r="K286" s="46"/>
      <c r="L286" s="46"/>
      <c r="M286" s="278"/>
      <c r="N286" s="365"/>
      <c r="O286" s="278"/>
      <c r="P286" s="278"/>
      <c r="Q286" s="278"/>
      <c r="R286" s="278"/>
      <c r="S286" s="278"/>
      <c r="T286" s="278"/>
      <c r="U286" s="278"/>
      <c r="V286" s="278"/>
      <c r="W286" s="709"/>
      <c r="X286" s="709"/>
      <c r="Z286" s="1916"/>
      <c r="AA286" s="1916"/>
    </row>
    <row r="287" spans="1:27" x14ac:dyDescent="0.25">
      <c r="A287" s="321">
        <v>96620</v>
      </c>
      <c r="B287" s="281" t="s">
        <v>69</v>
      </c>
      <c r="C287" s="322" t="s">
        <v>44</v>
      </c>
      <c r="D287" s="349">
        <f>VLOOKUP(A287, A$5:D$270, 4, FALSE)
+SUM(D93:D95) * 0.1</f>
        <v>14686.156497994039</v>
      </c>
      <c r="E287" s="349"/>
      <c r="F287" s="349"/>
      <c r="G287" s="350">
        <f>IF(C287="M3",D287,IF(C287="M2",D287*F287,E287*F287))</f>
        <v>14686.156497994039</v>
      </c>
      <c r="I287" s="717"/>
      <c r="L287" s="363">
        <f>VLOOKUP($A287, $A$6:L$270, 12, FALSE)
+SUM(L93:L95) * 0.1</f>
        <v>345</v>
      </c>
      <c r="M287" s="278">
        <f>VLOOKUP($A287, $A$6:M$270, 13, FALSE)
+SUM(M93:M95) * 0.1</f>
        <v>0</v>
      </c>
      <c r="N287" s="365">
        <f>VLOOKUP($A287, $A$6:N$270, 14, FALSE)
+SUM(N93:N95) * 0.1</f>
        <v>114.774</v>
      </c>
      <c r="O287" s="278">
        <f>VLOOKUP($A287, $A$6:O$270, 15, FALSE)
+SUM(O93:O95) * 0.1</f>
        <v>751.92673799186366</v>
      </c>
    </row>
    <row r="288" spans="1:27" x14ac:dyDescent="0.25">
      <c r="A288" s="321"/>
      <c r="B288" s="281"/>
      <c r="C288" s="322"/>
      <c r="D288" s="349"/>
      <c r="E288" s="349"/>
      <c r="F288" s="349"/>
      <c r="G288" s="350"/>
      <c r="I288" s="717"/>
      <c r="L288" s="46"/>
      <c r="M288" s="278"/>
      <c r="N288" s="365"/>
    </row>
    <row r="289" spans="1:14" x14ac:dyDescent="0.25">
      <c r="A289" s="321"/>
      <c r="B289" s="281"/>
      <c r="C289" s="322"/>
      <c r="D289" s="349"/>
      <c r="E289" s="349"/>
      <c r="F289" s="349"/>
      <c r="G289" s="350"/>
      <c r="I289" s="717"/>
      <c r="L289" s="46"/>
      <c r="M289" s="278"/>
      <c r="N289" s="365"/>
    </row>
    <row r="290" spans="1:14" x14ac:dyDescent="0.25">
      <c r="A290" s="321"/>
      <c r="B290" s="281"/>
      <c r="C290" s="322"/>
      <c r="D290" s="349"/>
      <c r="E290" s="349"/>
      <c r="F290" s="349"/>
      <c r="G290" s="350"/>
      <c r="I290" s="717"/>
      <c r="L290" s="46"/>
      <c r="M290" s="278"/>
      <c r="N290" s="365"/>
    </row>
    <row r="291" spans="1:14" ht="15.75" thickBot="1" x14ac:dyDescent="0.3">
      <c r="A291" s="346"/>
      <c r="B291" s="347"/>
      <c r="C291" s="348"/>
      <c r="D291" s="351"/>
      <c r="E291" s="351"/>
      <c r="F291" s="351"/>
      <c r="G291" s="352"/>
      <c r="I291" s="717"/>
      <c r="L291" s="46"/>
      <c r="M291" s="278"/>
      <c r="N291" s="365"/>
    </row>
  </sheetData>
  <autoFilter ref="A4:X270" xr:uid="{D58F463C-28B0-46B5-B21B-67C6929B2864}">
    <filterColumn colId="3">
      <filters blank="1">
        <filter val="0,75"/>
        <filter val="0,90"/>
        <filter val="1,00"/>
        <filter val="1,92"/>
        <filter val="1.025,21"/>
        <filter val="1.118,82"/>
        <filter val="1.164,98"/>
        <filter val="1.370,34"/>
        <filter val="1.440,00"/>
        <filter val="1.445,18"/>
        <filter val="1.490,00"/>
        <filter val="1.642,22"/>
        <filter val="1.700,44"/>
        <filter val="1.743,40"/>
        <filter val="1.830,87"/>
        <filter val="10,00"/>
        <filter val="10.799,40"/>
        <filter val="101,20"/>
        <filter val="108,00"/>
        <filter val="11.441,16"/>
        <filter val="11.822,83"/>
        <filter val="11.978,76"/>
        <filter val="117,40"/>
        <filter val="117.059,27"/>
        <filter val="119,00"/>
        <filter val="12,00"/>
        <filter val="12.081,41"/>
        <filter val="12.140,74"/>
        <filter val="121,00"/>
        <filter val="121,70"/>
        <filter val="127,13"/>
        <filter val="13,00"/>
        <filter val="13,05"/>
        <filter val="13.873,40"/>
        <filter val="130.755,58"/>
        <filter val="144,87"/>
        <filter val="15.459,43"/>
        <filter val="15.750,00"/>
        <filter val="15.835,52"/>
        <filter val="152,93"/>
        <filter val="159,45"/>
        <filter val="16.885,91"/>
        <filter val="161,00"/>
        <filter val="167,60"/>
        <filter val="17,00"/>
        <filter val="17.433,08"/>
        <filter val="17.514,40"/>
        <filter val="172,13"/>
        <filter val="175,00"/>
        <filter val="18.436,00"/>
        <filter val="19,20"/>
        <filter val="19.732,00"/>
        <filter val="199,82"/>
        <filter val="2,00"/>
        <filter val="2,71"/>
        <filter val="2.065,07"/>
        <filter val="2.165,17"/>
        <filter val="2.206,83"/>
        <filter val="2.348,71"/>
        <filter val="2.357,00"/>
        <filter val="2.410,51"/>
        <filter val="2.560,80"/>
        <filter val="2.686.926,18"/>
        <filter val="2.816,14"/>
        <filter val="2.920,09"/>
        <filter val="2.986,73"/>
        <filter val="20,10"/>
        <filter val="200,00"/>
        <filter val="205.537,07"/>
        <filter val="21.828,98"/>
        <filter val="219,64"/>
        <filter val="22,67"/>
        <filter val="220,99"/>
        <filter val="224,00"/>
        <filter val="23.380,00"/>
        <filter val="231,37"/>
        <filter val="237,47"/>
        <filter val="24,00"/>
        <filter val="24,59"/>
        <filter val="248.376,08"/>
        <filter val="254,10"/>
        <filter val="259.013,05"/>
        <filter val="26,40"/>
        <filter val="26.222,62"/>
        <filter val="27.132,18"/>
        <filter val="277,82"/>
        <filter val="28.096,97"/>
        <filter val="285,13"/>
        <filter val="289,00"/>
        <filter val="29.225,00"/>
        <filter val="29.589,67"/>
        <filter val="3,00"/>
        <filter val="3,60"/>
        <filter val="3.083,00"/>
        <filter val="3.842,76"/>
        <filter val="30.814,02"/>
        <filter val="306,75"/>
        <filter val="31.047,01"/>
        <filter val="32,56"/>
        <filter val="33,34"/>
        <filter val="332,61"/>
        <filter val="339,00"/>
        <filter val="341,00"/>
        <filter val="35.911,60"/>
        <filter val="36,00"/>
        <filter val="37,50"/>
        <filter val="37,62"/>
        <filter val="375,24"/>
        <filter val="377,07"/>
        <filter val="379,50"/>
        <filter val="38.616,80"/>
        <filter val="380,00"/>
        <filter val="39,71"/>
        <filter val="39,90"/>
        <filter val="39.273,38"/>
        <filter val="39.676,28"/>
        <filter val="4,00"/>
        <filter val="4.011,18"/>
        <filter val="4.190,48"/>
        <filter val="4.195,54"/>
        <filter val="4.340,67"/>
        <filter val="4.726,78"/>
        <filter val="40,00"/>
        <filter val="400,86"/>
        <filter val="41,00"/>
        <filter val="413,09"/>
        <filter val="42.269,96"/>
        <filter val="426,19"/>
        <filter val="43.925,83"/>
        <filter val="44,20"/>
        <filter val="441,00"/>
        <filter val="45,00"/>
        <filter val="45.674,72"/>
        <filter val="464,00"/>
        <filter val="48,89"/>
        <filter val="493,18"/>
        <filter val="497,33"/>
        <filter val="5.083,79"/>
        <filter val="5.203,72"/>
        <filter val="5.742,05"/>
        <filter val="5.764,14"/>
        <filter val="5.997,95"/>
        <filter val="506,57"/>
        <filter val="51,50"/>
        <filter val="54,00"/>
        <filter val="56,00"/>
        <filter val="594,00"/>
        <filter val="6,00"/>
        <filter val="60,00"/>
        <filter val="616,00"/>
        <filter val="617,18"/>
        <filter val="62,28"/>
        <filter val="63,00"/>
        <filter val="64,40"/>
        <filter val="67,50"/>
        <filter val="68.809,73"/>
        <filter val="691,62"/>
        <filter val="695,60"/>
        <filter val="75.426,23"/>
        <filter val="751,32"/>
        <filter val="76,40"/>
        <filter val="8,55"/>
        <filter val="8.392,63"/>
        <filter val="8.628,69"/>
        <filter val="8.979,41"/>
        <filter val="8.988,80"/>
        <filter val="84.042,83"/>
        <filter val="848,00"/>
        <filter val="88,00"/>
        <filter val="88,40"/>
        <filter val="9,00"/>
        <filter val="9.974,76"/>
        <filter val="90,00"/>
        <filter val="938,28"/>
        <filter val="97,00"/>
        <filter val="987,01"/>
        <filter val="988,00"/>
        <filter val="QUANT TOTAL"/>
      </filters>
    </filterColumn>
  </autoFilter>
  <sortState xmlns:xlrd2="http://schemas.microsoft.com/office/spreadsheetml/2017/richdata2" ref="A6:AA269">
    <sortCondition descending="1" ref="F6:F269"/>
  </sortState>
  <mergeCells count="2">
    <mergeCell ref="V4:V5"/>
    <mergeCell ref="Z3:AA4"/>
  </mergeCells>
  <phoneticPr fontId="45" type="noConversion"/>
  <pageMargins left="0.511811024" right="0.511811024" top="0.78740157499999996" bottom="0.78740157499999996" header="0.31496062000000002" footer="0.31496062000000002"/>
  <pageSetup paperSize="9" scale="92"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A81EA-1375-459F-B29F-C987CFDD1C10}">
  <sheetPr filterMode="1">
    <tabColor rgb="FF002060"/>
    <pageSetUpPr fitToPage="1"/>
  </sheetPr>
  <dimension ref="A1:AM1031"/>
  <sheetViews>
    <sheetView showGridLines="0" workbookViewId="0">
      <pane xSplit="6" ySplit="5" topLeftCell="G1008" activePane="bottomRight" state="frozen"/>
      <selection activeCell="P26" sqref="P26"/>
      <selection pane="topRight" activeCell="P26" sqref="P26"/>
      <selection pane="bottomLeft" activeCell="P26" sqref="P26"/>
      <selection pane="bottomRight" activeCell="N1029" sqref="N1029"/>
    </sheetView>
  </sheetViews>
  <sheetFormatPr defaultColWidth="9.140625" defaultRowHeight="11.25" x14ac:dyDescent="0.25"/>
  <cols>
    <col min="1" max="1" width="9.7109375" style="50" customWidth="1"/>
    <col min="2" max="2" width="11.7109375" style="50" customWidth="1"/>
    <col min="3" max="4" width="9.7109375" style="50" customWidth="1"/>
    <col min="5" max="5" width="50.7109375" style="48" customWidth="1"/>
    <col min="6" max="6" width="7.7109375" style="50" customWidth="1"/>
    <col min="7" max="7" width="15.7109375" style="53" customWidth="1"/>
    <col min="8" max="9" width="12.7109375" style="49" customWidth="1"/>
    <col min="10" max="15" width="11.7109375" style="49" customWidth="1"/>
    <col min="16" max="16" width="8.7109375" style="49" customWidth="1"/>
    <col min="17" max="18" width="30.7109375" style="48" customWidth="1"/>
    <col min="19" max="19" width="9.140625" style="50"/>
    <col min="20" max="20" width="10.5703125" style="48" bestFit="1" customWidth="1"/>
    <col min="21" max="21" width="9.140625" style="48"/>
    <col min="22" max="22" width="2.7109375" style="48" customWidth="1"/>
    <col min="23" max="24" width="9.140625" style="50"/>
    <col min="25" max="25" width="8.7109375" style="50" customWidth="1"/>
    <col min="26" max="26" width="8.7109375" style="723" customWidth="1"/>
    <col min="27" max="27" width="12.7109375" style="50" customWidth="1"/>
    <col min="28" max="28" width="12.7109375" style="377" customWidth="1"/>
    <col min="29" max="29" width="12.7109375" style="379" customWidth="1"/>
    <col min="30" max="33" width="14.7109375" style="377" customWidth="1"/>
    <col min="34" max="34" width="9.140625" style="48"/>
    <col min="35" max="36" width="10.7109375" style="377" customWidth="1"/>
    <col min="37" max="16384" width="9.140625" style="48"/>
  </cols>
  <sheetData>
    <row r="1" spans="1:39" x14ac:dyDescent="0.25">
      <c r="B1" s="66" t="s">
        <v>128</v>
      </c>
      <c r="Q1" s="289"/>
      <c r="R1" s="289"/>
    </row>
    <row r="2" spans="1:39" x14ac:dyDescent="0.25">
      <c r="B2" s="52"/>
      <c r="Q2" s="289"/>
      <c r="T2" s="285"/>
      <c r="U2" s="285"/>
    </row>
    <row r="3" spans="1:39" ht="12.75" x14ac:dyDescent="0.25">
      <c r="B3" s="48"/>
      <c r="E3" s="49"/>
      <c r="S3" s="374" t="s">
        <v>1521</v>
      </c>
      <c r="T3" s="374"/>
      <c r="U3" s="374"/>
      <c r="W3" s="375" t="s">
        <v>1097</v>
      </c>
      <c r="X3" s="375"/>
      <c r="Y3" s="375"/>
      <c r="Z3" s="724"/>
      <c r="AA3" s="285"/>
      <c r="AB3" s="720"/>
      <c r="AC3" s="721"/>
      <c r="AD3" s="720"/>
      <c r="AE3" s="720"/>
      <c r="AF3" s="720"/>
      <c r="AG3" s="720"/>
      <c r="AL3" s="48" t="s">
        <v>1512</v>
      </c>
    </row>
    <row r="4" spans="1:39" ht="33.75" x14ac:dyDescent="0.25">
      <c r="A4" s="63" t="s">
        <v>119</v>
      </c>
      <c r="B4" s="63" t="s">
        <v>118</v>
      </c>
      <c r="C4" s="63" t="s">
        <v>87</v>
      </c>
      <c r="D4" s="63" t="s">
        <v>117</v>
      </c>
      <c r="E4" s="63" t="s">
        <v>116</v>
      </c>
      <c r="F4" s="63" t="s">
        <v>115</v>
      </c>
      <c r="G4" s="64" t="s">
        <v>114</v>
      </c>
      <c r="H4" s="65" t="s">
        <v>113</v>
      </c>
      <c r="I4" s="65" t="s">
        <v>112</v>
      </c>
      <c r="J4" s="65" t="s">
        <v>84</v>
      </c>
      <c r="K4" s="65" t="s">
        <v>998</v>
      </c>
      <c r="L4" s="65" t="s">
        <v>999</v>
      </c>
      <c r="M4" s="65" t="s">
        <v>1000</v>
      </c>
      <c r="N4" s="65" t="s">
        <v>1001</v>
      </c>
      <c r="O4" s="65" t="s">
        <v>1002</v>
      </c>
      <c r="P4" s="65" t="s">
        <v>722</v>
      </c>
      <c r="Q4" s="63" t="s">
        <v>127</v>
      </c>
      <c r="R4" s="372" t="s">
        <v>83</v>
      </c>
      <c r="S4" s="373" t="s">
        <v>1096</v>
      </c>
      <c r="T4" s="722" t="s">
        <v>1520</v>
      </c>
      <c r="U4" s="722"/>
      <c r="W4" s="722" t="s">
        <v>1522</v>
      </c>
      <c r="X4" s="722" t="s">
        <v>1523</v>
      </c>
      <c r="Y4" s="373" t="s">
        <v>422</v>
      </c>
      <c r="Z4" s="725" t="s">
        <v>1053</v>
      </c>
      <c r="AA4" s="376" t="s">
        <v>1099</v>
      </c>
      <c r="AB4" s="376" t="s">
        <v>1100</v>
      </c>
      <c r="AC4" s="380" t="s">
        <v>1104</v>
      </c>
      <c r="AD4" s="376" t="s">
        <v>1101</v>
      </c>
      <c r="AE4" s="376" t="s">
        <v>1102</v>
      </c>
      <c r="AF4" s="376" t="s">
        <v>1103</v>
      </c>
      <c r="AG4" s="376" t="s">
        <v>1105</v>
      </c>
      <c r="AI4" s="1919" t="s">
        <v>4141</v>
      </c>
      <c r="AJ4" s="1919" t="s">
        <v>4140</v>
      </c>
      <c r="AL4" s="48" t="s">
        <v>87</v>
      </c>
      <c r="AM4" s="48" t="s">
        <v>86</v>
      </c>
    </row>
    <row r="5" spans="1:39" hidden="1" x14ac:dyDescent="0.25">
      <c r="Z5" s="50"/>
    </row>
    <row r="6" spans="1:39" s="51" customFormat="1" ht="45" hidden="1" x14ac:dyDescent="0.25">
      <c r="A6" s="55" t="s">
        <v>872</v>
      </c>
      <c r="B6" s="55" t="s">
        <v>138</v>
      </c>
      <c r="C6" s="55" t="s">
        <v>872</v>
      </c>
      <c r="D6" s="55"/>
      <c r="E6" s="56" t="s">
        <v>873</v>
      </c>
      <c r="F6" s="55" t="s">
        <v>41</v>
      </c>
      <c r="G6" s="57"/>
      <c r="H6" s="58"/>
      <c r="I6" s="58"/>
      <c r="J6" s="58">
        <f>SUM(I6:I18)</f>
        <v>72.308778599000007</v>
      </c>
      <c r="K6" s="58">
        <v>21.69243189643333</v>
      </c>
      <c r="L6" s="58">
        <v>50.597569184246666</v>
      </c>
      <c r="M6" s="58">
        <v>1.8777518319999999E-2</v>
      </c>
      <c r="N6" s="58">
        <v>0</v>
      </c>
      <c r="O6" s="58">
        <v>4.4755865680201623E-16</v>
      </c>
      <c r="P6" s="58"/>
      <c r="Q6" s="56" t="s">
        <v>874</v>
      </c>
      <c r="R6" s="56" t="s">
        <v>419</v>
      </c>
      <c r="S6" s="286" t="str">
        <f t="shared" ref="S6:S69" si="0">IF(T6 &lt;&gt; "", "SIM", "")</f>
        <v/>
      </c>
      <c r="T6" s="286" t="str">
        <f>IF($C6= "", T5, IF(ISNA(VLOOKUP($C6,'ABC-S'!$A$5:$A$271,1,FALSE)), "", VLOOKUP($C6,'ABC-S'!$A$5:$A$271,1,FALSE)))</f>
        <v/>
      </c>
      <c r="W6" s="286" t="s">
        <v>872</v>
      </c>
      <c r="X6" s="286"/>
      <c r="Y6" s="286"/>
      <c r="Z6" s="286"/>
      <c r="AA6" s="286" t="s">
        <v>21</v>
      </c>
      <c r="AB6" s="378">
        <v>1.5</v>
      </c>
      <c r="AC6" s="378"/>
      <c r="AD6" s="335"/>
      <c r="AE6" s="335"/>
      <c r="AF6" s="335"/>
      <c r="AG6" s="378">
        <v>1.5006274399999999</v>
      </c>
      <c r="AI6" s="378" t="s">
        <v>21</v>
      </c>
      <c r="AJ6" s="378" t="s">
        <v>21</v>
      </c>
      <c r="AL6" s="286"/>
      <c r="AM6" s="286"/>
    </row>
    <row r="7" spans="1:39" s="51" customFormat="1" ht="22.5" hidden="1" x14ac:dyDescent="0.25">
      <c r="A7" s="59" t="s">
        <v>872</v>
      </c>
      <c r="B7" s="59" t="s">
        <v>87</v>
      </c>
      <c r="C7" s="248"/>
      <c r="D7" s="59">
        <v>88262</v>
      </c>
      <c r="E7" s="60" t="s">
        <v>535</v>
      </c>
      <c r="F7" s="59" t="s">
        <v>46</v>
      </c>
      <c r="G7" s="61">
        <f>1/3</f>
        <v>0.33333333333333331</v>
      </c>
      <c r="H7" s="62">
        <v>23.68</v>
      </c>
      <c r="I7" s="62">
        <f t="shared" ref="I7:I18" si="1">IF($D7="","",G7*H7)</f>
        <v>7.8933333333333326</v>
      </c>
      <c r="J7" s="62"/>
      <c r="K7" s="62">
        <v>5.8866666666666667</v>
      </c>
      <c r="L7" s="62">
        <v>2.0066666666666664</v>
      </c>
      <c r="M7" s="62">
        <v>0</v>
      </c>
      <c r="N7" s="62">
        <v>0</v>
      </c>
      <c r="O7" s="62">
        <v>0</v>
      </c>
      <c r="P7" s="298" t="s">
        <v>4160</v>
      </c>
      <c r="Q7" s="60" t="s">
        <v>27</v>
      </c>
      <c r="R7" s="60" t="s">
        <v>174</v>
      </c>
      <c r="S7" s="286" t="str">
        <f t="shared" si="0"/>
        <v/>
      </c>
      <c r="T7" s="286" t="str">
        <f>IF($C7= "", T6, IF(ISNA(VLOOKUP($C7,'ABC-S'!$A$5:$A$271,1,FALSE)), "", VLOOKUP($C7,'ABC-S'!$A$5:$A$271,1,FALSE)))</f>
        <v/>
      </c>
      <c r="W7" s="286" t="s">
        <v>872</v>
      </c>
      <c r="X7" s="286">
        <v>88262</v>
      </c>
      <c r="Y7" s="286" t="s">
        <v>424</v>
      </c>
      <c r="Z7" s="335">
        <v>0</v>
      </c>
      <c r="AA7" s="286">
        <v>0.33333333333333331</v>
      </c>
      <c r="AB7" s="378"/>
      <c r="AC7" s="381" t="s">
        <v>21</v>
      </c>
      <c r="AD7" s="378" t="s">
        <v>21</v>
      </c>
      <c r="AE7" s="378" t="s">
        <v>21</v>
      </c>
      <c r="AF7" s="378" t="s">
        <v>21</v>
      </c>
      <c r="AG7" s="378"/>
      <c r="AI7" s="378">
        <v>0</v>
      </c>
      <c r="AJ7" s="378">
        <v>0</v>
      </c>
      <c r="AL7" s="286">
        <v>88262</v>
      </c>
      <c r="AM7" s="286"/>
    </row>
    <row r="8" spans="1:39" s="51" customFormat="1" ht="22.5" hidden="1" x14ac:dyDescent="0.25">
      <c r="A8" s="59" t="s">
        <v>872</v>
      </c>
      <c r="B8" s="59" t="s">
        <v>87</v>
      </c>
      <c r="C8" s="248"/>
      <c r="D8" s="59">
        <v>88278</v>
      </c>
      <c r="E8" s="60" t="s">
        <v>601</v>
      </c>
      <c r="F8" s="59" t="s">
        <v>46</v>
      </c>
      <c r="G8" s="61">
        <f>0.5/3</f>
        <v>0.16666666666666666</v>
      </c>
      <c r="H8" s="62">
        <v>18.21</v>
      </c>
      <c r="I8" s="62">
        <f t="shared" si="1"/>
        <v>3.0350000000000001</v>
      </c>
      <c r="J8" s="62"/>
      <c r="K8" s="62">
        <v>2.1633333333333331</v>
      </c>
      <c r="L8" s="62">
        <v>0.8716666666666667</v>
      </c>
      <c r="M8" s="62">
        <v>0</v>
      </c>
      <c r="N8" s="62">
        <v>0</v>
      </c>
      <c r="O8" s="62">
        <v>4.4408920985006262E-16</v>
      </c>
      <c r="P8" s="298" t="s">
        <v>4160</v>
      </c>
      <c r="Q8" s="60" t="s">
        <v>27</v>
      </c>
      <c r="R8" s="60" t="s">
        <v>174</v>
      </c>
      <c r="S8" s="286" t="str">
        <f t="shared" si="0"/>
        <v/>
      </c>
      <c r="T8" s="286" t="str">
        <f>IF($C8= "", T7, IF(ISNA(VLOOKUP($C8,'ABC-S'!$A$5:$A$271,1,FALSE)), "", VLOOKUP($C8,'ABC-S'!$A$5:$A$271,1,FALSE)))</f>
        <v/>
      </c>
      <c r="W8" s="286" t="s">
        <v>872</v>
      </c>
      <c r="X8" s="286">
        <v>88278</v>
      </c>
      <c r="Y8" s="286" t="s">
        <v>424</v>
      </c>
      <c r="Z8" s="335">
        <v>0</v>
      </c>
      <c r="AA8" s="286">
        <v>0.16666666666666666</v>
      </c>
      <c r="AB8" s="378"/>
      <c r="AC8" s="381" t="s">
        <v>21</v>
      </c>
      <c r="AD8" s="378" t="s">
        <v>21</v>
      </c>
      <c r="AE8" s="378" t="s">
        <v>21</v>
      </c>
      <c r="AF8" s="378" t="s">
        <v>21</v>
      </c>
      <c r="AG8" s="378"/>
      <c r="AI8" s="378">
        <v>0</v>
      </c>
      <c r="AJ8" s="378">
        <v>0</v>
      </c>
      <c r="AL8" s="286">
        <v>88278</v>
      </c>
      <c r="AM8" s="286"/>
    </row>
    <row r="9" spans="1:39" s="51" customFormat="1" hidden="1" x14ac:dyDescent="0.25">
      <c r="A9" s="59" t="s">
        <v>872</v>
      </c>
      <c r="B9" s="59" t="s">
        <v>87</v>
      </c>
      <c r="C9" s="248"/>
      <c r="D9" s="59">
        <v>88310</v>
      </c>
      <c r="E9" s="60" t="s">
        <v>620</v>
      </c>
      <c r="F9" s="59" t="s">
        <v>46</v>
      </c>
      <c r="G9" s="61">
        <f>1/3</f>
        <v>0.33333333333333331</v>
      </c>
      <c r="H9" s="62">
        <v>24.89</v>
      </c>
      <c r="I9" s="62">
        <f t="shared" si="1"/>
        <v>8.2966666666666669</v>
      </c>
      <c r="J9" s="62"/>
      <c r="K9" s="62">
        <v>5.8999999999999995</v>
      </c>
      <c r="L9" s="62">
        <v>2.3966666666666665</v>
      </c>
      <c r="M9" s="62">
        <v>0</v>
      </c>
      <c r="N9" s="62">
        <v>0</v>
      </c>
      <c r="O9" s="62">
        <v>0</v>
      </c>
      <c r="P9" s="298" t="s">
        <v>4160</v>
      </c>
      <c r="Q9" s="60" t="s">
        <v>27</v>
      </c>
      <c r="R9" s="60" t="s">
        <v>174</v>
      </c>
      <c r="S9" s="286" t="str">
        <f t="shared" si="0"/>
        <v/>
      </c>
      <c r="T9" s="286" t="str">
        <f>IF($C9= "", T8, IF(ISNA(VLOOKUP($C9,'ABC-S'!$A$5:$A$271,1,FALSE)), "", VLOOKUP($C9,'ABC-S'!$A$5:$A$271,1,FALSE)))</f>
        <v/>
      </c>
      <c r="W9" s="286" t="s">
        <v>872</v>
      </c>
      <c r="X9" s="286">
        <v>88310</v>
      </c>
      <c r="Y9" s="286" t="s">
        <v>424</v>
      </c>
      <c r="Z9" s="335">
        <v>0</v>
      </c>
      <c r="AA9" s="286">
        <v>0.33333333333333331</v>
      </c>
      <c r="AB9" s="378"/>
      <c r="AC9" s="381" t="s">
        <v>21</v>
      </c>
      <c r="AD9" s="378" t="s">
        <v>21</v>
      </c>
      <c r="AE9" s="378" t="s">
        <v>21</v>
      </c>
      <c r="AF9" s="378" t="s">
        <v>21</v>
      </c>
      <c r="AG9" s="378"/>
      <c r="AI9" s="378">
        <v>0</v>
      </c>
      <c r="AJ9" s="378">
        <v>0</v>
      </c>
      <c r="AL9" s="286">
        <v>88310</v>
      </c>
      <c r="AM9" s="286"/>
    </row>
    <row r="10" spans="1:39" s="51" customFormat="1" hidden="1" x14ac:dyDescent="0.25">
      <c r="A10" s="59" t="s">
        <v>872</v>
      </c>
      <c r="B10" s="59" t="s">
        <v>87</v>
      </c>
      <c r="C10" s="248"/>
      <c r="D10" s="59">
        <v>88316</v>
      </c>
      <c r="E10" s="60" t="s">
        <v>649</v>
      </c>
      <c r="F10" s="59" t="s">
        <v>46</v>
      </c>
      <c r="G10" s="61">
        <f>2/3</f>
        <v>0.66666666666666663</v>
      </c>
      <c r="H10" s="62">
        <v>17.61</v>
      </c>
      <c r="I10" s="62">
        <f t="shared" si="1"/>
        <v>11.739999999999998</v>
      </c>
      <c r="J10" s="62"/>
      <c r="K10" s="62">
        <v>7.7333333333333325</v>
      </c>
      <c r="L10" s="62">
        <v>4.0066666666666659</v>
      </c>
      <c r="M10" s="62">
        <v>0</v>
      </c>
      <c r="N10" s="62">
        <v>0</v>
      </c>
      <c r="O10" s="62">
        <v>0</v>
      </c>
      <c r="P10" s="298" t="s">
        <v>4160</v>
      </c>
      <c r="Q10" s="60" t="s">
        <v>27</v>
      </c>
      <c r="R10" s="60" t="s">
        <v>174</v>
      </c>
      <c r="S10" s="286" t="str">
        <f t="shared" si="0"/>
        <v/>
      </c>
      <c r="T10" s="286" t="str">
        <f>IF($C10= "", T9, IF(ISNA(VLOOKUP($C10,'ABC-S'!$A$5:$A$271,1,FALSE)), "", VLOOKUP($C10,'ABC-S'!$A$5:$A$271,1,FALSE)))</f>
        <v/>
      </c>
      <c r="W10" s="286" t="s">
        <v>872</v>
      </c>
      <c r="X10" s="286">
        <v>88316</v>
      </c>
      <c r="Y10" s="286" t="s">
        <v>424</v>
      </c>
      <c r="Z10" s="335">
        <v>0</v>
      </c>
      <c r="AA10" s="286">
        <v>0.66666666666666663</v>
      </c>
      <c r="AB10" s="378"/>
      <c r="AC10" s="381" t="s">
        <v>21</v>
      </c>
      <c r="AD10" s="378" t="s">
        <v>21</v>
      </c>
      <c r="AE10" s="378" t="s">
        <v>21</v>
      </c>
      <c r="AF10" s="378" t="s">
        <v>21</v>
      </c>
      <c r="AG10" s="378"/>
      <c r="AI10" s="378">
        <v>0</v>
      </c>
      <c r="AJ10" s="378">
        <v>0</v>
      </c>
      <c r="AL10" s="286">
        <v>88316</v>
      </c>
      <c r="AM10" s="286"/>
    </row>
    <row r="11" spans="1:39" s="51" customFormat="1" ht="22.5" hidden="1" x14ac:dyDescent="0.25">
      <c r="A11" s="59" t="s">
        <v>872</v>
      </c>
      <c r="B11" s="59" t="s">
        <v>86</v>
      </c>
      <c r="C11" s="248"/>
      <c r="D11" s="59">
        <v>4500</v>
      </c>
      <c r="E11" s="60" t="s">
        <v>1182</v>
      </c>
      <c r="F11" s="59" t="s">
        <v>3667</v>
      </c>
      <c r="G11" s="61">
        <v>0.52844000000000002</v>
      </c>
      <c r="H11" s="62">
        <v>12.52</v>
      </c>
      <c r="I11" s="62">
        <f t="shared" ref="I11:I16" si="2">IF($D11="","",G11*H11)</f>
        <v>6.6160687999999999</v>
      </c>
      <c r="J11" s="62"/>
      <c r="K11" s="62">
        <v>0</v>
      </c>
      <c r="L11" s="62">
        <v>6.6160687999999999</v>
      </c>
      <c r="M11" s="62">
        <v>0</v>
      </c>
      <c r="N11" s="62">
        <v>0</v>
      </c>
      <c r="O11" s="62">
        <v>0</v>
      </c>
      <c r="P11" s="298" t="s">
        <v>89</v>
      </c>
      <c r="Q11" s="60" t="s">
        <v>27</v>
      </c>
      <c r="R11" s="60" t="s">
        <v>174</v>
      </c>
      <c r="S11" s="286" t="str">
        <f t="shared" si="0"/>
        <v/>
      </c>
      <c r="T11" s="286" t="str">
        <f>IF($C11= "", T10, IF(ISNA(VLOOKUP($C11,'ABC-S'!$A$5:$A$271,1,FALSE)), "", VLOOKUP($C11,'ABC-S'!$A$5:$A$271,1,FALSE)))</f>
        <v/>
      </c>
      <c r="W11" s="286" t="s">
        <v>872</v>
      </c>
      <c r="X11" s="286" t="s">
        <v>21</v>
      </c>
      <c r="Y11" s="286" t="s">
        <v>21</v>
      </c>
      <c r="Z11" s="286" t="s">
        <v>21</v>
      </c>
      <c r="AA11" s="286" t="s">
        <v>21</v>
      </c>
      <c r="AB11" s="378"/>
      <c r="AC11" s="381" t="s">
        <v>21</v>
      </c>
      <c r="AD11" s="378" t="s">
        <v>21</v>
      </c>
      <c r="AE11" s="378" t="s">
        <v>21</v>
      </c>
      <c r="AF11" s="378" t="s">
        <v>21</v>
      </c>
      <c r="AG11" s="378"/>
      <c r="AI11" s="378" t="s">
        <v>21</v>
      </c>
      <c r="AJ11" s="378" t="s">
        <v>21</v>
      </c>
      <c r="AL11" s="286"/>
      <c r="AM11" s="286">
        <v>4500</v>
      </c>
    </row>
    <row r="12" spans="1:39" s="51" customFormat="1" hidden="1" x14ac:dyDescent="0.25">
      <c r="A12" s="59" t="s">
        <v>872</v>
      </c>
      <c r="B12" s="59" t="s">
        <v>86</v>
      </c>
      <c r="C12" s="248"/>
      <c r="D12" s="59" t="s">
        <v>875</v>
      </c>
      <c r="E12" s="60" t="s">
        <v>876</v>
      </c>
      <c r="F12" s="59" t="s">
        <v>51</v>
      </c>
      <c r="G12" s="61">
        <v>3.5999999999999997E-2</v>
      </c>
      <c r="H12" s="62">
        <v>323.51</v>
      </c>
      <c r="I12" s="62">
        <f t="shared" si="2"/>
        <v>11.64636</v>
      </c>
      <c r="J12" s="62"/>
      <c r="K12" s="62">
        <v>0</v>
      </c>
      <c r="L12" s="62">
        <v>11.64636</v>
      </c>
      <c r="M12" s="62">
        <v>0</v>
      </c>
      <c r="N12" s="62">
        <v>0</v>
      </c>
      <c r="O12" s="62">
        <v>0</v>
      </c>
      <c r="P12" s="298" t="s">
        <v>89</v>
      </c>
      <c r="Q12" s="60" t="s">
        <v>174</v>
      </c>
      <c r="R12" s="60" t="s">
        <v>174</v>
      </c>
      <c r="S12" s="286" t="str">
        <f t="shared" si="0"/>
        <v/>
      </c>
      <c r="T12" s="286" t="str">
        <f>IF($C12= "", T11, IF(ISNA(VLOOKUP($C12,'ABC-S'!$A$5:$A$271,1,FALSE)), "", VLOOKUP($C12,'ABC-S'!$A$5:$A$271,1,FALSE)))</f>
        <v/>
      </c>
      <c r="W12" s="286" t="s">
        <v>872</v>
      </c>
      <c r="X12" s="286" t="s">
        <v>21</v>
      </c>
      <c r="Y12" s="286" t="s">
        <v>21</v>
      </c>
      <c r="Z12" s="286" t="s">
        <v>21</v>
      </c>
      <c r="AA12" s="286" t="s">
        <v>21</v>
      </c>
      <c r="AB12" s="378"/>
      <c r="AC12" s="381" t="s">
        <v>21</v>
      </c>
      <c r="AD12" s="378" t="s">
        <v>21</v>
      </c>
      <c r="AE12" s="378" t="s">
        <v>21</v>
      </c>
      <c r="AF12" s="378" t="s">
        <v>21</v>
      </c>
      <c r="AG12" s="378"/>
      <c r="AI12" s="378" t="s">
        <v>21</v>
      </c>
      <c r="AJ12" s="378" t="s">
        <v>21</v>
      </c>
      <c r="AL12" s="286"/>
      <c r="AM12" s="286" t="s">
        <v>875</v>
      </c>
    </row>
    <row r="13" spans="1:39" s="51" customFormat="1" hidden="1" x14ac:dyDescent="0.25">
      <c r="A13" s="59" t="s">
        <v>872</v>
      </c>
      <c r="B13" s="59" t="s">
        <v>86</v>
      </c>
      <c r="C13" s="248"/>
      <c r="D13" s="59">
        <v>5068</v>
      </c>
      <c r="E13" s="60" t="s">
        <v>93</v>
      </c>
      <c r="F13" s="59" t="s">
        <v>3669</v>
      </c>
      <c r="G13" s="61">
        <v>0.15484000000000001</v>
      </c>
      <c r="H13" s="62">
        <v>20.239999999999998</v>
      </c>
      <c r="I13" s="62">
        <f t="shared" si="2"/>
        <v>3.1339615999999997</v>
      </c>
      <c r="J13" s="62"/>
      <c r="K13" s="62">
        <v>0</v>
      </c>
      <c r="L13" s="62">
        <v>3.1339615999999997</v>
      </c>
      <c r="M13" s="62">
        <v>0</v>
      </c>
      <c r="N13" s="62">
        <v>0</v>
      </c>
      <c r="O13" s="62">
        <v>0</v>
      </c>
      <c r="P13" s="298" t="s">
        <v>89</v>
      </c>
      <c r="Q13" s="60" t="s">
        <v>27</v>
      </c>
      <c r="R13" s="60" t="s">
        <v>174</v>
      </c>
      <c r="S13" s="286" t="str">
        <f t="shared" si="0"/>
        <v/>
      </c>
      <c r="T13" s="286" t="str">
        <f>IF($C13= "", T12, IF(ISNA(VLOOKUP($C13,'ABC-S'!$A$5:$A$271,1,FALSE)), "", VLOOKUP($C13,'ABC-S'!$A$5:$A$271,1,FALSE)))</f>
        <v/>
      </c>
      <c r="W13" s="286" t="s">
        <v>872</v>
      </c>
      <c r="X13" s="286" t="s">
        <v>21</v>
      </c>
      <c r="Y13" s="286" t="s">
        <v>21</v>
      </c>
      <c r="Z13" s="286" t="s">
        <v>21</v>
      </c>
      <c r="AA13" s="286" t="s">
        <v>21</v>
      </c>
      <c r="AB13" s="378"/>
      <c r="AC13" s="381" t="s">
        <v>21</v>
      </c>
      <c r="AD13" s="378" t="s">
        <v>21</v>
      </c>
      <c r="AE13" s="378" t="s">
        <v>21</v>
      </c>
      <c r="AF13" s="378" t="s">
        <v>21</v>
      </c>
      <c r="AG13" s="378"/>
      <c r="AI13" s="378" t="s">
        <v>21</v>
      </c>
      <c r="AJ13" s="378" t="s">
        <v>21</v>
      </c>
      <c r="AL13" s="286"/>
      <c r="AM13" s="286">
        <v>5068</v>
      </c>
    </row>
    <row r="14" spans="1:39" s="51" customFormat="1" ht="22.5" hidden="1" x14ac:dyDescent="0.25">
      <c r="A14" s="59" t="s">
        <v>872</v>
      </c>
      <c r="B14" s="59" t="s">
        <v>86</v>
      </c>
      <c r="C14" s="248"/>
      <c r="D14" s="59">
        <v>4512</v>
      </c>
      <c r="E14" s="60" t="s">
        <v>1178</v>
      </c>
      <c r="F14" s="59" t="s">
        <v>3667</v>
      </c>
      <c r="G14" s="61">
        <v>0.16</v>
      </c>
      <c r="H14" s="62">
        <v>1.57</v>
      </c>
      <c r="I14" s="62">
        <f t="shared" si="2"/>
        <v>0.25120000000000003</v>
      </c>
      <c r="J14" s="62"/>
      <c r="K14" s="62">
        <v>0</v>
      </c>
      <c r="L14" s="62">
        <v>0.25120000000000003</v>
      </c>
      <c r="M14" s="62">
        <v>0</v>
      </c>
      <c r="N14" s="62">
        <v>0</v>
      </c>
      <c r="O14" s="62">
        <v>0</v>
      </c>
      <c r="P14" s="298" t="s">
        <v>89</v>
      </c>
      <c r="Q14" s="60" t="s">
        <v>27</v>
      </c>
      <c r="R14" s="60" t="s">
        <v>174</v>
      </c>
      <c r="S14" s="286" t="str">
        <f t="shared" si="0"/>
        <v/>
      </c>
      <c r="T14" s="286" t="str">
        <f>IF($C14= "", T13, IF(ISNA(VLOOKUP($C14,'ABC-S'!$A$5:$A$271,1,FALSE)), "", VLOOKUP($C14,'ABC-S'!$A$5:$A$271,1,FALSE)))</f>
        <v/>
      </c>
      <c r="W14" s="286" t="s">
        <v>872</v>
      </c>
      <c r="X14" s="286" t="s">
        <v>21</v>
      </c>
      <c r="Y14" s="286" t="s">
        <v>21</v>
      </c>
      <c r="Z14" s="286" t="s">
        <v>21</v>
      </c>
      <c r="AA14" s="286" t="s">
        <v>21</v>
      </c>
      <c r="AB14" s="378"/>
      <c r="AC14" s="381" t="s">
        <v>21</v>
      </c>
      <c r="AD14" s="378" t="s">
        <v>21</v>
      </c>
      <c r="AE14" s="378" t="s">
        <v>21</v>
      </c>
      <c r="AF14" s="378" t="s">
        <v>21</v>
      </c>
      <c r="AG14" s="378"/>
      <c r="AI14" s="378" t="s">
        <v>21</v>
      </c>
      <c r="AJ14" s="378" t="s">
        <v>21</v>
      </c>
      <c r="AL14" s="286"/>
      <c r="AM14" s="286">
        <v>4512</v>
      </c>
    </row>
    <row r="15" spans="1:39" s="51" customFormat="1" ht="22.5" hidden="1" x14ac:dyDescent="0.25">
      <c r="A15" s="59" t="s">
        <v>872</v>
      </c>
      <c r="B15" s="59" t="s">
        <v>86</v>
      </c>
      <c r="C15" s="248"/>
      <c r="D15" s="59">
        <v>6212</v>
      </c>
      <c r="E15" s="60" t="s">
        <v>1181</v>
      </c>
      <c r="F15" s="59" t="s">
        <v>3667</v>
      </c>
      <c r="G15" s="61">
        <v>0.12</v>
      </c>
      <c r="H15" s="62">
        <v>10.77</v>
      </c>
      <c r="I15" s="62">
        <f t="shared" si="2"/>
        <v>1.2924</v>
      </c>
      <c r="J15" s="62"/>
      <c r="K15" s="62">
        <v>0</v>
      </c>
      <c r="L15" s="62">
        <v>1.2924</v>
      </c>
      <c r="M15" s="62">
        <v>0</v>
      </c>
      <c r="N15" s="62">
        <v>0</v>
      </c>
      <c r="O15" s="62">
        <v>0</v>
      </c>
      <c r="P15" s="298" t="s">
        <v>89</v>
      </c>
      <c r="Q15" s="60" t="s">
        <v>27</v>
      </c>
      <c r="R15" s="60" t="s">
        <v>174</v>
      </c>
      <c r="S15" s="286" t="str">
        <f t="shared" si="0"/>
        <v/>
      </c>
      <c r="T15" s="286" t="str">
        <f>IF($C15= "", T14, IF(ISNA(VLOOKUP($C15,'ABC-S'!$A$5:$A$271,1,FALSE)), "", VLOOKUP($C15,'ABC-S'!$A$5:$A$271,1,FALSE)))</f>
        <v/>
      </c>
      <c r="W15" s="286" t="s">
        <v>872</v>
      </c>
      <c r="X15" s="286" t="s">
        <v>21</v>
      </c>
      <c r="Y15" s="286" t="s">
        <v>21</v>
      </c>
      <c r="Z15" s="286" t="s">
        <v>21</v>
      </c>
      <c r="AA15" s="286" t="s">
        <v>21</v>
      </c>
      <c r="AB15" s="378"/>
      <c r="AC15" s="381" t="s">
        <v>21</v>
      </c>
      <c r="AD15" s="378" t="s">
        <v>21</v>
      </c>
      <c r="AE15" s="378" t="s">
        <v>21</v>
      </c>
      <c r="AF15" s="378" t="s">
        <v>21</v>
      </c>
      <c r="AG15" s="378"/>
      <c r="AI15" s="378" t="s">
        <v>21</v>
      </c>
      <c r="AJ15" s="378" t="s">
        <v>21</v>
      </c>
      <c r="AL15" s="286"/>
      <c r="AM15" s="286">
        <v>6212</v>
      </c>
    </row>
    <row r="16" spans="1:39" s="51" customFormat="1" hidden="1" x14ac:dyDescent="0.25">
      <c r="A16" s="59" t="s">
        <v>872</v>
      </c>
      <c r="B16" s="59" t="s">
        <v>86</v>
      </c>
      <c r="C16" s="248"/>
      <c r="D16" s="59">
        <v>7311</v>
      </c>
      <c r="E16" s="60" t="s">
        <v>715</v>
      </c>
      <c r="F16" s="59" t="s">
        <v>3668</v>
      </c>
      <c r="G16" s="61">
        <v>0.62639999999999996</v>
      </c>
      <c r="H16" s="62">
        <v>29.25</v>
      </c>
      <c r="I16" s="62">
        <f t="shared" si="2"/>
        <v>18.322199999999999</v>
      </c>
      <c r="J16" s="62"/>
      <c r="K16" s="62">
        <v>0</v>
      </c>
      <c r="L16" s="62">
        <v>18.322199999999999</v>
      </c>
      <c r="M16" s="62">
        <v>0</v>
      </c>
      <c r="N16" s="62">
        <v>0</v>
      </c>
      <c r="O16" s="62">
        <v>0</v>
      </c>
      <c r="P16" s="298" t="s">
        <v>89</v>
      </c>
      <c r="Q16" s="60" t="s">
        <v>27</v>
      </c>
      <c r="R16" s="60" t="s">
        <v>174</v>
      </c>
      <c r="S16" s="286" t="str">
        <f t="shared" si="0"/>
        <v/>
      </c>
      <c r="T16" s="286" t="str">
        <f>IF($C16= "", T15, IF(ISNA(VLOOKUP($C16,'ABC-S'!$A$5:$A$271,1,FALSE)), "", VLOOKUP($C16,'ABC-S'!$A$5:$A$271,1,FALSE)))</f>
        <v/>
      </c>
      <c r="W16" s="286" t="s">
        <v>872</v>
      </c>
      <c r="X16" s="286" t="s">
        <v>21</v>
      </c>
      <c r="Y16" s="286" t="s">
        <v>21</v>
      </c>
      <c r="Z16" s="286" t="s">
        <v>21</v>
      </c>
      <c r="AA16" s="286" t="s">
        <v>21</v>
      </c>
      <c r="AB16" s="378"/>
      <c r="AC16" s="381" t="s">
        <v>21</v>
      </c>
      <c r="AD16" s="378" t="s">
        <v>21</v>
      </c>
      <c r="AE16" s="378" t="s">
        <v>21</v>
      </c>
      <c r="AF16" s="378" t="s">
        <v>21</v>
      </c>
      <c r="AG16" s="378"/>
      <c r="AI16" s="378" t="s">
        <v>21</v>
      </c>
      <c r="AJ16" s="378" t="s">
        <v>21</v>
      </c>
      <c r="AL16" s="286"/>
      <c r="AM16" s="286">
        <v>7311</v>
      </c>
    </row>
    <row r="17" spans="1:39" s="51" customFormat="1" ht="33.75" hidden="1" x14ac:dyDescent="0.25">
      <c r="A17" s="59" t="s">
        <v>872</v>
      </c>
      <c r="B17" s="59" t="s">
        <v>87</v>
      </c>
      <c r="C17" s="248"/>
      <c r="D17" s="59">
        <v>72850</v>
      </c>
      <c r="E17" s="60" t="s">
        <v>1312</v>
      </c>
      <c r="F17" s="59" t="s">
        <v>55</v>
      </c>
      <c r="G17" s="61">
        <f>0.00297+0.00001+0.00015+0.0002+0.0009+0.00083</f>
        <v>5.0600000000000003E-3</v>
      </c>
      <c r="H17" s="62">
        <v>11.844150000000001</v>
      </c>
      <c r="I17" s="62">
        <f t="shared" si="1"/>
        <v>5.993139900000001E-2</v>
      </c>
      <c r="J17" s="62"/>
      <c r="K17" s="62">
        <v>6.1637631000000005E-3</v>
      </c>
      <c r="L17" s="62">
        <v>4.0100717580000007E-2</v>
      </c>
      <c r="M17" s="62">
        <v>1.3666918319999999E-2</v>
      </c>
      <c r="N17" s="62">
        <v>0</v>
      </c>
      <c r="O17" s="62">
        <v>0</v>
      </c>
      <c r="P17" s="298" t="s">
        <v>4160</v>
      </c>
      <c r="Q17" s="60" t="s">
        <v>27</v>
      </c>
      <c r="R17" s="60" t="s">
        <v>174</v>
      </c>
      <c r="S17" s="286" t="str">
        <f t="shared" si="0"/>
        <v/>
      </c>
      <c r="T17" s="286" t="str">
        <f>IF($C17= "", T16, IF(ISNA(VLOOKUP($C17,'ABC-S'!$A$5:$A$271,1,FALSE)), "", VLOOKUP($C17,'ABC-S'!$A$5:$A$271,1,FALSE)))</f>
        <v/>
      </c>
      <c r="W17" s="286" t="s">
        <v>872</v>
      </c>
      <c r="X17" s="286" t="s">
        <v>21</v>
      </c>
      <c r="Y17" s="286" t="s">
        <v>1513</v>
      </c>
      <c r="Z17" s="335" t="s">
        <v>21</v>
      </c>
      <c r="AA17" s="286" t="s">
        <v>21</v>
      </c>
      <c r="AB17" s="378"/>
      <c r="AC17" s="381">
        <v>72850</v>
      </c>
      <c r="AD17" s="378">
        <v>5.0600000000000003E-3</v>
      </c>
      <c r="AE17" s="378">
        <v>8.43E-2</v>
      </c>
      <c r="AF17" s="378">
        <v>4.26558E-4</v>
      </c>
      <c r="AG17" s="378"/>
      <c r="AI17" s="378" t="s">
        <v>21</v>
      </c>
      <c r="AJ17" s="378" t="s">
        <v>21</v>
      </c>
      <c r="AL17" s="286">
        <v>72850</v>
      </c>
      <c r="AM17" s="286"/>
    </row>
    <row r="18" spans="1:39" s="51" customFormat="1" ht="33.75" hidden="1" x14ac:dyDescent="0.25">
      <c r="A18" s="59" t="s">
        <v>872</v>
      </c>
      <c r="B18" s="59" t="s">
        <v>87</v>
      </c>
      <c r="C18" s="248"/>
      <c r="D18" s="59">
        <v>100949</v>
      </c>
      <c r="E18" s="60" t="s">
        <v>791</v>
      </c>
      <c r="F18" s="59" t="s">
        <v>42</v>
      </c>
      <c r="G18" s="61">
        <f>G17</f>
        <v>5.0600000000000003E-3</v>
      </c>
      <c r="H18" s="62">
        <v>4.28</v>
      </c>
      <c r="I18" s="62">
        <f t="shared" si="1"/>
        <v>2.1656800000000004E-2</v>
      </c>
      <c r="J18" s="62"/>
      <c r="K18" s="62">
        <v>2.9348E-3</v>
      </c>
      <c r="L18" s="62">
        <v>1.3611400000000001E-2</v>
      </c>
      <c r="M18" s="62">
        <v>5.1106000000000007E-3</v>
      </c>
      <c r="N18" s="62">
        <v>0</v>
      </c>
      <c r="O18" s="62">
        <v>3.4694469519536142E-18</v>
      </c>
      <c r="P18" s="298" t="s">
        <v>4160</v>
      </c>
      <c r="Q18" s="60" t="s">
        <v>27</v>
      </c>
      <c r="R18" s="60" t="s">
        <v>174</v>
      </c>
      <c r="S18" s="286" t="str">
        <f t="shared" si="0"/>
        <v/>
      </c>
      <c r="T18" s="286" t="str">
        <f>IF($C18= "", T17, IF(ISNA(VLOOKUP($C18,'ABC-S'!$A$5:$A$271,1,FALSE)), "", VLOOKUP($C18,'ABC-S'!$A$5:$A$271,1,FALSE)))</f>
        <v/>
      </c>
      <c r="W18" s="286" t="s">
        <v>872</v>
      </c>
      <c r="X18" s="286" t="s">
        <v>21</v>
      </c>
      <c r="Y18" s="286" t="s">
        <v>1098</v>
      </c>
      <c r="Z18" s="335" t="s">
        <v>21</v>
      </c>
      <c r="AA18" s="286" t="s">
        <v>21</v>
      </c>
      <c r="AB18" s="378"/>
      <c r="AC18" s="381">
        <v>100949</v>
      </c>
      <c r="AD18" s="378">
        <v>5.0600000000000003E-3</v>
      </c>
      <c r="AE18" s="378">
        <v>3.9699999999999999E-2</v>
      </c>
      <c r="AF18" s="378">
        <v>2.0088200000000002E-4</v>
      </c>
      <c r="AG18" s="378"/>
      <c r="AI18" s="378">
        <v>0</v>
      </c>
      <c r="AJ18" s="378">
        <v>0</v>
      </c>
      <c r="AL18" s="286">
        <v>100949</v>
      </c>
      <c r="AM18" s="286"/>
    </row>
    <row r="19" spans="1:39" s="51" customFormat="1" ht="45" hidden="1" x14ac:dyDescent="0.25">
      <c r="A19" s="55" t="s">
        <v>878</v>
      </c>
      <c r="B19" s="55" t="s">
        <v>138</v>
      </c>
      <c r="C19" s="55" t="s">
        <v>878</v>
      </c>
      <c r="D19" s="55"/>
      <c r="E19" s="56" t="s">
        <v>879</v>
      </c>
      <c r="F19" s="55" t="s">
        <v>41</v>
      </c>
      <c r="G19" s="57"/>
      <c r="H19" s="58"/>
      <c r="I19" s="58"/>
      <c r="J19" s="58">
        <f>SUM(I19:I24)</f>
        <v>4.0826872449999998</v>
      </c>
      <c r="K19" s="58">
        <v>1.1605394404999998</v>
      </c>
      <c r="L19" s="58">
        <v>2.9210345128999999</v>
      </c>
      <c r="M19" s="58">
        <v>1.1132916E-3</v>
      </c>
      <c r="N19" s="58">
        <v>0</v>
      </c>
      <c r="O19" s="58">
        <v>2.2204460492503131E-16</v>
      </c>
      <c r="P19" s="58"/>
      <c r="Q19" s="56" t="s">
        <v>898</v>
      </c>
      <c r="R19" s="56" t="s">
        <v>419</v>
      </c>
      <c r="S19" s="286" t="str">
        <f t="shared" si="0"/>
        <v/>
      </c>
      <c r="T19" s="286" t="str">
        <f>IF($C19= "", T18, IF(ISNA(VLOOKUP($C19,'ABC-S'!$A$5:$A$271,1,FALSE)), "", VLOOKUP($C19,'ABC-S'!$A$5:$A$271,1,FALSE)))</f>
        <v/>
      </c>
      <c r="W19" s="286" t="s">
        <v>878</v>
      </c>
      <c r="X19" s="286"/>
      <c r="Y19" s="286"/>
      <c r="Z19" s="286"/>
      <c r="AA19" s="286" t="s">
        <v>21</v>
      </c>
      <c r="AB19" s="378">
        <v>0.1</v>
      </c>
      <c r="AC19" s="378"/>
      <c r="AD19" s="335"/>
      <c r="AE19" s="335"/>
      <c r="AF19" s="335"/>
      <c r="AG19" s="378">
        <v>0.10003720000000001</v>
      </c>
      <c r="AI19" s="378" t="s">
        <v>21</v>
      </c>
      <c r="AJ19" s="378" t="s">
        <v>21</v>
      </c>
      <c r="AL19" s="286"/>
      <c r="AM19" s="286"/>
    </row>
    <row r="20" spans="1:39" s="51" customFormat="1" hidden="1" x14ac:dyDescent="0.25">
      <c r="A20" s="59" t="s">
        <v>878</v>
      </c>
      <c r="B20" s="59" t="s">
        <v>87</v>
      </c>
      <c r="C20" s="248"/>
      <c r="D20" s="59">
        <v>88316</v>
      </c>
      <c r="E20" s="60" t="s">
        <v>649</v>
      </c>
      <c r="F20" s="59" t="s">
        <v>46</v>
      </c>
      <c r="G20" s="61">
        <f>0.1/1</f>
        <v>0.1</v>
      </c>
      <c r="H20" s="62">
        <v>17.61</v>
      </c>
      <c r="I20" s="62">
        <f>IF($D20="","",G20*H20)</f>
        <v>1.7610000000000001</v>
      </c>
      <c r="J20" s="62"/>
      <c r="K20" s="62">
        <v>1.1599999999999999</v>
      </c>
      <c r="L20" s="62">
        <v>0.60099999999999998</v>
      </c>
      <c r="M20" s="62">
        <v>0</v>
      </c>
      <c r="N20" s="62">
        <v>0</v>
      </c>
      <c r="O20" s="62">
        <v>2.2204460492503131E-16</v>
      </c>
      <c r="P20" s="298" t="s">
        <v>4160</v>
      </c>
      <c r="Q20" s="60" t="s">
        <v>27</v>
      </c>
      <c r="R20" s="60" t="s">
        <v>174</v>
      </c>
      <c r="S20" s="286" t="str">
        <f t="shared" si="0"/>
        <v/>
      </c>
      <c r="T20" s="286" t="str">
        <f>IF($C20= "", T19, IF(ISNA(VLOOKUP($C20,'ABC-S'!$A$5:$A$271,1,FALSE)), "", VLOOKUP($C20,'ABC-S'!$A$5:$A$271,1,FALSE)))</f>
        <v/>
      </c>
      <c r="W20" s="286" t="s">
        <v>878</v>
      </c>
      <c r="X20" s="286">
        <v>88316</v>
      </c>
      <c r="Y20" s="286" t="s">
        <v>424</v>
      </c>
      <c r="Z20" s="335">
        <v>0</v>
      </c>
      <c r="AA20" s="286">
        <v>0.1</v>
      </c>
      <c r="AB20" s="378"/>
      <c r="AC20" s="381" t="s">
        <v>21</v>
      </c>
      <c r="AD20" s="378" t="s">
        <v>21</v>
      </c>
      <c r="AE20" s="378" t="s">
        <v>21</v>
      </c>
      <c r="AF20" s="378" t="s">
        <v>21</v>
      </c>
      <c r="AG20" s="378"/>
      <c r="AI20" s="378">
        <v>0</v>
      </c>
      <c r="AJ20" s="378">
        <v>0</v>
      </c>
      <c r="AL20" s="286">
        <v>88316</v>
      </c>
      <c r="AM20" s="286"/>
    </row>
    <row r="21" spans="1:39" s="51" customFormat="1" ht="22.5" hidden="1" x14ac:dyDescent="0.25">
      <c r="A21" s="59" t="s">
        <v>878</v>
      </c>
      <c r="B21" s="59" t="s">
        <v>86</v>
      </c>
      <c r="C21" s="248"/>
      <c r="D21" s="59" t="s">
        <v>880</v>
      </c>
      <c r="E21" s="60" t="s">
        <v>341</v>
      </c>
      <c r="F21" s="59" t="s">
        <v>41</v>
      </c>
      <c r="G21" s="61">
        <v>5.0000000000000001E-3</v>
      </c>
      <c r="H21" s="62">
        <v>282.81</v>
      </c>
      <c r="I21" s="62">
        <f>IF($D21="","",G21*H21)</f>
        <v>1.41405</v>
      </c>
      <c r="J21" s="62"/>
      <c r="K21" s="62">
        <v>0</v>
      </c>
      <c r="L21" s="62">
        <v>1.41405</v>
      </c>
      <c r="M21" s="62">
        <v>0</v>
      </c>
      <c r="N21" s="62">
        <v>0</v>
      </c>
      <c r="O21" s="62">
        <v>0</v>
      </c>
      <c r="P21" s="298" t="s">
        <v>89</v>
      </c>
      <c r="Q21" s="60" t="s">
        <v>174</v>
      </c>
      <c r="R21" s="60" t="s">
        <v>174</v>
      </c>
      <c r="S21" s="286" t="str">
        <f t="shared" si="0"/>
        <v/>
      </c>
      <c r="T21" s="286" t="str">
        <f>IF($C21= "", T20, IF(ISNA(VLOOKUP($C21,'ABC-S'!$A$5:$A$271,1,FALSE)), "", VLOOKUP($C21,'ABC-S'!$A$5:$A$271,1,FALSE)))</f>
        <v/>
      </c>
      <c r="W21" s="286" t="s">
        <v>878</v>
      </c>
      <c r="X21" s="286" t="s">
        <v>21</v>
      </c>
      <c r="Y21" s="286" t="s">
        <v>21</v>
      </c>
      <c r="Z21" s="286" t="s">
        <v>21</v>
      </c>
      <c r="AA21" s="286" t="s">
        <v>21</v>
      </c>
      <c r="AB21" s="378"/>
      <c r="AC21" s="381" t="s">
        <v>21</v>
      </c>
      <c r="AD21" s="378" t="s">
        <v>21</v>
      </c>
      <c r="AE21" s="378" t="s">
        <v>21</v>
      </c>
      <c r="AF21" s="378" t="s">
        <v>21</v>
      </c>
      <c r="AG21" s="378"/>
      <c r="AI21" s="378" t="s">
        <v>21</v>
      </c>
      <c r="AJ21" s="378" t="s">
        <v>21</v>
      </c>
      <c r="AL21" s="286"/>
      <c r="AM21" s="286" t="s">
        <v>880</v>
      </c>
    </row>
    <row r="22" spans="1:39" s="51" customFormat="1" hidden="1" x14ac:dyDescent="0.25">
      <c r="A22" s="59" t="s">
        <v>878</v>
      </c>
      <c r="B22" s="59" t="s">
        <v>86</v>
      </c>
      <c r="C22" s="248"/>
      <c r="D22" s="59" t="s">
        <v>882</v>
      </c>
      <c r="E22" s="60" t="s">
        <v>340</v>
      </c>
      <c r="F22" s="59" t="s">
        <v>41</v>
      </c>
      <c r="G22" s="61">
        <v>5.0000000000000001E-3</v>
      </c>
      <c r="H22" s="62">
        <v>180.56</v>
      </c>
      <c r="I22" s="62">
        <f>IF($D22="","",G22*H22)</f>
        <v>0.90280000000000005</v>
      </c>
      <c r="J22" s="62"/>
      <c r="K22" s="62">
        <v>0</v>
      </c>
      <c r="L22" s="62">
        <v>0.90280000000000005</v>
      </c>
      <c r="M22" s="62">
        <v>0</v>
      </c>
      <c r="N22" s="62">
        <v>0</v>
      </c>
      <c r="O22" s="62">
        <v>0</v>
      </c>
      <c r="P22" s="298" t="s">
        <v>89</v>
      </c>
      <c r="Q22" s="60" t="s">
        <v>174</v>
      </c>
      <c r="R22" s="60" t="s">
        <v>174</v>
      </c>
      <c r="S22" s="286" t="str">
        <f t="shared" si="0"/>
        <v/>
      </c>
      <c r="T22" s="286" t="str">
        <f>IF($C22= "", T21, IF(ISNA(VLOOKUP($C22,'ABC-S'!$A$5:$A$271,1,FALSE)), "", VLOOKUP($C22,'ABC-S'!$A$5:$A$271,1,FALSE)))</f>
        <v/>
      </c>
      <c r="W22" s="286" t="s">
        <v>878</v>
      </c>
      <c r="X22" s="286" t="s">
        <v>21</v>
      </c>
      <c r="Y22" s="286" t="s">
        <v>21</v>
      </c>
      <c r="Z22" s="286" t="s">
        <v>21</v>
      </c>
      <c r="AA22" s="286" t="s">
        <v>21</v>
      </c>
      <c r="AB22" s="378"/>
      <c r="AC22" s="381" t="s">
        <v>21</v>
      </c>
      <c r="AD22" s="378" t="s">
        <v>21</v>
      </c>
      <c r="AE22" s="378" t="s">
        <v>21</v>
      </c>
      <c r="AF22" s="378" t="s">
        <v>21</v>
      </c>
      <c r="AG22" s="378"/>
      <c r="AI22" s="378" t="s">
        <v>21</v>
      </c>
      <c r="AJ22" s="378" t="s">
        <v>21</v>
      </c>
      <c r="AL22" s="286"/>
      <c r="AM22" s="286" t="s">
        <v>882</v>
      </c>
    </row>
    <row r="23" spans="1:39" s="51" customFormat="1" ht="33.75" hidden="1" x14ac:dyDescent="0.25">
      <c r="A23" s="59" t="s">
        <v>878</v>
      </c>
      <c r="B23" s="59" t="s">
        <v>87</v>
      </c>
      <c r="C23" s="248"/>
      <c r="D23" s="59">
        <v>72850</v>
      </c>
      <c r="E23" s="60" t="s">
        <v>1312</v>
      </c>
      <c r="F23" s="59" t="s">
        <v>55</v>
      </c>
      <c r="G23" s="61">
        <v>2.9999999999999997E-4</v>
      </c>
      <c r="H23" s="62">
        <v>11.844150000000001</v>
      </c>
      <c r="I23" s="62">
        <f>IF($D23="","",G23*H23)</f>
        <v>3.553245E-3</v>
      </c>
      <c r="J23" s="62"/>
      <c r="K23" s="62">
        <v>3.6544049999999998E-4</v>
      </c>
      <c r="L23" s="62">
        <v>2.3775128999999999E-3</v>
      </c>
      <c r="M23" s="62">
        <v>8.1029159999999986E-4</v>
      </c>
      <c r="N23" s="62">
        <v>0</v>
      </c>
      <c r="O23" s="62">
        <v>0</v>
      </c>
      <c r="P23" s="298" t="s">
        <v>4160</v>
      </c>
      <c r="Q23" s="60" t="s">
        <v>27</v>
      </c>
      <c r="R23" s="60" t="s">
        <v>174</v>
      </c>
      <c r="S23" s="286" t="str">
        <f t="shared" si="0"/>
        <v/>
      </c>
      <c r="T23" s="286" t="str">
        <f>IF($C23= "", T22, IF(ISNA(VLOOKUP($C23,'ABC-S'!$A$5:$A$271,1,FALSE)), "", VLOOKUP($C23,'ABC-S'!$A$5:$A$271,1,FALSE)))</f>
        <v/>
      </c>
      <c r="W23" s="286" t="s">
        <v>878</v>
      </c>
      <c r="X23" s="286" t="s">
        <v>21</v>
      </c>
      <c r="Y23" s="286" t="s">
        <v>1513</v>
      </c>
      <c r="Z23" s="335" t="s">
        <v>21</v>
      </c>
      <c r="AA23" s="286" t="s">
        <v>21</v>
      </c>
      <c r="AB23" s="378"/>
      <c r="AC23" s="381">
        <v>72850</v>
      </c>
      <c r="AD23" s="378">
        <v>2.9999999999999997E-4</v>
      </c>
      <c r="AE23" s="378">
        <v>8.43E-2</v>
      </c>
      <c r="AF23" s="378">
        <v>2.5289999999999997E-5</v>
      </c>
      <c r="AG23" s="378"/>
      <c r="AI23" s="378" t="s">
        <v>21</v>
      </c>
      <c r="AJ23" s="378" t="s">
        <v>21</v>
      </c>
      <c r="AL23" s="286">
        <v>72850</v>
      </c>
      <c r="AM23" s="286"/>
    </row>
    <row r="24" spans="1:39" s="51" customFormat="1" ht="33.75" hidden="1" x14ac:dyDescent="0.25">
      <c r="A24" s="59" t="s">
        <v>878</v>
      </c>
      <c r="B24" s="59" t="s">
        <v>87</v>
      </c>
      <c r="C24" s="248"/>
      <c r="D24" s="59">
        <v>100949</v>
      </c>
      <c r="E24" s="60" t="s">
        <v>791</v>
      </c>
      <c r="F24" s="59" t="s">
        <v>42</v>
      </c>
      <c r="G24" s="61">
        <f>G23</f>
        <v>2.9999999999999997E-4</v>
      </c>
      <c r="H24" s="62">
        <v>4.28</v>
      </c>
      <c r="I24" s="62">
        <f>IF($D24="","",G24*H24)</f>
        <v>1.284E-3</v>
      </c>
      <c r="J24" s="62"/>
      <c r="K24" s="62">
        <v>1.7399999999999997E-4</v>
      </c>
      <c r="L24" s="62">
        <v>8.0699999999999988E-4</v>
      </c>
      <c r="M24" s="62">
        <v>3.0299999999999999E-4</v>
      </c>
      <c r="N24" s="62">
        <v>0</v>
      </c>
      <c r="O24" s="62">
        <v>0</v>
      </c>
      <c r="P24" s="298" t="s">
        <v>4160</v>
      </c>
      <c r="Q24" s="60" t="s">
        <v>27</v>
      </c>
      <c r="R24" s="60" t="s">
        <v>174</v>
      </c>
      <c r="S24" s="286" t="str">
        <f t="shared" si="0"/>
        <v/>
      </c>
      <c r="T24" s="286" t="str">
        <f>IF($C24= "", T23, IF(ISNA(VLOOKUP($C24,'ABC-S'!$A$5:$A$271,1,FALSE)), "", VLOOKUP($C24,'ABC-S'!$A$5:$A$271,1,FALSE)))</f>
        <v/>
      </c>
      <c r="W24" s="286" t="s">
        <v>878</v>
      </c>
      <c r="X24" s="286" t="s">
        <v>21</v>
      </c>
      <c r="Y24" s="286" t="s">
        <v>1098</v>
      </c>
      <c r="Z24" s="335" t="s">
        <v>21</v>
      </c>
      <c r="AA24" s="286" t="s">
        <v>21</v>
      </c>
      <c r="AB24" s="378"/>
      <c r="AC24" s="381">
        <v>100949</v>
      </c>
      <c r="AD24" s="378">
        <v>2.9999999999999997E-4</v>
      </c>
      <c r="AE24" s="378">
        <v>3.9699999999999999E-2</v>
      </c>
      <c r="AF24" s="378">
        <v>1.1909999999999999E-5</v>
      </c>
      <c r="AG24" s="378"/>
      <c r="AI24" s="378">
        <v>0</v>
      </c>
      <c r="AJ24" s="378">
        <v>0</v>
      </c>
      <c r="AL24" s="286">
        <v>100949</v>
      </c>
      <c r="AM24" s="286"/>
    </row>
    <row r="25" spans="1:39" s="51" customFormat="1" ht="45" hidden="1" x14ac:dyDescent="0.25">
      <c r="A25" s="55" t="s">
        <v>884</v>
      </c>
      <c r="B25" s="55" t="s">
        <v>138</v>
      </c>
      <c r="C25" s="55" t="s">
        <v>884</v>
      </c>
      <c r="D25" s="55"/>
      <c r="E25" s="56" t="s">
        <v>885</v>
      </c>
      <c r="F25" s="55" t="s">
        <v>46</v>
      </c>
      <c r="G25" s="57"/>
      <c r="H25" s="58"/>
      <c r="I25" s="58"/>
      <c r="J25" s="58">
        <f>SUM(I25:I26)</f>
        <v>17.61</v>
      </c>
      <c r="K25" s="58">
        <v>11.6</v>
      </c>
      <c r="L25" s="58">
        <v>6.01</v>
      </c>
      <c r="M25" s="58">
        <v>0</v>
      </c>
      <c r="N25" s="58">
        <v>0</v>
      </c>
      <c r="O25" s="58">
        <v>0</v>
      </c>
      <c r="P25" s="58"/>
      <c r="Q25" s="56" t="s">
        <v>899</v>
      </c>
      <c r="R25" s="56" t="s">
        <v>166</v>
      </c>
      <c r="S25" s="286" t="str">
        <f t="shared" si="0"/>
        <v/>
      </c>
      <c r="T25" s="286" t="str">
        <f>IF($C25= "", T24, IF(ISNA(VLOOKUP($C25,'ABC-S'!$A$5:$A$271,1,FALSE)), "", VLOOKUP($C25,'ABC-S'!$A$5:$A$271,1,FALSE)))</f>
        <v/>
      </c>
      <c r="W25" s="286" t="s">
        <v>884</v>
      </c>
      <c r="X25" s="286"/>
      <c r="Y25" s="286"/>
      <c r="Z25" s="286"/>
      <c r="AA25" s="286" t="s">
        <v>21</v>
      </c>
      <c r="AB25" s="378">
        <v>1</v>
      </c>
      <c r="AC25" s="378"/>
      <c r="AD25" s="335"/>
      <c r="AE25" s="335"/>
      <c r="AF25" s="335"/>
      <c r="AG25" s="378">
        <v>1</v>
      </c>
      <c r="AI25" s="378" t="s">
        <v>21</v>
      </c>
      <c r="AJ25" s="378" t="s">
        <v>21</v>
      </c>
      <c r="AL25" s="286"/>
      <c r="AM25" s="286"/>
    </row>
    <row r="26" spans="1:39" s="51" customFormat="1" hidden="1" x14ac:dyDescent="0.25">
      <c r="A26" s="59" t="s">
        <v>884</v>
      </c>
      <c r="B26" s="59" t="s">
        <v>87</v>
      </c>
      <c r="C26" s="248"/>
      <c r="D26" s="59">
        <v>88316</v>
      </c>
      <c r="E26" s="60" t="s">
        <v>649</v>
      </c>
      <c r="F26" s="59" t="s">
        <v>46</v>
      </c>
      <c r="G26" s="61">
        <v>1</v>
      </c>
      <c r="H26" s="62">
        <v>17.61</v>
      </c>
      <c r="I26" s="62">
        <f>IF($D26="","",G26*H26)</f>
        <v>17.61</v>
      </c>
      <c r="J26" s="62"/>
      <c r="K26" s="62">
        <v>11.6</v>
      </c>
      <c r="L26" s="62">
        <v>6.01</v>
      </c>
      <c r="M26" s="62">
        <v>0</v>
      </c>
      <c r="N26" s="62">
        <v>0</v>
      </c>
      <c r="O26" s="62">
        <v>0</v>
      </c>
      <c r="P26" s="298" t="s">
        <v>4160</v>
      </c>
      <c r="Q26" s="60" t="s">
        <v>27</v>
      </c>
      <c r="R26" s="60" t="s">
        <v>353</v>
      </c>
      <c r="S26" s="286" t="str">
        <f t="shared" si="0"/>
        <v/>
      </c>
      <c r="T26" s="286" t="str">
        <f>IF($C26= "", T25, IF(ISNA(VLOOKUP($C26,'ABC-S'!$A$5:$A$271,1,FALSE)), "", VLOOKUP($C26,'ABC-S'!$A$5:$A$271,1,FALSE)))</f>
        <v/>
      </c>
      <c r="W26" s="286" t="s">
        <v>884</v>
      </c>
      <c r="X26" s="286">
        <v>88316</v>
      </c>
      <c r="Y26" s="286" t="s">
        <v>424</v>
      </c>
      <c r="Z26" s="335">
        <v>0</v>
      </c>
      <c r="AA26" s="286">
        <v>1</v>
      </c>
      <c r="AB26" s="378"/>
      <c r="AC26" s="381" t="s">
        <v>21</v>
      </c>
      <c r="AD26" s="378" t="s">
        <v>21</v>
      </c>
      <c r="AE26" s="378" t="s">
        <v>21</v>
      </c>
      <c r="AF26" s="378" t="s">
        <v>21</v>
      </c>
      <c r="AG26" s="378"/>
      <c r="AI26" s="378">
        <v>0</v>
      </c>
      <c r="AJ26" s="378">
        <v>0</v>
      </c>
      <c r="AL26" s="286">
        <v>88316</v>
      </c>
      <c r="AM26" s="286"/>
    </row>
    <row r="27" spans="1:39" s="51" customFormat="1" ht="45" hidden="1" x14ac:dyDescent="0.25">
      <c r="A27" s="55" t="s">
        <v>886</v>
      </c>
      <c r="B27" s="55" t="s">
        <v>138</v>
      </c>
      <c r="C27" s="55" t="s">
        <v>886</v>
      </c>
      <c r="D27" s="55"/>
      <c r="E27" s="56" t="s">
        <v>887</v>
      </c>
      <c r="F27" s="55" t="s">
        <v>41</v>
      </c>
      <c r="G27" s="57"/>
      <c r="H27" s="58"/>
      <c r="I27" s="58"/>
      <c r="J27" s="58">
        <f>SUM(I27:I32)</f>
        <v>65.279517599000002</v>
      </c>
      <c r="K27" s="58">
        <v>1.9060231E-3</v>
      </c>
      <c r="L27" s="58">
        <v>13.164677945580001</v>
      </c>
      <c r="M27" s="58">
        <v>3.9336303199999992E-3</v>
      </c>
      <c r="N27" s="58">
        <v>52.109000000000009</v>
      </c>
      <c r="O27" s="58">
        <v>0</v>
      </c>
      <c r="P27" s="58"/>
      <c r="Q27" s="56" t="s">
        <v>900</v>
      </c>
      <c r="R27" s="56" t="s">
        <v>419</v>
      </c>
      <c r="S27" s="286" t="str">
        <f t="shared" si="0"/>
        <v/>
      </c>
      <c r="T27" s="286" t="str">
        <f>IF($C27= "", T26, IF(ISNA(VLOOKUP($C27,'ABC-S'!$A$5:$A$271,1,FALSE)), "", VLOOKUP($C27,'ABC-S'!$A$5:$A$271,1,FALSE)))</f>
        <v/>
      </c>
      <c r="W27" s="286" t="s">
        <v>886</v>
      </c>
      <c r="X27" s="286"/>
      <c r="Y27" s="286"/>
      <c r="Z27" s="286"/>
      <c r="AA27" s="286" t="s">
        <v>21</v>
      </c>
      <c r="AB27" s="378">
        <v>0</v>
      </c>
      <c r="AC27" s="378"/>
      <c r="AD27" s="335"/>
      <c r="AE27" s="335"/>
      <c r="AF27" s="335"/>
      <c r="AG27" s="378">
        <v>1.3143999999999997E-4</v>
      </c>
      <c r="AI27" s="378" t="s">
        <v>21</v>
      </c>
      <c r="AJ27" s="378" t="s">
        <v>21</v>
      </c>
      <c r="AL27" s="286"/>
      <c r="AM27" s="286"/>
    </row>
    <row r="28" spans="1:39" s="51" customFormat="1" ht="22.5" hidden="1" x14ac:dyDescent="0.25">
      <c r="A28" s="59" t="s">
        <v>886</v>
      </c>
      <c r="B28" s="59" t="s">
        <v>86</v>
      </c>
      <c r="C28" s="248"/>
      <c r="D28" s="59" t="s">
        <v>836</v>
      </c>
      <c r="E28" s="60" t="s">
        <v>269</v>
      </c>
      <c r="F28" s="59" t="s">
        <v>54</v>
      </c>
      <c r="G28" s="61">
        <v>1.0582</v>
      </c>
      <c r="H28" s="62">
        <v>12.43</v>
      </c>
      <c r="I28" s="62">
        <f>IF($D28="","",G28*H28)</f>
        <v>13.153426</v>
      </c>
      <c r="J28" s="62"/>
      <c r="K28" s="62">
        <v>0</v>
      </c>
      <c r="L28" s="62">
        <v>13.153426</v>
      </c>
      <c r="M28" s="62">
        <v>0</v>
      </c>
      <c r="N28" s="62">
        <v>0</v>
      </c>
      <c r="O28" s="62">
        <v>0</v>
      </c>
      <c r="P28" s="298" t="s">
        <v>89</v>
      </c>
      <c r="Q28" s="60" t="s">
        <v>174</v>
      </c>
      <c r="R28" s="60" t="s">
        <v>174</v>
      </c>
      <c r="S28" s="286" t="str">
        <f t="shared" si="0"/>
        <v/>
      </c>
      <c r="T28" s="286" t="str">
        <f>IF($C28= "", T27, IF(ISNA(VLOOKUP($C28,'ABC-S'!$A$5:$A$271,1,FALSE)), "", VLOOKUP($C28,'ABC-S'!$A$5:$A$271,1,FALSE)))</f>
        <v/>
      </c>
      <c r="W28" s="286" t="s">
        <v>886</v>
      </c>
      <c r="X28" s="286" t="s">
        <v>21</v>
      </c>
      <c r="Y28" s="286" t="s">
        <v>21</v>
      </c>
      <c r="Z28" s="286" t="s">
        <v>21</v>
      </c>
      <c r="AA28" s="286" t="s">
        <v>21</v>
      </c>
      <c r="AB28" s="378"/>
      <c r="AC28" s="381" t="s">
        <v>21</v>
      </c>
      <c r="AD28" s="378" t="s">
        <v>21</v>
      </c>
      <c r="AE28" s="378" t="s">
        <v>21</v>
      </c>
      <c r="AF28" s="378" t="s">
        <v>21</v>
      </c>
      <c r="AG28" s="378"/>
      <c r="AI28" s="378" t="s">
        <v>21</v>
      </c>
      <c r="AJ28" s="378" t="s">
        <v>21</v>
      </c>
      <c r="AL28" s="286"/>
      <c r="AM28" s="286" t="s">
        <v>836</v>
      </c>
    </row>
    <row r="29" spans="1:39" s="51" customFormat="1" ht="22.5" hidden="1" x14ac:dyDescent="0.25">
      <c r="A29" s="59" t="s">
        <v>886</v>
      </c>
      <c r="B29" s="59" t="s">
        <v>86</v>
      </c>
      <c r="C29" s="248"/>
      <c r="D29" s="59" t="s">
        <v>888</v>
      </c>
      <c r="E29" s="60" t="s">
        <v>866</v>
      </c>
      <c r="F29" s="59" t="s">
        <v>51</v>
      </c>
      <c r="G29" s="61">
        <v>0.1</v>
      </c>
      <c r="H29" s="62">
        <v>304.92</v>
      </c>
      <c r="I29" s="62">
        <f>IF($D29="","",G29*H29)</f>
        <v>30.492000000000004</v>
      </c>
      <c r="J29" s="62"/>
      <c r="K29" s="62">
        <v>0</v>
      </c>
      <c r="L29" s="62">
        <v>0</v>
      </c>
      <c r="M29" s="62">
        <v>0</v>
      </c>
      <c r="N29" s="62">
        <v>30.492000000000004</v>
      </c>
      <c r="O29" s="62">
        <v>0</v>
      </c>
      <c r="P29" s="298" t="s">
        <v>88</v>
      </c>
      <c r="Q29" s="60" t="s">
        <v>174</v>
      </c>
      <c r="R29" s="60" t="s">
        <v>174</v>
      </c>
      <c r="S29" s="286" t="str">
        <f t="shared" si="0"/>
        <v/>
      </c>
      <c r="T29" s="286" t="str">
        <f>IF($C29= "", T28, IF(ISNA(VLOOKUP($C29,'ABC-S'!$A$5:$A$271,1,FALSE)), "", VLOOKUP($C29,'ABC-S'!$A$5:$A$271,1,FALSE)))</f>
        <v/>
      </c>
      <c r="W29" s="286" t="s">
        <v>886</v>
      </c>
      <c r="X29" s="286" t="s">
        <v>21</v>
      </c>
      <c r="Y29" s="286" t="s">
        <v>21</v>
      </c>
      <c r="Z29" s="286" t="s">
        <v>21</v>
      </c>
      <c r="AA29" s="286" t="s">
        <v>21</v>
      </c>
      <c r="AB29" s="378"/>
      <c r="AC29" s="381" t="s">
        <v>21</v>
      </c>
      <c r="AD29" s="378" t="s">
        <v>21</v>
      </c>
      <c r="AE29" s="378" t="s">
        <v>21</v>
      </c>
      <c r="AF29" s="378" t="s">
        <v>21</v>
      </c>
      <c r="AG29" s="378"/>
      <c r="AI29" s="378" t="s">
        <v>21</v>
      </c>
      <c r="AJ29" s="378" t="s">
        <v>21</v>
      </c>
      <c r="AL29" s="286"/>
      <c r="AM29" s="286" t="s">
        <v>888</v>
      </c>
    </row>
    <row r="30" spans="1:39" s="51" customFormat="1" ht="22.5" hidden="1" x14ac:dyDescent="0.25">
      <c r="A30" s="59" t="s">
        <v>886</v>
      </c>
      <c r="B30" s="59" t="s">
        <v>86</v>
      </c>
      <c r="C30" s="248"/>
      <c r="D30" s="59" t="s">
        <v>890</v>
      </c>
      <c r="E30" s="60" t="s">
        <v>891</v>
      </c>
      <c r="F30" s="59" t="s">
        <v>41</v>
      </c>
      <c r="G30" s="61">
        <v>0.1</v>
      </c>
      <c r="H30" s="62">
        <v>216.17</v>
      </c>
      <c r="I30" s="62">
        <f>IF($D30="","",G30*H30)</f>
        <v>21.617000000000001</v>
      </c>
      <c r="J30" s="62"/>
      <c r="K30" s="62">
        <v>0</v>
      </c>
      <c r="L30" s="62">
        <v>0</v>
      </c>
      <c r="M30" s="62">
        <v>0</v>
      </c>
      <c r="N30" s="62">
        <v>21.617000000000001</v>
      </c>
      <c r="O30" s="62">
        <v>0</v>
      </c>
      <c r="P30" s="298" t="s">
        <v>88</v>
      </c>
      <c r="Q30" s="60" t="s">
        <v>174</v>
      </c>
      <c r="R30" s="60" t="s">
        <v>174</v>
      </c>
      <c r="S30" s="286" t="str">
        <f t="shared" si="0"/>
        <v/>
      </c>
      <c r="T30" s="286" t="str">
        <f>IF($C30= "", T29, IF(ISNA(VLOOKUP($C30,'ABC-S'!$A$5:$A$271,1,FALSE)), "", VLOOKUP($C30,'ABC-S'!$A$5:$A$271,1,FALSE)))</f>
        <v/>
      </c>
      <c r="W30" s="286" t="s">
        <v>886</v>
      </c>
      <c r="X30" s="286" t="s">
        <v>21</v>
      </c>
      <c r="Y30" s="286" t="s">
        <v>21</v>
      </c>
      <c r="Z30" s="286" t="s">
        <v>21</v>
      </c>
      <c r="AA30" s="286" t="s">
        <v>21</v>
      </c>
      <c r="AB30" s="378"/>
      <c r="AC30" s="381" t="s">
        <v>21</v>
      </c>
      <c r="AD30" s="378" t="s">
        <v>21</v>
      </c>
      <c r="AE30" s="378" t="s">
        <v>21</v>
      </c>
      <c r="AF30" s="378" t="s">
        <v>21</v>
      </c>
      <c r="AG30" s="378"/>
      <c r="AI30" s="378" t="s">
        <v>21</v>
      </c>
      <c r="AJ30" s="378" t="s">
        <v>21</v>
      </c>
      <c r="AL30" s="286"/>
      <c r="AM30" s="286" t="s">
        <v>890</v>
      </c>
    </row>
    <row r="31" spans="1:39" s="51" customFormat="1" ht="33.75" hidden="1" x14ac:dyDescent="0.25">
      <c r="A31" s="59" t="s">
        <v>886</v>
      </c>
      <c r="B31" s="59" t="s">
        <v>87</v>
      </c>
      <c r="C31" s="248"/>
      <c r="D31" s="59">
        <v>72850</v>
      </c>
      <c r="E31" s="60" t="s">
        <v>1312</v>
      </c>
      <c r="F31" s="59" t="s">
        <v>55</v>
      </c>
      <c r="G31" s="61">
        <v>1.06E-3</v>
      </c>
      <c r="H31" s="62">
        <v>11.844150000000001</v>
      </c>
      <c r="I31" s="62">
        <f>IF($D31="","",G31*H31)</f>
        <v>1.2554799E-2</v>
      </c>
      <c r="J31" s="62"/>
      <c r="K31" s="62">
        <v>1.2912231E-3</v>
      </c>
      <c r="L31" s="62">
        <v>8.40054558E-3</v>
      </c>
      <c r="M31" s="62">
        <v>2.8630303199999995E-3</v>
      </c>
      <c r="N31" s="62">
        <v>0</v>
      </c>
      <c r="O31" s="62">
        <v>0</v>
      </c>
      <c r="P31" s="298" t="s">
        <v>4160</v>
      </c>
      <c r="Q31" s="60" t="s">
        <v>27</v>
      </c>
      <c r="R31" s="60" t="s">
        <v>174</v>
      </c>
      <c r="S31" s="286" t="str">
        <f t="shared" si="0"/>
        <v/>
      </c>
      <c r="T31" s="286" t="str">
        <f>IF($C31= "", T30, IF(ISNA(VLOOKUP($C31,'ABC-S'!$A$5:$A$271,1,FALSE)), "", VLOOKUP($C31,'ABC-S'!$A$5:$A$271,1,FALSE)))</f>
        <v/>
      </c>
      <c r="W31" s="286" t="s">
        <v>886</v>
      </c>
      <c r="X31" s="286" t="s">
        <v>21</v>
      </c>
      <c r="Y31" s="286" t="s">
        <v>1513</v>
      </c>
      <c r="Z31" s="335" t="s">
        <v>21</v>
      </c>
      <c r="AA31" s="286" t="s">
        <v>21</v>
      </c>
      <c r="AB31" s="378"/>
      <c r="AC31" s="381">
        <v>72850</v>
      </c>
      <c r="AD31" s="378">
        <v>1.06E-3</v>
      </c>
      <c r="AE31" s="378">
        <v>8.43E-2</v>
      </c>
      <c r="AF31" s="378">
        <v>8.9357999999999994E-5</v>
      </c>
      <c r="AG31" s="378"/>
      <c r="AI31" s="378" t="s">
        <v>21</v>
      </c>
      <c r="AJ31" s="378" t="s">
        <v>21</v>
      </c>
      <c r="AL31" s="286">
        <v>72850</v>
      </c>
      <c r="AM31" s="286"/>
    </row>
    <row r="32" spans="1:39" s="51" customFormat="1" ht="33.75" hidden="1" x14ac:dyDescent="0.25">
      <c r="A32" s="59" t="s">
        <v>886</v>
      </c>
      <c r="B32" s="59" t="s">
        <v>87</v>
      </c>
      <c r="C32" s="248"/>
      <c r="D32" s="59">
        <v>100949</v>
      </c>
      <c r="E32" s="60" t="s">
        <v>791</v>
      </c>
      <c r="F32" s="59" t="s">
        <v>42</v>
      </c>
      <c r="G32" s="61">
        <f>G31</f>
        <v>1.06E-3</v>
      </c>
      <c r="H32" s="62">
        <v>4.28</v>
      </c>
      <c r="I32" s="62">
        <f>IF($D32="","",G32*H32)</f>
        <v>4.5367999999999997E-3</v>
      </c>
      <c r="J32" s="62"/>
      <c r="K32" s="62">
        <v>6.1479999999999998E-4</v>
      </c>
      <c r="L32" s="62">
        <v>2.8514E-3</v>
      </c>
      <c r="M32" s="62">
        <v>1.0705999999999999E-3</v>
      </c>
      <c r="N32" s="62">
        <v>0</v>
      </c>
      <c r="O32" s="62">
        <v>0</v>
      </c>
      <c r="P32" s="298" t="s">
        <v>4160</v>
      </c>
      <c r="Q32" s="60" t="s">
        <v>27</v>
      </c>
      <c r="R32" s="60" t="s">
        <v>174</v>
      </c>
      <c r="S32" s="286" t="str">
        <f t="shared" si="0"/>
        <v/>
      </c>
      <c r="T32" s="286" t="str">
        <f>IF($C32= "", T31, IF(ISNA(VLOOKUP($C32,'ABC-S'!$A$5:$A$271,1,FALSE)), "", VLOOKUP($C32,'ABC-S'!$A$5:$A$271,1,FALSE)))</f>
        <v/>
      </c>
      <c r="W32" s="286" t="s">
        <v>886</v>
      </c>
      <c r="X32" s="286" t="s">
        <v>21</v>
      </c>
      <c r="Y32" s="286" t="s">
        <v>1098</v>
      </c>
      <c r="Z32" s="335" t="s">
        <v>21</v>
      </c>
      <c r="AA32" s="286" t="s">
        <v>21</v>
      </c>
      <c r="AB32" s="378"/>
      <c r="AC32" s="381">
        <v>100949</v>
      </c>
      <c r="AD32" s="378">
        <v>1.06E-3</v>
      </c>
      <c r="AE32" s="378">
        <v>3.9699999999999999E-2</v>
      </c>
      <c r="AF32" s="378">
        <v>4.2081999999999995E-5</v>
      </c>
      <c r="AG32" s="378"/>
      <c r="AI32" s="378">
        <v>0</v>
      </c>
      <c r="AJ32" s="378">
        <v>0</v>
      </c>
      <c r="AL32" s="286">
        <v>100949</v>
      </c>
      <c r="AM32" s="286"/>
    </row>
    <row r="33" spans="1:39" s="51" customFormat="1" ht="45" hidden="1" x14ac:dyDescent="0.25">
      <c r="A33" s="55" t="s">
        <v>893</v>
      </c>
      <c r="B33" s="55" t="s">
        <v>138</v>
      </c>
      <c r="C33" s="55" t="s">
        <v>893</v>
      </c>
      <c r="D33" s="55"/>
      <c r="E33" s="56" t="s">
        <v>901</v>
      </c>
      <c r="F33" s="55" t="s">
        <v>41</v>
      </c>
      <c r="G33" s="57"/>
      <c r="H33" s="58"/>
      <c r="I33" s="58"/>
      <c r="J33" s="58">
        <f>SUM(I33:I38)</f>
        <v>58.735934399000001</v>
      </c>
      <c r="K33" s="58">
        <v>1.9060231E-3</v>
      </c>
      <c r="L33" s="58">
        <v>13.164677945580001</v>
      </c>
      <c r="M33" s="58">
        <v>3.9336303199999992E-3</v>
      </c>
      <c r="N33" s="58">
        <v>45.565416800000001</v>
      </c>
      <c r="O33" s="58">
        <v>0</v>
      </c>
      <c r="P33" s="58"/>
      <c r="Q33" s="56" t="s">
        <v>895</v>
      </c>
      <c r="R33" s="56" t="s">
        <v>419</v>
      </c>
      <c r="S33" s="286" t="str">
        <f t="shared" si="0"/>
        <v/>
      </c>
      <c r="T33" s="286" t="str">
        <f>IF($C33= "", T32, IF(ISNA(VLOOKUP($C33,'ABC-S'!$A$5:$A$271,1,FALSE)), "", VLOOKUP($C33,'ABC-S'!$A$5:$A$271,1,FALSE)))</f>
        <v/>
      </c>
      <c r="W33" s="286" t="s">
        <v>893</v>
      </c>
      <c r="X33" s="286"/>
      <c r="Y33" s="286"/>
      <c r="Z33" s="286"/>
      <c r="AA33" s="286" t="s">
        <v>21</v>
      </c>
      <c r="AB33" s="378">
        <v>0</v>
      </c>
      <c r="AC33" s="378"/>
      <c r="AD33" s="335"/>
      <c r="AE33" s="335"/>
      <c r="AF33" s="335"/>
      <c r="AG33" s="378">
        <v>1.3143999999999997E-4</v>
      </c>
      <c r="AI33" s="378" t="s">
        <v>21</v>
      </c>
      <c r="AJ33" s="378" t="s">
        <v>21</v>
      </c>
      <c r="AL33" s="286"/>
      <c r="AM33" s="286"/>
    </row>
    <row r="34" spans="1:39" s="51" customFormat="1" ht="22.5" hidden="1" x14ac:dyDescent="0.25">
      <c r="A34" s="59" t="s">
        <v>893</v>
      </c>
      <c r="B34" s="59" t="s">
        <v>86</v>
      </c>
      <c r="C34" s="248"/>
      <c r="D34" s="59" t="s">
        <v>836</v>
      </c>
      <c r="E34" s="60" t="s">
        <v>269</v>
      </c>
      <c r="F34" s="59" t="s">
        <v>54</v>
      </c>
      <c r="G34" s="61">
        <v>1.0582</v>
      </c>
      <c r="H34" s="62">
        <v>12.43</v>
      </c>
      <c r="I34" s="62">
        <f>IF($D34="","",G34*H34)</f>
        <v>13.153426</v>
      </c>
      <c r="J34" s="62"/>
      <c r="K34" s="62">
        <v>0</v>
      </c>
      <c r="L34" s="62">
        <v>13.153426</v>
      </c>
      <c r="M34" s="62">
        <v>0</v>
      </c>
      <c r="N34" s="62">
        <v>0</v>
      </c>
      <c r="O34" s="62">
        <v>0</v>
      </c>
      <c r="P34" s="298" t="s">
        <v>89</v>
      </c>
      <c r="Q34" s="60" t="s">
        <v>174</v>
      </c>
      <c r="R34" s="60" t="s">
        <v>174</v>
      </c>
      <c r="S34" s="286" t="str">
        <f t="shared" si="0"/>
        <v/>
      </c>
      <c r="T34" s="286" t="str">
        <f>IF($C34= "", T33, IF(ISNA(VLOOKUP($C34,'ABC-S'!$A$5:$A$271,1,FALSE)), "", VLOOKUP($C34,'ABC-S'!$A$5:$A$271,1,FALSE)))</f>
        <v/>
      </c>
      <c r="W34" s="286" t="s">
        <v>893</v>
      </c>
      <c r="X34" s="286" t="s">
        <v>21</v>
      </c>
      <c r="Y34" s="286" t="s">
        <v>21</v>
      </c>
      <c r="Z34" s="286" t="s">
        <v>21</v>
      </c>
      <c r="AA34" s="286" t="s">
        <v>21</v>
      </c>
      <c r="AB34" s="378"/>
      <c r="AC34" s="381" t="s">
        <v>21</v>
      </c>
      <c r="AD34" s="378" t="s">
        <v>21</v>
      </c>
      <c r="AE34" s="378" t="s">
        <v>21</v>
      </c>
      <c r="AF34" s="378" t="s">
        <v>21</v>
      </c>
      <c r="AG34" s="378"/>
      <c r="AI34" s="378" t="s">
        <v>21</v>
      </c>
      <c r="AJ34" s="378" t="s">
        <v>21</v>
      </c>
      <c r="AL34" s="286"/>
      <c r="AM34" s="286" t="s">
        <v>836</v>
      </c>
    </row>
    <row r="35" spans="1:39" s="51" customFormat="1" ht="22.5" hidden="1" x14ac:dyDescent="0.25">
      <c r="A35" s="59" t="s">
        <v>893</v>
      </c>
      <c r="B35" s="59" t="s">
        <v>86</v>
      </c>
      <c r="C35" s="248"/>
      <c r="D35" s="59" t="s">
        <v>888</v>
      </c>
      <c r="E35" s="60" t="s">
        <v>866</v>
      </c>
      <c r="F35" s="59" t="s">
        <v>51</v>
      </c>
      <c r="G35" s="61">
        <v>7.8539999999999999E-2</v>
      </c>
      <c r="H35" s="62">
        <v>304.92</v>
      </c>
      <c r="I35" s="62">
        <f>IF($D35="","",G35*H35)</f>
        <v>23.9484168</v>
      </c>
      <c r="J35" s="62"/>
      <c r="K35" s="62">
        <v>0</v>
      </c>
      <c r="L35" s="62">
        <v>0</v>
      </c>
      <c r="M35" s="62">
        <v>0</v>
      </c>
      <c r="N35" s="62">
        <v>23.9484168</v>
      </c>
      <c r="O35" s="62">
        <v>0</v>
      </c>
      <c r="P35" s="298" t="s">
        <v>88</v>
      </c>
      <c r="Q35" s="60" t="s">
        <v>174</v>
      </c>
      <c r="R35" s="60" t="s">
        <v>174</v>
      </c>
      <c r="S35" s="286" t="str">
        <f t="shared" si="0"/>
        <v/>
      </c>
      <c r="T35" s="286" t="str">
        <f>IF($C35= "", T34, IF(ISNA(VLOOKUP($C35,'ABC-S'!$A$5:$A$271,1,FALSE)), "", VLOOKUP($C35,'ABC-S'!$A$5:$A$271,1,FALSE)))</f>
        <v/>
      </c>
      <c r="W35" s="286" t="s">
        <v>893</v>
      </c>
      <c r="X35" s="286" t="s">
        <v>21</v>
      </c>
      <c r="Y35" s="286" t="s">
        <v>21</v>
      </c>
      <c r="Z35" s="286" t="s">
        <v>21</v>
      </c>
      <c r="AA35" s="286" t="s">
        <v>21</v>
      </c>
      <c r="AB35" s="378"/>
      <c r="AC35" s="381" t="s">
        <v>21</v>
      </c>
      <c r="AD35" s="378" t="s">
        <v>21</v>
      </c>
      <c r="AE35" s="378" t="s">
        <v>21</v>
      </c>
      <c r="AF35" s="378" t="s">
        <v>21</v>
      </c>
      <c r="AG35" s="378"/>
      <c r="AI35" s="378" t="s">
        <v>21</v>
      </c>
      <c r="AJ35" s="378" t="s">
        <v>21</v>
      </c>
      <c r="AL35" s="286"/>
      <c r="AM35" s="286" t="s">
        <v>888</v>
      </c>
    </row>
    <row r="36" spans="1:39" s="51" customFormat="1" ht="22.5" hidden="1" x14ac:dyDescent="0.25">
      <c r="A36" s="59" t="s">
        <v>893</v>
      </c>
      <c r="B36" s="59" t="s">
        <v>86</v>
      </c>
      <c r="C36" s="248"/>
      <c r="D36" s="59" t="s">
        <v>890</v>
      </c>
      <c r="E36" s="60" t="s">
        <v>891</v>
      </c>
      <c r="F36" s="59" t="s">
        <v>41</v>
      </c>
      <c r="G36" s="61">
        <v>0.1</v>
      </c>
      <c r="H36" s="62">
        <v>216.17</v>
      </c>
      <c r="I36" s="62">
        <f>IF($D36="","",G36*H36)</f>
        <v>21.617000000000001</v>
      </c>
      <c r="J36" s="62"/>
      <c r="K36" s="62">
        <v>0</v>
      </c>
      <c r="L36" s="62">
        <v>0</v>
      </c>
      <c r="M36" s="62">
        <v>0</v>
      </c>
      <c r="N36" s="62">
        <v>21.617000000000001</v>
      </c>
      <c r="O36" s="62">
        <v>0</v>
      </c>
      <c r="P36" s="298" t="s">
        <v>88</v>
      </c>
      <c r="Q36" s="60" t="s">
        <v>174</v>
      </c>
      <c r="R36" s="60" t="s">
        <v>174</v>
      </c>
      <c r="S36" s="286" t="str">
        <f t="shared" si="0"/>
        <v/>
      </c>
      <c r="T36" s="286" t="str">
        <f>IF($C36= "", T35, IF(ISNA(VLOOKUP($C36,'ABC-S'!$A$5:$A$271,1,FALSE)), "", VLOOKUP($C36,'ABC-S'!$A$5:$A$271,1,FALSE)))</f>
        <v/>
      </c>
      <c r="W36" s="286" t="s">
        <v>893</v>
      </c>
      <c r="X36" s="286" t="s">
        <v>21</v>
      </c>
      <c r="Y36" s="286" t="s">
        <v>21</v>
      </c>
      <c r="Z36" s="286" t="s">
        <v>21</v>
      </c>
      <c r="AA36" s="286" t="s">
        <v>21</v>
      </c>
      <c r="AB36" s="378"/>
      <c r="AC36" s="381" t="s">
        <v>21</v>
      </c>
      <c r="AD36" s="378" t="s">
        <v>21</v>
      </c>
      <c r="AE36" s="378" t="s">
        <v>21</v>
      </c>
      <c r="AF36" s="378" t="s">
        <v>21</v>
      </c>
      <c r="AG36" s="378"/>
      <c r="AI36" s="378" t="s">
        <v>21</v>
      </c>
      <c r="AJ36" s="378" t="s">
        <v>21</v>
      </c>
      <c r="AL36" s="286"/>
      <c r="AM36" s="286" t="s">
        <v>890</v>
      </c>
    </row>
    <row r="37" spans="1:39" s="51" customFormat="1" ht="33.75" hidden="1" x14ac:dyDescent="0.25">
      <c r="A37" s="59" t="s">
        <v>893</v>
      </c>
      <c r="B37" s="59" t="s">
        <v>87</v>
      </c>
      <c r="C37" s="248"/>
      <c r="D37" s="59">
        <v>72850</v>
      </c>
      <c r="E37" s="60" t="s">
        <v>1312</v>
      </c>
      <c r="F37" s="59" t="s">
        <v>55</v>
      </c>
      <c r="G37" s="61">
        <v>1.06E-3</v>
      </c>
      <c r="H37" s="62">
        <v>11.844150000000001</v>
      </c>
      <c r="I37" s="62">
        <f>IF($D37="","",G37*H37)</f>
        <v>1.2554799E-2</v>
      </c>
      <c r="J37" s="62"/>
      <c r="K37" s="62">
        <v>1.2912231E-3</v>
      </c>
      <c r="L37" s="62">
        <v>8.40054558E-3</v>
      </c>
      <c r="M37" s="62">
        <v>2.8630303199999995E-3</v>
      </c>
      <c r="N37" s="62">
        <v>0</v>
      </c>
      <c r="O37" s="62">
        <v>0</v>
      </c>
      <c r="P37" s="298" t="s">
        <v>4160</v>
      </c>
      <c r="Q37" s="60" t="s">
        <v>27</v>
      </c>
      <c r="R37" s="60" t="s">
        <v>174</v>
      </c>
      <c r="S37" s="286" t="str">
        <f t="shared" si="0"/>
        <v/>
      </c>
      <c r="T37" s="286" t="str">
        <f>IF($C37= "", T36, IF(ISNA(VLOOKUP($C37,'ABC-S'!$A$5:$A$271,1,FALSE)), "", VLOOKUP($C37,'ABC-S'!$A$5:$A$271,1,FALSE)))</f>
        <v/>
      </c>
      <c r="W37" s="286" t="s">
        <v>893</v>
      </c>
      <c r="X37" s="286" t="s">
        <v>21</v>
      </c>
      <c r="Y37" s="286" t="s">
        <v>1513</v>
      </c>
      <c r="Z37" s="335" t="s">
        <v>21</v>
      </c>
      <c r="AA37" s="286" t="s">
        <v>21</v>
      </c>
      <c r="AB37" s="378"/>
      <c r="AC37" s="381">
        <v>72850</v>
      </c>
      <c r="AD37" s="378">
        <v>1.06E-3</v>
      </c>
      <c r="AE37" s="378">
        <v>8.43E-2</v>
      </c>
      <c r="AF37" s="378">
        <v>8.9357999999999994E-5</v>
      </c>
      <c r="AG37" s="378"/>
      <c r="AI37" s="378" t="s">
        <v>21</v>
      </c>
      <c r="AJ37" s="378" t="s">
        <v>21</v>
      </c>
      <c r="AL37" s="286">
        <v>72850</v>
      </c>
      <c r="AM37" s="286"/>
    </row>
    <row r="38" spans="1:39" s="51" customFormat="1" ht="33.75" hidden="1" x14ac:dyDescent="0.25">
      <c r="A38" s="59" t="s">
        <v>893</v>
      </c>
      <c r="B38" s="59" t="s">
        <v>87</v>
      </c>
      <c r="C38" s="248"/>
      <c r="D38" s="59">
        <v>100949</v>
      </c>
      <c r="E38" s="60" t="s">
        <v>791</v>
      </c>
      <c r="F38" s="59" t="s">
        <v>42</v>
      </c>
      <c r="G38" s="61">
        <f>G37</f>
        <v>1.06E-3</v>
      </c>
      <c r="H38" s="62">
        <v>4.28</v>
      </c>
      <c r="I38" s="62">
        <f>IF($D38="","",G38*H38)</f>
        <v>4.5367999999999997E-3</v>
      </c>
      <c r="J38" s="62"/>
      <c r="K38" s="62">
        <v>6.1479999999999998E-4</v>
      </c>
      <c r="L38" s="62">
        <v>2.8514E-3</v>
      </c>
      <c r="M38" s="62">
        <v>1.0705999999999999E-3</v>
      </c>
      <c r="N38" s="62">
        <v>0</v>
      </c>
      <c r="O38" s="62">
        <v>0</v>
      </c>
      <c r="P38" s="298" t="s">
        <v>4160</v>
      </c>
      <c r="Q38" s="60" t="s">
        <v>27</v>
      </c>
      <c r="R38" s="60" t="s">
        <v>174</v>
      </c>
      <c r="S38" s="286" t="str">
        <f t="shared" si="0"/>
        <v/>
      </c>
      <c r="T38" s="286" t="str">
        <f>IF($C38= "", T37, IF(ISNA(VLOOKUP($C38,'ABC-S'!$A$5:$A$271,1,FALSE)), "", VLOOKUP($C38,'ABC-S'!$A$5:$A$271,1,FALSE)))</f>
        <v/>
      </c>
      <c r="W38" s="286" t="s">
        <v>893</v>
      </c>
      <c r="X38" s="286" t="s">
        <v>21</v>
      </c>
      <c r="Y38" s="286" t="s">
        <v>1098</v>
      </c>
      <c r="Z38" s="335" t="s">
        <v>21</v>
      </c>
      <c r="AA38" s="286" t="s">
        <v>21</v>
      </c>
      <c r="AB38" s="378"/>
      <c r="AC38" s="381">
        <v>100949</v>
      </c>
      <c r="AD38" s="378">
        <v>1.06E-3</v>
      </c>
      <c r="AE38" s="378">
        <v>3.9699999999999999E-2</v>
      </c>
      <c r="AF38" s="378">
        <v>4.2081999999999995E-5</v>
      </c>
      <c r="AG38" s="378"/>
      <c r="AI38" s="378">
        <v>0</v>
      </c>
      <c r="AJ38" s="378">
        <v>0</v>
      </c>
      <c r="AL38" s="286">
        <v>100949</v>
      </c>
      <c r="AM38" s="286"/>
    </row>
    <row r="39" spans="1:39" s="51" customFormat="1" ht="45" hidden="1" x14ac:dyDescent="0.25">
      <c r="A39" s="55" t="s">
        <v>894</v>
      </c>
      <c r="B39" s="55" t="s">
        <v>138</v>
      </c>
      <c r="C39" s="55" t="s">
        <v>894</v>
      </c>
      <c r="D39" s="55"/>
      <c r="E39" s="56" t="s">
        <v>897</v>
      </c>
      <c r="F39" s="55" t="s">
        <v>41</v>
      </c>
      <c r="G39" s="57"/>
      <c r="H39" s="58"/>
      <c r="I39" s="58"/>
      <c r="J39" s="58">
        <f>SUM(I39:I44)</f>
        <v>60.022696799000002</v>
      </c>
      <c r="K39" s="58">
        <v>1.9060231E-3</v>
      </c>
      <c r="L39" s="58">
        <v>13.164677945580001</v>
      </c>
      <c r="M39" s="58">
        <v>3.9336303199999992E-3</v>
      </c>
      <c r="N39" s="58">
        <v>46.852179200000002</v>
      </c>
      <c r="O39" s="58">
        <v>0</v>
      </c>
      <c r="P39" s="58"/>
      <c r="Q39" s="56" t="s">
        <v>896</v>
      </c>
      <c r="R39" s="56" t="s">
        <v>419</v>
      </c>
      <c r="S39" s="286" t="str">
        <f t="shared" si="0"/>
        <v/>
      </c>
      <c r="T39" s="286" t="str">
        <f>IF($C39= "", T38, IF(ISNA(VLOOKUP($C39,'ABC-S'!$A$5:$A$271,1,FALSE)), "", VLOOKUP($C39,'ABC-S'!$A$5:$A$271,1,FALSE)))</f>
        <v/>
      </c>
      <c r="W39" s="286" t="s">
        <v>894</v>
      </c>
      <c r="X39" s="286"/>
      <c r="Y39" s="286"/>
      <c r="Z39" s="286"/>
      <c r="AA39" s="286" t="s">
        <v>21</v>
      </c>
      <c r="AB39" s="378">
        <v>0</v>
      </c>
      <c r="AC39" s="378"/>
      <c r="AD39" s="335"/>
      <c r="AE39" s="335"/>
      <c r="AF39" s="335"/>
      <c r="AG39" s="378">
        <v>1.3143999999999997E-4</v>
      </c>
      <c r="AI39" s="378" t="s">
        <v>21</v>
      </c>
      <c r="AJ39" s="378" t="s">
        <v>21</v>
      </c>
      <c r="AL39" s="286"/>
      <c r="AM39" s="286"/>
    </row>
    <row r="40" spans="1:39" s="51" customFormat="1" ht="22.5" hidden="1" x14ac:dyDescent="0.25">
      <c r="A40" s="59" t="s">
        <v>894</v>
      </c>
      <c r="B40" s="59" t="s">
        <v>86</v>
      </c>
      <c r="C40" s="248"/>
      <c r="D40" s="59" t="s">
        <v>836</v>
      </c>
      <c r="E40" s="60" t="s">
        <v>269</v>
      </c>
      <c r="F40" s="59" t="s">
        <v>54</v>
      </c>
      <c r="G40" s="61">
        <v>1.0582</v>
      </c>
      <c r="H40" s="62">
        <v>12.43</v>
      </c>
      <c r="I40" s="62">
        <f>IF($D40="","",G40*H40)</f>
        <v>13.153426</v>
      </c>
      <c r="J40" s="62"/>
      <c r="K40" s="62">
        <v>0</v>
      </c>
      <c r="L40" s="62">
        <v>13.153426</v>
      </c>
      <c r="M40" s="62">
        <v>0</v>
      </c>
      <c r="N40" s="62">
        <v>0</v>
      </c>
      <c r="O40" s="62">
        <v>0</v>
      </c>
      <c r="P40" s="298" t="s">
        <v>89</v>
      </c>
      <c r="Q40" s="60" t="s">
        <v>174</v>
      </c>
      <c r="R40" s="60" t="s">
        <v>174</v>
      </c>
      <c r="S40" s="286" t="str">
        <f t="shared" si="0"/>
        <v/>
      </c>
      <c r="T40" s="286" t="str">
        <f>IF($C40= "", T39, IF(ISNA(VLOOKUP($C40,'ABC-S'!$A$5:$A$271,1,FALSE)), "", VLOOKUP($C40,'ABC-S'!$A$5:$A$271,1,FALSE)))</f>
        <v/>
      </c>
      <c r="W40" s="286" t="s">
        <v>894</v>
      </c>
      <c r="X40" s="286" t="s">
        <v>21</v>
      </c>
      <c r="Y40" s="286" t="s">
        <v>21</v>
      </c>
      <c r="Z40" s="286" t="s">
        <v>21</v>
      </c>
      <c r="AA40" s="286" t="s">
        <v>21</v>
      </c>
      <c r="AB40" s="378"/>
      <c r="AC40" s="381" t="s">
        <v>21</v>
      </c>
      <c r="AD40" s="378" t="s">
        <v>21</v>
      </c>
      <c r="AE40" s="378" t="s">
        <v>21</v>
      </c>
      <c r="AF40" s="378" t="s">
        <v>21</v>
      </c>
      <c r="AG40" s="378"/>
      <c r="AI40" s="378" t="s">
        <v>21</v>
      </c>
      <c r="AJ40" s="378" t="s">
        <v>21</v>
      </c>
      <c r="AL40" s="286"/>
      <c r="AM40" s="286" t="s">
        <v>836</v>
      </c>
    </row>
    <row r="41" spans="1:39" s="51" customFormat="1" ht="22.5" hidden="1" x14ac:dyDescent="0.25">
      <c r="A41" s="59" t="s">
        <v>894</v>
      </c>
      <c r="B41" s="59" t="s">
        <v>86</v>
      </c>
      <c r="C41" s="248"/>
      <c r="D41" s="59" t="s">
        <v>888</v>
      </c>
      <c r="E41" s="60" t="s">
        <v>866</v>
      </c>
      <c r="F41" s="59" t="s">
        <v>51</v>
      </c>
      <c r="G41" s="61">
        <v>8.276E-2</v>
      </c>
      <c r="H41" s="62">
        <v>304.92</v>
      </c>
      <c r="I41" s="62">
        <f>IF($D41="","",G41*H41)</f>
        <v>25.235179200000001</v>
      </c>
      <c r="J41" s="62"/>
      <c r="K41" s="62">
        <v>0</v>
      </c>
      <c r="L41" s="62">
        <v>0</v>
      </c>
      <c r="M41" s="62">
        <v>0</v>
      </c>
      <c r="N41" s="62">
        <v>25.235179200000001</v>
      </c>
      <c r="O41" s="62">
        <v>0</v>
      </c>
      <c r="P41" s="298" t="s">
        <v>88</v>
      </c>
      <c r="Q41" s="60" t="s">
        <v>174</v>
      </c>
      <c r="R41" s="60" t="s">
        <v>174</v>
      </c>
      <c r="S41" s="286" t="str">
        <f t="shared" si="0"/>
        <v/>
      </c>
      <c r="T41" s="286" t="str">
        <f>IF($C41= "", T40, IF(ISNA(VLOOKUP($C41,'ABC-S'!$A$5:$A$271,1,FALSE)), "", VLOOKUP($C41,'ABC-S'!$A$5:$A$271,1,FALSE)))</f>
        <v/>
      </c>
      <c r="W41" s="286" t="s">
        <v>894</v>
      </c>
      <c r="X41" s="286" t="s">
        <v>21</v>
      </c>
      <c r="Y41" s="286" t="s">
        <v>21</v>
      </c>
      <c r="Z41" s="286" t="s">
        <v>21</v>
      </c>
      <c r="AA41" s="286" t="s">
        <v>21</v>
      </c>
      <c r="AB41" s="378"/>
      <c r="AC41" s="381" t="s">
        <v>21</v>
      </c>
      <c r="AD41" s="378" t="s">
        <v>21</v>
      </c>
      <c r="AE41" s="378" t="s">
        <v>21</v>
      </c>
      <c r="AF41" s="378" t="s">
        <v>21</v>
      </c>
      <c r="AG41" s="378"/>
      <c r="AI41" s="378" t="s">
        <v>21</v>
      </c>
      <c r="AJ41" s="378" t="s">
        <v>21</v>
      </c>
      <c r="AL41" s="286"/>
      <c r="AM41" s="286" t="s">
        <v>888</v>
      </c>
    </row>
    <row r="42" spans="1:39" s="51" customFormat="1" ht="22.5" hidden="1" x14ac:dyDescent="0.25">
      <c r="A42" s="59" t="s">
        <v>894</v>
      </c>
      <c r="B42" s="59" t="s">
        <v>86</v>
      </c>
      <c r="C42" s="248"/>
      <c r="D42" s="59" t="s">
        <v>890</v>
      </c>
      <c r="E42" s="60" t="s">
        <v>891</v>
      </c>
      <c r="F42" s="59" t="s">
        <v>41</v>
      </c>
      <c r="G42" s="61">
        <v>0.1</v>
      </c>
      <c r="H42" s="62">
        <v>216.17</v>
      </c>
      <c r="I42" s="62">
        <f>IF($D42="","",G42*H42)</f>
        <v>21.617000000000001</v>
      </c>
      <c r="J42" s="62"/>
      <c r="K42" s="62">
        <v>0</v>
      </c>
      <c r="L42" s="62">
        <v>0</v>
      </c>
      <c r="M42" s="62">
        <v>0</v>
      </c>
      <c r="N42" s="62">
        <v>21.617000000000001</v>
      </c>
      <c r="O42" s="62">
        <v>0</v>
      </c>
      <c r="P42" s="298" t="s">
        <v>88</v>
      </c>
      <c r="Q42" s="60" t="s">
        <v>174</v>
      </c>
      <c r="R42" s="60" t="s">
        <v>174</v>
      </c>
      <c r="S42" s="286" t="str">
        <f t="shared" si="0"/>
        <v/>
      </c>
      <c r="T42" s="286" t="str">
        <f>IF($C42= "", T41, IF(ISNA(VLOOKUP($C42,'ABC-S'!$A$5:$A$271,1,FALSE)), "", VLOOKUP($C42,'ABC-S'!$A$5:$A$271,1,FALSE)))</f>
        <v/>
      </c>
      <c r="W42" s="286" t="s">
        <v>894</v>
      </c>
      <c r="X42" s="286" t="s">
        <v>21</v>
      </c>
      <c r="Y42" s="286" t="s">
        <v>21</v>
      </c>
      <c r="Z42" s="286" t="s">
        <v>21</v>
      </c>
      <c r="AA42" s="286" t="s">
        <v>21</v>
      </c>
      <c r="AB42" s="378"/>
      <c r="AC42" s="381" t="s">
        <v>21</v>
      </c>
      <c r="AD42" s="378" t="s">
        <v>21</v>
      </c>
      <c r="AE42" s="378" t="s">
        <v>21</v>
      </c>
      <c r="AF42" s="378" t="s">
        <v>21</v>
      </c>
      <c r="AG42" s="378"/>
      <c r="AI42" s="378" t="s">
        <v>21</v>
      </c>
      <c r="AJ42" s="378" t="s">
        <v>21</v>
      </c>
      <c r="AL42" s="286"/>
      <c r="AM42" s="286" t="s">
        <v>890</v>
      </c>
    </row>
    <row r="43" spans="1:39" s="51" customFormat="1" ht="33.75" hidden="1" x14ac:dyDescent="0.25">
      <c r="A43" s="59" t="s">
        <v>894</v>
      </c>
      <c r="B43" s="59" t="s">
        <v>87</v>
      </c>
      <c r="C43" s="248"/>
      <c r="D43" s="59">
        <v>72850</v>
      </c>
      <c r="E43" s="60" t="s">
        <v>1312</v>
      </c>
      <c r="F43" s="59" t="s">
        <v>55</v>
      </c>
      <c r="G43" s="61">
        <v>1.06E-3</v>
      </c>
      <c r="H43" s="62">
        <v>11.844150000000001</v>
      </c>
      <c r="I43" s="62">
        <f>IF($D43="","",G43*H43)</f>
        <v>1.2554799E-2</v>
      </c>
      <c r="J43" s="62"/>
      <c r="K43" s="62">
        <v>1.2912231E-3</v>
      </c>
      <c r="L43" s="62">
        <v>8.40054558E-3</v>
      </c>
      <c r="M43" s="62">
        <v>2.8630303199999995E-3</v>
      </c>
      <c r="N43" s="62">
        <v>0</v>
      </c>
      <c r="O43" s="62">
        <v>0</v>
      </c>
      <c r="P43" s="298" t="s">
        <v>4160</v>
      </c>
      <c r="Q43" s="60" t="s">
        <v>27</v>
      </c>
      <c r="R43" s="60" t="s">
        <v>174</v>
      </c>
      <c r="S43" s="286" t="str">
        <f t="shared" si="0"/>
        <v/>
      </c>
      <c r="T43" s="286" t="str">
        <f>IF($C43= "", T42, IF(ISNA(VLOOKUP($C43,'ABC-S'!$A$5:$A$271,1,FALSE)), "", VLOOKUP($C43,'ABC-S'!$A$5:$A$271,1,FALSE)))</f>
        <v/>
      </c>
      <c r="W43" s="286" t="s">
        <v>894</v>
      </c>
      <c r="X43" s="286" t="s">
        <v>21</v>
      </c>
      <c r="Y43" s="286" t="s">
        <v>1513</v>
      </c>
      <c r="Z43" s="335" t="s">
        <v>21</v>
      </c>
      <c r="AA43" s="286" t="s">
        <v>21</v>
      </c>
      <c r="AB43" s="378"/>
      <c r="AC43" s="381">
        <v>72850</v>
      </c>
      <c r="AD43" s="378">
        <v>1.06E-3</v>
      </c>
      <c r="AE43" s="378">
        <v>8.43E-2</v>
      </c>
      <c r="AF43" s="378">
        <v>8.9357999999999994E-5</v>
      </c>
      <c r="AG43" s="378"/>
      <c r="AI43" s="378" t="s">
        <v>21</v>
      </c>
      <c r="AJ43" s="378" t="s">
        <v>21</v>
      </c>
      <c r="AL43" s="286">
        <v>72850</v>
      </c>
      <c r="AM43" s="286"/>
    </row>
    <row r="44" spans="1:39" s="51" customFormat="1" ht="33.75" hidden="1" x14ac:dyDescent="0.25">
      <c r="A44" s="59" t="s">
        <v>894</v>
      </c>
      <c r="B44" s="59" t="s">
        <v>87</v>
      </c>
      <c r="C44" s="248"/>
      <c r="D44" s="59">
        <v>100949</v>
      </c>
      <c r="E44" s="60" t="s">
        <v>791</v>
      </c>
      <c r="F44" s="59" t="s">
        <v>42</v>
      </c>
      <c r="G44" s="61">
        <f>G43</f>
        <v>1.06E-3</v>
      </c>
      <c r="H44" s="62">
        <v>4.28</v>
      </c>
      <c r="I44" s="62">
        <f>IF($D44="","",G44*H44)</f>
        <v>4.5367999999999997E-3</v>
      </c>
      <c r="J44" s="62"/>
      <c r="K44" s="62">
        <v>6.1479999999999998E-4</v>
      </c>
      <c r="L44" s="62">
        <v>2.8514E-3</v>
      </c>
      <c r="M44" s="62">
        <v>1.0705999999999999E-3</v>
      </c>
      <c r="N44" s="62">
        <v>0</v>
      </c>
      <c r="O44" s="62">
        <v>0</v>
      </c>
      <c r="P44" s="298" t="s">
        <v>4160</v>
      </c>
      <c r="Q44" s="60" t="s">
        <v>27</v>
      </c>
      <c r="R44" s="60" t="s">
        <v>174</v>
      </c>
      <c r="S44" s="286" t="str">
        <f t="shared" si="0"/>
        <v/>
      </c>
      <c r="T44" s="286" t="str">
        <f>IF($C44= "", T43, IF(ISNA(VLOOKUP($C44,'ABC-S'!$A$5:$A$271,1,FALSE)), "", VLOOKUP($C44,'ABC-S'!$A$5:$A$271,1,FALSE)))</f>
        <v/>
      </c>
      <c r="W44" s="286" t="s">
        <v>894</v>
      </c>
      <c r="X44" s="286" t="s">
        <v>21</v>
      </c>
      <c r="Y44" s="286" t="s">
        <v>1098</v>
      </c>
      <c r="Z44" s="335" t="s">
        <v>21</v>
      </c>
      <c r="AA44" s="286" t="s">
        <v>21</v>
      </c>
      <c r="AB44" s="378"/>
      <c r="AC44" s="381">
        <v>100949</v>
      </c>
      <c r="AD44" s="378">
        <v>1.06E-3</v>
      </c>
      <c r="AE44" s="378">
        <v>3.9699999999999999E-2</v>
      </c>
      <c r="AF44" s="378">
        <v>4.2081999999999995E-5</v>
      </c>
      <c r="AG44" s="378"/>
      <c r="AI44" s="378">
        <v>0</v>
      </c>
      <c r="AJ44" s="378">
        <v>0</v>
      </c>
      <c r="AL44" s="286">
        <v>100949</v>
      </c>
      <c r="AM44" s="286"/>
    </row>
    <row r="45" spans="1:39" s="51" customFormat="1" ht="45" hidden="1" x14ac:dyDescent="0.25">
      <c r="A45" s="55" t="s">
        <v>902</v>
      </c>
      <c r="B45" s="55" t="s">
        <v>138</v>
      </c>
      <c r="C45" s="55" t="s">
        <v>902</v>
      </c>
      <c r="D45" s="55"/>
      <c r="E45" s="56" t="s">
        <v>903</v>
      </c>
      <c r="F45" s="55" t="s">
        <v>41</v>
      </c>
      <c r="G45" s="57"/>
      <c r="H45" s="58"/>
      <c r="I45" s="58"/>
      <c r="J45" s="58">
        <f>SUM(I45:I50)</f>
        <v>47.990553598999995</v>
      </c>
      <c r="K45" s="58">
        <v>1.9060231E-3</v>
      </c>
      <c r="L45" s="58">
        <v>13.164677945580001</v>
      </c>
      <c r="M45" s="58">
        <v>3.9336303199999992E-3</v>
      </c>
      <c r="N45" s="58">
        <v>34.820036000000002</v>
      </c>
      <c r="O45" s="58">
        <v>0</v>
      </c>
      <c r="P45" s="58"/>
      <c r="Q45" s="56" t="s">
        <v>904</v>
      </c>
      <c r="R45" s="56" t="s">
        <v>419</v>
      </c>
      <c r="S45" s="286" t="str">
        <f t="shared" si="0"/>
        <v/>
      </c>
      <c r="T45" s="286" t="str">
        <f>IF($C45= "", T44, IF(ISNA(VLOOKUP($C45,'ABC-S'!$A$5:$A$271,1,FALSE)), "", VLOOKUP($C45,'ABC-S'!$A$5:$A$271,1,FALSE)))</f>
        <v/>
      </c>
      <c r="W45" s="286" t="s">
        <v>902</v>
      </c>
      <c r="X45" s="286"/>
      <c r="Y45" s="286"/>
      <c r="Z45" s="286"/>
      <c r="AA45" s="286" t="s">
        <v>21</v>
      </c>
      <c r="AB45" s="378">
        <v>0</v>
      </c>
      <c r="AC45" s="378"/>
      <c r="AD45" s="335"/>
      <c r="AE45" s="335"/>
      <c r="AF45" s="335"/>
      <c r="AG45" s="378">
        <v>1.3143999999999997E-4</v>
      </c>
      <c r="AI45" s="378" t="s">
        <v>21</v>
      </c>
      <c r="AJ45" s="378" t="s">
        <v>21</v>
      </c>
      <c r="AL45" s="286"/>
      <c r="AM45" s="286"/>
    </row>
    <row r="46" spans="1:39" s="51" customFormat="1" ht="22.5" hidden="1" x14ac:dyDescent="0.25">
      <c r="A46" s="59" t="s">
        <v>902</v>
      </c>
      <c r="B46" s="59" t="s">
        <v>86</v>
      </c>
      <c r="C46" s="248"/>
      <c r="D46" s="59" t="s">
        <v>836</v>
      </c>
      <c r="E46" s="60" t="s">
        <v>269</v>
      </c>
      <c r="F46" s="59" t="s">
        <v>54</v>
      </c>
      <c r="G46" s="61">
        <v>1.0582</v>
      </c>
      <c r="H46" s="62">
        <v>12.43</v>
      </c>
      <c r="I46" s="62">
        <f>IF($D46="","",G46*H46)</f>
        <v>13.153426</v>
      </c>
      <c r="J46" s="62"/>
      <c r="K46" s="62">
        <v>0</v>
      </c>
      <c r="L46" s="62">
        <v>13.153426</v>
      </c>
      <c r="M46" s="62">
        <v>0</v>
      </c>
      <c r="N46" s="62">
        <v>0</v>
      </c>
      <c r="O46" s="62">
        <v>0</v>
      </c>
      <c r="P46" s="298" t="s">
        <v>89</v>
      </c>
      <c r="Q46" s="60" t="s">
        <v>174</v>
      </c>
      <c r="R46" s="60" t="s">
        <v>174</v>
      </c>
      <c r="S46" s="286" t="str">
        <f t="shared" si="0"/>
        <v/>
      </c>
      <c r="T46" s="286" t="str">
        <f>IF($C46= "", T45, IF(ISNA(VLOOKUP($C46,'ABC-S'!$A$5:$A$271,1,FALSE)), "", VLOOKUP($C46,'ABC-S'!$A$5:$A$271,1,FALSE)))</f>
        <v/>
      </c>
      <c r="W46" s="286" t="s">
        <v>902</v>
      </c>
      <c r="X46" s="286" t="s">
        <v>21</v>
      </c>
      <c r="Y46" s="286" t="s">
        <v>21</v>
      </c>
      <c r="Z46" s="286" t="s">
        <v>21</v>
      </c>
      <c r="AA46" s="286" t="s">
        <v>21</v>
      </c>
      <c r="AB46" s="378"/>
      <c r="AC46" s="381" t="s">
        <v>21</v>
      </c>
      <c r="AD46" s="378" t="s">
        <v>21</v>
      </c>
      <c r="AE46" s="378" t="s">
        <v>21</v>
      </c>
      <c r="AF46" s="378" t="s">
        <v>21</v>
      </c>
      <c r="AG46" s="378"/>
      <c r="AI46" s="378" t="s">
        <v>21</v>
      </c>
      <c r="AJ46" s="378" t="s">
        <v>21</v>
      </c>
      <c r="AL46" s="286"/>
      <c r="AM46" s="286" t="s">
        <v>836</v>
      </c>
    </row>
    <row r="47" spans="1:39" s="51" customFormat="1" ht="22.5" hidden="1" x14ac:dyDescent="0.25">
      <c r="A47" s="59" t="s">
        <v>902</v>
      </c>
      <c r="B47" s="59" t="s">
        <v>86</v>
      </c>
      <c r="C47" s="248"/>
      <c r="D47" s="59" t="s">
        <v>888</v>
      </c>
      <c r="E47" s="60" t="s">
        <v>866</v>
      </c>
      <c r="F47" s="59" t="s">
        <v>51</v>
      </c>
      <c r="G47" s="61">
        <v>4.3299999999999998E-2</v>
      </c>
      <c r="H47" s="62">
        <v>304.92</v>
      </c>
      <c r="I47" s="62">
        <f>IF($D47="","",G47*H47)</f>
        <v>13.203036000000001</v>
      </c>
      <c r="J47" s="62"/>
      <c r="K47" s="62">
        <v>0</v>
      </c>
      <c r="L47" s="62">
        <v>0</v>
      </c>
      <c r="M47" s="62">
        <v>0</v>
      </c>
      <c r="N47" s="62">
        <v>13.203036000000001</v>
      </c>
      <c r="O47" s="62">
        <v>0</v>
      </c>
      <c r="P47" s="298" t="s">
        <v>88</v>
      </c>
      <c r="Q47" s="60" t="s">
        <v>174</v>
      </c>
      <c r="R47" s="60" t="s">
        <v>174</v>
      </c>
      <c r="S47" s="286" t="str">
        <f t="shared" si="0"/>
        <v/>
      </c>
      <c r="T47" s="286" t="str">
        <f>IF($C47= "", T46, IF(ISNA(VLOOKUP($C47,'ABC-S'!$A$5:$A$271,1,FALSE)), "", VLOOKUP($C47,'ABC-S'!$A$5:$A$271,1,FALSE)))</f>
        <v/>
      </c>
      <c r="W47" s="286" t="s">
        <v>902</v>
      </c>
      <c r="X47" s="286" t="s">
        <v>21</v>
      </c>
      <c r="Y47" s="286" t="s">
        <v>21</v>
      </c>
      <c r="Z47" s="286" t="s">
        <v>21</v>
      </c>
      <c r="AA47" s="286" t="s">
        <v>21</v>
      </c>
      <c r="AB47" s="378"/>
      <c r="AC47" s="381" t="s">
        <v>21</v>
      </c>
      <c r="AD47" s="378" t="s">
        <v>21</v>
      </c>
      <c r="AE47" s="378" t="s">
        <v>21</v>
      </c>
      <c r="AF47" s="378" t="s">
        <v>21</v>
      </c>
      <c r="AG47" s="378"/>
      <c r="AI47" s="378" t="s">
        <v>21</v>
      </c>
      <c r="AJ47" s="378" t="s">
        <v>21</v>
      </c>
      <c r="AL47" s="286"/>
      <c r="AM47" s="286" t="s">
        <v>888</v>
      </c>
    </row>
    <row r="48" spans="1:39" s="51" customFormat="1" ht="22.5" hidden="1" x14ac:dyDescent="0.25">
      <c r="A48" s="59" t="s">
        <v>902</v>
      </c>
      <c r="B48" s="59" t="s">
        <v>86</v>
      </c>
      <c r="C48" s="248"/>
      <c r="D48" s="59" t="s">
        <v>890</v>
      </c>
      <c r="E48" s="60" t="s">
        <v>891</v>
      </c>
      <c r="F48" s="59" t="s">
        <v>41</v>
      </c>
      <c r="G48" s="61">
        <v>0.1</v>
      </c>
      <c r="H48" s="62">
        <v>216.17</v>
      </c>
      <c r="I48" s="62">
        <f>IF($D48="","",G48*H48)</f>
        <v>21.617000000000001</v>
      </c>
      <c r="J48" s="62"/>
      <c r="K48" s="62">
        <v>0</v>
      </c>
      <c r="L48" s="62">
        <v>0</v>
      </c>
      <c r="M48" s="62">
        <v>0</v>
      </c>
      <c r="N48" s="62">
        <v>21.617000000000001</v>
      </c>
      <c r="O48" s="62">
        <v>0</v>
      </c>
      <c r="P48" s="298" t="s">
        <v>88</v>
      </c>
      <c r="Q48" s="60" t="s">
        <v>174</v>
      </c>
      <c r="R48" s="60" t="s">
        <v>174</v>
      </c>
      <c r="S48" s="286" t="str">
        <f t="shared" si="0"/>
        <v/>
      </c>
      <c r="T48" s="286" t="str">
        <f>IF($C48= "", T47, IF(ISNA(VLOOKUP($C48,'ABC-S'!$A$5:$A$271,1,FALSE)), "", VLOOKUP($C48,'ABC-S'!$A$5:$A$271,1,FALSE)))</f>
        <v/>
      </c>
      <c r="W48" s="286" t="s">
        <v>902</v>
      </c>
      <c r="X48" s="286" t="s">
        <v>21</v>
      </c>
      <c r="Y48" s="286" t="s">
        <v>21</v>
      </c>
      <c r="Z48" s="286" t="s">
        <v>21</v>
      </c>
      <c r="AA48" s="286" t="s">
        <v>21</v>
      </c>
      <c r="AB48" s="378"/>
      <c r="AC48" s="381" t="s">
        <v>21</v>
      </c>
      <c r="AD48" s="378" t="s">
        <v>21</v>
      </c>
      <c r="AE48" s="378" t="s">
        <v>21</v>
      </c>
      <c r="AF48" s="378" t="s">
        <v>21</v>
      </c>
      <c r="AG48" s="378"/>
      <c r="AI48" s="378" t="s">
        <v>21</v>
      </c>
      <c r="AJ48" s="378" t="s">
        <v>21</v>
      </c>
      <c r="AL48" s="286"/>
      <c r="AM48" s="286" t="s">
        <v>890</v>
      </c>
    </row>
    <row r="49" spans="1:39" s="51" customFormat="1" ht="33.75" hidden="1" x14ac:dyDescent="0.25">
      <c r="A49" s="59" t="s">
        <v>902</v>
      </c>
      <c r="B49" s="59" t="s">
        <v>87</v>
      </c>
      <c r="C49" s="248"/>
      <c r="D49" s="59">
        <v>72850</v>
      </c>
      <c r="E49" s="60" t="s">
        <v>1312</v>
      </c>
      <c r="F49" s="59" t="s">
        <v>55</v>
      </c>
      <c r="G49" s="61">
        <v>1.06E-3</v>
      </c>
      <c r="H49" s="62">
        <v>11.844150000000001</v>
      </c>
      <c r="I49" s="62">
        <f>IF($D49="","",G49*H49)</f>
        <v>1.2554799E-2</v>
      </c>
      <c r="J49" s="62"/>
      <c r="K49" s="62">
        <v>1.2912231E-3</v>
      </c>
      <c r="L49" s="62">
        <v>8.40054558E-3</v>
      </c>
      <c r="M49" s="62">
        <v>2.8630303199999995E-3</v>
      </c>
      <c r="N49" s="62">
        <v>0</v>
      </c>
      <c r="O49" s="62">
        <v>0</v>
      </c>
      <c r="P49" s="298" t="s">
        <v>4160</v>
      </c>
      <c r="Q49" s="60" t="s">
        <v>27</v>
      </c>
      <c r="R49" s="60" t="s">
        <v>174</v>
      </c>
      <c r="S49" s="286" t="str">
        <f t="shared" si="0"/>
        <v/>
      </c>
      <c r="T49" s="286" t="str">
        <f>IF($C49= "", T48, IF(ISNA(VLOOKUP($C49,'ABC-S'!$A$5:$A$271,1,FALSE)), "", VLOOKUP($C49,'ABC-S'!$A$5:$A$271,1,FALSE)))</f>
        <v/>
      </c>
      <c r="W49" s="286" t="s">
        <v>902</v>
      </c>
      <c r="X49" s="286" t="s">
        <v>21</v>
      </c>
      <c r="Y49" s="286" t="s">
        <v>1513</v>
      </c>
      <c r="Z49" s="335" t="s">
        <v>21</v>
      </c>
      <c r="AA49" s="286" t="s">
        <v>21</v>
      </c>
      <c r="AB49" s="378"/>
      <c r="AC49" s="381">
        <v>72850</v>
      </c>
      <c r="AD49" s="378">
        <v>1.06E-3</v>
      </c>
      <c r="AE49" s="378">
        <v>8.43E-2</v>
      </c>
      <c r="AF49" s="378">
        <v>8.9357999999999994E-5</v>
      </c>
      <c r="AG49" s="378"/>
      <c r="AI49" s="378" t="s">
        <v>21</v>
      </c>
      <c r="AJ49" s="378" t="s">
        <v>21</v>
      </c>
      <c r="AL49" s="286">
        <v>72850</v>
      </c>
      <c r="AM49" s="286"/>
    </row>
    <row r="50" spans="1:39" s="51" customFormat="1" ht="33.75" hidden="1" x14ac:dyDescent="0.25">
      <c r="A50" s="59" t="s">
        <v>902</v>
      </c>
      <c r="B50" s="59" t="s">
        <v>87</v>
      </c>
      <c r="C50" s="248"/>
      <c r="D50" s="59">
        <v>100949</v>
      </c>
      <c r="E50" s="60" t="s">
        <v>791</v>
      </c>
      <c r="F50" s="59" t="s">
        <v>42</v>
      </c>
      <c r="G50" s="61">
        <f>G49</f>
        <v>1.06E-3</v>
      </c>
      <c r="H50" s="62">
        <v>4.28</v>
      </c>
      <c r="I50" s="62">
        <f>IF($D50="","",G50*H50)</f>
        <v>4.5367999999999997E-3</v>
      </c>
      <c r="J50" s="62"/>
      <c r="K50" s="62">
        <v>6.1479999999999998E-4</v>
      </c>
      <c r="L50" s="62">
        <v>2.8514E-3</v>
      </c>
      <c r="M50" s="62">
        <v>1.0705999999999999E-3</v>
      </c>
      <c r="N50" s="62">
        <v>0</v>
      </c>
      <c r="O50" s="62">
        <v>0</v>
      </c>
      <c r="P50" s="298" t="s">
        <v>4160</v>
      </c>
      <c r="Q50" s="60" t="s">
        <v>27</v>
      </c>
      <c r="R50" s="60" t="s">
        <v>174</v>
      </c>
      <c r="S50" s="286" t="str">
        <f t="shared" si="0"/>
        <v/>
      </c>
      <c r="T50" s="286" t="str">
        <f>IF($C50= "", T49, IF(ISNA(VLOOKUP($C50,'ABC-S'!$A$5:$A$271,1,FALSE)), "", VLOOKUP($C50,'ABC-S'!$A$5:$A$271,1,FALSE)))</f>
        <v/>
      </c>
      <c r="W50" s="286" t="s">
        <v>902</v>
      </c>
      <c r="X50" s="286" t="s">
        <v>21</v>
      </c>
      <c r="Y50" s="286" t="s">
        <v>1098</v>
      </c>
      <c r="Z50" s="335" t="s">
        <v>21</v>
      </c>
      <c r="AA50" s="286" t="s">
        <v>21</v>
      </c>
      <c r="AB50" s="378"/>
      <c r="AC50" s="381">
        <v>100949</v>
      </c>
      <c r="AD50" s="378">
        <v>1.06E-3</v>
      </c>
      <c r="AE50" s="378">
        <v>3.9699999999999999E-2</v>
      </c>
      <c r="AF50" s="378">
        <v>4.2081999999999995E-5</v>
      </c>
      <c r="AG50" s="378"/>
      <c r="AI50" s="378">
        <v>0</v>
      </c>
      <c r="AJ50" s="378">
        <v>0</v>
      </c>
      <c r="AL50" s="286">
        <v>100949</v>
      </c>
      <c r="AM50" s="286"/>
    </row>
    <row r="51" spans="1:39" s="51" customFormat="1" ht="45" hidden="1" x14ac:dyDescent="0.25">
      <c r="A51" s="55" t="s">
        <v>905</v>
      </c>
      <c r="B51" s="55" t="s">
        <v>138</v>
      </c>
      <c r="C51" s="55" t="s">
        <v>905</v>
      </c>
      <c r="D51" s="55"/>
      <c r="E51" s="56" t="s">
        <v>906</v>
      </c>
      <c r="F51" s="55" t="s">
        <v>41</v>
      </c>
      <c r="G51" s="57"/>
      <c r="H51" s="58"/>
      <c r="I51" s="58"/>
      <c r="J51" s="58">
        <f>SUM(I51:I54)</f>
        <v>46.860400000000006</v>
      </c>
      <c r="K51" s="58">
        <v>0</v>
      </c>
      <c r="L51" s="58">
        <v>2.2504</v>
      </c>
      <c r="M51" s="58">
        <v>0</v>
      </c>
      <c r="N51" s="58">
        <v>44.610000000000007</v>
      </c>
      <c r="O51" s="58">
        <v>0</v>
      </c>
      <c r="P51" s="58"/>
      <c r="Q51" s="56" t="s">
        <v>907</v>
      </c>
      <c r="R51" s="56" t="s">
        <v>419</v>
      </c>
      <c r="S51" s="286" t="str">
        <f t="shared" si="0"/>
        <v/>
      </c>
      <c r="T51" s="286" t="str">
        <f>IF($C51= "", T50, IF(ISNA(VLOOKUP($C51,'ABC-S'!$A$5:$A$271,1,FALSE)), "", VLOOKUP($C51,'ABC-S'!$A$5:$A$271,1,FALSE)))</f>
        <v/>
      </c>
      <c r="W51" s="286" t="s">
        <v>905</v>
      </c>
      <c r="X51" s="286"/>
      <c r="Y51" s="286"/>
      <c r="Z51" s="286"/>
      <c r="AA51" s="286" t="s">
        <v>21</v>
      </c>
      <c r="AB51" s="378">
        <v>0</v>
      </c>
      <c r="AC51" s="378"/>
      <c r="AD51" s="335"/>
      <c r="AE51" s="335"/>
      <c r="AF51" s="335"/>
      <c r="AG51" s="378">
        <v>0</v>
      </c>
      <c r="AI51" s="378" t="s">
        <v>21</v>
      </c>
      <c r="AJ51" s="378" t="s">
        <v>21</v>
      </c>
      <c r="AL51" s="286"/>
      <c r="AM51" s="286"/>
    </row>
    <row r="52" spans="1:39" s="51" customFormat="1" ht="22.5" hidden="1" x14ac:dyDescent="0.25">
      <c r="A52" s="59" t="s">
        <v>905</v>
      </c>
      <c r="B52" s="59" t="s">
        <v>86</v>
      </c>
      <c r="C52" s="248"/>
      <c r="D52" s="59">
        <v>40552</v>
      </c>
      <c r="E52" s="60" t="s">
        <v>704</v>
      </c>
      <c r="F52" s="59" t="s">
        <v>3672</v>
      </c>
      <c r="G52" s="61">
        <f>8/100</f>
        <v>0.08</v>
      </c>
      <c r="H52" s="62">
        <v>28.13</v>
      </c>
      <c r="I52" s="62">
        <f>IF($D52="","",G52*H52)</f>
        <v>2.2504</v>
      </c>
      <c r="J52" s="62"/>
      <c r="K52" s="62">
        <v>0</v>
      </c>
      <c r="L52" s="62">
        <v>2.2504</v>
      </c>
      <c r="M52" s="62">
        <v>0</v>
      </c>
      <c r="N52" s="62">
        <v>0</v>
      </c>
      <c r="O52" s="62">
        <v>0</v>
      </c>
      <c r="P52" s="298" t="s">
        <v>89</v>
      </c>
      <c r="Q52" s="60" t="s">
        <v>27</v>
      </c>
      <c r="R52" s="60" t="s">
        <v>174</v>
      </c>
      <c r="S52" s="286" t="str">
        <f t="shared" si="0"/>
        <v/>
      </c>
      <c r="T52" s="286" t="str">
        <f>IF($C52= "", T51, IF(ISNA(VLOOKUP($C52,'ABC-S'!$A$5:$A$271,1,FALSE)), "", VLOOKUP($C52,'ABC-S'!$A$5:$A$271,1,FALSE)))</f>
        <v/>
      </c>
      <c r="W52" s="286" t="s">
        <v>905</v>
      </c>
      <c r="X52" s="286" t="s">
        <v>21</v>
      </c>
      <c r="Y52" s="286" t="s">
        <v>21</v>
      </c>
      <c r="Z52" s="286" t="s">
        <v>21</v>
      </c>
      <c r="AA52" s="286" t="s">
        <v>21</v>
      </c>
      <c r="AB52" s="378"/>
      <c r="AC52" s="381" t="s">
        <v>21</v>
      </c>
      <c r="AD52" s="378" t="s">
        <v>21</v>
      </c>
      <c r="AE52" s="378" t="s">
        <v>21</v>
      </c>
      <c r="AF52" s="378" t="s">
        <v>21</v>
      </c>
      <c r="AG52" s="378"/>
      <c r="AI52" s="378" t="s">
        <v>21</v>
      </c>
      <c r="AJ52" s="378" t="s">
        <v>21</v>
      </c>
      <c r="AL52" s="286"/>
      <c r="AM52" s="286">
        <v>40552</v>
      </c>
    </row>
    <row r="53" spans="1:39" s="51" customFormat="1" ht="22.5" hidden="1" x14ac:dyDescent="0.25">
      <c r="A53" s="59" t="s">
        <v>905</v>
      </c>
      <c r="B53" s="59" t="s">
        <v>86</v>
      </c>
      <c r="C53" s="248"/>
      <c r="D53" s="59" t="s">
        <v>908</v>
      </c>
      <c r="E53" s="60" t="s">
        <v>909</v>
      </c>
      <c r="F53" s="59" t="s">
        <v>41</v>
      </c>
      <c r="G53" s="61">
        <v>0.1</v>
      </c>
      <c r="H53" s="62">
        <v>141.18</v>
      </c>
      <c r="I53" s="62">
        <f>IF($D53="","",G53*H53)</f>
        <v>14.118000000000002</v>
      </c>
      <c r="J53" s="62"/>
      <c r="K53" s="62">
        <v>0</v>
      </c>
      <c r="L53" s="62">
        <v>0</v>
      </c>
      <c r="M53" s="62">
        <v>0</v>
      </c>
      <c r="N53" s="62">
        <v>14.118000000000002</v>
      </c>
      <c r="O53" s="62">
        <v>0</v>
      </c>
      <c r="P53" s="298" t="s">
        <v>88</v>
      </c>
      <c r="Q53" s="60" t="s">
        <v>174</v>
      </c>
      <c r="R53" s="60" t="s">
        <v>174</v>
      </c>
      <c r="S53" s="286" t="str">
        <f t="shared" si="0"/>
        <v/>
      </c>
      <c r="T53" s="286" t="str">
        <f>IF($C53= "", T52, IF(ISNA(VLOOKUP($C53,'ABC-S'!$A$5:$A$271,1,FALSE)), "", VLOOKUP($C53,'ABC-S'!$A$5:$A$271,1,FALSE)))</f>
        <v/>
      </c>
      <c r="W53" s="286" t="s">
        <v>905</v>
      </c>
      <c r="X53" s="286" t="s">
        <v>21</v>
      </c>
      <c r="Y53" s="286" t="s">
        <v>21</v>
      </c>
      <c r="Z53" s="286" t="s">
        <v>21</v>
      </c>
      <c r="AA53" s="286" t="s">
        <v>21</v>
      </c>
      <c r="AB53" s="378"/>
      <c r="AC53" s="381" t="s">
        <v>21</v>
      </c>
      <c r="AD53" s="378" t="s">
        <v>21</v>
      </c>
      <c r="AE53" s="378" t="s">
        <v>21</v>
      </c>
      <c r="AF53" s="378" t="s">
        <v>21</v>
      </c>
      <c r="AG53" s="378"/>
      <c r="AI53" s="378" t="s">
        <v>21</v>
      </c>
      <c r="AJ53" s="378" t="s">
        <v>21</v>
      </c>
      <c r="AL53" s="286"/>
      <c r="AM53" s="286" t="s">
        <v>908</v>
      </c>
    </row>
    <row r="54" spans="1:39" s="51" customFormat="1" ht="22.5" hidden="1" x14ac:dyDescent="0.25">
      <c r="A54" s="59" t="s">
        <v>905</v>
      </c>
      <c r="B54" s="59" t="s">
        <v>86</v>
      </c>
      <c r="C54" s="248"/>
      <c r="D54" s="59" t="s">
        <v>888</v>
      </c>
      <c r="E54" s="60" t="s">
        <v>866</v>
      </c>
      <c r="F54" s="59" t="s">
        <v>51</v>
      </c>
      <c r="G54" s="61">
        <v>0.1</v>
      </c>
      <c r="H54" s="62">
        <v>304.92</v>
      </c>
      <c r="I54" s="62">
        <f>IF($D54="","",G54*H54)</f>
        <v>30.492000000000004</v>
      </c>
      <c r="J54" s="62"/>
      <c r="K54" s="62">
        <v>0</v>
      </c>
      <c r="L54" s="62">
        <v>0</v>
      </c>
      <c r="M54" s="62">
        <v>0</v>
      </c>
      <c r="N54" s="62">
        <v>30.492000000000004</v>
      </c>
      <c r="O54" s="62">
        <v>0</v>
      </c>
      <c r="P54" s="298" t="s">
        <v>88</v>
      </c>
      <c r="Q54" s="60" t="s">
        <v>174</v>
      </c>
      <c r="R54" s="60" t="s">
        <v>174</v>
      </c>
      <c r="S54" s="286" t="str">
        <f t="shared" si="0"/>
        <v/>
      </c>
      <c r="T54" s="286" t="str">
        <f>IF($C54= "", T53, IF(ISNA(VLOOKUP($C54,'ABC-S'!$A$5:$A$271,1,FALSE)), "", VLOOKUP($C54,'ABC-S'!$A$5:$A$271,1,FALSE)))</f>
        <v/>
      </c>
      <c r="W54" s="286" t="s">
        <v>905</v>
      </c>
      <c r="X54" s="286" t="s">
        <v>21</v>
      </c>
      <c r="Y54" s="286" t="s">
        <v>21</v>
      </c>
      <c r="Z54" s="286" t="s">
        <v>21</v>
      </c>
      <c r="AA54" s="286" t="s">
        <v>21</v>
      </c>
      <c r="AB54" s="378"/>
      <c r="AC54" s="381" t="s">
        <v>21</v>
      </c>
      <c r="AD54" s="378" t="s">
        <v>21</v>
      </c>
      <c r="AE54" s="378" t="s">
        <v>21</v>
      </c>
      <c r="AF54" s="378" t="s">
        <v>21</v>
      </c>
      <c r="AG54" s="378"/>
      <c r="AI54" s="378" t="s">
        <v>21</v>
      </c>
      <c r="AJ54" s="378" t="s">
        <v>21</v>
      </c>
      <c r="AL54" s="286"/>
      <c r="AM54" s="286" t="s">
        <v>888</v>
      </c>
    </row>
    <row r="55" spans="1:39" s="51" customFormat="1" ht="45" hidden="1" x14ac:dyDescent="0.25">
      <c r="A55" s="55" t="s">
        <v>911</v>
      </c>
      <c r="B55" s="55" t="s">
        <v>138</v>
      </c>
      <c r="C55" s="55" t="s">
        <v>911</v>
      </c>
      <c r="D55" s="55"/>
      <c r="E55" s="56" t="s">
        <v>912</v>
      </c>
      <c r="F55" s="55" t="s">
        <v>41</v>
      </c>
      <c r="G55" s="57"/>
      <c r="H55" s="58"/>
      <c r="I55" s="58"/>
      <c r="J55" s="58">
        <f>SUM(I55:I57)</f>
        <v>16.33806818181818</v>
      </c>
      <c r="K55" s="58">
        <v>4.6638257575757569</v>
      </c>
      <c r="L55" s="58">
        <v>8.0833333333333321</v>
      </c>
      <c r="M55" s="58">
        <v>3.5909090909090908</v>
      </c>
      <c r="N55" s="58">
        <v>0</v>
      </c>
      <c r="O55" s="58">
        <v>0</v>
      </c>
      <c r="P55" s="58"/>
      <c r="Q55" s="56" t="s">
        <v>913</v>
      </c>
      <c r="R55" s="56" t="s">
        <v>419</v>
      </c>
      <c r="S55" s="286" t="str">
        <f t="shared" si="0"/>
        <v/>
      </c>
      <c r="T55" s="286" t="str">
        <f>IF($C55= "", T54, IF(ISNA(VLOOKUP($C55,'ABC-S'!$A$5:$A$271,1,FALSE)), "", VLOOKUP($C55,'ABC-S'!$A$5:$A$271,1,FALSE)))</f>
        <v/>
      </c>
      <c r="W55" s="286" t="s">
        <v>911</v>
      </c>
      <c r="X55" s="286"/>
      <c r="Y55" s="286"/>
      <c r="Z55" s="286"/>
      <c r="AA55" s="286" t="s">
        <v>21</v>
      </c>
      <c r="AB55" s="378">
        <v>0.28409090909090906</v>
      </c>
      <c r="AC55" s="378"/>
      <c r="AD55" s="335"/>
      <c r="AE55" s="335"/>
      <c r="AF55" s="335"/>
      <c r="AG55" s="378">
        <v>0.37878787878787878</v>
      </c>
      <c r="AI55" s="378" t="s">
        <v>21</v>
      </c>
      <c r="AJ55" s="378" t="s">
        <v>21</v>
      </c>
      <c r="AL55" s="286"/>
      <c r="AM55" s="286"/>
    </row>
    <row r="56" spans="1:39" s="51" customFormat="1" ht="56.25" hidden="1" x14ac:dyDescent="0.25">
      <c r="A56" s="59" t="s">
        <v>911</v>
      </c>
      <c r="B56" s="59" t="s">
        <v>87</v>
      </c>
      <c r="C56" s="248"/>
      <c r="D56" s="59">
        <v>73467</v>
      </c>
      <c r="E56" s="60" t="s">
        <v>533</v>
      </c>
      <c r="F56" s="59" t="s">
        <v>76</v>
      </c>
      <c r="G56" s="61">
        <f>(1*1)/10.56</f>
        <v>9.4696969696969696E-2</v>
      </c>
      <c r="H56" s="62">
        <v>119.7</v>
      </c>
      <c r="I56" s="62">
        <f>IF($D56="","",G56*H56)</f>
        <v>11.335227272727273</v>
      </c>
      <c r="J56" s="62"/>
      <c r="K56" s="62">
        <v>1.3683712121212119</v>
      </c>
      <c r="L56" s="62">
        <v>6.3759469696969697</v>
      </c>
      <c r="M56" s="62">
        <v>3.5909090909090908</v>
      </c>
      <c r="N56" s="62">
        <v>0</v>
      </c>
      <c r="O56" s="62">
        <v>0</v>
      </c>
      <c r="P56" s="298" t="s">
        <v>4160</v>
      </c>
      <c r="Q56" s="60" t="s">
        <v>27</v>
      </c>
      <c r="R56" s="60" t="s">
        <v>174</v>
      </c>
      <c r="S56" s="286" t="str">
        <f t="shared" si="0"/>
        <v/>
      </c>
      <c r="T56" s="286" t="str">
        <f>IF($C56= "", T55, IF(ISNA(VLOOKUP($C56,'ABC-S'!$A$5:$A$271,1,FALSE)), "", VLOOKUP($C56,'ABC-S'!$A$5:$A$271,1,FALSE)))</f>
        <v/>
      </c>
      <c r="W56" s="286" t="s">
        <v>911</v>
      </c>
      <c r="X56" s="286" t="s">
        <v>21</v>
      </c>
      <c r="Y56" s="286" t="s">
        <v>423</v>
      </c>
      <c r="Z56" s="335" t="s">
        <v>21</v>
      </c>
      <c r="AA56" s="286" t="s">
        <v>21</v>
      </c>
      <c r="AB56" s="378"/>
      <c r="AC56" s="381">
        <v>73467</v>
      </c>
      <c r="AD56" s="378">
        <v>9.4696969696969696E-2</v>
      </c>
      <c r="AE56" s="378">
        <v>1</v>
      </c>
      <c r="AF56" s="378">
        <v>9.4696969696969696E-2</v>
      </c>
      <c r="AG56" s="378"/>
      <c r="AI56" s="378">
        <v>0</v>
      </c>
      <c r="AJ56" s="378">
        <v>0</v>
      </c>
      <c r="AL56" s="286">
        <v>73467</v>
      </c>
      <c r="AM56" s="286"/>
    </row>
    <row r="57" spans="1:39" s="51" customFormat="1" hidden="1" x14ac:dyDescent="0.25">
      <c r="A57" s="59" t="s">
        <v>911</v>
      </c>
      <c r="B57" s="59" t="s">
        <v>87</v>
      </c>
      <c r="C57" s="248"/>
      <c r="D57" s="59">
        <v>88316</v>
      </c>
      <c r="E57" s="60" t="s">
        <v>649</v>
      </c>
      <c r="F57" s="59" t="s">
        <v>46</v>
      </c>
      <c r="G57" s="61">
        <f>3/10.56</f>
        <v>0.28409090909090906</v>
      </c>
      <c r="H57" s="62">
        <v>17.61</v>
      </c>
      <c r="I57" s="62">
        <f>IF($D57="","",G57*H57)</f>
        <v>5.0028409090909083</v>
      </c>
      <c r="J57" s="62"/>
      <c r="K57" s="62">
        <v>3.295454545454545</v>
      </c>
      <c r="L57" s="62">
        <v>1.7073863636363633</v>
      </c>
      <c r="M57" s="62">
        <v>0</v>
      </c>
      <c r="N57" s="62">
        <v>0</v>
      </c>
      <c r="O57" s="62">
        <v>0</v>
      </c>
      <c r="P57" s="298" t="s">
        <v>4160</v>
      </c>
      <c r="Q57" s="60" t="s">
        <v>27</v>
      </c>
      <c r="R57" s="60" t="s">
        <v>174</v>
      </c>
      <c r="S57" s="286" t="str">
        <f t="shared" si="0"/>
        <v/>
      </c>
      <c r="T57" s="286" t="str">
        <f>IF($C57= "", T56, IF(ISNA(VLOOKUP($C57,'ABC-S'!$A$5:$A$271,1,FALSE)), "", VLOOKUP($C57,'ABC-S'!$A$5:$A$271,1,FALSE)))</f>
        <v/>
      </c>
      <c r="W57" s="286" t="s">
        <v>911</v>
      </c>
      <c r="X57" s="286">
        <v>88316</v>
      </c>
      <c r="Y57" s="286" t="s">
        <v>424</v>
      </c>
      <c r="Z57" s="335">
        <v>0</v>
      </c>
      <c r="AA57" s="286">
        <v>0.28409090909090906</v>
      </c>
      <c r="AB57" s="378"/>
      <c r="AC57" s="381" t="s">
        <v>21</v>
      </c>
      <c r="AD57" s="378" t="s">
        <v>21</v>
      </c>
      <c r="AE57" s="378" t="s">
        <v>21</v>
      </c>
      <c r="AF57" s="378" t="s">
        <v>21</v>
      </c>
      <c r="AG57" s="378"/>
      <c r="AI57" s="378">
        <v>0</v>
      </c>
      <c r="AJ57" s="378">
        <v>0</v>
      </c>
      <c r="AL57" s="286">
        <v>88316</v>
      </c>
      <c r="AM57" s="286"/>
    </row>
    <row r="58" spans="1:39" s="51" customFormat="1" ht="33.75" hidden="1" x14ac:dyDescent="0.25">
      <c r="A58" s="55" t="s">
        <v>165</v>
      </c>
      <c r="B58" s="55" t="s">
        <v>138</v>
      </c>
      <c r="C58" s="55" t="s">
        <v>165</v>
      </c>
      <c r="D58" s="55"/>
      <c r="E58" s="56" t="s">
        <v>974</v>
      </c>
      <c r="F58" s="55" t="s">
        <v>55</v>
      </c>
      <c r="G58" s="57"/>
      <c r="H58" s="58"/>
      <c r="I58" s="58"/>
      <c r="J58" s="58">
        <f>SUM(I58:I59)</f>
        <v>5994.75</v>
      </c>
      <c r="K58" s="58">
        <v>0</v>
      </c>
      <c r="L58" s="58">
        <v>5994.75</v>
      </c>
      <c r="M58" s="58">
        <v>0</v>
      </c>
      <c r="N58" s="58">
        <v>0</v>
      </c>
      <c r="O58" s="58">
        <v>0</v>
      </c>
      <c r="P58" s="58"/>
      <c r="Q58" s="56"/>
      <c r="R58" s="56" t="s">
        <v>166</v>
      </c>
      <c r="S58" s="286" t="str">
        <f t="shared" si="0"/>
        <v/>
      </c>
      <c r="T58" s="286" t="str">
        <f>IF($C58= "", T57, IF(ISNA(VLOOKUP($C58,'ABC-S'!$A$5:$A$271,1,FALSE)), "", VLOOKUP($C58,'ABC-S'!$A$5:$A$271,1,FALSE)))</f>
        <v/>
      </c>
      <c r="W58" s="286" t="s">
        <v>165</v>
      </c>
      <c r="X58" s="286"/>
      <c r="Y58" s="286"/>
      <c r="Z58" s="286"/>
      <c r="AA58" s="286" t="s">
        <v>21</v>
      </c>
      <c r="AB58" s="378">
        <v>0</v>
      </c>
      <c r="AC58" s="378"/>
      <c r="AD58" s="335"/>
      <c r="AE58" s="335"/>
      <c r="AF58" s="335"/>
      <c r="AG58" s="378">
        <v>0</v>
      </c>
      <c r="AI58" s="378" t="s">
        <v>21</v>
      </c>
      <c r="AJ58" s="378" t="s">
        <v>21</v>
      </c>
      <c r="AL58" s="286"/>
      <c r="AM58" s="286"/>
    </row>
    <row r="59" spans="1:39" s="51" customFormat="1" hidden="1" x14ac:dyDescent="0.25">
      <c r="A59" s="59" t="s">
        <v>165</v>
      </c>
      <c r="B59" s="59" t="s">
        <v>86</v>
      </c>
      <c r="C59" s="59"/>
      <c r="D59" s="59" t="s">
        <v>351</v>
      </c>
      <c r="E59" s="60" t="s">
        <v>948</v>
      </c>
      <c r="F59" s="59" t="s">
        <v>55</v>
      </c>
      <c r="G59" s="61">
        <v>1</v>
      </c>
      <c r="H59" s="62">
        <v>5994.75</v>
      </c>
      <c r="I59" s="62">
        <f>IF($D59="","",G59*H59)</f>
        <v>5994.75</v>
      </c>
      <c r="J59" s="62"/>
      <c r="K59" s="62">
        <v>0</v>
      </c>
      <c r="L59" s="62">
        <v>5994.75</v>
      </c>
      <c r="M59" s="62">
        <v>0</v>
      </c>
      <c r="N59" s="62">
        <v>0</v>
      </c>
      <c r="O59" s="62">
        <v>0</v>
      </c>
      <c r="P59" s="298" t="s">
        <v>89</v>
      </c>
      <c r="Q59" s="60" t="s">
        <v>333</v>
      </c>
      <c r="R59" s="60" t="s">
        <v>353</v>
      </c>
      <c r="S59" s="286" t="str">
        <f t="shared" si="0"/>
        <v/>
      </c>
      <c r="T59" s="286" t="str">
        <f>IF($C59= "", T58, IF(ISNA(VLOOKUP($C59,'ABC-S'!$A$5:$A$271,1,FALSE)), "", VLOOKUP($C59,'ABC-S'!$A$5:$A$271,1,FALSE)))</f>
        <v/>
      </c>
      <c r="W59" s="286" t="s">
        <v>165</v>
      </c>
      <c r="X59" s="286" t="s">
        <v>21</v>
      </c>
      <c r="Y59" s="286" t="s">
        <v>21</v>
      </c>
      <c r="Z59" s="286" t="s">
        <v>21</v>
      </c>
      <c r="AA59" s="286" t="s">
        <v>21</v>
      </c>
      <c r="AB59" s="378"/>
      <c r="AC59" s="381" t="s">
        <v>21</v>
      </c>
      <c r="AD59" s="378" t="s">
        <v>21</v>
      </c>
      <c r="AE59" s="378" t="s">
        <v>21</v>
      </c>
      <c r="AF59" s="378" t="s">
        <v>21</v>
      </c>
      <c r="AG59" s="378"/>
      <c r="AI59" s="378" t="s">
        <v>21</v>
      </c>
      <c r="AJ59" s="378" t="s">
        <v>21</v>
      </c>
      <c r="AL59" s="286"/>
      <c r="AM59" s="286" t="s">
        <v>351</v>
      </c>
    </row>
    <row r="60" spans="1:39" s="51" customFormat="1" ht="33.75" x14ac:dyDescent="0.25">
      <c r="A60" s="55" t="s">
        <v>167</v>
      </c>
      <c r="B60" s="55" t="s">
        <v>138</v>
      </c>
      <c r="C60" s="55" t="s">
        <v>167</v>
      </c>
      <c r="D60" s="55"/>
      <c r="E60" s="56" t="s">
        <v>973</v>
      </c>
      <c r="F60" s="55" t="s">
        <v>55</v>
      </c>
      <c r="G60" s="57"/>
      <c r="H60" s="58"/>
      <c r="I60" s="58"/>
      <c r="J60" s="58">
        <f>SUM(I60:I61)</f>
        <v>2918.58</v>
      </c>
      <c r="K60" s="58">
        <v>0</v>
      </c>
      <c r="L60" s="58">
        <v>2918.58</v>
      </c>
      <c r="M60" s="58">
        <v>0</v>
      </c>
      <c r="N60" s="58">
        <v>0</v>
      </c>
      <c r="O60" s="58">
        <v>0</v>
      </c>
      <c r="P60" s="58"/>
      <c r="Q60" s="56"/>
      <c r="R60" s="56" t="s">
        <v>166</v>
      </c>
      <c r="S60" s="286" t="str">
        <f t="shared" si="0"/>
        <v>SIM</v>
      </c>
      <c r="T60" s="286" t="str">
        <f>IF($C60= "", T59, IF(ISNA(VLOOKUP($C60,'ABC-S'!$A$5:$A$271,1,FALSE)), "", VLOOKUP($C60,'ABC-S'!$A$5:$A$271,1,FALSE)))</f>
        <v>CP0031</v>
      </c>
      <c r="W60" s="286" t="s">
        <v>167</v>
      </c>
      <c r="X60" s="286"/>
      <c r="Y60" s="286"/>
      <c r="Z60" s="286"/>
      <c r="AA60" s="286" t="s">
        <v>21</v>
      </c>
      <c r="AB60" s="378">
        <v>0</v>
      </c>
      <c r="AC60" s="378"/>
      <c r="AD60" s="335"/>
      <c r="AE60" s="335"/>
      <c r="AF60" s="335"/>
      <c r="AG60" s="378">
        <v>0</v>
      </c>
      <c r="AI60" s="378" t="s">
        <v>21</v>
      </c>
      <c r="AJ60" s="378" t="s">
        <v>21</v>
      </c>
      <c r="AL60" s="286"/>
      <c r="AM60" s="286"/>
    </row>
    <row r="61" spans="1:39" s="51" customFormat="1" x14ac:dyDescent="0.25">
      <c r="A61" s="59" t="s">
        <v>167</v>
      </c>
      <c r="B61" s="59" t="s">
        <v>86</v>
      </c>
      <c r="C61" s="59"/>
      <c r="D61" s="59" t="s">
        <v>334</v>
      </c>
      <c r="E61" s="60" t="s">
        <v>343</v>
      </c>
      <c r="F61" s="59" t="s">
        <v>55</v>
      </c>
      <c r="G61" s="61">
        <v>1</v>
      </c>
      <c r="H61" s="62">
        <v>2918.58</v>
      </c>
      <c r="I61" s="62">
        <f>IF($D61="","",G61*H61)</f>
        <v>2918.58</v>
      </c>
      <c r="J61" s="62"/>
      <c r="K61" s="62">
        <v>0</v>
      </c>
      <c r="L61" s="62">
        <v>2918.58</v>
      </c>
      <c r="M61" s="62">
        <v>0</v>
      </c>
      <c r="N61" s="62">
        <v>0</v>
      </c>
      <c r="O61" s="62">
        <v>0</v>
      </c>
      <c r="P61" s="298" t="s">
        <v>89</v>
      </c>
      <c r="Q61" s="60" t="s">
        <v>333</v>
      </c>
      <c r="R61" s="60" t="s">
        <v>354</v>
      </c>
      <c r="S61" s="286" t="str">
        <f t="shared" si="0"/>
        <v>SIM</v>
      </c>
      <c r="T61" s="286" t="str">
        <f>IF($C61= "", T60, IF(ISNA(VLOOKUP($C61,'ABC-S'!$A$5:$A$271,1,FALSE)), "", VLOOKUP($C61,'ABC-S'!$A$5:$A$271,1,FALSE)))</f>
        <v>CP0031</v>
      </c>
      <c r="W61" s="286" t="s">
        <v>167</v>
      </c>
      <c r="X61" s="286" t="s">
        <v>21</v>
      </c>
      <c r="Y61" s="286" t="s">
        <v>21</v>
      </c>
      <c r="Z61" s="286" t="s">
        <v>21</v>
      </c>
      <c r="AA61" s="286" t="s">
        <v>21</v>
      </c>
      <c r="AB61" s="378"/>
      <c r="AC61" s="381" t="s">
        <v>21</v>
      </c>
      <c r="AD61" s="378" t="s">
        <v>21</v>
      </c>
      <c r="AE61" s="378" t="s">
        <v>21</v>
      </c>
      <c r="AF61" s="378" t="s">
        <v>21</v>
      </c>
      <c r="AG61" s="378"/>
      <c r="AI61" s="378" t="s">
        <v>21</v>
      </c>
      <c r="AJ61" s="378" t="s">
        <v>21</v>
      </c>
      <c r="AL61" s="286"/>
      <c r="AM61" s="286" t="s">
        <v>334</v>
      </c>
    </row>
    <row r="62" spans="1:39" s="51" customFormat="1" ht="33.75" x14ac:dyDescent="0.25">
      <c r="A62" s="55" t="s">
        <v>3325</v>
      </c>
      <c r="B62" s="55" t="s">
        <v>138</v>
      </c>
      <c r="C62" s="55" t="s">
        <v>3325</v>
      </c>
      <c r="D62" s="55"/>
      <c r="E62" s="56" t="s">
        <v>3326</v>
      </c>
      <c r="F62" s="55" t="s">
        <v>55</v>
      </c>
      <c r="G62" s="57"/>
      <c r="H62" s="58"/>
      <c r="I62" s="58"/>
      <c r="J62" s="58">
        <f>SUM(I62:I63)</f>
        <v>2973.15</v>
      </c>
      <c r="K62" s="58">
        <v>0</v>
      </c>
      <c r="L62" s="58">
        <v>2973.15</v>
      </c>
      <c r="M62" s="58">
        <v>0</v>
      </c>
      <c r="N62" s="58">
        <v>0</v>
      </c>
      <c r="O62" s="58">
        <v>0</v>
      </c>
      <c r="P62" s="58"/>
      <c r="Q62" s="56"/>
      <c r="R62" s="56" t="s">
        <v>166</v>
      </c>
      <c r="S62" s="286" t="str">
        <f t="shared" si="0"/>
        <v>SIM</v>
      </c>
      <c r="T62" s="286" t="str">
        <f>IF($C62= "", T61, IF(ISNA(VLOOKUP($C62,'ABC-S'!$A$5:$A$271,1,FALSE)), "", VLOOKUP($C62,'ABC-S'!$A$5:$A$271,1,FALSE)))</f>
        <v>CP0032</v>
      </c>
      <c r="W62" s="286" t="s">
        <v>3325</v>
      </c>
      <c r="X62" s="286"/>
      <c r="Y62" s="286"/>
      <c r="Z62" s="286"/>
      <c r="AA62" s="286" t="s">
        <v>21</v>
      </c>
      <c r="AB62" s="378">
        <v>0</v>
      </c>
      <c r="AC62" s="378"/>
      <c r="AD62" s="335"/>
      <c r="AE62" s="335"/>
      <c r="AF62" s="335"/>
      <c r="AG62" s="378">
        <v>0</v>
      </c>
      <c r="AI62" s="378" t="s">
        <v>21</v>
      </c>
      <c r="AJ62" s="378" t="s">
        <v>21</v>
      </c>
      <c r="AL62" s="286"/>
      <c r="AM62" s="286"/>
    </row>
    <row r="63" spans="1:39" s="51" customFormat="1" x14ac:dyDescent="0.25">
      <c r="A63" s="59" t="s">
        <v>3325</v>
      </c>
      <c r="B63" s="59" t="s">
        <v>86</v>
      </c>
      <c r="C63" s="59"/>
      <c r="D63" s="59" t="s">
        <v>3323</v>
      </c>
      <c r="E63" s="60" t="s">
        <v>3324</v>
      </c>
      <c r="F63" s="59" t="s">
        <v>55</v>
      </c>
      <c r="G63" s="61">
        <v>1</v>
      </c>
      <c r="H63" s="62">
        <v>2973.15</v>
      </c>
      <c r="I63" s="62">
        <f>IF($D63="","",G63*H63)</f>
        <v>2973.15</v>
      </c>
      <c r="J63" s="62"/>
      <c r="K63" s="62">
        <v>0</v>
      </c>
      <c r="L63" s="62">
        <v>2973.15</v>
      </c>
      <c r="M63" s="62">
        <v>0</v>
      </c>
      <c r="N63" s="62">
        <v>0</v>
      </c>
      <c r="O63" s="62">
        <v>0</v>
      </c>
      <c r="P63" s="298" t="s">
        <v>89</v>
      </c>
      <c r="Q63" s="60" t="s">
        <v>333</v>
      </c>
      <c r="R63" s="60" t="s">
        <v>353</v>
      </c>
      <c r="S63" s="286" t="str">
        <f t="shared" si="0"/>
        <v>SIM</v>
      </c>
      <c r="T63" s="286" t="str">
        <f>IF($C63= "", T62, IF(ISNA(VLOOKUP($C63,'ABC-S'!$A$5:$A$271,1,FALSE)), "", VLOOKUP($C63,'ABC-S'!$A$5:$A$271,1,FALSE)))</f>
        <v>CP0032</v>
      </c>
      <c r="W63" s="286" t="s">
        <v>3325</v>
      </c>
      <c r="X63" s="286" t="s">
        <v>21</v>
      </c>
      <c r="Y63" s="286" t="s">
        <v>21</v>
      </c>
      <c r="Z63" s="286" t="s">
        <v>21</v>
      </c>
      <c r="AA63" s="286" t="s">
        <v>21</v>
      </c>
      <c r="AB63" s="378"/>
      <c r="AC63" s="381" t="s">
        <v>21</v>
      </c>
      <c r="AD63" s="378" t="s">
        <v>21</v>
      </c>
      <c r="AE63" s="378" t="s">
        <v>21</v>
      </c>
      <c r="AF63" s="378" t="s">
        <v>21</v>
      </c>
      <c r="AG63" s="378"/>
      <c r="AI63" s="378" t="s">
        <v>21</v>
      </c>
      <c r="AJ63" s="378" t="s">
        <v>21</v>
      </c>
      <c r="AL63" s="286"/>
      <c r="AM63" s="286" t="s">
        <v>351</v>
      </c>
    </row>
    <row r="64" spans="1:39" s="51" customFormat="1" ht="22.5" x14ac:dyDescent="0.25">
      <c r="A64" s="55" t="s">
        <v>4052</v>
      </c>
      <c r="B64" s="55" t="s">
        <v>138</v>
      </c>
      <c r="C64" s="55" t="s">
        <v>4052</v>
      </c>
      <c r="D64" s="55"/>
      <c r="E64" s="56" t="s">
        <v>4053</v>
      </c>
      <c r="F64" s="55" t="s">
        <v>55</v>
      </c>
      <c r="G64" s="57"/>
      <c r="H64" s="58"/>
      <c r="I64" s="58"/>
      <c r="J64" s="58">
        <f>SUM(I64:I65)</f>
        <v>3168.02</v>
      </c>
      <c r="K64" s="58">
        <v>0</v>
      </c>
      <c r="L64" s="58">
        <v>3168.02</v>
      </c>
      <c r="M64" s="58">
        <v>0</v>
      </c>
      <c r="N64" s="58">
        <v>0</v>
      </c>
      <c r="O64" s="58">
        <v>0</v>
      </c>
      <c r="P64" s="58"/>
      <c r="Q64" s="56"/>
      <c r="R64" s="56" t="s">
        <v>166</v>
      </c>
      <c r="S64" s="286" t="str">
        <f t="shared" si="0"/>
        <v>SIM</v>
      </c>
      <c r="T64" s="286" t="str">
        <f>IF($C64= "", T63, IF(ISNA(VLOOKUP($C64,'ABC-S'!$A$5:$A$271,1,FALSE)), "", VLOOKUP($C64,'ABC-S'!$A$5:$A$271,1,FALSE)))</f>
        <v>CP0033</v>
      </c>
      <c r="W64" s="286" t="s">
        <v>3325</v>
      </c>
      <c r="X64" s="286"/>
      <c r="Y64" s="286"/>
      <c r="Z64" s="286"/>
      <c r="AA64" s="286" t="s">
        <v>21</v>
      </c>
      <c r="AB64" s="378">
        <v>0</v>
      </c>
      <c r="AC64" s="378"/>
      <c r="AD64" s="335"/>
      <c r="AE64" s="335"/>
      <c r="AF64" s="335"/>
      <c r="AG64" s="378">
        <v>0</v>
      </c>
      <c r="AI64" s="378" t="s">
        <v>21</v>
      </c>
      <c r="AJ64" s="378" t="s">
        <v>21</v>
      </c>
      <c r="AL64" s="286"/>
      <c r="AM64" s="286"/>
    </row>
    <row r="65" spans="1:39" s="51" customFormat="1" x14ac:dyDescent="0.25">
      <c r="A65" s="59" t="s">
        <v>4052</v>
      </c>
      <c r="B65" s="59" t="s">
        <v>86</v>
      </c>
      <c r="C65" s="59"/>
      <c r="D65" s="59" t="s">
        <v>4054</v>
      </c>
      <c r="E65" s="60" t="s">
        <v>4055</v>
      </c>
      <c r="F65" s="59" t="s">
        <v>55</v>
      </c>
      <c r="G65" s="61">
        <v>1</v>
      </c>
      <c r="H65" s="62">
        <v>3168.02</v>
      </c>
      <c r="I65" s="62">
        <f>IF($D65="","",G65*H65)</f>
        <v>3168.02</v>
      </c>
      <c r="J65" s="62"/>
      <c r="K65" s="62">
        <v>0</v>
      </c>
      <c r="L65" s="62">
        <v>3168.02</v>
      </c>
      <c r="M65" s="62">
        <v>0</v>
      </c>
      <c r="N65" s="62">
        <v>0</v>
      </c>
      <c r="O65" s="62">
        <v>0</v>
      </c>
      <c r="P65" s="298" t="s">
        <v>89</v>
      </c>
      <c r="Q65" s="60" t="s">
        <v>333</v>
      </c>
      <c r="R65" s="60" t="s">
        <v>353</v>
      </c>
      <c r="S65" s="286" t="str">
        <f t="shared" si="0"/>
        <v>SIM</v>
      </c>
      <c r="T65" s="286" t="str">
        <f>IF($C65= "", T64, IF(ISNA(VLOOKUP($C65,'ABC-S'!$A$5:$A$271,1,FALSE)), "", VLOOKUP($C65,'ABC-S'!$A$5:$A$271,1,FALSE)))</f>
        <v>CP0033</v>
      </c>
      <c r="W65" s="286" t="s">
        <v>3325</v>
      </c>
      <c r="X65" s="286" t="s">
        <v>21</v>
      </c>
      <c r="Y65" s="286" t="s">
        <v>21</v>
      </c>
      <c r="Z65" s="286" t="s">
        <v>21</v>
      </c>
      <c r="AA65" s="286" t="s">
        <v>21</v>
      </c>
      <c r="AB65" s="378"/>
      <c r="AC65" s="381" t="s">
        <v>21</v>
      </c>
      <c r="AD65" s="378" t="s">
        <v>21</v>
      </c>
      <c r="AE65" s="378" t="s">
        <v>21</v>
      </c>
      <c r="AF65" s="378" t="s">
        <v>21</v>
      </c>
      <c r="AG65" s="378"/>
      <c r="AI65" s="378" t="s">
        <v>21</v>
      </c>
      <c r="AJ65" s="378" t="s">
        <v>21</v>
      </c>
      <c r="AL65" s="286"/>
      <c r="AM65" s="286" t="s">
        <v>351</v>
      </c>
    </row>
    <row r="66" spans="1:39" s="51" customFormat="1" ht="56.25" x14ac:dyDescent="0.25">
      <c r="A66" s="55" t="s">
        <v>3023</v>
      </c>
      <c r="B66" s="55" t="s">
        <v>38</v>
      </c>
      <c r="C66" s="55" t="s">
        <v>3023</v>
      </c>
      <c r="D66" s="55"/>
      <c r="E66" s="56" t="s">
        <v>3024</v>
      </c>
      <c r="F66" s="55" t="s">
        <v>22</v>
      </c>
      <c r="G66" s="57"/>
      <c r="H66" s="58"/>
      <c r="I66" s="58"/>
      <c r="J66" s="58">
        <f>SUM(I66:I74)</f>
        <v>126.23343546441424</v>
      </c>
      <c r="K66" s="58">
        <v>36.6612686</v>
      </c>
      <c r="L66" s="58">
        <v>89.463266864414237</v>
      </c>
      <c r="M66" s="58">
        <v>5.3999999999999999E-2</v>
      </c>
      <c r="N66" s="58">
        <v>0</v>
      </c>
      <c r="O66" s="58">
        <v>5.4900000000003502E-2</v>
      </c>
      <c r="P66" s="58"/>
      <c r="Q66" s="56"/>
      <c r="R66" s="56" t="s">
        <v>3025</v>
      </c>
      <c r="S66" s="286" t="str">
        <f t="shared" si="0"/>
        <v>SIM</v>
      </c>
      <c r="T66" s="286" t="str">
        <f>IF($C66= "", T63, IF(ISNA(VLOOKUP($C66,'ABC-S'!$A$5:$A$271,1,FALSE)), "", VLOOKUP($C66,'ABC-S'!$A$5:$A$271,1,FALSE)))</f>
        <v>CP0041</v>
      </c>
      <c r="W66" s="286" t="s">
        <v>3023</v>
      </c>
      <c r="X66" s="286"/>
      <c r="Y66" s="286"/>
      <c r="Z66" s="286"/>
      <c r="AA66" s="286" t="s">
        <v>21</v>
      </c>
      <c r="AB66" s="378">
        <v>2.2149399999999999</v>
      </c>
      <c r="AC66" s="378"/>
      <c r="AD66" s="335"/>
      <c r="AE66" s="335"/>
      <c r="AF66" s="335"/>
      <c r="AG66" s="378">
        <v>2.5591360000000001</v>
      </c>
      <c r="AI66" s="378" t="s">
        <v>21</v>
      </c>
      <c r="AJ66" s="378" t="s">
        <v>21</v>
      </c>
      <c r="AL66" s="286"/>
      <c r="AM66" s="286"/>
    </row>
    <row r="67" spans="1:39" s="51" customFormat="1" ht="27" x14ac:dyDescent="0.25">
      <c r="A67" s="59" t="s">
        <v>3023</v>
      </c>
      <c r="B67" s="59" t="s">
        <v>86</v>
      </c>
      <c r="C67" s="248"/>
      <c r="D67" s="59">
        <v>339</v>
      </c>
      <c r="E67" s="60" t="s">
        <v>682</v>
      </c>
      <c r="F67" s="59" t="s">
        <v>3667</v>
      </c>
      <c r="G67" s="61">
        <f>(10 + ((SQRT((0.2 ^ 2) + ((2 * PI() * 0.15) ^ 2))) * (1 / 0.2))) * (1 + 5%)</f>
        <v>15.55819013259212</v>
      </c>
      <c r="H67" s="62">
        <v>1.24</v>
      </c>
      <c r="I67" s="62">
        <f t="shared" ref="I67:I72" si="3">IF($D67="","",G67*H67)</f>
        <v>19.292155764414229</v>
      </c>
      <c r="J67" s="62"/>
      <c r="K67" s="62">
        <v>0</v>
      </c>
      <c r="L67" s="62">
        <v>19.292155764414229</v>
      </c>
      <c r="M67" s="62">
        <v>0</v>
      </c>
      <c r="N67" s="62">
        <v>0</v>
      </c>
      <c r="O67" s="62">
        <v>0</v>
      </c>
      <c r="P67" s="298" t="s">
        <v>89</v>
      </c>
      <c r="Q67" s="60" t="s">
        <v>27</v>
      </c>
      <c r="R67" s="1177" t="s">
        <v>3026</v>
      </c>
      <c r="S67" s="286" t="str">
        <f t="shared" si="0"/>
        <v>SIM</v>
      </c>
      <c r="T67" s="286" t="str">
        <f>IF($C67= "", T66, IF(ISNA(VLOOKUP($C67,'ABC-S'!$A$5:$A$271,1,FALSE)), "", VLOOKUP($C67,'ABC-S'!$A$5:$A$271,1,FALSE)))</f>
        <v>CP0041</v>
      </c>
      <c r="W67" s="286" t="s">
        <v>3023</v>
      </c>
      <c r="X67" s="286" t="s">
        <v>21</v>
      </c>
      <c r="Y67" s="286" t="s">
        <v>21</v>
      </c>
      <c r="Z67" s="335" t="s">
        <v>21</v>
      </c>
      <c r="AA67" s="286" t="s">
        <v>21</v>
      </c>
      <c r="AB67" s="378"/>
      <c r="AC67" s="381" t="s">
        <v>21</v>
      </c>
      <c r="AD67" s="378" t="s">
        <v>21</v>
      </c>
      <c r="AE67" s="378" t="s">
        <v>21</v>
      </c>
      <c r="AF67" s="378" t="s">
        <v>21</v>
      </c>
      <c r="AG67" s="378"/>
      <c r="AI67" s="378" t="s">
        <v>21</v>
      </c>
      <c r="AJ67" s="378" t="s">
        <v>21</v>
      </c>
      <c r="AL67" s="286">
        <v>98524</v>
      </c>
      <c r="AM67" s="286"/>
    </row>
    <row r="68" spans="1:39" s="51" customFormat="1" ht="22.5" x14ac:dyDescent="0.25">
      <c r="A68" s="59" t="s">
        <v>3023</v>
      </c>
      <c r="B68" s="59" t="s">
        <v>86</v>
      </c>
      <c r="C68" s="248"/>
      <c r="D68" s="59">
        <v>4114</v>
      </c>
      <c r="E68" s="60" t="s">
        <v>702</v>
      </c>
      <c r="F68" s="59" t="s">
        <v>3666</v>
      </c>
      <c r="G68" s="61">
        <f>1 / 2.5</f>
        <v>0.4</v>
      </c>
      <c r="H68" s="62">
        <v>74.25</v>
      </c>
      <c r="I68" s="62">
        <f t="shared" si="3"/>
        <v>29.700000000000003</v>
      </c>
      <c r="J68" s="62"/>
      <c r="K68" s="62">
        <v>0</v>
      </c>
      <c r="L68" s="62">
        <v>29.700000000000003</v>
      </c>
      <c r="M68" s="62">
        <v>0</v>
      </c>
      <c r="N68" s="62">
        <v>0</v>
      </c>
      <c r="O68" s="62">
        <v>0</v>
      </c>
      <c r="P68" s="298" t="s">
        <v>89</v>
      </c>
      <c r="Q68" s="60" t="s">
        <v>27</v>
      </c>
      <c r="R68" s="60" t="s">
        <v>331</v>
      </c>
      <c r="S68" s="286" t="str">
        <f t="shared" si="0"/>
        <v>SIM</v>
      </c>
      <c r="T68" s="286" t="str">
        <f>IF($C68= "", T67, IF(ISNA(VLOOKUP($C68,'ABC-S'!$A$5:$A$271,1,FALSE)), "", VLOOKUP($C68,'ABC-S'!$A$5:$A$271,1,FALSE)))</f>
        <v>CP0041</v>
      </c>
      <c r="W68" s="286" t="s">
        <v>3023</v>
      </c>
      <c r="X68" s="286" t="s">
        <v>21</v>
      </c>
      <c r="Y68" s="286" t="s">
        <v>21</v>
      </c>
      <c r="Z68" s="335" t="s">
        <v>21</v>
      </c>
      <c r="AA68" s="286" t="s">
        <v>21</v>
      </c>
      <c r="AB68" s="378"/>
      <c r="AC68" s="381" t="s">
        <v>21</v>
      </c>
      <c r="AD68" s="378" t="s">
        <v>21</v>
      </c>
      <c r="AE68" s="378" t="s">
        <v>21</v>
      </c>
      <c r="AF68" s="378" t="s">
        <v>21</v>
      </c>
      <c r="AG68" s="378"/>
      <c r="AI68" s="378" t="s">
        <v>21</v>
      </c>
      <c r="AJ68" s="378" t="s">
        <v>21</v>
      </c>
      <c r="AL68" s="286">
        <v>94974</v>
      </c>
      <c r="AM68" s="286"/>
    </row>
    <row r="69" spans="1:39" s="51" customFormat="1" ht="22.5" x14ac:dyDescent="0.25">
      <c r="A69" s="59" t="s">
        <v>3023</v>
      </c>
      <c r="B69" s="59" t="s">
        <v>86</v>
      </c>
      <c r="C69" s="248"/>
      <c r="D69" s="59">
        <v>43130</v>
      </c>
      <c r="E69" s="60" t="s">
        <v>683</v>
      </c>
      <c r="F69" s="59" t="s">
        <v>3669</v>
      </c>
      <c r="G69" s="61">
        <v>7.9000000000000001E-2</v>
      </c>
      <c r="H69" s="62">
        <v>20.399999999999999</v>
      </c>
      <c r="I69" s="62">
        <f t="shared" si="3"/>
        <v>1.6115999999999999</v>
      </c>
      <c r="J69" s="62"/>
      <c r="K69" s="62">
        <v>0</v>
      </c>
      <c r="L69" s="62">
        <v>1.6115999999999999</v>
      </c>
      <c r="M69" s="62">
        <v>0</v>
      </c>
      <c r="N69" s="62">
        <v>0</v>
      </c>
      <c r="O69" s="62">
        <v>0</v>
      </c>
      <c r="P69" s="298" t="s">
        <v>89</v>
      </c>
      <c r="Q69" s="60" t="s">
        <v>27</v>
      </c>
      <c r="R69" s="60" t="s">
        <v>331</v>
      </c>
      <c r="S69" s="286" t="str">
        <f t="shared" si="0"/>
        <v>SIM</v>
      </c>
      <c r="T69" s="286" t="str">
        <f>IF($C69= "", T68, IF(ISNA(VLOOKUP($C69,'ABC-S'!$A$5:$A$271,1,FALSE)), "", VLOOKUP($C69,'ABC-S'!$A$5:$A$271,1,FALSE)))</f>
        <v>CP0041</v>
      </c>
      <c r="W69" s="286" t="s">
        <v>3023</v>
      </c>
      <c r="X69" s="286" t="s">
        <v>21</v>
      </c>
      <c r="Y69" s="286" t="s">
        <v>21</v>
      </c>
      <c r="Z69" s="335" t="s">
        <v>21</v>
      </c>
      <c r="AA69" s="286" t="s">
        <v>21</v>
      </c>
      <c r="AB69" s="378"/>
      <c r="AC69" s="381" t="s">
        <v>21</v>
      </c>
      <c r="AD69" s="378" t="s">
        <v>21</v>
      </c>
      <c r="AE69" s="378" t="s">
        <v>21</v>
      </c>
      <c r="AF69" s="378" t="s">
        <v>21</v>
      </c>
      <c r="AG69" s="378"/>
      <c r="AI69" s="378" t="s">
        <v>21</v>
      </c>
      <c r="AJ69" s="378" t="s">
        <v>21</v>
      </c>
      <c r="AL69" s="286">
        <v>91596</v>
      </c>
      <c r="AM69" s="286"/>
    </row>
    <row r="70" spans="1:39" s="51" customFormat="1" ht="33.75" x14ac:dyDescent="0.25">
      <c r="A70" s="59" t="s">
        <v>3023</v>
      </c>
      <c r="B70" s="59" t="s">
        <v>87</v>
      </c>
      <c r="C70" s="248"/>
      <c r="D70" s="59">
        <v>88309</v>
      </c>
      <c r="E70" s="60" t="s">
        <v>617</v>
      </c>
      <c r="F70" s="59" t="s">
        <v>46</v>
      </c>
      <c r="G70" s="61">
        <f>0.8519 * (1 + 30%)</f>
        <v>1.10747</v>
      </c>
      <c r="H70" s="62">
        <v>23.9</v>
      </c>
      <c r="I70" s="62">
        <f t="shared" si="3"/>
        <v>26.468532999999997</v>
      </c>
      <c r="J70" s="62"/>
      <c r="K70" s="62">
        <v>19.690816600000002</v>
      </c>
      <c r="L70" s="62">
        <v>6.7777164000000001</v>
      </c>
      <c r="M70" s="62">
        <v>0</v>
      </c>
      <c r="N70" s="62">
        <v>0</v>
      </c>
      <c r="O70" s="62">
        <v>-3.5527136788005009E-15</v>
      </c>
      <c r="P70" s="298" t="s">
        <v>4160</v>
      </c>
      <c r="Q70" s="60" t="s">
        <v>27</v>
      </c>
      <c r="R70" s="60" t="s">
        <v>3035</v>
      </c>
      <c r="S70" s="286" t="str">
        <f t="shared" ref="S70:S133" si="4">IF(T70 &lt;&gt; "", "SIM", "")</f>
        <v>SIM</v>
      </c>
      <c r="T70" s="286" t="str">
        <f>IF($C70= "", T69, IF(ISNA(VLOOKUP($C70,'ABC-S'!$A$5:$A$271,1,FALSE)), "", VLOOKUP($C70,'ABC-S'!$A$5:$A$271,1,FALSE)))</f>
        <v>CP0041</v>
      </c>
      <c r="W70" s="286" t="s">
        <v>3023</v>
      </c>
      <c r="X70" s="286">
        <v>88309</v>
      </c>
      <c r="Y70" s="286" t="s">
        <v>424</v>
      </c>
      <c r="Z70" s="335">
        <v>848</v>
      </c>
      <c r="AA70" s="286">
        <v>1.10747</v>
      </c>
      <c r="AB70" s="378"/>
      <c r="AC70" s="381" t="s">
        <v>21</v>
      </c>
      <c r="AD70" s="378" t="s">
        <v>21</v>
      </c>
      <c r="AE70" s="378" t="s">
        <v>21</v>
      </c>
      <c r="AF70" s="378" t="s">
        <v>21</v>
      </c>
      <c r="AG70" s="378"/>
      <c r="AI70" s="378">
        <v>0</v>
      </c>
      <c r="AJ70" s="378">
        <v>0</v>
      </c>
      <c r="AL70" s="286">
        <v>94970</v>
      </c>
      <c r="AM70" s="286"/>
    </row>
    <row r="71" spans="1:39" s="51" customFormat="1" ht="33.75" x14ac:dyDescent="0.25">
      <c r="A71" s="59" t="s">
        <v>3023</v>
      </c>
      <c r="B71" s="59" t="s">
        <v>87</v>
      </c>
      <c r="C71" s="248"/>
      <c r="D71" s="59">
        <v>88316</v>
      </c>
      <c r="E71" s="60" t="s">
        <v>649</v>
      </c>
      <c r="F71" s="59" t="s">
        <v>46</v>
      </c>
      <c r="G71" s="61">
        <f>0.8519 * (1 + 30%)</f>
        <v>1.10747</v>
      </c>
      <c r="H71" s="62">
        <v>17.61</v>
      </c>
      <c r="I71" s="62">
        <f t="shared" si="3"/>
        <v>19.5025467</v>
      </c>
      <c r="J71" s="62"/>
      <c r="K71" s="62">
        <v>12.846651999999999</v>
      </c>
      <c r="L71" s="62">
        <v>6.6558946999999993</v>
      </c>
      <c r="M71" s="62">
        <v>0</v>
      </c>
      <c r="N71" s="62">
        <v>0</v>
      </c>
      <c r="O71" s="62">
        <v>3.5527136788005009E-15</v>
      </c>
      <c r="P71" s="298" t="s">
        <v>4160</v>
      </c>
      <c r="Q71" s="60" t="s">
        <v>27</v>
      </c>
      <c r="R71" s="60" t="s">
        <v>3035</v>
      </c>
      <c r="S71" s="286" t="str">
        <f t="shared" si="4"/>
        <v>SIM</v>
      </c>
      <c r="T71" s="286" t="str">
        <f>IF($C71= "", T70, IF(ISNA(VLOOKUP($C71,'ABC-S'!$A$5:$A$271,1,FALSE)), "", VLOOKUP($C71,'ABC-S'!$A$5:$A$271,1,FALSE)))</f>
        <v>CP0041</v>
      </c>
      <c r="W71" s="286" t="s">
        <v>3023</v>
      </c>
      <c r="X71" s="286">
        <v>88316</v>
      </c>
      <c r="Y71" s="286" t="s">
        <v>424</v>
      </c>
      <c r="Z71" s="335">
        <v>848</v>
      </c>
      <c r="AA71" s="286">
        <v>1.10747</v>
      </c>
      <c r="AB71" s="378"/>
      <c r="AC71" s="381" t="s">
        <v>21</v>
      </c>
      <c r="AD71" s="378" t="s">
        <v>21</v>
      </c>
      <c r="AE71" s="378" t="s">
        <v>21</v>
      </c>
      <c r="AF71" s="378" t="s">
        <v>21</v>
      </c>
      <c r="AG71" s="378"/>
      <c r="AI71" s="378">
        <v>0</v>
      </c>
      <c r="AJ71" s="378">
        <v>0</v>
      </c>
      <c r="AL71" s="286" t="s">
        <v>270</v>
      </c>
      <c r="AM71" s="286"/>
    </row>
    <row r="72" spans="1:39" s="51" customFormat="1" ht="33.75" x14ac:dyDescent="0.25">
      <c r="A72" s="59" t="s">
        <v>3023</v>
      </c>
      <c r="B72" s="59" t="s">
        <v>87</v>
      </c>
      <c r="C72" s="248"/>
      <c r="D72" s="59">
        <v>94962</v>
      </c>
      <c r="E72" s="60" t="s">
        <v>3658</v>
      </c>
      <c r="F72" s="59" t="s">
        <v>44</v>
      </c>
      <c r="G72" s="61">
        <v>0.09</v>
      </c>
      <c r="H72" s="62">
        <v>329.54</v>
      </c>
      <c r="I72" s="62">
        <f t="shared" si="3"/>
        <v>29.6586</v>
      </c>
      <c r="J72" s="62"/>
      <c r="K72" s="62">
        <v>4.1238000000000001</v>
      </c>
      <c r="L72" s="62">
        <v>25.425899999999999</v>
      </c>
      <c r="M72" s="62">
        <v>5.3999999999999999E-2</v>
      </c>
      <c r="N72" s="62">
        <v>0</v>
      </c>
      <c r="O72" s="62">
        <v>5.4900000000003502E-2</v>
      </c>
      <c r="P72" s="298" t="s">
        <v>4160</v>
      </c>
      <c r="Q72" s="60" t="s">
        <v>27</v>
      </c>
      <c r="R72" s="60" t="s">
        <v>996</v>
      </c>
      <c r="S72" s="286" t="str">
        <f t="shared" si="4"/>
        <v>SIM</v>
      </c>
      <c r="T72" s="286" t="str">
        <f>IF($C72= "", T71, IF(ISNA(VLOOKUP($C72,'ABC-S'!$A$5:$A$271,1,FALSE)), "", VLOOKUP($C72,'ABC-S'!$A$5:$A$271,1,FALSE)))</f>
        <v>CP0041</v>
      </c>
      <c r="W72" s="286" t="s">
        <v>3023</v>
      </c>
      <c r="X72" s="286" t="s">
        <v>21</v>
      </c>
      <c r="Y72" s="286" t="s">
        <v>1513</v>
      </c>
      <c r="Z72" s="335" t="s">
        <v>21</v>
      </c>
      <c r="AA72" s="286" t="s">
        <v>21</v>
      </c>
      <c r="AB72" s="378"/>
      <c r="AC72" s="381">
        <v>94962</v>
      </c>
      <c r="AD72" s="378">
        <v>0.09</v>
      </c>
      <c r="AE72" s="378">
        <v>3.8244000000000002</v>
      </c>
      <c r="AF72" s="378">
        <v>0.344196</v>
      </c>
      <c r="AG72" s="378"/>
      <c r="AI72" s="378">
        <v>2.9622000000000002</v>
      </c>
      <c r="AJ72" s="378">
        <v>0.266598</v>
      </c>
      <c r="AL72" s="286">
        <v>84665</v>
      </c>
      <c r="AM72" s="286"/>
    </row>
    <row r="73" spans="1:39" s="51" customFormat="1" x14ac:dyDescent="0.25">
      <c r="A73" s="59" t="s">
        <v>3023</v>
      </c>
      <c r="B73" s="59" t="s">
        <v>3027</v>
      </c>
      <c r="C73" s="248"/>
      <c r="D73" s="59"/>
      <c r="E73" s="60" t="s">
        <v>3028</v>
      </c>
      <c r="F73" s="59" t="s">
        <v>23</v>
      </c>
      <c r="G73" s="61">
        <f>G68 * (59.6 / 1000)</f>
        <v>2.384E-2</v>
      </c>
      <c r="H73" s="62"/>
      <c r="I73" s="62"/>
      <c r="J73" s="62"/>
      <c r="K73" s="62"/>
      <c r="L73" s="62"/>
      <c r="M73" s="62"/>
      <c r="N73" s="62"/>
      <c r="O73" s="62"/>
      <c r="P73" s="298"/>
      <c r="Q73" s="60" t="s">
        <v>27</v>
      </c>
      <c r="R73" s="60" t="s">
        <v>3029</v>
      </c>
      <c r="S73" s="286" t="str">
        <f t="shared" si="4"/>
        <v>SIM</v>
      </c>
      <c r="T73" s="286" t="str">
        <f>IF($C73= "", T72, IF(ISNA(VLOOKUP($C73,'ABC-S'!$A$5:$A$271,1,FALSE)), "", VLOOKUP($C73,'ABC-S'!$A$5:$A$271,1,FALSE)))</f>
        <v>CP0041</v>
      </c>
      <c r="W73" s="286" t="s">
        <v>3023</v>
      </c>
      <c r="X73" s="286" t="s">
        <v>21</v>
      </c>
      <c r="Y73" s="286" t="s">
        <v>21</v>
      </c>
      <c r="Z73" s="335" t="s">
        <v>21</v>
      </c>
      <c r="AA73" s="286" t="s">
        <v>21</v>
      </c>
      <c r="AB73" s="378"/>
      <c r="AC73" s="381" t="s">
        <v>21</v>
      </c>
      <c r="AD73" s="378" t="s">
        <v>21</v>
      </c>
      <c r="AE73" s="378" t="s">
        <v>21</v>
      </c>
      <c r="AF73" s="378" t="s">
        <v>21</v>
      </c>
      <c r="AG73" s="378"/>
      <c r="AI73" s="378" t="s">
        <v>21</v>
      </c>
      <c r="AJ73" s="378" t="s">
        <v>21</v>
      </c>
      <c r="AL73" s="286">
        <v>84665</v>
      </c>
      <c r="AM73" s="286"/>
    </row>
    <row r="74" spans="1:39" s="51" customFormat="1" ht="22.5" x14ac:dyDescent="0.25">
      <c r="A74" s="59" t="s">
        <v>3023</v>
      </c>
      <c r="B74" s="59" t="s">
        <v>3027</v>
      </c>
      <c r="C74" s="248"/>
      <c r="D74" s="59"/>
      <c r="E74" s="60" t="s">
        <v>3030</v>
      </c>
      <c r="F74" s="59" t="s">
        <v>23</v>
      </c>
      <c r="G74" s="61">
        <f>(G67 * (22.4 / 500 / 1000)) + (G69 / 1000)</f>
        <v>7.7600691794012689E-4</v>
      </c>
      <c r="H74" s="62"/>
      <c r="I74" s="62"/>
      <c r="J74" s="62"/>
      <c r="K74" s="62"/>
      <c r="L74" s="62"/>
      <c r="M74" s="62"/>
      <c r="N74" s="62"/>
      <c r="O74" s="62"/>
      <c r="P74" s="298"/>
      <c r="Q74" s="60" t="s">
        <v>27</v>
      </c>
      <c r="R74" s="60" t="s">
        <v>3029</v>
      </c>
      <c r="S74" s="286" t="str">
        <f t="shared" si="4"/>
        <v>SIM</v>
      </c>
      <c r="T74" s="286" t="str">
        <f>IF($C74= "", T73, IF(ISNA(VLOOKUP($C74,'ABC-S'!$A$5:$A$271,1,FALSE)), "", VLOOKUP($C74,'ABC-S'!$A$5:$A$271,1,FALSE)))</f>
        <v>CP0041</v>
      </c>
      <c r="W74" s="286" t="s">
        <v>3023</v>
      </c>
      <c r="X74" s="286" t="s">
        <v>21</v>
      </c>
      <c r="Y74" s="286" t="s">
        <v>21</v>
      </c>
      <c r="Z74" s="335" t="s">
        <v>21</v>
      </c>
      <c r="AA74" s="286" t="s">
        <v>21</v>
      </c>
      <c r="AB74" s="378"/>
      <c r="AC74" s="381" t="s">
        <v>21</v>
      </c>
      <c r="AD74" s="378" t="s">
        <v>21</v>
      </c>
      <c r="AE74" s="378" t="s">
        <v>21</v>
      </c>
      <c r="AF74" s="378" t="s">
        <v>21</v>
      </c>
      <c r="AG74" s="378"/>
      <c r="AI74" s="378" t="s">
        <v>21</v>
      </c>
      <c r="AJ74" s="378" t="s">
        <v>21</v>
      </c>
      <c r="AL74" s="286">
        <v>84665</v>
      </c>
      <c r="AM74" s="286"/>
    </row>
    <row r="75" spans="1:39" s="51" customFormat="1" ht="45" x14ac:dyDescent="0.25">
      <c r="A75" s="55" t="s">
        <v>3032</v>
      </c>
      <c r="B75" s="55" t="s">
        <v>38</v>
      </c>
      <c r="C75" s="55" t="s">
        <v>3032</v>
      </c>
      <c r="D75" s="55"/>
      <c r="E75" s="56" t="s">
        <v>3033</v>
      </c>
      <c r="F75" s="55" t="s">
        <v>22</v>
      </c>
      <c r="G75" s="57"/>
      <c r="H75" s="58"/>
      <c r="I75" s="58"/>
      <c r="J75" s="58">
        <f>SUM(I75:I80)</f>
        <v>25.904809564414233</v>
      </c>
      <c r="K75" s="58">
        <v>3.5367644</v>
      </c>
      <c r="L75" s="58">
        <v>22.36804516441423</v>
      </c>
      <c r="M75" s="58">
        <v>0</v>
      </c>
      <c r="N75" s="58">
        <v>0</v>
      </c>
      <c r="O75" s="58">
        <v>0</v>
      </c>
      <c r="P75" s="58"/>
      <c r="Q75" s="56"/>
      <c r="R75" s="56" t="s">
        <v>3034</v>
      </c>
      <c r="S75" s="286" t="str">
        <f t="shared" si="4"/>
        <v>SIM</v>
      </c>
      <c r="T75" s="286" t="str">
        <f>IF($C75= "", T74, IF(ISNA(VLOOKUP($C75,'ABC-S'!$A$5:$A$271,1,FALSE)), "", VLOOKUP($C75,'ABC-S'!$A$5:$A$271,1,FALSE)))</f>
        <v>CP0042</v>
      </c>
      <c r="W75" s="286" t="s">
        <v>3032</v>
      </c>
      <c r="X75" s="286"/>
      <c r="Y75" s="286"/>
      <c r="Z75" s="286"/>
      <c r="AA75" s="286" t="s">
        <v>21</v>
      </c>
      <c r="AB75" s="378">
        <v>0.24076</v>
      </c>
      <c r="AC75" s="378"/>
      <c r="AD75" s="335"/>
      <c r="AE75" s="335"/>
      <c r="AF75" s="335"/>
      <c r="AG75" s="378">
        <v>0.24076</v>
      </c>
      <c r="AI75" s="378" t="s">
        <v>21</v>
      </c>
      <c r="AJ75" s="378" t="s">
        <v>21</v>
      </c>
      <c r="AL75" s="286"/>
      <c r="AM75" s="286"/>
    </row>
    <row r="76" spans="1:39" s="51" customFormat="1" ht="27" x14ac:dyDescent="0.25">
      <c r="A76" s="59" t="s">
        <v>3032</v>
      </c>
      <c r="B76" s="59" t="s">
        <v>86</v>
      </c>
      <c r="C76" s="248"/>
      <c r="D76" s="59">
        <v>339</v>
      </c>
      <c r="E76" s="60" t="s">
        <v>682</v>
      </c>
      <c r="F76" s="59" t="s">
        <v>3667</v>
      </c>
      <c r="G76" s="61">
        <f>(10 + ((SQRT((0.2 ^ 2) + ((2 * PI() * 0.15) ^ 2))) * (1 / 0.2))) * (1 + 5%)</f>
        <v>15.55819013259212</v>
      </c>
      <c r="H76" s="62">
        <v>1.24</v>
      </c>
      <c r="I76" s="62">
        <f>IF($D76="","",G76*H76)</f>
        <v>19.292155764414229</v>
      </c>
      <c r="J76" s="62"/>
      <c r="K76" s="62">
        <v>0</v>
      </c>
      <c r="L76" s="62">
        <v>19.292155764414229</v>
      </c>
      <c r="M76" s="62">
        <v>0</v>
      </c>
      <c r="N76" s="62">
        <v>0</v>
      </c>
      <c r="O76" s="62">
        <v>0</v>
      </c>
      <c r="P76" s="298" t="s">
        <v>89</v>
      </c>
      <c r="Q76" s="60" t="s">
        <v>27</v>
      </c>
      <c r="R76" s="1177" t="s">
        <v>3026</v>
      </c>
      <c r="S76" s="286" t="str">
        <f t="shared" si="4"/>
        <v>SIM</v>
      </c>
      <c r="T76" s="286" t="str">
        <f>IF($C76= "", T75, IF(ISNA(VLOOKUP($C76,'ABC-S'!$A$5:$A$271,1,FALSE)), "", VLOOKUP($C76,'ABC-S'!$A$5:$A$271,1,FALSE)))</f>
        <v>CP0042</v>
      </c>
      <c r="W76" s="286" t="s">
        <v>3032</v>
      </c>
      <c r="X76" s="286" t="s">
        <v>21</v>
      </c>
      <c r="Y76" s="286" t="s">
        <v>21</v>
      </c>
      <c r="Z76" s="335" t="s">
        <v>21</v>
      </c>
      <c r="AA76" s="286" t="s">
        <v>21</v>
      </c>
      <c r="AB76" s="378"/>
      <c r="AC76" s="381" t="s">
        <v>21</v>
      </c>
      <c r="AD76" s="378" t="s">
        <v>21</v>
      </c>
      <c r="AE76" s="378" t="s">
        <v>21</v>
      </c>
      <c r="AF76" s="378" t="s">
        <v>21</v>
      </c>
      <c r="AG76" s="378"/>
      <c r="AI76" s="378" t="s">
        <v>21</v>
      </c>
      <c r="AJ76" s="378" t="s">
        <v>21</v>
      </c>
      <c r="AL76" s="286">
        <v>98524</v>
      </c>
      <c r="AM76" s="286"/>
    </row>
    <row r="77" spans="1:39" s="51" customFormat="1" ht="22.5" x14ac:dyDescent="0.25">
      <c r="A77" s="59" t="s">
        <v>3032</v>
      </c>
      <c r="B77" s="59" t="s">
        <v>86</v>
      </c>
      <c r="C77" s="248"/>
      <c r="D77" s="59">
        <v>43130</v>
      </c>
      <c r="E77" s="60" t="s">
        <v>683</v>
      </c>
      <c r="F77" s="59" t="s">
        <v>3669</v>
      </c>
      <c r="G77" s="61">
        <f>0.0072 * 11</f>
        <v>7.9199999999999993E-2</v>
      </c>
      <c r="H77" s="62">
        <v>20.399999999999999</v>
      </c>
      <c r="I77" s="62">
        <f>IF($D77="","",G77*H77)</f>
        <v>1.6156799999999998</v>
      </c>
      <c r="J77" s="62"/>
      <c r="K77" s="62">
        <v>0</v>
      </c>
      <c r="L77" s="62">
        <v>1.6156799999999998</v>
      </c>
      <c r="M77" s="62">
        <v>0</v>
      </c>
      <c r="N77" s="62">
        <v>0</v>
      </c>
      <c r="O77" s="62">
        <v>0</v>
      </c>
      <c r="P77" s="298" t="s">
        <v>89</v>
      </c>
      <c r="Q77" s="60" t="s">
        <v>27</v>
      </c>
      <c r="R77" s="60" t="s">
        <v>331</v>
      </c>
      <c r="S77" s="286" t="str">
        <f t="shared" si="4"/>
        <v>SIM</v>
      </c>
      <c r="T77" s="286" t="str">
        <f>IF($C77= "", T76, IF(ISNA(VLOOKUP($C77,'ABC-S'!$A$5:$A$271,1,FALSE)), "", VLOOKUP($C77,'ABC-S'!$A$5:$A$271,1,FALSE)))</f>
        <v>CP0042</v>
      </c>
      <c r="W77" s="286" t="s">
        <v>3032</v>
      </c>
      <c r="X77" s="286" t="s">
        <v>21</v>
      </c>
      <c r="Y77" s="286" t="s">
        <v>21</v>
      </c>
      <c r="Z77" s="335" t="s">
        <v>21</v>
      </c>
      <c r="AA77" s="286" t="s">
        <v>21</v>
      </c>
      <c r="AB77" s="378"/>
      <c r="AC77" s="381" t="s">
        <v>21</v>
      </c>
      <c r="AD77" s="378" t="s">
        <v>21</v>
      </c>
      <c r="AE77" s="378" t="s">
        <v>21</v>
      </c>
      <c r="AF77" s="378" t="s">
        <v>21</v>
      </c>
      <c r="AG77" s="378"/>
      <c r="AI77" s="378" t="s">
        <v>21</v>
      </c>
      <c r="AJ77" s="378" t="s">
        <v>21</v>
      </c>
      <c r="AL77" s="286">
        <v>94974</v>
      </c>
      <c r="AM77" s="286"/>
    </row>
    <row r="78" spans="1:39" s="51" customFormat="1" ht="33.75" x14ac:dyDescent="0.25">
      <c r="A78" s="59" t="s">
        <v>3032</v>
      </c>
      <c r="B78" s="59" t="s">
        <v>87</v>
      </c>
      <c r="C78" s="248"/>
      <c r="D78" s="59">
        <v>88309</v>
      </c>
      <c r="E78" s="60" t="s">
        <v>617</v>
      </c>
      <c r="F78" s="59" t="s">
        <v>46</v>
      </c>
      <c r="G78" s="61">
        <f>0.0926 * (1 + 30%)</f>
        <v>0.12038</v>
      </c>
      <c r="H78" s="62">
        <v>23.9</v>
      </c>
      <c r="I78" s="62">
        <f>IF($D78="","",G78*H78)</f>
        <v>2.8770819999999997</v>
      </c>
      <c r="J78" s="62"/>
      <c r="K78" s="62">
        <v>2.1403563999999999</v>
      </c>
      <c r="L78" s="62">
        <v>0.73672559999999998</v>
      </c>
      <c r="M78" s="62">
        <v>0</v>
      </c>
      <c r="N78" s="62">
        <v>0</v>
      </c>
      <c r="O78" s="62">
        <v>0</v>
      </c>
      <c r="P78" s="298" t="s">
        <v>4160</v>
      </c>
      <c r="Q78" s="60" t="s">
        <v>27</v>
      </c>
      <c r="R78" s="60" t="s">
        <v>3035</v>
      </c>
      <c r="S78" s="286" t="str">
        <f t="shared" si="4"/>
        <v>SIM</v>
      </c>
      <c r="T78" s="286" t="str">
        <f>IF($C78= "", T77, IF(ISNA(VLOOKUP($C78,'ABC-S'!$A$5:$A$271,1,FALSE)), "", VLOOKUP($C78,'ABC-S'!$A$5:$A$271,1,FALSE)))</f>
        <v>CP0042</v>
      </c>
      <c r="W78" s="286" t="s">
        <v>3032</v>
      </c>
      <c r="X78" s="286">
        <v>88309</v>
      </c>
      <c r="Y78" s="286" t="s">
        <v>424</v>
      </c>
      <c r="Z78" s="335">
        <v>1490</v>
      </c>
      <c r="AA78" s="286">
        <v>0.12038</v>
      </c>
      <c r="AB78" s="378"/>
      <c r="AC78" s="381" t="s">
        <v>21</v>
      </c>
      <c r="AD78" s="378" t="s">
        <v>21</v>
      </c>
      <c r="AE78" s="378" t="s">
        <v>21</v>
      </c>
      <c r="AF78" s="378" t="s">
        <v>21</v>
      </c>
      <c r="AG78" s="378"/>
      <c r="AI78" s="378">
        <v>0</v>
      </c>
      <c r="AJ78" s="378">
        <v>0</v>
      </c>
      <c r="AL78" s="286">
        <v>91596</v>
      </c>
      <c r="AM78" s="286"/>
    </row>
    <row r="79" spans="1:39" s="51" customFormat="1" ht="33.75" x14ac:dyDescent="0.25">
      <c r="A79" s="59" t="s">
        <v>3032</v>
      </c>
      <c r="B79" s="59" t="s">
        <v>87</v>
      </c>
      <c r="C79" s="248"/>
      <c r="D79" s="59">
        <v>88316</v>
      </c>
      <c r="E79" s="60" t="s">
        <v>649</v>
      </c>
      <c r="F79" s="59" t="s">
        <v>46</v>
      </c>
      <c r="G79" s="61">
        <f>0.0926 * (1 + 30%)</f>
        <v>0.12038</v>
      </c>
      <c r="H79" s="62">
        <v>17.61</v>
      </c>
      <c r="I79" s="62">
        <f>IF($D79="","",G79*H79)</f>
        <v>2.1198918</v>
      </c>
      <c r="J79" s="62"/>
      <c r="K79" s="62">
        <v>1.3964079999999999</v>
      </c>
      <c r="L79" s="62">
        <v>0.72348380000000001</v>
      </c>
      <c r="M79" s="62">
        <v>0</v>
      </c>
      <c r="N79" s="62">
        <v>0</v>
      </c>
      <c r="O79" s="62">
        <v>0</v>
      </c>
      <c r="P79" s="298" t="s">
        <v>4160</v>
      </c>
      <c r="Q79" s="60" t="s">
        <v>27</v>
      </c>
      <c r="R79" s="60" t="s">
        <v>3035</v>
      </c>
      <c r="S79" s="286" t="str">
        <f t="shared" si="4"/>
        <v>SIM</v>
      </c>
      <c r="T79" s="286" t="str">
        <f>IF($C79= "", T78, IF(ISNA(VLOOKUP($C79,'ABC-S'!$A$5:$A$271,1,FALSE)), "", VLOOKUP($C79,'ABC-S'!$A$5:$A$271,1,FALSE)))</f>
        <v>CP0042</v>
      </c>
      <c r="W79" s="286" t="s">
        <v>3032</v>
      </c>
      <c r="X79" s="286">
        <v>88316</v>
      </c>
      <c r="Y79" s="286" t="s">
        <v>424</v>
      </c>
      <c r="Z79" s="335">
        <v>1490</v>
      </c>
      <c r="AA79" s="286">
        <v>0.12038</v>
      </c>
      <c r="AB79" s="378"/>
      <c r="AC79" s="381" t="s">
        <v>21</v>
      </c>
      <c r="AD79" s="378" t="s">
        <v>21</v>
      </c>
      <c r="AE79" s="378" t="s">
        <v>21</v>
      </c>
      <c r="AF79" s="378" t="s">
        <v>21</v>
      </c>
      <c r="AG79" s="378"/>
      <c r="AI79" s="378">
        <v>0</v>
      </c>
      <c r="AJ79" s="378">
        <v>0</v>
      </c>
      <c r="AL79" s="286">
        <v>94970</v>
      </c>
      <c r="AM79" s="286"/>
    </row>
    <row r="80" spans="1:39" s="51" customFormat="1" ht="22.5" x14ac:dyDescent="0.25">
      <c r="A80" s="59" t="s">
        <v>3032</v>
      </c>
      <c r="B80" s="59" t="s">
        <v>3027</v>
      </c>
      <c r="C80" s="248"/>
      <c r="D80" s="59"/>
      <c r="E80" s="60" t="s">
        <v>3030</v>
      </c>
      <c r="F80" s="59" t="s">
        <v>23</v>
      </c>
      <c r="G80" s="61">
        <f>(G76 * (22.4 / 500 / 1000)) + (G77 / 1000)</f>
        <v>7.7620691794012689E-4</v>
      </c>
      <c r="H80" s="62"/>
      <c r="I80" s="62"/>
      <c r="J80" s="62"/>
      <c r="K80" s="62"/>
      <c r="L80" s="62"/>
      <c r="M80" s="62"/>
      <c r="N80" s="62"/>
      <c r="O80" s="62"/>
      <c r="P80" s="298"/>
      <c r="Q80" s="60" t="s">
        <v>27</v>
      </c>
      <c r="R80" s="60" t="s">
        <v>3029</v>
      </c>
      <c r="S80" s="286" t="str">
        <f t="shared" si="4"/>
        <v>SIM</v>
      </c>
      <c r="T80" s="286" t="str">
        <f>IF($C80= "", T79, IF(ISNA(VLOOKUP($C80,'ABC-S'!$A$5:$A$271,1,FALSE)), "", VLOOKUP($C80,'ABC-S'!$A$5:$A$271,1,FALSE)))</f>
        <v>CP0042</v>
      </c>
      <c r="W80" s="286" t="s">
        <v>3032</v>
      </c>
      <c r="X80" s="286" t="s">
        <v>21</v>
      </c>
      <c r="Y80" s="286" t="s">
        <v>21</v>
      </c>
      <c r="Z80" s="335" t="s">
        <v>21</v>
      </c>
      <c r="AA80" s="286" t="s">
        <v>21</v>
      </c>
      <c r="AB80" s="378"/>
      <c r="AC80" s="381" t="s">
        <v>21</v>
      </c>
      <c r="AD80" s="378" t="s">
        <v>21</v>
      </c>
      <c r="AE80" s="378" t="s">
        <v>21</v>
      </c>
      <c r="AF80" s="378" t="s">
        <v>21</v>
      </c>
      <c r="AG80" s="378"/>
      <c r="AI80" s="378" t="s">
        <v>21</v>
      </c>
      <c r="AJ80" s="378" t="s">
        <v>21</v>
      </c>
      <c r="AL80" s="286">
        <v>84665</v>
      </c>
      <c r="AM80" s="286"/>
    </row>
    <row r="81" spans="1:39" s="51" customFormat="1" ht="33.75" hidden="1" x14ac:dyDescent="0.25">
      <c r="A81" s="55" t="s">
        <v>1036</v>
      </c>
      <c r="B81" s="55" t="s">
        <v>138</v>
      </c>
      <c r="C81" s="55" t="s">
        <v>1036</v>
      </c>
      <c r="D81" s="55"/>
      <c r="E81" s="56" t="s">
        <v>124</v>
      </c>
      <c r="F81" s="55" t="s">
        <v>205</v>
      </c>
      <c r="G81" s="57"/>
      <c r="H81" s="58"/>
      <c r="I81" s="58"/>
      <c r="J81" s="58">
        <f>SUM(I81:I82)</f>
        <v>585</v>
      </c>
      <c r="K81" s="58">
        <v>0</v>
      </c>
      <c r="L81" s="58">
        <v>585</v>
      </c>
      <c r="M81" s="58">
        <v>0</v>
      </c>
      <c r="N81" s="58">
        <v>0</v>
      </c>
      <c r="O81" s="58">
        <v>0</v>
      </c>
      <c r="P81" s="58"/>
      <c r="Q81" s="56"/>
      <c r="R81" s="56" t="s">
        <v>1037</v>
      </c>
      <c r="S81" s="286" t="str">
        <f t="shared" si="4"/>
        <v/>
      </c>
      <c r="T81" s="286" t="str">
        <f>IF($C81= "", T80, IF(ISNA(VLOOKUP($C81,'ABC-S'!$A$5:$A$271,1,FALSE)), "", VLOOKUP($C81,'ABC-S'!$A$5:$A$271,1,FALSE)))</f>
        <v/>
      </c>
      <c r="W81" s="286" t="s">
        <v>1036</v>
      </c>
      <c r="X81" s="286"/>
      <c r="Y81" s="286"/>
      <c r="Z81" s="286"/>
      <c r="AA81" s="286" t="s">
        <v>21</v>
      </c>
      <c r="AB81" s="378">
        <v>0</v>
      </c>
      <c r="AC81" s="378"/>
      <c r="AD81" s="335"/>
      <c r="AE81" s="335"/>
      <c r="AF81" s="335"/>
      <c r="AG81" s="378">
        <v>0</v>
      </c>
      <c r="AI81" s="378" t="s">
        <v>21</v>
      </c>
      <c r="AJ81" s="378" t="s">
        <v>21</v>
      </c>
      <c r="AL81" s="286"/>
      <c r="AM81" s="286"/>
    </row>
    <row r="82" spans="1:39" s="51" customFormat="1" ht="33.75" hidden="1" x14ac:dyDescent="0.25">
      <c r="A82" s="59" t="s">
        <v>1036</v>
      </c>
      <c r="B82" s="59" t="s">
        <v>86</v>
      </c>
      <c r="C82" s="248"/>
      <c r="D82" s="59">
        <v>10775</v>
      </c>
      <c r="E82" s="60" t="s">
        <v>124</v>
      </c>
      <c r="F82" s="59" t="s">
        <v>3671</v>
      </c>
      <c r="G82" s="61">
        <v>1</v>
      </c>
      <c r="H82" s="62">
        <v>585</v>
      </c>
      <c r="I82" s="62">
        <f>IF($D82="","",G82*H82)</f>
        <v>585</v>
      </c>
      <c r="J82" s="62"/>
      <c r="K82" s="62">
        <v>0</v>
      </c>
      <c r="L82" s="62">
        <v>585</v>
      </c>
      <c r="M82" s="62">
        <v>0</v>
      </c>
      <c r="N82" s="62">
        <v>0</v>
      </c>
      <c r="O82" s="62">
        <v>0</v>
      </c>
      <c r="P82" s="298" t="s">
        <v>89</v>
      </c>
      <c r="Q82" s="60" t="s">
        <v>27</v>
      </c>
      <c r="R82" s="60" t="s">
        <v>27</v>
      </c>
      <c r="S82" s="286" t="str">
        <f t="shared" si="4"/>
        <v/>
      </c>
      <c r="T82" s="286" t="str">
        <f>IF($C82= "", T81, IF(ISNA(VLOOKUP($C82,'ABC-S'!$A$5:$A$271,1,FALSE)), "", VLOOKUP($C82,'ABC-S'!$A$5:$A$271,1,FALSE)))</f>
        <v/>
      </c>
      <c r="W82" s="286" t="s">
        <v>1036</v>
      </c>
      <c r="X82" s="286" t="s">
        <v>21</v>
      </c>
      <c r="Y82" s="286" t="s">
        <v>21</v>
      </c>
      <c r="Z82" s="286" t="s">
        <v>21</v>
      </c>
      <c r="AA82" s="286" t="s">
        <v>21</v>
      </c>
      <c r="AB82" s="378"/>
      <c r="AC82" s="381" t="s">
        <v>21</v>
      </c>
      <c r="AD82" s="378" t="s">
        <v>21</v>
      </c>
      <c r="AE82" s="378" t="s">
        <v>21</v>
      </c>
      <c r="AF82" s="378" t="s">
        <v>21</v>
      </c>
      <c r="AG82" s="378"/>
      <c r="AI82" s="378" t="s">
        <v>21</v>
      </c>
      <c r="AJ82" s="378" t="s">
        <v>21</v>
      </c>
      <c r="AL82" s="286"/>
      <c r="AM82" s="286">
        <v>10775</v>
      </c>
    </row>
    <row r="83" spans="1:39" s="51" customFormat="1" ht="33.75" hidden="1" x14ac:dyDescent="0.25">
      <c r="A83" s="55" t="s">
        <v>1038</v>
      </c>
      <c r="B83" s="55" t="s">
        <v>138</v>
      </c>
      <c r="C83" s="55" t="s">
        <v>1038</v>
      </c>
      <c r="D83" s="55"/>
      <c r="E83" s="56" t="s">
        <v>207</v>
      </c>
      <c r="F83" s="55" t="s">
        <v>205</v>
      </c>
      <c r="G83" s="57"/>
      <c r="H83" s="58"/>
      <c r="I83" s="58"/>
      <c r="J83" s="58">
        <f>SUM(I83:I84)</f>
        <v>585</v>
      </c>
      <c r="K83" s="58">
        <v>0</v>
      </c>
      <c r="L83" s="58">
        <v>585</v>
      </c>
      <c r="M83" s="58">
        <v>0</v>
      </c>
      <c r="N83" s="58">
        <v>0</v>
      </c>
      <c r="O83" s="58">
        <v>0</v>
      </c>
      <c r="P83" s="58"/>
      <c r="Q83" s="56"/>
      <c r="R83" s="56" t="s">
        <v>1037</v>
      </c>
      <c r="S83" s="286" t="str">
        <f t="shared" si="4"/>
        <v/>
      </c>
      <c r="T83" s="286" t="str">
        <f>IF($C83= "", T82, IF(ISNA(VLOOKUP($C83,'ABC-S'!$A$5:$A$271,1,FALSE)), "", VLOOKUP($C83,'ABC-S'!$A$5:$A$271,1,FALSE)))</f>
        <v/>
      </c>
      <c r="W83" s="286" t="s">
        <v>1038</v>
      </c>
      <c r="X83" s="286"/>
      <c r="Y83" s="286"/>
      <c r="Z83" s="286"/>
      <c r="AA83" s="286" t="s">
        <v>21</v>
      </c>
      <c r="AB83" s="378">
        <v>0</v>
      </c>
      <c r="AC83" s="378"/>
      <c r="AD83" s="335"/>
      <c r="AE83" s="335"/>
      <c r="AF83" s="335"/>
      <c r="AG83" s="378">
        <v>0</v>
      </c>
      <c r="AI83" s="378" t="s">
        <v>21</v>
      </c>
      <c r="AJ83" s="378" t="s">
        <v>21</v>
      </c>
      <c r="AL83" s="286"/>
      <c r="AM83" s="286"/>
    </row>
    <row r="84" spans="1:39" s="51" customFormat="1" ht="33.75" hidden="1" x14ac:dyDescent="0.25">
      <c r="A84" s="59" t="s">
        <v>1038</v>
      </c>
      <c r="B84" s="59" t="s">
        <v>86</v>
      </c>
      <c r="C84" s="248"/>
      <c r="D84" s="59">
        <v>10775</v>
      </c>
      <c r="E84" s="60" t="s">
        <v>124</v>
      </c>
      <c r="F84" s="59" t="s">
        <v>3671</v>
      </c>
      <c r="G84" s="61">
        <v>1</v>
      </c>
      <c r="H84" s="62">
        <v>585</v>
      </c>
      <c r="I84" s="62">
        <f>IF($D84="","",G84*H84)</f>
        <v>585</v>
      </c>
      <c r="J84" s="62"/>
      <c r="K84" s="62">
        <v>0</v>
      </c>
      <c r="L84" s="62">
        <v>585</v>
      </c>
      <c r="M84" s="62">
        <v>0</v>
      </c>
      <c r="N84" s="62">
        <v>0</v>
      </c>
      <c r="O84" s="62">
        <v>0</v>
      </c>
      <c r="P84" s="298" t="s">
        <v>89</v>
      </c>
      <c r="Q84" s="60" t="s">
        <v>27</v>
      </c>
      <c r="R84" s="60" t="s">
        <v>27</v>
      </c>
      <c r="S84" s="286" t="str">
        <f t="shared" si="4"/>
        <v/>
      </c>
      <c r="T84" s="286" t="str">
        <f>IF($C84= "", T83, IF(ISNA(VLOOKUP($C84,'ABC-S'!$A$5:$A$271,1,FALSE)), "", VLOOKUP($C84,'ABC-S'!$A$5:$A$271,1,FALSE)))</f>
        <v/>
      </c>
      <c r="W84" s="286" t="s">
        <v>1038</v>
      </c>
      <c r="X84" s="286" t="s">
        <v>21</v>
      </c>
      <c r="Y84" s="286" t="s">
        <v>21</v>
      </c>
      <c r="Z84" s="286" t="s">
        <v>21</v>
      </c>
      <c r="AA84" s="286" t="s">
        <v>21</v>
      </c>
      <c r="AB84" s="378"/>
      <c r="AC84" s="381" t="s">
        <v>21</v>
      </c>
      <c r="AD84" s="378" t="s">
        <v>21</v>
      </c>
      <c r="AE84" s="378" t="s">
        <v>21</v>
      </c>
      <c r="AF84" s="378" t="s">
        <v>21</v>
      </c>
      <c r="AG84" s="378"/>
      <c r="AI84" s="378" t="s">
        <v>21</v>
      </c>
      <c r="AJ84" s="378" t="s">
        <v>21</v>
      </c>
      <c r="AL84" s="286"/>
      <c r="AM84" s="286">
        <v>10775</v>
      </c>
    </row>
    <row r="85" spans="1:39" s="51" customFormat="1" ht="33.75" hidden="1" x14ac:dyDescent="0.25">
      <c r="A85" s="55" t="s">
        <v>1039</v>
      </c>
      <c r="B85" s="55" t="s">
        <v>138</v>
      </c>
      <c r="C85" s="55" t="s">
        <v>1039</v>
      </c>
      <c r="D85" s="55"/>
      <c r="E85" s="56" t="s">
        <v>206</v>
      </c>
      <c r="F85" s="55" t="s">
        <v>205</v>
      </c>
      <c r="G85" s="57"/>
      <c r="H85" s="58"/>
      <c r="I85" s="58"/>
      <c r="J85" s="58">
        <f>SUM(I85:I86)</f>
        <v>457.03</v>
      </c>
      <c r="K85" s="58">
        <v>0</v>
      </c>
      <c r="L85" s="58">
        <v>457.03</v>
      </c>
      <c r="M85" s="58">
        <v>0</v>
      </c>
      <c r="N85" s="58">
        <v>0</v>
      </c>
      <c r="O85" s="58">
        <v>0</v>
      </c>
      <c r="P85" s="58"/>
      <c r="Q85" s="56"/>
      <c r="R85" s="56" t="s">
        <v>1037</v>
      </c>
      <c r="S85" s="286" t="str">
        <f t="shared" si="4"/>
        <v/>
      </c>
      <c r="T85" s="286" t="str">
        <f>IF($C85= "", T84, IF(ISNA(VLOOKUP($C85,'ABC-S'!$A$5:$A$271,1,FALSE)), "", VLOOKUP($C85,'ABC-S'!$A$5:$A$271,1,FALSE)))</f>
        <v/>
      </c>
      <c r="W85" s="286" t="s">
        <v>1039</v>
      </c>
      <c r="X85" s="286"/>
      <c r="Y85" s="286"/>
      <c r="Z85" s="286"/>
      <c r="AA85" s="286" t="s">
        <v>21</v>
      </c>
      <c r="AB85" s="378">
        <v>0</v>
      </c>
      <c r="AC85" s="378"/>
      <c r="AD85" s="335"/>
      <c r="AE85" s="335"/>
      <c r="AF85" s="335"/>
      <c r="AG85" s="378">
        <v>0</v>
      </c>
      <c r="AI85" s="378" t="s">
        <v>21</v>
      </c>
      <c r="AJ85" s="378" t="s">
        <v>21</v>
      </c>
      <c r="AL85" s="286"/>
      <c r="AM85" s="286"/>
    </row>
    <row r="86" spans="1:39" s="51" customFormat="1" ht="33.75" hidden="1" x14ac:dyDescent="0.25">
      <c r="A86" s="59" t="s">
        <v>1039</v>
      </c>
      <c r="B86" s="59" t="s">
        <v>86</v>
      </c>
      <c r="C86" s="248"/>
      <c r="D86" s="59">
        <v>10776</v>
      </c>
      <c r="E86" s="60" t="s">
        <v>123</v>
      </c>
      <c r="F86" s="59" t="s">
        <v>3671</v>
      </c>
      <c r="G86" s="61">
        <v>1</v>
      </c>
      <c r="H86" s="62">
        <v>457.03</v>
      </c>
      <c r="I86" s="62">
        <f>IF($D86="","",G86*H86)</f>
        <v>457.03</v>
      </c>
      <c r="J86" s="62"/>
      <c r="K86" s="62">
        <v>0</v>
      </c>
      <c r="L86" s="62">
        <v>457.03</v>
      </c>
      <c r="M86" s="62">
        <v>0</v>
      </c>
      <c r="N86" s="62">
        <v>0</v>
      </c>
      <c r="O86" s="62">
        <v>0</v>
      </c>
      <c r="P86" s="298" t="s">
        <v>89</v>
      </c>
      <c r="Q86" s="60" t="s">
        <v>27</v>
      </c>
      <c r="R86" s="60" t="s">
        <v>27</v>
      </c>
      <c r="S86" s="286" t="str">
        <f t="shared" si="4"/>
        <v/>
      </c>
      <c r="T86" s="286" t="str">
        <f>IF($C86= "", T85, IF(ISNA(VLOOKUP($C86,'ABC-S'!$A$5:$A$271,1,FALSE)), "", VLOOKUP($C86,'ABC-S'!$A$5:$A$271,1,FALSE)))</f>
        <v/>
      </c>
      <c r="W86" s="286" t="s">
        <v>1039</v>
      </c>
      <c r="X86" s="286" t="s">
        <v>21</v>
      </c>
      <c r="Y86" s="286" t="s">
        <v>21</v>
      </c>
      <c r="Z86" s="286" t="s">
        <v>21</v>
      </c>
      <c r="AA86" s="286" t="s">
        <v>21</v>
      </c>
      <c r="AB86" s="378"/>
      <c r="AC86" s="381" t="s">
        <v>21</v>
      </c>
      <c r="AD86" s="378" t="s">
        <v>21</v>
      </c>
      <c r="AE86" s="378" t="s">
        <v>21</v>
      </c>
      <c r="AF86" s="378" t="s">
        <v>21</v>
      </c>
      <c r="AG86" s="378"/>
      <c r="AI86" s="378" t="s">
        <v>21</v>
      </c>
      <c r="AJ86" s="378" t="s">
        <v>21</v>
      </c>
      <c r="AL86" s="286"/>
      <c r="AM86" s="286">
        <v>10776</v>
      </c>
    </row>
    <row r="87" spans="1:39" s="51" customFormat="1" ht="33.75" hidden="1" x14ac:dyDescent="0.25">
      <c r="A87" s="55" t="s">
        <v>1040</v>
      </c>
      <c r="B87" s="55" t="s">
        <v>138</v>
      </c>
      <c r="C87" s="55" t="s">
        <v>1040</v>
      </c>
      <c r="D87" s="55"/>
      <c r="E87" s="56" t="s">
        <v>206</v>
      </c>
      <c r="F87" s="55" t="s">
        <v>205</v>
      </c>
      <c r="G87" s="57"/>
      <c r="H87" s="58"/>
      <c r="I87" s="58"/>
      <c r="J87" s="58">
        <f>SUM(I87:I88)</f>
        <v>457.03</v>
      </c>
      <c r="K87" s="58">
        <v>0</v>
      </c>
      <c r="L87" s="58">
        <v>457.03</v>
      </c>
      <c r="M87" s="58">
        <v>0</v>
      </c>
      <c r="N87" s="58">
        <v>0</v>
      </c>
      <c r="O87" s="58">
        <v>0</v>
      </c>
      <c r="P87" s="58"/>
      <c r="Q87" s="56"/>
      <c r="R87" s="56" t="s">
        <v>1037</v>
      </c>
      <c r="S87" s="286" t="str">
        <f t="shared" si="4"/>
        <v/>
      </c>
      <c r="T87" s="286" t="str">
        <f>IF($C87= "", T86, IF(ISNA(VLOOKUP($C87,'ABC-S'!$A$5:$A$271,1,FALSE)), "", VLOOKUP($C87,'ABC-S'!$A$5:$A$271,1,FALSE)))</f>
        <v/>
      </c>
      <c r="W87" s="286" t="s">
        <v>1040</v>
      </c>
      <c r="X87" s="286"/>
      <c r="Y87" s="286"/>
      <c r="Z87" s="286"/>
      <c r="AA87" s="286" t="s">
        <v>21</v>
      </c>
      <c r="AB87" s="378">
        <v>0</v>
      </c>
      <c r="AC87" s="378"/>
      <c r="AD87" s="335"/>
      <c r="AE87" s="335"/>
      <c r="AF87" s="335"/>
      <c r="AG87" s="378">
        <v>0</v>
      </c>
      <c r="AI87" s="378" t="s">
        <v>21</v>
      </c>
      <c r="AJ87" s="378" t="s">
        <v>21</v>
      </c>
      <c r="AL87" s="286"/>
      <c r="AM87" s="286"/>
    </row>
    <row r="88" spans="1:39" s="51" customFormat="1" ht="33.75" hidden="1" x14ac:dyDescent="0.25">
      <c r="A88" s="59" t="s">
        <v>1040</v>
      </c>
      <c r="B88" s="59" t="s">
        <v>86</v>
      </c>
      <c r="C88" s="248"/>
      <c r="D88" s="59">
        <v>10776</v>
      </c>
      <c r="E88" s="60" t="s">
        <v>123</v>
      </c>
      <c r="F88" s="59" t="s">
        <v>3671</v>
      </c>
      <c r="G88" s="61">
        <v>1</v>
      </c>
      <c r="H88" s="62">
        <v>457.03</v>
      </c>
      <c r="I88" s="62">
        <f>IF($D88="","",G88*H88)</f>
        <v>457.03</v>
      </c>
      <c r="J88" s="62"/>
      <c r="K88" s="62">
        <v>0</v>
      </c>
      <c r="L88" s="62">
        <v>457.03</v>
      </c>
      <c r="M88" s="62">
        <v>0</v>
      </c>
      <c r="N88" s="62">
        <v>0</v>
      </c>
      <c r="O88" s="62">
        <v>0</v>
      </c>
      <c r="P88" s="298" t="s">
        <v>89</v>
      </c>
      <c r="Q88" s="60" t="s">
        <v>27</v>
      </c>
      <c r="R88" s="60" t="s">
        <v>27</v>
      </c>
      <c r="S88" s="286" t="str">
        <f t="shared" si="4"/>
        <v/>
      </c>
      <c r="T88" s="286" t="str">
        <f>IF($C88= "", T87, IF(ISNA(VLOOKUP($C88,'ABC-S'!$A$5:$A$271,1,FALSE)), "", VLOOKUP($C88,'ABC-S'!$A$5:$A$271,1,FALSE)))</f>
        <v/>
      </c>
      <c r="W88" s="286" t="s">
        <v>1040</v>
      </c>
      <c r="X88" s="286" t="s">
        <v>21</v>
      </c>
      <c r="Y88" s="286" t="s">
        <v>21</v>
      </c>
      <c r="Z88" s="286" t="s">
        <v>21</v>
      </c>
      <c r="AA88" s="286" t="s">
        <v>21</v>
      </c>
      <c r="AB88" s="378"/>
      <c r="AC88" s="381" t="s">
        <v>21</v>
      </c>
      <c r="AD88" s="378" t="s">
        <v>21</v>
      </c>
      <c r="AE88" s="378" t="s">
        <v>21</v>
      </c>
      <c r="AF88" s="378" t="s">
        <v>21</v>
      </c>
      <c r="AG88" s="378"/>
      <c r="AI88" s="378" t="s">
        <v>21</v>
      </c>
      <c r="AJ88" s="378" t="s">
        <v>21</v>
      </c>
      <c r="AL88" s="286"/>
      <c r="AM88" s="286">
        <v>10776</v>
      </c>
    </row>
    <row r="89" spans="1:39" s="51" customFormat="1" ht="22.5" hidden="1" x14ac:dyDescent="0.25">
      <c r="A89" s="55" t="s">
        <v>1041</v>
      </c>
      <c r="B89" s="55" t="s">
        <v>38</v>
      </c>
      <c r="C89" s="55" t="s">
        <v>1041</v>
      </c>
      <c r="D89" s="55"/>
      <c r="E89" s="56" t="s">
        <v>1042</v>
      </c>
      <c r="F89" s="55" t="s">
        <v>44</v>
      </c>
      <c r="G89" s="57"/>
      <c r="H89" s="58"/>
      <c r="I89" s="58"/>
      <c r="J89" s="58">
        <f>SUM(I89:I91)</f>
        <v>134.48436000000001</v>
      </c>
      <c r="K89" s="58">
        <v>102.7756</v>
      </c>
      <c r="L89" s="58">
        <v>31.708759999999998</v>
      </c>
      <c r="M89" s="58">
        <v>0</v>
      </c>
      <c r="N89" s="58">
        <v>0</v>
      </c>
      <c r="O89" s="58">
        <v>0</v>
      </c>
      <c r="P89" s="58"/>
      <c r="Q89" s="56"/>
      <c r="R89" s="56" t="s">
        <v>1043</v>
      </c>
      <c r="S89" s="286" t="str">
        <f t="shared" si="4"/>
        <v/>
      </c>
      <c r="T89" s="286" t="str">
        <f>IF($C89= "", T88, IF(ISNA(VLOOKUP($C89,'ABC-S'!$A$5:$A$271,1,FALSE)), "", VLOOKUP($C89,'ABC-S'!$A$5:$A$271,1,FALSE)))</f>
        <v/>
      </c>
      <c r="W89" s="286" t="s">
        <v>1041</v>
      </c>
      <c r="X89" s="286"/>
      <c r="Y89" s="286"/>
      <c r="Z89" s="286"/>
      <c r="AA89" s="286" t="s">
        <v>21</v>
      </c>
      <c r="AB89" s="378">
        <v>5.2759999999999998</v>
      </c>
      <c r="AC89" s="378"/>
      <c r="AD89" s="335"/>
      <c r="AE89" s="335"/>
      <c r="AF89" s="335"/>
      <c r="AG89" s="378">
        <v>5.2759999999999998</v>
      </c>
      <c r="AI89" s="378" t="s">
        <v>21</v>
      </c>
      <c r="AJ89" s="378" t="s">
        <v>21</v>
      </c>
      <c r="AL89" s="286"/>
      <c r="AM89" s="286"/>
    </row>
    <row r="90" spans="1:39" s="51" customFormat="1" ht="22.5" hidden="1" x14ac:dyDescent="0.25">
      <c r="A90" s="59" t="s">
        <v>1041</v>
      </c>
      <c r="B90" s="59" t="s">
        <v>86</v>
      </c>
      <c r="C90" s="59"/>
      <c r="D90" s="59">
        <v>2711</v>
      </c>
      <c r="E90" s="60" t="s">
        <v>91</v>
      </c>
      <c r="F90" s="59" t="s">
        <v>3666</v>
      </c>
      <c r="G90" s="61">
        <v>0.26</v>
      </c>
      <c r="H90" s="62">
        <v>159.9</v>
      </c>
      <c r="I90" s="62">
        <f>IF($D90="","",G90*H90)</f>
        <v>41.574000000000005</v>
      </c>
      <c r="J90" s="62"/>
      <c r="K90" s="62">
        <v>41.574000000000005</v>
      </c>
      <c r="L90" s="62">
        <v>0</v>
      </c>
      <c r="M90" s="62">
        <v>0</v>
      </c>
      <c r="N90" s="62">
        <v>0</v>
      </c>
      <c r="O90" s="62">
        <v>0</v>
      </c>
      <c r="P90" s="298" t="s">
        <v>424</v>
      </c>
      <c r="Q90" s="60" t="s">
        <v>27</v>
      </c>
      <c r="R90" s="60" t="s">
        <v>174</v>
      </c>
      <c r="S90" s="286" t="str">
        <f t="shared" si="4"/>
        <v/>
      </c>
      <c r="T90" s="286" t="str">
        <f>IF($C90= "", T89, IF(ISNA(VLOOKUP($C90,'ABC-S'!$A$5:$A$271,1,FALSE)), "", VLOOKUP($C90,'ABC-S'!$A$5:$A$271,1,FALSE)))</f>
        <v/>
      </c>
      <c r="W90" s="286" t="s">
        <v>1041</v>
      </c>
      <c r="X90" s="286" t="s">
        <v>21</v>
      </c>
      <c r="Y90" s="286" t="s">
        <v>21</v>
      </c>
      <c r="Z90" s="286" t="s">
        <v>21</v>
      </c>
      <c r="AA90" s="286" t="s">
        <v>21</v>
      </c>
      <c r="AB90" s="378"/>
      <c r="AC90" s="381" t="s">
        <v>21</v>
      </c>
      <c r="AD90" s="378" t="s">
        <v>21</v>
      </c>
      <c r="AE90" s="378" t="s">
        <v>21</v>
      </c>
      <c r="AF90" s="378" t="s">
        <v>21</v>
      </c>
      <c r="AG90" s="378"/>
      <c r="AI90" s="378" t="s">
        <v>21</v>
      </c>
      <c r="AJ90" s="378" t="s">
        <v>21</v>
      </c>
      <c r="AL90" s="286"/>
      <c r="AM90" s="286">
        <v>2711</v>
      </c>
    </row>
    <row r="91" spans="1:39" s="51" customFormat="1" hidden="1" x14ac:dyDescent="0.25">
      <c r="A91" s="59" t="s">
        <v>1041</v>
      </c>
      <c r="B91" s="59" t="s">
        <v>87</v>
      </c>
      <c r="C91" s="248"/>
      <c r="D91" s="59">
        <v>88316</v>
      </c>
      <c r="E91" s="60" t="s">
        <v>649</v>
      </c>
      <c r="F91" s="59" t="s">
        <v>46</v>
      </c>
      <c r="G91" s="61">
        <v>5.2759999999999998</v>
      </c>
      <c r="H91" s="62">
        <v>17.61</v>
      </c>
      <c r="I91" s="62">
        <f>IF($D91="","",G91*H91)</f>
        <v>92.910359999999997</v>
      </c>
      <c r="J91" s="62"/>
      <c r="K91" s="62">
        <v>61.201599999999999</v>
      </c>
      <c r="L91" s="62">
        <v>31.708759999999998</v>
      </c>
      <c r="M91" s="62">
        <v>0</v>
      </c>
      <c r="N91" s="62">
        <v>0</v>
      </c>
      <c r="O91" s="62">
        <v>0</v>
      </c>
      <c r="P91" s="298" t="s">
        <v>4160</v>
      </c>
      <c r="Q91" s="60" t="s">
        <v>27</v>
      </c>
      <c r="R91" s="60" t="s">
        <v>174</v>
      </c>
      <c r="S91" s="286" t="str">
        <f t="shared" si="4"/>
        <v/>
      </c>
      <c r="T91" s="286" t="str">
        <f>IF($C91= "", T90, IF(ISNA(VLOOKUP($C91,'ABC-S'!$A$5:$A$271,1,FALSE)), "", VLOOKUP($C91,'ABC-S'!$A$5:$A$271,1,FALSE)))</f>
        <v/>
      </c>
      <c r="W91" s="286" t="s">
        <v>1041</v>
      </c>
      <c r="X91" s="286">
        <v>88316</v>
      </c>
      <c r="Y91" s="286" t="s">
        <v>424</v>
      </c>
      <c r="Z91" s="335">
        <v>0</v>
      </c>
      <c r="AA91" s="286">
        <v>5.2759999999999998</v>
      </c>
      <c r="AB91" s="378"/>
      <c r="AC91" s="381" t="s">
        <v>21</v>
      </c>
      <c r="AD91" s="378" t="s">
        <v>21</v>
      </c>
      <c r="AE91" s="378" t="s">
        <v>21</v>
      </c>
      <c r="AF91" s="378" t="s">
        <v>21</v>
      </c>
      <c r="AG91" s="378"/>
      <c r="AI91" s="378">
        <v>0</v>
      </c>
      <c r="AJ91" s="378">
        <v>0</v>
      </c>
      <c r="AL91" s="286">
        <v>88316</v>
      </c>
      <c r="AM91" s="286"/>
    </row>
    <row r="92" spans="1:39" s="51" customFormat="1" ht="33.75" hidden="1" x14ac:dyDescent="0.25">
      <c r="A92" s="55" t="s">
        <v>1044</v>
      </c>
      <c r="B92" s="55" t="s">
        <v>138</v>
      </c>
      <c r="C92" s="55" t="s">
        <v>1044</v>
      </c>
      <c r="D92" s="55"/>
      <c r="E92" s="56" t="s">
        <v>1045</v>
      </c>
      <c r="F92" s="55" t="s">
        <v>205</v>
      </c>
      <c r="G92" s="57"/>
      <c r="H92" s="58"/>
      <c r="I92" s="58"/>
      <c r="J92" s="58">
        <f>SUM(I92:I93)</f>
        <v>457.03</v>
      </c>
      <c r="K92" s="58">
        <v>0</v>
      </c>
      <c r="L92" s="58">
        <v>457.03</v>
      </c>
      <c r="M92" s="58">
        <v>0</v>
      </c>
      <c r="N92" s="58">
        <v>0</v>
      </c>
      <c r="O92" s="58">
        <v>0</v>
      </c>
      <c r="P92" s="58"/>
      <c r="Q92" s="56"/>
      <c r="R92" s="56" t="s">
        <v>1037</v>
      </c>
      <c r="S92" s="286" t="str">
        <f t="shared" si="4"/>
        <v/>
      </c>
      <c r="T92" s="286" t="str">
        <f>IF($C92= "", T91, IF(ISNA(VLOOKUP($C92,'ABC-S'!$A$5:$A$271,1,FALSE)), "", VLOOKUP($C92,'ABC-S'!$A$5:$A$271,1,FALSE)))</f>
        <v/>
      </c>
      <c r="W92" s="286" t="s">
        <v>1044</v>
      </c>
      <c r="X92" s="286"/>
      <c r="Y92" s="286"/>
      <c r="Z92" s="286"/>
      <c r="AA92" s="286" t="s">
        <v>21</v>
      </c>
      <c r="AB92" s="378">
        <v>0</v>
      </c>
      <c r="AC92" s="378"/>
      <c r="AD92" s="335"/>
      <c r="AE92" s="335"/>
      <c r="AF92" s="335"/>
      <c r="AG92" s="378">
        <v>0</v>
      </c>
      <c r="AI92" s="378" t="s">
        <v>21</v>
      </c>
      <c r="AJ92" s="378" t="s">
        <v>21</v>
      </c>
      <c r="AL92" s="286"/>
      <c r="AM92" s="286"/>
    </row>
    <row r="93" spans="1:39" s="51" customFormat="1" ht="33.75" hidden="1" x14ac:dyDescent="0.25">
      <c r="A93" s="59" t="s">
        <v>1044</v>
      </c>
      <c r="B93" s="59" t="s">
        <v>86</v>
      </c>
      <c r="C93" s="248"/>
      <c r="D93" s="59">
        <v>10776</v>
      </c>
      <c r="E93" s="60" t="s">
        <v>123</v>
      </c>
      <c r="F93" s="59" t="s">
        <v>3671</v>
      </c>
      <c r="G93" s="61">
        <v>1</v>
      </c>
      <c r="H93" s="62">
        <v>457.03</v>
      </c>
      <c r="I93" s="62">
        <f>IF($D93="","",G93*H93)</f>
        <v>457.03</v>
      </c>
      <c r="J93" s="62"/>
      <c r="K93" s="62">
        <v>0</v>
      </c>
      <c r="L93" s="62">
        <v>457.03</v>
      </c>
      <c r="M93" s="62">
        <v>0</v>
      </c>
      <c r="N93" s="62">
        <v>0</v>
      </c>
      <c r="O93" s="62">
        <v>0</v>
      </c>
      <c r="P93" s="298" t="s">
        <v>89</v>
      </c>
      <c r="Q93" s="60" t="s">
        <v>27</v>
      </c>
      <c r="R93" s="60" t="s">
        <v>27</v>
      </c>
      <c r="S93" s="286" t="str">
        <f t="shared" si="4"/>
        <v/>
      </c>
      <c r="T93" s="286" t="str">
        <f>IF($C93= "", T92, IF(ISNA(VLOOKUP($C93,'ABC-S'!$A$5:$A$271,1,FALSE)), "", VLOOKUP($C93,'ABC-S'!$A$5:$A$271,1,FALSE)))</f>
        <v/>
      </c>
      <c r="W93" s="286" t="s">
        <v>1044</v>
      </c>
      <c r="X93" s="286" t="s">
        <v>21</v>
      </c>
      <c r="Y93" s="286" t="s">
        <v>21</v>
      </c>
      <c r="Z93" s="286" t="s">
        <v>21</v>
      </c>
      <c r="AA93" s="286" t="s">
        <v>21</v>
      </c>
      <c r="AB93" s="378"/>
      <c r="AC93" s="381" t="s">
        <v>21</v>
      </c>
      <c r="AD93" s="378" t="s">
        <v>21</v>
      </c>
      <c r="AE93" s="378" t="s">
        <v>21</v>
      </c>
      <c r="AF93" s="378" t="s">
        <v>21</v>
      </c>
      <c r="AG93" s="378"/>
      <c r="AI93" s="378" t="s">
        <v>21</v>
      </c>
      <c r="AJ93" s="378" t="s">
        <v>21</v>
      </c>
      <c r="AL93" s="286"/>
      <c r="AM93" s="286">
        <v>10776</v>
      </c>
    </row>
    <row r="94" spans="1:39" s="51" customFormat="1" ht="22.5" hidden="1" x14ac:dyDescent="0.25">
      <c r="A94" s="55" t="s">
        <v>1046</v>
      </c>
      <c r="B94" s="55" t="s">
        <v>138</v>
      </c>
      <c r="C94" s="55" t="s">
        <v>1046</v>
      </c>
      <c r="D94" s="55"/>
      <c r="E94" s="56" t="s">
        <v>1047</v>
      </c>
      <c r="F94" s="55" t="s">
        <v>205</v>
      </c>
      <c r="G94" s="57"/>
      <c r="H94" s="58"/>
      <c r="I94" s="58"/>
      <c r="J94" s="58">
        <f>SUM(I94:I95)</f>
        <v>664.21</v>
      </c>
      <c r="K94" s="58">
        <v>0</v>
      </c>
      <c r="L94" s="58">
        <v>664.21</v>
      </c>
      <c r="M94" s="58">
        <v>0</v>
      </c>
      <c r="N94" s="58">
        <v>0</v>
      </c>
      <c r="O94" s="58">
        <v>0</v>
      </c>
      <c r="P94" s="58"/>
      <c r="Q94" s="56"/>
      <c r="R94" s="56" t="s">
        <v>1037</v>
      </c>
      <c r="S94" s="286" t="str">
        <f t="shared" si="4"/>
        <v/>
      </c>
      <c r="T94" s="286" t="str">
        <f>IF($C94= "", T93, IF(ISNA(VLOOKUP($C94,'ABC-S'!$A$5:$A$271,1,FALSE)), "", VLOOKUP($C94,'ABC-S'!$A$5:$A$271,1,FALSE)))</f>
        <v/>
      </c>
      <c r="W94" s="286" t="s">
        <v>1046</v>
      </c>
      <c r="X94" s="286"/>
      <c r="Y94" s="286"/>
      <c r="Z94" s="286"/>
      <c r="AA94" s="286" t="s">
        <v>21</v>
      </c>
      <c r="AB94" s="378">
        <v>0</v>
      </c>
      <c r="AC94" s="378"/>
      <c r="AD94" s="335"/>
      <c r="AE94" s="335"/>
      <c r="AF94" s="335"/>
      <c r="AG94" s="378">
        <v>0</v>
      </c>
      <c r="AI94" s="378" t="s">
        <v>21</v>
      </c>
      <c r="AJ94" s="378" t="s">
        <v>21</v>
      </c>
      <c r="AL94" s="286"/>
      <c r="AM94" s="286"/>
    </row>
    <row r="95" spans="1:39" s="51" customFormat="1" ht="33.75" hidden="1" x14ac:dyDescent="0.25">
      <c r="A95" s="59" t="s">
        <v>1046</v>
      </c>
      <c r="B95" s="59" t="s">
        <v>86</v>
      </c>
      <c r="C95" s="248"/>
      <c r="D95" s="59">
        <v>10777</v>
      </c>
      <c r="E95" s="60" t="s">
        <v>121</v>
      </c>
      <c r="F95" s="59" t="s">
        <v>3671</v>
      </c>
      <c r="G95" s="61">
        <v>1</v>
      </c>
      <c r="H95" s="62">
        <v>664.21</v>
      </c>
      <c r="I95" s="62">
        <f>IF($D95="","",G95*H95)</f>
        <v>664.21</v>
      </c>
      <c r="J95" s="62"/>
      <c r="K95" s="62">
        <v>0</v>
      </c>
      <c r="L95" s="62">
        <v>664.21</v>
      </c>
      <c r="M95" s="62">
        <v>0</v>
      </c>
      <c r="N95" s="62">
        <v>0</v>
      </c>
      <c r="O95" s="62">
        <v>0</v>
      </c>
      <c r="P95" s="298" t="s">
        <v>89</v>
      </c>
      <c r="Q95" s="60" t="s">
        <v>27</v>
      </c>
      <c r="R95" s="60" t="s">
        <v>27</v>
      </c>
      <c r="S95" s="286" t="str">
        <f t="shared" si="4"/>
        <v/>
      </c>
      <c r="T95" s="286" t="str">
        <f>IF($C95= "", T94, IF(ISNA(VLOOKUP($C95,'ABC-S'!$A$5:$A$271,1,FALSE)), "", VLOOKUP($C95,'ABC-S'!$A$5:$A$271,1,FALSE)))</f>
        <v/>
      </c>
      <c r="W95" s="286" t="s">
        <v>1046</v>
      </c>
      <c r="X95" s="286" t="s">
        <v>21</v>
      </c>
      <c r="Y95" s="286" t="s">
        <v>21</v>
      </c>
      <c r="Z95" s="286" t="s">
        <v>21</v>
      </c>
      <c r="AA95" s="286" t="s">
        <v>21</v>
      </c>
      <c r="AB95" s="378"/>
      <c r="AC95" s="381" t="s">
        <v>21</v>
      </c>
      <c r="AD95" s="378" t="s">
        <v>21</v>
      </c>
      <c r="AE95" s="378" t="s">
        <v>21</v>
      </c>
      <c r="AF95" s="378" t="s">
        <v>21</v>
      </c>
      <c r="AG95" s="378"/>
      <c r="AI95" s="378" t="s">
        <v>21</v>
      </c>
      <c r="AJ95" s="378" t="s">
        <v>21</v>
      </c>
      <c r="AL95" s="286"/>
      <c r="AM95" s="286">
        <v>10777</v>
      </c>
    </row>
    <row r="96" spans="1:39" s="51" customFormat="1" ht="22.5" x14ac:dyDescent="0.25">
      <c r="A96" s="55" t="s">
        <v>917</v>
      </c>
      <c r="B96" s="55" t="s">
        <v>38</v>
      </c>
      <c r="C96" s="55" t="s">
        <v>917</v>
      </c>
      <c r="D96" s="55"/>
      <c r="E96" s="56" t="s">
        <v>919</v>
      </c>
      <c r="F96" s="55" t="s">
        <v>44</v>
      </c>
      <c r="G96" s="57"/>
      <c r="H96" s="58"/>
      <c r="I96" s="58"/>
      <c r="J96" s="58">
        <f>SUM(I96:I100)</f>
        <v>222.18489240228371</v>
      </c>
      <c r="K96" s="58">
        <v>146.88186209925342</v>
      </c>
      <c r="L96" s="58">
        <v>72.705314009661848</v>
      </c>
      <c r="M96" s="58">
        <v>2.5977162933684679</v>
      </c>
      <c r="N96" s="58">
        <v>0</v>
      </c>
      <c r="O96" s="58">
        <v>-7.1054273576010019E-15</v>
      </c>
      <c r="P96" s="58"/>
      <c r="Q96" s="56"/>
      <c r="R96" s="56" t="s">
        <v>918</v>
      </c>
      <c r="S96" s="286" t="str">
        <f t="shared" si="4"/>
        <v>SIM</v>
      </c>
      <c r="T96" s="286" t="str">
        <f>IF($C96= "", T95, IF(ISNA(VLOOKUP($C96,'ABC-S'!$A$5:$A$271,1,FALSE)), "", VLOOKUP($C96,'ABC-S'!$A$5:$A$271,1,FALSE)))</f>
        <v>CP0102</v>
      </c>
      <c r="W96" s="286" t="s">
        <v>917</v>
      </c>
      <c r="X96" s="286"/>
      <c r="Y96" s="286"/>
      <c r="Z96" s="286"/>
      <c r="AA96" s="286" t="s">
        <v>21</v>
      </c>
      <c r="AB96" s="378">
        <v>12.077294685990339</v>
      </c>
      <c r="AC96" s="378"/>
      <c r="AD96" s="335"/>
      <c r="AE96" s="335"/>
      <c r="AF96" s="335"/>
      <c r="AG96" s="378">
        <v>12.077294685990339</v>
      </c>
      <c r="AI96" s="378" t="s">
        <v>21</v>
      </c>
      <c r="AJ96" s="378" t="s">
        <v>21</v>
      </c>
      <c r="AL96" s="286"/>
      <c r="AM96" s="286"/>
    </row>
    <row r="97" spans="1:39" s="51" customFormat="1" ht="22.5" x14ac:dyDescent="0.25">
      <c r="A97" s="59" t="s">
        <v>917</v>
      </c>
      <c r="B97" s="59" t="s">
        <v>86</v>
      </c>
      <c r="C97" s="59"/>
      <c r="D97" s="59" t="s">
        <v>922</v>
      </c>
      <c r="E97" s="60" t="s">
        <v>921</v>
      </c>
      <c r="F97" s="59" t="s">
        <v>76</v>
      </c>
      <c r="G97" s="61">
        <f>(1*0.06)/0.09108</f>
        <v>0.65876152832674573</v>
      </c>
      <c r="H97" s="62">
        <v>0.34</v>
      </c>
      <c r="I97" s="62">
        <f>IF($D97="","",G97*H97)</f>
        <v>0.22397891963109356</v>
      </c>
      <c r="J97" s="62"/>
      <c r="K97" s="62">
        <v>0</v>
      </c>
      <c r="L97" s="62">
        <v>0</v>
      </c>
      <c r="M97" s="62">
        <v>0.22397891963109356</v>
      </c>
      <c r="N97" s="62">
        <v>0</v>
      </c>
      <c r="O97" s="62">
        <v>0</v>
      </c>
      <c r="P97" s="298" t="s">
        <v>423</v>
      </c>
      <c r="Q97" s="60" t="s">
        <v>27</v>
      </c>
      <c r="R97" s="60" t="s">
        <v>174</v>
      </c>
      <c r="S97" s="286" t="str">
        <f t="shared" si="4"/>
        <v>SIM</v>
      </c>
      <c r="T97" s="286" t="str">
        <f>IF($C97= "", T96, IF(ISNA(VLOOKUP($C97,'ABC-S'!$A$5:$A$271,1,FALSE)), "", VLOOKUP($C97,'ABC-S'!$A$5:$A$271,1,FALSE)))</f>
        <v>CP0102</v>
      </c>
      <c r="W97" s="286" t="s">
        <v>917</v>
      </c>
      <c r="X97" s="286" t="s">
        <v>21</v>
      </c>
      <c r="Y97" s="286" t="s">
        <v>21</v>
      </c>
      <c r="Z97" s="286" t="s">
        <v>21</v>
      </c>
      <c r="AA97" s="286" t="s">
        <v>21</v>
      </c>
      <c r="AB97" s="378"/>
      <c r="AC97" s="381" t="s">
        <v>21</v>
      </c>
      <c r="AD97" s="378" t="s">
        <v>21</v>
      </c>
      <c r="AE97" s="378" t="s">
        <v>21</v>
      </c>
      <c r="AF97" s="378" t="s">
        <v>21</v>
      </c>
      <c r="AG97" s="378"/>
      <c r="AI97" s="378" t="s">
        <v>21</v>
      </c>
      <c r="AJ97" s="378" t="s">
        <v>21</v>
      </c>
      <c r="AL97" s="286"/>
      <c r="AM97" s="286" t="s">
        <v>922</v>
      </c>
    </row>
    <row r="98" spans="1:39" s="51" customFormat="1" ht="22.5" x14ac:dyDescent="0.25">
      <c r="A98" s="59" t="s">
        <v>917</v>
      </c>
      <c r="B98" s="59" t="s">
        <v>86</v>
      </c>
      <c r="C98" s="59"/>
      <c r="D98" s="59" t="s">
        <v>924</v>
      </c>
      <c r="E98" s="60" t="s">
        <v>923</v>
      </c>
      <c r="F98" s="59" t="s">
        <v>75</v>
      </c>
      <c r="G98" s="61">
        <f>(1*0.94)/0.09108</f>
        <v>10.320597277119017</v>
      </c>
      <c r="H98" s="62">
        <v>0.23</v>
      </c>
      <c r="I98" s="62">
        <f t="shared" ref="I98:I100" si="5">IF($D98="","",G98*H98)</f>
        <v>2.3737373737373741</v>
      </c>
      <c r="J98" s="62"/>
      <c r="K98" s="62">
        <v>0</v>
      </c>
      <c r="L98" s="62">
        <v>0</v>
      </c>
      <c r="M98" s="62">
        <v>2.3737373737373741</v>
      </c>
      <c r="N98" s="62">
        <v>0</v>
      </c>
      <c r="O98" s="62">
        <v>0</v>
      </c>
      <c r="P98" s="298" t="s">
        <v>423</v>
      </c>
      <c r="Q98" s="60" t="s">
        <v>27</v>
      </c>
      <c r="R98" s="60" t="s">
        <v>174</v>
      </c>
      <c r="S98" s="286" t="str">
        <f t="shared" si="4"/>
        <v>SIM</v>
      </c>
      <c r="T98" s="286" t="str">
        <f>IF($C98= "", T97, IF(ISNA(VLOOKUP($C98,'ABC-S'!$A$5:$A$271,1,FALSE)), "", VLOOKUP($C98,'ABC-S'!$A$5:$A$271,1,FALSE)))</f>
        <v>CP0102</v>
      </c>
      <c r="W98" s="286" t="s">
        <v>917</v>
      </c>
      <c r="X98" s="286" t="s">
        <v>21</v>
      </c>
      <c r="Y98" s="286" t="s">
        <v>21</v>
      </c>
      <c r="Z98" s="286" t="s">
        <v>21</v>
      </c>
      <c r="AA98" s="286" t="s">
        <v>21</v>
      </c>
      <c r="AB98" s="378"/>
      <c r="AC98" s="381" t="s">
        <v>21</v>
      </c>
      <c r="AD98" s="378" t="s">
        <v>21</v>
      </c>
      <c r="AE98" s="378" t="s">
        <v>21</v>
      </c>
      <c r="AF98" s="378" t="s">
        <v>21</v>
      </c>
      <c r="AG98" s="378"/>
      <c r="AI98" s="378" t="s">
        <v>21</v>
      </c>
      <c r="AJ98" s="378" t="s">
        <v>21</v>
      </c>
      <c r="AL98" s="286"/>
      <c r="AM98" s="286" t="s">
        <v>924</v>
      </c>
    </row>
    <row r="99" spans="1:39" s="51" customFormat="1" x14ac:dyDescent="0.25">
      <c r="A99" s="59" t="s">
        <v>917</v>
      </c>
      <c r="B99" s="59" t="s">
        <v>87</v>
      </c>
      <c r="C99" s="248"/>
      <c r="D99" s="59">
        <v>88309</v>
      </c>
      <c r="E99" s="60" t="s">
        <v>617</v>
      </c>
      <c r="F99" s="59" t="s">
        <v>46</v>
      </c>
      <c r="G99" s="61">
        <f>0.1/0.09108</f>
        <v>1.0979358805445762</v>
      </c>
      <c r="H99" s="62">
        <v>23.9</v>
      </c>
      <c r="I99" s="62">
        <f t="shared" si="5"/>
        <v>26.24066754501537</v>
      </c>
      <c r="J99" s="62"/>
      <c r="K99" s="62">
        <v>19.521299956082569</v>
      </c>
      <c r="L99" s="62">
        <v>6.7193675889328066</v>
      </c>
      <c r="M99" s="62">
        <v>0</v>
      </c>
      <c r="N99" s="62">
        <v>0</v>
      </c>
      <c r="O99" s="62">
        <v>-7.1054273576010019E-15</v>
      </c>
      <c r="P99" s="298" t="s">
        <v>4160</v>
      </c>
      <c r="Q99" s="60" t="s">
        <v>27</v>
      </c>
      <c r="R99" s="60" t="s">
        <v>174</v>
      </c>
      <c r="S99" s="286" t="str">
        <f t="shared" si="4"/>
        <v>SIM</v>
      </c>
      <c r="T99" s="286" t="str">
        <f>IF($C99= "", T98, IF(ISNA(VLOOKUP($C99,'ABC-S'!$A$5:$A$271,1,FALSE)), "", VLOOKUP($C99,'ABC-S'!$A$5:$A$271,1,FALSE)))</f>
        <v>CP0102</v>
      </c>
      <c r="W99" s="286" t="s">
        <v>917</v>
      </c>
      <c r="X99" s="286">
        <v>88309</v>
      </c>
      <c r="Y99" s="286" t="s">
        <v>424</v>
      </c>
      <c r="Z99" s="335">
        <v>220.99441499999998</v>
      </c>
      <c r="AA99" s="286">
        <v>1.0979358805445762</v>
      </c>
      <c r="AB99" s="378"/>
      <c r="AC99" s="381" t="s">
        <v>21</v>
      </c>
      <c r="AD99" s="378" t="s">
        <v>21</v>
      </c>
      <c r="AE99" s="378" t="s">
        <v>21</v>
      </c>
      <c r="AF99" s="378" t="s">
        <v>21</v>
      </c>
      <c r="AG99" s="378"/>
      <c r="AI99" s="378">
        <v>0</v>
      </c>
      <c r="AJ99" s="378">
        <v>0</v>
      </c>
      <c r="AL99" s="286">
        <v>88309</v>
      </c>
      <c r="AM99" s="286"/>
    </row>
    <row r="100" spans="1:39" s="51" customFormat="1" x14ac:dyDescent="0.25">
      <c r="A100" s="59" t="s">
        <v>917</v>
      </c>
      <c r="B100" s="59" t="s">
        <v>87</v>
      </c>
      <c r="C100" s="248"/>
      <c r="D100" s="59">
        <v>88316</v>
      </c>
      <c r="E100" s="60" t="s">
        <v>649</v>
      </c>
      <c r="F100" s="59" t="s">
        <v>46</v>
      </c>
      <c r="G100" s="61">
        <f>1/0.09108</f>
        <v>10.979358805445763</v>
      </c>
      <c r="H100" s="62">
        <v>17.61</v>
      </c>
      <c r="I100" s="62">
        <f t="shared" si="5"/>
        <v>193.34650856389987</v>
      </c>
      <c r="J100" s="62"/>
      <c r="K100" s="62">
        <v>127.36056214317085</v>
      </c>
      <c r="L100" s="62">
        <v>65.985946420729036</v>
      </c>
      <c r="M100" s="62">
        <v>0</v>
      </c>
      <c r="N100" s="62">
        <v>0</v>
      </c>
      <c r="O100" s="62">
        <v>0</v>
      </c>
      <c r="P100" s="298" t="s">
        <v>4160</v>
      </c>
      <c r="Q100" s="60" t="s">
        <v>27</v>
      </c>
      <c r="R100" s="60" t="s">
        <v>174</v>
      </c>
      <c r="S100" s="286" t="str">
        <f t="shared" si="4"/>
        <v>SIM</v>
      </c>
      <c r="T100" s="286" t="str">
        <f>IF($C100= "", T99, IF(ISNA(VLOOKUP($C100,'ABC-S'!$A$5:$A$271,1,FALSE)), "", VLOOKUP($C100,'ABC-S'!$A$5:$A$271,1,FALSE)))</f>
        <v>CP0102</v>
      </c>
      <c r="W100" s="286" t="s">
        <v>917</v>
      </c>
      <c r="X100" s="286">
        <v>88316</v>
      </c>
      <c r="Y100" s="286" t="s">
        <v>424</v>
      </c>
      <c r="Z100" s="335">
        <v>220.99441499999998</v>
      </c>
      <c r="AA100" s="286">
        <v>10.979358805445763</v>
      </c>
      <c r="AB100" s="378"/>
      <c r="AC100" s="381" t="s">
        <v>21</v>
      </c>
      <c r="AD100" s="378" t="s">
        <v>21</v>
      </c>
      <c r="AE100" s="378" t="s">
        <v>21</v>
      </c>
      <c r="AF100" s="378" t="s">
        <v>21</v>
      </c>
      <c r="AG100" s="378"/>
      <c r="AI100" s="378">
        <v>0</v>
      </c>
      <c r="AJ100" s="378">
        <v>0</v>
      </c>
      <c r="AL100" s="286">
        <v>88316</v>
      </c>
      <c r="AM100" s="286"/>
    </row>
    <row r="101" spans="1:39" s="51" customFormat="1" ht="56.25" hidden="1" x14ac:dyDescent="0.25">
      <c r="A101" s="55" t="s">
        <v>270</v>
      </c>
      <c r="B101" s="55" t="s">
        <v>138</v>
      </c>
      <c r="C101" s="55" t="s">
        <v>270</v>
      </c>
      <c r="D101" s="55"/>
      <c r="E101" s="56" t="s">
        <v>311</v>
      </c>
      <c r="F101" s="55" t="s">
        <v>51</v>
      </c>
      <c r="G101" s="57"/>
      <c r="H101" s="58"/>
      <c r="I101" s="58">
        <v>98078</v>
      </c>
      <c r="J101" s="58">
        <f>SUM(I101:I105)</f>
        <v>98168.808499999985</v>
      </c>
      <c r="K101" s="58">
        <v>7.6539999999999999</v>
      </c>
      <c r="L101" s="58">
        <v>83.154499999999999</v>
      </c>
      <c r="M101" s="58">
        <v>0</v>
      </c>
      <c r="N101" s="58">
        <v>0</v>
      </c>
      <c r="O101" s="58">
        <v>-4.4408920985006262E-16</v>
      </c>
      <c r="P101" s="58"/>
      <c r="Q101" s="56"/>
      <c r="R101" s="56" t="s">
        <v>421</v>
      </c>
      <c r="S101" s="286" t="str">
        <f t="shared" si="4"/>
        <v/>
      </c>
      <c r="T101" s="286" t="str">
        <f>IF($C101= "", T100, IF(ISNA(VLOOKUP($C101,'ABC-S'!$A$5:$A$271,1,FALSE)), "", VLOOKUP($C101,'ABC-S'!$A$5:$A$271,1,FALSE)))</f>
        <v/>
      </c>
      <c r="W101" s="286" t="s">
        <v>270</v>
      </c>
      <c r="X101" s="286"/>
      <c r="Y101" s="286"/>
      <c r="Z101" s="286"/>
      <c r="AA101" s="286" t="s">
        <v>21</v>
      </c>
      <c r="AB101" s="378">
        <v>0.5</v>
      </c>
      <c r="AC101" s="378"/>
      <c r="AD101" s="335"/>
      <c r="AE101" s="335"/>
      <c r="AF101" s="335"/>
      <c r="AG101" s="378">
        <v>0.5</v>
      </c>
      <c r="AI101" s="378" t="s">
        <v>21</v>
      </c>
      <c r="AJ101" s="378" t="s">
        <v>21</v>
      </c>
      <c r="AL101" s="286"/>
      <c r="AM101" s="286"/>
    </row>
    <row r="102" spans="1:39" s="51" customFormat="1" hidden="1" x14ac:dyDescent="0.25">
      <c r="A102" s="248" t="s">
        <v>270</v>
      </c>
      <c r="B102" s="59" t="s">
        <v>87</v>
      </c>
      <c r="C102" s="248"/>
      <c r="D102" s="59">
        <v>88309</v>
      </c>
      <c r="E102" s="60" t="s">
        <v>617</v>
      </c>
      <c r="F102" s="59" t="s">
        <v>46</v>
      </c>
      <c r="G102" s="61">
        <v>0.3</v>
      </c>
      <c r="H102" s="62">
        <v>23.9</v>
      </c>
      <c r="I102" s="62">
        <f t="shared" ref="I102:I103" si="6">IF($D102="","",G102*H102)</f>
        <v>7.169999999999999</v>
      </c>
      <c r="J102" s="62"/>
      <c r="K102" s="62">
        <v>5.3340000000000005</v>
      </c>
      <c r="L102" s="62">
        <v>1.8359999999999999</v>
      </c>
      <c r="M102" s="62">
        <v>0</v>
      </c>
      <c r="N102" s="62">
        <v>0</v>
      </c>
      <c r="O102" s="62">
        <v>-8.8817841970012523E-16</v>
      </c>
      <c r="P102" s="298" t="s">
        <v>4160</v>
      </c>
      <c r="Q102" s="60" t="s">
        <v>27</v>
      </c>
      <c r="R102" s="60" t="s">
        <v>27</v>
      </c>
      <c r="S102" s="286" t="str">
        <f t="shared" si="4"/>
        <v/>
      </c>
      <c r="T102" s="286" t="str">
        <f>IF($C102= "", T101, IF(ISNA(VLOOKUP($C102,'ABC-S'!$A$5:$A$271,1,FALSE)), "", VLOOKUP($C102,'ABC-S'!$A$5:$A$271,1,FALSE)))</f>
        <v/>
      </c>
      <c r="W102" s="286" t="s">
        <v>270</v>
      </c>
      <c r="X102" s="286">
        <v>88309</v>
      </c>
      <c r="Y102" s="286" t="s">
        <v>424</v>
      </c>
      <c r="Z102" s="335">
        <v>0</v>
      </c>
      <c r="AA102" s="286">
        <v>0.3</v>
      </c>
      <c r="AB102" s="378"/>
      <c r="AC102" s="381" t="s">
        <v>21</v>
      </c>
      <c r="AD102" s="378" t="s">
        <v>21</v>
      </c>
      <c r="AE102" s="378" t="s">
        <v>21</v>
      </c>
      <c r="AF102" s="378" t="s">
        <v>21</v>
      </c>
      <c r="AG102" s="378"/>
      <c r="AI102" s="378">
        <v>0</v>
      </c>
      <c r="AJ102" s="378">
        <v>0</v>
      </c>
      <c r="AL102" s="286">
        <v>88309</v>
      </c>
      <c r="AM102" s="286"/>
    </row>
    <row r="103" spans="1:39" s="51" customFormat="1" hidden="1" x14ac:dyDescent="0.25">
      <c r="A103" s="248" t="s">
        <v>270</v>
      </c>
      <c r="B103" s="59" t="s">
        <v>87</v>
      </c>
      <c r="C103" s="248"/>
      <c r="D103" s="59">
        <v>88316</v>
      </c>
      <c r="E103" s="60" t="s">
        <v>649</v>
      </c>
      <c r="F103" s="59" t="s">
        <v>46</v>
      </c>
      <c r="G103" s="61">
        <v>0.2</v>
      </c>
      <c r="H103" s="62">
        <v>17.61</v>
      </c>
      <c r="I103" s="62">
        <f t="shared" si="6"/>
        <v>3.5220000000000002</v>
      </c>
      <c r="J103" s="62"/>
      <c r="K103" s="62">
        <v>2.3199999999999998</v>
      </c>
      <c r="L103" s="62">
        <v>1.202</v>
      </c>
      <c r="M103" s="62">
        <v>0</v>
      </c>
      <c r="N103" s="62">
        <v>0</v>
      </c>
      <c r="O103" s="62">
        <v>4.4408920985006262E-16</v>
      </c>
      <c r="P103" s="298" t="s">
        <v>4160</v>
      </c>
      <c r="Q103" s="60" t="s">
        <v>27</v>
      </c>
      <c r="R103" s="60" t="s">
        <v>27</v>
      </c>
      <c r="S103" s="286" t="str">
        <f t="shared" si="4"/>
        <v/>
      </c>
      <c r="T103" s="286" t="str">
        <f>IF($C103= "", T102, IF(ISNA(VLOOKUP($C103,'ABC-S'!$A$5:$A$271,1,FALSE)), "", VLOOKUP($C103,'ABC-S'!$A$5:$A$271,1,FALSE)))</f>
        <v/>
      </c>
      <c r="W103" s="286" t="s">
        <v>270</v>
      </c>
      <c r="X103" s="286">
        <v>88316</v>
      </c>
      <c r="Y103" s="286" t="s">
        <v>424</v>
      </c>
      <c r="Z103" s="335">
        <v>0</v>
      </c>
      <c r="AA103" s="286">
        <v>0.2</v>
      </c>
      <c r="AB103" s="378"/>
      <c r="AC103" s="381" t="s">
        <v>21</v>
      </c>
      <c r="AD103" s="378" t="s">
        <v>21</v>
      </c>
      <c r="AE103" s="378" t="s">
        <v>21</v>
      </c>
      <c r="AF103" s="378" t="s">
        <v>21</v>
      </c>
      <c r="AG103" s="378"/>
      <c r="AI103" s="378">
        <v>0</v>
      </c>
      <c r="AJ103" s="378">
        <v>0</v>
      </c>
      <c r="AL103" s="286">
        <v>88316</v>
      </c>
      <c r="AM103" s="286"/>
    </row>
    <row r="104" spans="1:39" s="51" customFormat="1" hidden="1" x14ac:dyDescent="0.25">
      <c r="A104" s="248" t="s">
        <v>270</v>
      </c>
      <c r="B104" s="59" t="s">
        <v>86</v>
      </c>
      <c r="C104" s="248"/>
      <c r="D104" s="59">
        <v>37595</v>
      </c>
      <c r="E104" s="60" t="s">
        <v>685</v>
      </c>
      <c r="F104" s="59" t="s">
        <v>3669</v>
      </c>
      <c r="G104" s="61">
        <v>4.8</v>
      </c>
      <c r="H104" s="62">
        <v>1.35</v>
      </c>
      <c r="I104" s="62">
        <f>IF($D104="","",G104*H104)</f>
        <v>6.48</v>
      </c>
      <c r="J104" s="62"/>
      <c r="K104" s="62">
        <v>0</v>
      </c>
      <c r="L104" s="62">
        <v>6.48</v>
      </c>
      <c r="M104" s="62">
        <v>0</v>
      </c>
      <c r="N104" s="62">
        <v>0</v>
      </c>
      <c r="O104" s="62">
        <v>0</v>
      </c>
      <c r="P104" s="298" t="s">
        <v>89</v>
      </c>
      <c r="Q104" s="60" t="s">
        <v>27</v>
      </c>
      <c r="R104" s="60" t="s">
        <v>27</v>
      </c>
      <c r="S104" s="286" t="str">
        <f t="shared" si="4"/>
        <v/>
      </c>
      <c r="T104" s="286" t="str">
        <f>IF($C104= "", T103, IF(ISNA(VLOOKUP($C104,'ABC-S'!$A$5:$A$271,1,FALSE)), "", VLOOKUP($C104,'ABC-S'!$A$5:$A$271,1,FALSE)))</f>
        <v/>
      </c>
      <c r="W104" s="286" t="s">
        <v>270</v>
      </c>
      <c r="X104" s="286" t="s">
        <v>21</v>
      </c>
      <c r="Y104" s="286" t="s">
        <v>21</v>
      </c>
      <c r="Z104" s="286" t="s">
        <v>21</v>
      </c>
      <c r="AA104" s="286" t="s">
        <v>21</v>
      </c>
      <c r="AB104" s="378"/>
      <c r="AC104" s="381" t="s">
        <v>21</v>
      </c>
      <c r="AD104" s="378" t="s">
        <v>21</v>
      </c>
      <c r="AE104" s="378" t="s">
        <v>21</v>
      </c>
      <c r="AF104" s="378" t="s">
        <v>21</v>
      </c>
      <c r="AG104" s="378"/>
      <c r="AI104" s="378" t="s">
        <v>21</v>
      </c>
      <c r="AJ104" s="378" t="s">
        <v>21</v>
      </c>
      <c r="AL104" s="286"/>
      <c r="AM104" s="286">
        <v>37595</v>
      </c>
    </row>
    <row r="105" spans="1:39" s="51" customFormat="1" ht="22.5" hidden="1" x14ac:dyDescent="0.25">
      <c r="A105" s="248" t="s">
        <v>270</v>
      </c>
      <c r="B105" s="59" t="s">
        <v>86</v>
      </c>
      <c r="C105" s="248"/>
      <c r="D105" s="59">
        <v>38135</v>
      </c>
      <c r="E105" s="60" t="s">
        <v>350</v>
      </c>
      <c r="F105" s="59" t="s">
        <v>3665</v>
      </c>
      <c r="G105" s="61">
        <v>1.05</v>
      </c>
      <c r="H105" s="62">
        <v>70.13</v>
      </c>
      <c r="I105" s="62">
        <f>IF($D105="","",G105*H105)</f>
        <v>73.636499999999998</v>
      </c>
      <c r="J105" s="62"/>
      <c r="K105" s="62">
        <v>0</v>
      </c>
      <c r="L105" s="62">
        <v>73.636499999999998</v>
      </c>
      <c r="M105" s="62">
        <v>0</v>
      </c>
      <c r="N105" s="62">
        <v>0</v>
      </c>
      <c r="O105" s="62">
        <v>0</v>
      </c>
      <c r="P105" s="298" t="s">
        <v>89</v>
      </c>
      <c r="Q105" s="60" t="s">
        <v>27</v>
      </c>
      <c r="R105" s="60" t="s">
        <v>146</v>
      </c>
      <c r="S105" s="286" t="str">
        <f t="shared" si="4"/>
        <v/>
      </c>
      <c r="T105" s="286" t="str">
        <f>IF($C105= "", T104, IF(ISNA(VLOOKUP($C105,'ABC-S'!$A$5:$A$271,1,FALSE)), "", VLOOKUP($C105,'ABC-S'!$A$5:$A$271,1,FALSE)))</f>
        <v/>
      </c>
      <c r="W105" s="286" t="s">
        <v>270</v>
      </c>
      <c r="X105" s="286" t="s">
        <v>21</v>
      </c>
      <c r="Y105" s="286" t="s">
        <v>21</v>
      </c>
      <c r="Z105" s="286" t="s">
        <v>21</v>
      </c>
      <c r="AA105" s="286" t="s">
        <v>21</v>
      </c>
      <c r="AB105" s="378"/>
      <c r="AC105" s="381" t="s">
        <v>21</v>
      </c>
      <c r="AD105" s="378" t="s">
        <v>21</v>
      </c>
      <c r="AE105" s="378" t="s">
        <v>21</v>
      </c>
      <c r="AF105" s="378" t="s">
        <v>21</v>
      </c>
      <c r="AG105" s="378"/>
      <c r="AI105" s="378" t="s">
        <v>21</v>
      </c>
      <c r="AJ105" s="378" t="s">
        <v>21</v>
      </c>
      <c r="AL105" s="286"/>
      <c r="AM105" s="286">
        <v>38135</v>
      </c>
    </row>
    <row r="106" spans="1:39" s="51" customFormat="1" ht="22.5" hidden="1" x14ac:dyDescent="0.25">
      <c r="A106" s="55" t="s">
        <v>954</v>
      </c>
      <c r="B106" s="55" t="s">
        <v>138</v>
      </c>
      <c r="C106" s="55" t="s">
        <v>954</v>
      </c>
      <c r="D106" s="55"/>
      <c r="E106" s="56" t="s">
        <v>955</v>
      </c>
      <c r="F106" s="55" t="s">
        <v>22</v>
      </c>
      <c r="G106" s="57"/>
      <c r="H106" s="58"/>
      <c r="I106" s="58"/>
      <c r="J106" s="58">
        <f>SUM(I106:I108)</f>
        <v>7.9753012048192762</v>
      </c>
      <c r="K106" s="58">
        <v>2.4614457831325298</v>
      </c>
      <c r="L106" s="58">
        <v>3.3024096385542165</v>
      </c>
      <c r="M106" s="58">
        <v>2.2114457831325298</v>
      </c>
      <c r="N106" s="58">
        <v>0</v>
      </c>
      <c r="O106" s="58">
        <v>0</v>
      </c>
      <c r="P106" s="58"/>
      <c r="Q106" s="56"/>
      <c r="R106" s="56" t="s">
        <v>956</v>
      </c>
      <c r="S106" s="286" t="str">
        <f t="shared" si="4"/>
        <v/>
      </c>
      <c r="T106" s="286" t="str">
        <f>IF($C106= "", T105, IF(ISNA(VLOOKUP($C106,'ABC-S'!$A$5:$A$271,1,FALSE)), "", VLOOKUP($C106,'ABC-S'!$A$5:$A$271,1,FALSE)))</f>
        <v/>
      </c>
      <c r="W106" s="286" t="s">
        <v>954</v>
      </c>
      <c r="X106" s="286"/>
      <c r="Y106" s="286"/>
      <c r="Z106" s="286"/>
      <c r="AA106" s="286" t="s">
        <v>21</v>
      </c>
      <c r="AB106" s="378">
        <v>0.12048192771084336</v>
      </c>
      <c r="AC106" s="378"/>
      <c r="AD106" s="335"/>
      <c r="AE106" s="335"/>
      <c r="AF106" s="335"/>
      <c r="AG106" s="378">
        <v>0.18072289156626503</v>
      </c>
      <c r="AI106" s="378" t="s">
        <v>21</v>
      </c>
      <c r="AJ106" s="378" t="s">
        <v>21</v>
      </c>
      <c r="AL106" s="286"/>
      <c r="AM106" s="286"/>
    </row>
    <row r="107" spans="1:39" s="51" customFormat="1" ht="56.25" hidden="1" x14ac:dyDescent="0.25">
      <c r="A107" s="248" t="s">
        <v>954</v>
      </c>
      <c r="B107" s="59" t="s">
        <v>87</v>
      </c>
      <c r="C107" s="248"/>
      <c r="D107" s="59">
        <v>5680</v>
      </c>
      <c r="E107" s="60" t="s">
        <v>637</v>
      </c>
      <c r="F107" s="59" t="s">
        <v>76</v>
      </c>
      <c r="G107" s="61">
        <f>(1*1)/16.6</f>
        <v>6.0240963855421679E-2</v>
      </c>
      <c r="H107" s="62">
        <v>97.17</v>
      </c>
      <c r="I107" s="62">
        <f>IF($D107="","",G107*H107)</f>
        <v>5.8536144578313243</v>
      </c>
      <c r="J107" s="62"/>
      <c r="K107" s="62">
        <v>1.0638554216867468</v>
      </c>
      <c r="L107" s="62">
        <v>2.5783132530120478</v>
      </c>
      <c r="M107" s="62">
        <v>2.2114457831325298</v>
      </c>
      <c r="N107" s="62">
        <v>0</v>
      </c>
      <c r="O107" s="62">
        <v>0</v>
      </c>
      <c r="P107" s="298" t="s">
        <v>4160</v>
      </c>
      <c r="Q107" s="60" t="s">
        <v>27</v>
      </c>
      <c r="R107" s="60" t="s">
        <v>174</v>
      </c>
      <c r="S107" s="286" t="str">
        <f t="shared" si="4"/>
        <v/>
      </c>
      <c r="T107" s="286" t="str">
        <f>IF($C107= "", T106, IF(ISNA(VLOOKUP($C107,'ABC-S'!$A$5:$A$271,1,FALSE)), "", VLOOKUP($C107,'ABC-S'!$A$5:$A$271,1,FALSE)))</f>
        <v/>
      </c>
      <c r="W107" s="286" t="s">
        <v>954</v>
      </c>
      <c r="X107" s="286" t="s">
        <v>21</v>
      </c>
      <c r="Y107" s="286" t="s">
        <v>423</v>
      </c>
      <c r="Z107" s="335" t="s">
        <v>21</v>
      </c>
      <c r="AA107" s="286" t="s">
        <v>21</v>
      </c>
      <c r="AB107" s="378"/>
      <c r="AC107" s="381">
        <v>5680</v>
      </c>
      <c r="AD107" s="378">
        <v>6.0240963855421679E-2</v>
      </c>
      <c r="AE107" s="378">
        <v>1</v>
      </c>
      <c r="AF107" s="378">
        <v>6.0240963855421679E-2</v>
      </c>
      <c r="AG107" s="378"/>
      <c r="AI107" s="378">
        <v>0</v>
      </c>
      <c r="AJ107" s="378">
        <v>0</v>
      </c>
      <c r="AL107" s="286">
        <v>5680</v>
      </c>
      <c r="AM107" s="286"/>
    </row>
    <row r="108" spans="1:39" s="51" customFormat="1" hidden="1" x14ac:dyDescent="0.25">
      <c r="A108" s="248" t="s">
        <v>954</v>
      </c>
      <c r="B108" s="59" t="s">
        <v>87</v>
      </c>
      <c r="C108" s="248"/>
      <c r="D108" s="59">
        <v>88316</v>
      </c>
      <c r="E108" s="60" t="s">
        <v>649</v>
      </c>
      <c r="F108" s="59" t="s">
        <v>46</v>
      </c>
      <c r="G108" s="61">
        <f>2/16.6</f>
        <v>0.12048192771084336</v>
      </c>
      <c r="H108" s="62">
        <v>17.61</v>
      </c>
      <c r="I108" s="62">
        <f>IF($D108="","",G108*H108)</f>
        <v>2.1216867469879515</v>
      </c>
      <c r="J108" s="62"/>
      <c r="K108" s="62">
        <v>1.397590361445783</v>
      </c>
      <c r="L108" s="62">
        <v>0.7240963855421686</v>
      </c>
      <c r="M108" s="62">
        <v>0</v>
      </c>
      <c r="N108" s="62">
        <v>0</v>
      </c>
      <c r="O108" s="62">
        <v>0</v>
      </c>
      <c r="P108" s="298" t="s">
        <v>4160</v>
      </c>
      <c r="Q108" s="60" t="s">
        <v>27</v>
      </c>
      <c r="R108" s="60" t="s">
        <v>174</v>
      </c>
      <c r="S108" s="286" t="str">
        <f t="shared" si="4"/>
        <v/>
      </c>
      <c r="T108" s="286" t="str">
        <f>IF($C108= "", T107, IF(ISNA(VLOOKUP($C108,'ABC-S'!$A$5:$A$271,1,FALSE)), "", VLOOKUP($C108,'ABC-S'!$A$5:$A$271,1,FALSE)))</f>
        <v/>
      </c>
      <c r="W108" s="286" t="s">
        <v>954</v>
      </c>
      <c r="X108" s="286">
        <v>88316</v>
      </c>
      <c r="Y108" s="286" t="s">
        <v>424</v>
      </c>
      <c r="Z108" s="335">
        <v>0</v>
      </c>
      <c r="AA108" s="286">
        <v>0.12048192771084336</v>
      </c>
      <c r="AB108" s="378"/>
      <c r="AC108" s="381" t="s">
        <v>21</v>
      </c>
      <c r="AD108" s="378" t="s">
        <v>21</v>
      </c>
      <c r="AE108" s="378" t="s">
        <v>21</v>
      </c>
      <c r="AF108" s="378" t="s">
        <v>21</v>
      </c>
      <c r="AG108" s="378"/>
      <c r="AI108" s="378">
        <v>0</v>
      </c>
      <c r="AJ108" s="378">
        <v>0</v>
      </c>
      <c r="AL108" s="286">
        <v>88316</v>
      </c>
      <c r="AM108" s="286"/>
    </row>
    <row r="109" spans="1:39" s="51" customFormat="1" hidden="1" x14ac:dyDescent="0.25">
      <c r="A109" s="55" t="s">
        <v>271</v>
      </c>
      <c r="B109" s="55" t="s">
        <v>138</v>
      </c>
      <c r="C109" s="55" t="s">
        <v>271</v>
      </c>
      <c r="D109" s="55"/>
      <c r="E109" s="56" t="s">
        <v>946</v>
      </c>
      <c r="F109" s="55" t="s">
        <v>55</v>
      </c>
      <c r="G109" s="57"/>
      <c r="H109" s="58"/>
      <c r="I109" s="58"/>
      <c r="J109" s="58">
        <f>SUM(I109:I110)</f>
        <v>4162.1000000000004</v>
      </c>
      <c r="K109" s="58">
        <v>0</v>
      </c>
      <c r="L109" s="58">
        <v>4162.1000000000004</v>
      </c>
      <c r="M109" s="58">
        <v>0</v>
      </c>
      <c r="N109" s="58">
        <v>0</v>
      </c>
      <c r="O109" s="58">
        <v>0</v>
      </c>
      <c r="P109" s="58"/>
      <c r="Q109" s="56"/>
      <c r="R109" s="56" t="s">
        <v>166</v>
      </c>
      <c r="S109" s="286" t="str">
        <f t="shared" si="4"/>
        <v/>
      </c>
      <c r="T109" s="286" t="str">
        <f>IF($C109= "", T108, IF(ISNA(VLOOKUP($C109,'ABC-S'!$A$5:$A$271,1,FALSE)), "", VLOOKUP($C109,'ABC-S'!$A$5:$A$271,1,FALSE)))</f>
        <v/>
      </c>
      <c r="W109" s="286" t="s">
        <v>271</v>
      </c>
      <c r="X109" s="286"/>
      <c r="Y109" s="286"/>
      <c r="Z109" s="286"/>
      <c r="AA109" s="286" t="s">
        <v>21</v>
      </c>
      <c r="AB109" s="378">
        <v>0</v>
      </c>
      <c r="AC109" s="378"/>
      <c r="AD109" s="335"/>
      <c r="AE109" s="335"/>
      <c r="AF109" s="335"/>
      <c r="AG109" s="378">
        <v>0</v>
      </c>
      <c r="AI109" s="378" t="s">
        <v>21</v>
      </c>
      <c r="AJ109" s="378" t="s">
        <v>21</v>
      </c>
      <c r="AL109" s="286"/>
      <c r="AM109" s="286"/>
    </row>
    <row r="110" spans="1:39" s="51" customFormat="1" hidden="1" x14ac:dyDescent="0.25">
      <c r="A110" s="59" t="s">
        <v>271</v>
      </c>
      <c r="B110" s="59" t="s">
        <v>86</v>
      </c>
      <c r="C110" s="59"/>
      <c r="D110" s="59" t="s">
        <v>332</v>
      </c>
      <c r="E110" s="60" t="s">
        <v>947</v>
      </c>
      <c r="F110" s="59" t="s">
        <v>55</v>
      </c>
      <c r="G110" s="61">
        <v>1</v>
      </c>
      <c r="H110" s="62">
        <v>4162.1000000000004</v>
      </c>
      <c r="I110" s="62">
        <f>IF($D110="","",G110*H110)</f>
        <v>4162.1000000000004</v>
      </c>
      <c r="J110" s="62"/>
      <c r="K110" s="62">
        <v>0</v>
      </c>
      <c r="L110" s="62">
        <v>4162.1000000000004</v>
      </c>
      <c r="M110" s="62">
        <v>0</v>
      </c>
      <c r="N110" s="62">
        <v>0</v>
      </c>
      <c r="O110" s="62">
        <v>0</v>
      </c>
      <c r="P110" s="298" t="s">
        <v>89</v>
      </c>
      <c r="Q110" s="60" t="s">
        <v>333</v>
      </c>
      <c r="R110" s="60" t="s">
        <v>354</v>
      </c>
      <c r="S110" s="286" t="str">
        <f t="shared" si="4"/>
        <v/>
      </c>
      <c r="T110" s="286" t="str">
        <f>IF($C110= "", T109, IF(ISNA(VLOOKUP($C110,'ABC-S'!$A$5:$A$271,1,FALSE)), "", VLOOKUP($C110,'ABC-S'!$A$5:$A$271,1,FALSE)))</f>
        <v/>
      </c>
      <c r="W110" s="286" t="s">
        <v>271</v>
      </c>
      <c r="X110" s="286" t="s">
        <v>21</v>
      </c>
      <c r="Y110" s="286" t="s">
        <v>21</v>
      </c>
      <c r="Z110" s="286" t="s">
        <v>21</v>
      </c>
      <c r="AA110" s="286" t="s">
        <v>21</v>
      </c>
      <c r="AB110" s="378"/>
      <c r="AC110" s="381" t="s">
        <v>21</v>
      </c>
      <c r="AD110" s="378" t="s">
        <v>21</v>
      </c>
      <c r="AE110" s="378" t="s">
        <v>21</v>
      </c>
      <c r="AF110" s="378" t="s">
        <v>21</v>
      </c>
      <c r="AG110" s="378"/>
      <c r="AI110" s="378" t="s">
        <v>21</v>
      </c>
      <c r="AJ110" s="378" t="s">
        <v>21</v>
      </c>
      <c r="AL110" s="286"/>
      <c r="AM110" s="286" t="s">
        <v>332</v>
      </c>
    </row>
    <row r="111" spans="1:39" s="51" customFormat="1" x14ac:dyDescent="0.25">
      <c r="A111" s="55" t="s">
        <v>3333</v>
      </c>
      <c r="B111" s="55" t="s">
        <v>138</v>
      </c>
      <c r="C111" s="55" t="s">
        <v>3333</v>
      </c>
      <c r="D111" s="55"/>
      <c r="E111" s="56" t="s">
        <v>3334</v>
      </c>
      <c r="F111" s="55" t="s">
        <v>55</v>
      </c>
      <c r="G111" s="57"/>
      <c r="H111" s="58"/>
      <c r="I111" s="58"/>
      <c r="J111" s="58">
        <f>SUM(I111:I112)</f>
        <v>4295.6099999999997</v>
      </c>
      <c r="K111" s="58">
        <v>0</v>
      </c>
      <c r="L111" s="58">
        <v>4295.6099999999997</v>
      </c>
      <c r="M111" s="58">
        <v>0</v>
      </c>
      <c r="N111" s="58">
        <v>0</v>
      </c>
      <c r="O111" s="58">
        <v>0</v>
      </c>
      <c r="P111" s="58"/>
      <c r="Q111" s="56"/>
      <c r="R111" s="56" t="s">
        <v>166</v>
      </c>
      <c r="S111" s="286" t="str">
        <f t="shared" si="4"/>
        <v>SIM</v>
      </c>
      <c r="T111" s="286" t="str">
        <f>IF($C111= "", T110, IF(ISNA(VLOOKUP($C111,'ABC-S'!$A$5:$A$271,1,FALSE)), "", VLOOKUP($C111,'ABC-S'!$A$5:$A$271,1,FALSE)))</f>
        <v>CP0127</v>
      </c>
      <c r="W111" s="286" t="s">
        <v>3333</v>
      </c>
      <c r="X111" s="286"/>
      <c r="Y111" s="286"/>
      <c r="Z111" s="286"/>
      <c r="AA111" s="286" t="s">
        <v>21</v>
      </c>
      <c r="AB111" s="378">
        <v>0</v>
      </c>
      <c r="AC111" s="378"/>
      <c r="AD111" s="335"/>
      <c r="AE111" s="335"/>
      <c r="AF111" s="335"/>
      <c r="AG111" s="378">
        <v>0</v>
      </c>
      <c r="AI111" s="378" t="s">
        <v>21</v>
      </c>
      <c r="AJ111" s="378" t="s">
        <v>21</v>
      </c>
      <c r="AL111" s="286"/>
      <c r="AM111" s="286"/>
    </row>
    <row r="112" spans="1:39" s="51" customFormat="1" x14ac:dyDescent="0.25">
      <c r="A112" s="59" t="s">
        <v>3333</v>
      </c>
      <c r="B112" s="59" t="s">
        <v>86</v>
      </c>
      <c r="C112" s="59"/>
      <c r="D112" s="59" t="s">
        <v>3335</v>
      </c>
      <c r="E112" s="60" t="s">
        <v>3336</v>
      </c>
      <c r="F112" s="59" t="s">
        <v>55</v>
      </c>
      <c r="G112" s="61">
        <v>1</v>
      </c>
      <c r="H112" s="62">
        <v>4295.6099999999997</v>
      </c>
      <c r="I112" s="62">
        <f>IF($D112="","",G112*H112)</f>
        <v>4295.6099999999997</v>
      </c>
      <c r="J112" s="62"/>
      <c r="K112" s="62">
        <v>0</v>
      </c>
      <c r="L112" s="62">
        <v>4295.6099999999997</v>
      </c>
      <c r="M112" s="62">
        <v>0</v>
      </c>
      <c r="N112" s="62">
        <v>0</v>
      </c>
      <c r="O112" s="62">
        <v>0</v>
      </c>
      <c r="P112" s="298" t="s">
        <v>89</v>
      </c>
      <c r="Q112" s="60" t="s">
        <v>333</v>
      </c>
      <c r="R112" s="60" t="s">
        <v>354</v>
      </c>
      <c r="S112" s="286" t="str">
        <f t="shared" si="4"/>
        <v>SIM</v>
      </c>
      <c r="T112" s="286" t="str">
        <f>IF($C112= "", T111, IF(ISNA(VLOOKUP($C112,'ABC-S'!$A$5:$A$271,1,FALSE)), "", VLOOKUP($C112,'ABC-S'!$A$5:$A$271,1,FALSE)))</f>
        <v>CP0127</v>
      </c>
      <c r="W112" s="286" t="s">
        <v>3333</v>
      </c>
      <c r="X112" s="286" t="s">
        <v>21</v>
      </c>
      <c r="Y112" s="286" t="s">
        <v>21</v>
      </c>
      <c r="Z112" s="286" t="s">
        <v>21</v>
      </c>
      <c r="AA112" s="286" t="s">
        <v>21</v>
      </c>
      <c r="AB112" s="378"/>
      <c r="AC112" s="381" t="s">
        <v>21</v>
      </c>
      <c r="AD112" s="378" t="s">
        <v>21</v>
      </c>
      <c r="AE112" s="378" t="s">
        <v>21</v>
      </c>
      <c r="AF112" s="378" t="s">
        <v>21</v>
      </c>
      <c r="AG112" s="378"/>
      <c r="AI112" s="378" t="s">
        <v>21</v>
      </c>
      <c r="AJ112" s="378" t="s">
        <v>21</v>
      </c>
      <c r="AL112" s="286"/>
      <c r="AM112" s="286" t="s">
        <v>3335</v>
      </c>
    </row>
    <row r="113" spans="1:39" s="51" customFormat="1" ht="22.5" x14ac:dyDescent="0.25">
      <c r="A113" s="55" t="s">
        <v>1112</v>
      </c>
      <c r="B113" s="55" t="s">
        <v>138</v>
      </c>
      <c r="C113" s="55" t="s">
        <v>1112</v>
      </c>
      <c r="D113" s="55"/>
      <c r="E113" s="56" t="s">
        <v>1113</v>
      </c>
      <c r="F113" s="55" t="s">
        <v>41</v>
      </c>
      <c r="G113" s="57"/>
      <c r="H113" s="58"/>
      <c r="I113" s="58"/>
      <c r="J113" s="58">
        <f>SUM(I113:I115)</f>
        <v>10396.48957</v>
      </c>
      <c r="K113" s="58">
        <v>2039.7091999999998</v>
      </c>
      <c r="L113" s="58">
        <v>1056.7803699999999</v>
      </c>
      <c r="M113" s="58">
        <v>0</v>
      </c>
      <c r="N113" s="58">
        <v>7300</v>
      </c>
      <c r="O113" s="58">
        <v>0</v>
      </c>
      <c r="P113" s="58"/>
      <c r="Q113" s="56"/>
      <c r="R113" s="56" t="s">
        <v>1118</v>
      </c>
      <c r="S113" s="286" t="str">
        <f t="shared" si="4"/>
        <v>SIM</v>
      </c>
      <c r="T113" s="286" t="str">
        <f>IF($C113= "", T112, IF(ISNA(VLOOKUP($C113,'ABC-S'!$A$5:$A$271,1,FALSE)), "", VLOOKUP($C113,'ABC-S'!$A$5:$A$271,1,FALSE)))</f>
        <v>CP0201</v>
      </c>
      <c r="W113" s="286" t="s">
        <v>1112</v>
      </c>
      <c r="X113" s="286"/>
      <c r="Y113" s="286"/>
      <c r="Z113" s="286"/>
      <c r="AA113" s="286" t="s">
        <v>21</v>
      </c>
      <c r="AB113" s="378">
        <v>175.83699999999999</v>
      </c>
      <c r="AC113" s="378"/>
      <c r="AD113" s="335"/>
      <c r="AE113" s="335"/>
      <c r="AF113" s="335"/>
      <c r="AG113" s="378">
        <v>175.83699999999999</v>
      </c>
      <c r="AI113" s="378" t="s">
        <v>21</v>
      </c>
      <c r="AJ113" s="378" t="s">
        <v>21</v>
      </c>
      <c r="AL113" s="286"/>
      <c r="AM113" s="286"/>
    </row>
    <row r="114" spans="1:39" s="51" customFormat="1" ht="22.5" x14ac:dyDescent="0.25">
      <c r="A114" s="384" t="s">
        <v>1112</v>
      </c>
      <c r="B114" s="59" t="s">
        <v>86</v>
      </c>
      <c r="C114" s="248"/>
      <c r="D114" s="59" t="s">
        <v>1114</v>
      </c>
      <c r="E114" s="60" t="s">
        <v>1116</v>
      </c>
      <c r="F114" s="59" t="s">
        <v>41</v>
      </c>
      <c r="G114" s="61">
        <v>1</v>
      </c>
      <c r="H114" s="62">
        <v>7300</v>
      </c>
      <c r="I114" s="62">
        <f>IF($D114="","",G114*H114)</f>
        <v>7300</v>
      </c>
      <c r="J114" s="62"/>
      <c r="K114" s="62">
        <v>0</v>
      </c>
      <c r="L114" s="62">
        <v>0</v>
      </c>
      <c r="M114" s="62">
        <v>0</v>
      </c>
      <c r="N114" s="62">
        <v>7300</v>
      </c>
      <c r="O114" s="62">
        <v>0</v>
      </c>
      <c r="P114" s="298" t="s">
        <v>88</v>
      </c>
      <c r="Q114" s="60" t="s">
        <v>1119</v>
      </c>
      <c r="R114" s="60" t="s">
        <v>304</v>
      </c>
      <c r="S114" s="286" t="str">
        <f t="shared" si="4"/>
        <v>SIM</v>
      </c>
      <c r="T114" s="286" t="str">
        <f>IF($C114= "", T113, IF(ISNA(VLOOKUP($C114,'ABC-S'!$A$5:$A$271,1,FALSE)), "", VLOOKUP($C114,'ABC-S'!$A$5:$A$271,1,FALSE)))</f>
        <v>CP0201</v>
      </c>
      <c r="W114" s="286" t="s">
        <v>1112</v>
      </c>
      <c r="X114" s="286" t="s">
        <v>21</v>
      </c>
      <c r="Y114" s="286" t="s">
        <v>21</v>
      </c>
      <c r="Z114" s="286" t="s">
        <v>21</v>
      </c>
      <c r="AA114" s="286" t="s">
        <v>21</v>
      </c>
      <c r="AB114" s="378"/>
      <c r="AC114" s="381" t="s">
        <v>21</v>
      </c>
      <c r="AD114" s="378" t="s">
        <v>21</v>
      </c>
      <c r="AE114" s="378" t="s">
        <v>21</v>
      </c>
      <c r="AF114" s="378" t="s">
        <v>21</v>
      </c>
      <c r="AG114" s="378"/>
      <c r="AI114" s="378" t="s">
        <v>21</v>
      </c>
      <c r="AJ114" s="378" t="s">
        <v>21</v>
      </c>
      <c r="AL114" s="286"/>
      <c r="AM114" s="286" t="s">
        <v>1114</v>
      </c>
    </row>
    <row r="115" spans="1:39" s="51" customFormat="1" x14ac:dyDescent="0.25">
      <c r="A115" s="384" t="s">
        <v>1112</v>
      </c>
      <c r="B115" s="59" t="s">
        <v>87</v>
      </c>
      <c r="C115" s="248"/>
      <c r="D115" s="59">
        <v>88316</v>
      </c>
      <c r="E115" s="60" t="s">
        <v>649</v>
      </c>
      <c r="F115" s="59" t="s">
        <v>46</v>
      </c>
      <c r="G115" s="61">
        <v>175.83699999999999</v>
      </c>
      <c r="H115" s="62">
        <v>17.61</v>
      </c>
      <c r="I115" s="62">
        <f>IF($D115="","",G115*H115)</f>
        <v>3096.4895699999997</v>
      </c>
      <c r="J115" s="62"/>
      <c r="K115" s="62">
        <v>2039.7091999999998</v>
      </c>
      <c r="L115" s="62">
        <v>1056.7803699999999</v>
      </c>
      <c r="M115" s="62">
        <v>0</v>
      </c>
      <c r="N115" s="62">
        <v>0</v>
      </c>
      <c r="O115" s="62">
        <v>0</v>
      </c>
      <c r="P115" s="298" t="s">
        <v>4160</v>
      </c>
      <c r="Q115" s="60" t="s">
        <v>27</v>
      </c>
      <c r="R115" s="60" t="s">
        <v>304</v>
      </c>
      <c r="S115" s="286" t="str">
        <f t="shared" si="4"/>
        <v>SIM</v>
      </c>
      <c r="T115" s="286" t="str">
        <f>IF($C115= "", T114, IF(ISNA(VLOOKUP($C115,'ABC-S'!$A$5:$A$271,1,FALSE)), "", VLOOKUP($C115,'ABC-S'!$A$5:$A$271,1,FALSE)))</f>
        <v>CP0201</v>
      </c>
      <c r="W115" s="286" t="s">
        <v>1112</v>
      </c>
      <c r="X115" s="286">
        <v>88316</v>
      </c>
      <c r="Y115" s="286" t="s">
        <v>424</v>
      </c>
      <c r="Z115" s="335">
        <v>1</v>
      </c>
      <c r="AA115" s="286">
        <v>175.83699999999999</v>
      </c>
      <c r="AB115" s="378"/>
      <c r="AC115" s="381" t="s">
        <v>21</v>
      </c>
      <c r="AD115" s="378" t="s">
        <v>21</v>
      </c>
      <c r="AE115" s="378" t="s">
        <v>21</v>
      </c>
      <c r="AF115" s="378" t="s">
        <v>21</v>
      </c>
      <c r="AG115" s="378"/>
      <c r="AI115" s="378">
        <v>0</v>
      </c>
      <c r="AJ115" s="378">
        <v>0</v>
      </c>
      <c r="AL115" s="286">
        <v>88316</v>
      </c>
      <c r="AM115" s="286"/>
    </row>
    <row r="116" spans="1:39" s="51" customFormat="1" ht="45" hidden="1" x14ac:dyDescent="0.25">
      <c r="A116" s="55">
        <v>100652</v>
      </c>
      <c r="B116" s="55" t="s">
        <v>38</v>
      </c>
      <c r="C116" s="55" t="s">
        <v>1120</v>
      </c>
      <c r="D116" s="55"/>
      <c r="E116" s="56" t="s">
        <v>1121</v>
      </c>
      <c r="F116" s="55" t="s">
        <v>22</v>
      </c>
      <c r="G116" s="57"/>
      <c r="H116" s="58"/>
      <c r="I116" s="58"/>
      <c r="J116" s="58">
        <f>SUM(I116:I126)</f>
        <v>146.6182959108838</v>
      </c>
      <c r="K116" s="58">
        <v>12.219503212610736</v>
      </c>
      <c r="L116" s="58">
        <v>111.30421769827306</v>
      </c>
      <c r="M116" s="58">
        <v>23.094574999999999</v>
      </c>
      <c r="N116" s="58">
        <v>0</v>
      </c>
      <c r="O116" s="58">
        <v>-1.9984014443252818E-15</v>
      </c>
      <c r="P116" s="58"/>
      <c r="Q116" s="56"/>
      <c r="R116" s="56" t="s">
        <v>1122</v>
      </c>
      <c r="S116" s="286" t="str">
        <f t="shared" si="4"/>
        <v/>
      </c>
      <c r="T116" s="286" t="str">
        <f>IF($C116= "", T115, IF(ISNA(VLOOKUP($C116,'ABC-S'!$A$5:$A$271,1,FALSE)), "", VLOOKUP($C116,'ABC-S'!$A$5:$A$271,1,FALSE)))</f>
        <v/>
      </c>
      <c r="W116" s="286" t="s">
        <v>1120</v>
      </c>
      <c r="X116" s="286"/>
      <c r="Y116" s="286"/>
      <c r="Z116" s="286"/>
      <c r="AA116" s="286" t="s">
        <v>21</v>
      </c>
      <c r="AB116" s="378">
        <v>0.42849999999999999</v>
      </c>
      <c r="AC116" s="378"/>
      <c r="AD116" s="335"/>
      <c r="AE116" s="335"/>
      <c r="AF116" s="335"/>
      <c r="AG116" s="378">
        <v>0.73466516961959361</v>
      </c>
      <c r="AI116" s="378" t="s">
        <v>21</v>
      </c>
      <c r="AJ116" s="378" t="s">
        <v>21</v>
      </c>
      <c r="AL116" s="286"/>
      <c r="AM116" s="286"/>
    </row>
    <row r="117" spans="1:39" s="51" customFormat="1" ht="33.75" hidden="1" x14ac:dyDescent="0.25">
      <c r="A117" s="59">
        <v>100652</v>
      </c>
      <c r="B117" s="59" t="s">
        <v>86</v>
      </c>
      <c r="C117" s="59"/>
      <c r="D117" s="59">
        <v>38464</v>
      </c>
      <c r="E117" s="60" t="s">
        <v>349</v>
      </c>
      <c r="F117" s="59" t="s">
        <v>3670</v>
      </c>
      <c r="G117" s="61">
        <f>(PI() *(0.5 ^ 2) / 4) * (1 + 30%)</f>
        <v>0.25525440310417069</v>
      </c>
      <c r="H117" s="62">
        <v>358.87</v>
      </c>
      <c r="I117" s="62">
        <f>IF($D117="","",G117*H117)</f>
        <v>91.603147641993743</v>
      </c>
      <c r="J117" s="62"/>
      <c r="K117" s="62">
        <v>0</v>
      </c>
      <c r="L117" s="62">
        <v>91.603147641993743</v>
      </c>
      <c r="M117" s="62">
        <v>0</v>
      </c>
      <c r="N117" s="62">
        <v>0</v>
      </c>
      <c r="O117" s="62">
        <v>0</v>
      </c>
      <c r="P117" s="298" t="s">
        <v>89</v>
      </c>
      <c r="Q117" s="60" t="s">
        <v>27</v>
      </c>
      <c r="R117" s="60" t="s">
        <v>1124</v>
      </c>
      <c r="S117" s="286" t="str">
        <f t="shared" si="4"/>
        <v/>
      </c>
      <c r="T117" s="286" t="str">
        <f>IF($C117= "", T116, IF(ISNA(VLOOKUP($C117,'ABC-S'!$A$5:$A$271,1,FALSE)), "", VLOOKUP($C117,'ABC-S'!$A$5:$A$271,1,FALSE)))</f>
        <v/>
      </c>
      <c r="W117" s="286" t="s">
        <v>1120</v>
      </c>
      <c r="X117" s="286" t="s">
        <v>21</v>
      </c>
      <c r="Y117" s="286" t="s">
        <v>21</v>
      </c>
      <c r="Z117" s="286" t="s">
        <v>21</v>
      </c>
      <c r="AA117" s="286" t="s">
        <v>21</v>
      </c>
      <c r="AB117" s="378"/>
      <c r="AC117" s="381" t="s">
        <v>21</v>
      </c>
      <c r="AD117" s="378" t="s">
        <v>21</v>
      </c>
      <c r="AE117" s="378" t="s">
        <v>21</v>
      </c>
      <c r="AF117" s="378" t="s">
        <v>21</v>
      </c>
      <c r="AG117" s="378"/>
      <c r="AI117" s="378" t="s">
        <v>21</v>
      </c>
      <c r="AJ117" s="378" t="s">
        <v>21</v>
      </c>
      <c r="AL117" s="286"/>
      <c r="AM117" s="286">
        <v>38464</v>
      </c>
    </row>
    <row r="118" spans="1:39" s="51" customFormat="1" hidden="1" x14ac:dyDescent="0.25">
      <c r="A118" s="59">
        <v>100652</v>
      </c>
      <c r="B118" s="59" t="s">
        <v>87</v>
      </c>
      <c r="C118" s="248"/>
      <c r="D118" s="59">
        <v>88316</v>
      </c>
      <c r="E118" s="60" t="s">
        <v>649</v>
      </c>
      <c r="F118" s="59" t="s">
        <v>46</v>
      </c>
      <c r="G118" s="61">
        <v>0.307</v>
      </c>
      <c r="H118" s="62">
        <v>17.61</v>
      </c>
      <c r="I118" s="62">
        <f t="shared" ref="I118:I126" si="7">IF($D118="","",G118*H118)</f>
        <v>5.4062700000000001</v>
      </c>
      <c r="J118" s="62"/>
      <c r="K118" s="62">
        <v>3.5611999999999999</v>
      </c>
      <c r="L118" s="62">
        <v>1.84507</v>
      </c>
      <c r="M118" s="62">
        <v>0</v>
      </c>
      <c r="N118" s="62">
        <v>0</v>
      </c>
      <c r="O118" s="62">
        <v>0</v>
      </c>
      <c r="P118" s="298" t="s">
        <v>4160</v>
      </c>
      <c r="Q118" s="60" t="s">
        <v>27</v>
      </c>
      <c r="R118" s="60" t="s">
        <v>27</v>
      </c>
      <c r="S118" s="286" t="str">
        <f t="shared" si="4"/>
        <v/>
      </c>
      <c r="T118" s="286" t="str">
        <f>IF($C118= "", T117, IF(ISNA(VLOOKUP($C118,'ABC-S'!$A$5:$A$271,1,FALSE)), "", VLOOKUP($C118,'ABC-S'!$A$5:$A$271,1,FALSE)))</f>
        <v/>
      </c>
      <c r="W118" s="286" t="s">
        <v>1120</v>
      </c>
      <c r="X118" s="286">
        <v>88316</v>
      </c>
      <c r="Y118" s="286" t="s">
        <v>424</v>
      </c>
      <c r="Z118" s="335">
        <v>0</v>
      </c>
      <c r="AA118" s="286">
        <v>0.307</v>
      </c>
      <c r="AB118" s="378"/>
      <c r="AC118" s="381" t="s">
        <v>21</v>
      </c>
      <c r="AD118" s="378" t="s">
        <v>21</v>
      </c>
      <c r="AE118" s="378" t="s">
        <v>21</v>
      </c>
      <c r="AF118" s="378" t="s">
        <v>21</v>
      </c>
      <c r="AG118" s="378"/>
      <c r="AI118" s="378">
        <v>0</v>
      </c>
      <c r="AJ118" s="378">
        <v>0</v>
      </c>
      <c r="AL118" s="286">
        <v>88316</v>
      </c>
      <c r="AM118" s="286"/>
    </row>
    <row r="119" spans="1:39" s="51" customFormat="1" ht="56.25" hidden="1" x14ac:dyDescent="0.25">
      <c r="A119" s="59">
        <v>100652</v>
      </c>
      <c r="B119" s="59" t="s">
        <v>87</v>
      </c>
      <c r="C119" s="248"/>
      <c r="D119" s="59">
        <v>90674</v>
      </c>
      <c r="E119" s="60" t="s">
        <v>431</v>
      </c>
      <c r="F119" s="59" t="s">
        <v>76</v>
      </c>
      <c r="G119" s="61">
        <v>2.9600000000000001E-2</v>
      </c>
      <c r="H119" s="62">
        <v>469.36</v>
      </c>
      <c r="I119" s="62">
        <f>IF($D119="","",G119*H119)</f>
        <v>13.893056000000001</v>
      </c>
      <c r="J119" s="62"/>
      <c r="K119" s="62">
        <v>0.39693600000000001</v>
      </c>
      <c r="L119" s="62">
        <v>2.8543280000000002</v>
      </c>
      <c r="M119" s="62">
        <v>10.641792000000001</v>
      </c>
      <c r="N119" s="62">
        <v>0</v>
      </c>
      <c r="O119" s="62">
        <v>0</v>
      </c>
      <c r="P119" s="298" t="s">
        <v>4160</v>
      </c>
      <c r="Q119" s="60" t="s">
        <v>27</v>
      </c>
      <c r="R119" s="60" t="s">
        <v>27</v>
      </c>
      <c r="S119" s="286" t="str">
        <f t="shared" si="4"/>
        <v/>
      </c>
      <c r="T119" s="286" t="str">
        <f>IF($C119= "", T118, IF(ISNA(VLOOKUP($C119,'ABC-S'!$A$5:$A$271,1,FALSE)), "", VLOOKUP($C119,'ABC-S'!$A$5:$A$271,1,FALSE)))</f>
        <v/>
      </c>
      <c r="W119" s="286" t="s">
        <v>1120</v>
      </c>
      <c r="X119" s="286" t="s">
        <v>21</v>
      </c>
      <c r="Y119" s="286" t="s">
        <v>423</v>
      </c>
      <c r="Z119" s="335" t="s">
        <v>21</v>
      </c>
      <c r="AA119" s="286" t="s">
        <v>21</v>
      </c>
      <c r="AB119" s="378"/>
      <c r="AC119" s="381">
        <v>90674</v>
      </c>
      <c r="AD119" s="378">
        <v>2.9600000000000001E-2</v>
      </c>
      <c r="AE119" s="378">
        <v>1</v>
      </c>
      <c r="AF119" s="378">
        <v>2.9600000000000001E-2</v>
      </c>
      <c r="AG119" s="378"/>
      <c r="AI119" s="378">
        <v>0</v>
      </c>
      <c r="AJ119" s="378">
        <v>0</v>
      </c>
      <c r="AL119" s="286">
        <v>90674</v>
      </c>
      <c r="AM119" s="286"/>
    </row>
    <row r="120" spans="1:39" s="51" customFormat="1" ht="56.25" hidden="1" x14ac:dyDescent="0.25">
      <c r="A120" s="59">
        <v>100652</v>
      </c>
      <c r="B120" s="59" t="s">
        <v>87</v>
      </c>
      <c r="C120" s="248"/>
      <c r="D120" s="59">
        <v>90675</v>
      </c>
      <c r="E120" s="60" t="s">
        <v>436</v>
      </c>
      <c r="F120" s="59" t="s">
        <v>75</v>
      </c>
      <c r="G120" s="61">
        <v>7.2700000000000001E-2</v>
      </c>
      <c r="H120" s="62">
        <v>189.93</v>
      </c>
      <c r="I120" s="62">
        <f>IF($D120="","",G120*H120)</f>
        <v>13.807911000000001</v>
      </c>
      <c r="J120" s="62"/>
      <c r="K120" s="62">
        <v>0.97490699999999997</v>
      </c>
      <c r="L120" s="62">
        <v>0.38022100000000003</v>
      </c>
      <c r="M120" s="62">
        <v>12.452783</v>
      </c>
      <c r="N120" s="62">
        <v>0</v>
      </c>
      <c r="O120" s="62">
        <v>0</v>
      </c>
      <c r="P120" s="298" t="s">
        <v>4160</v>
      </c>
      <c r="Q120" s="60" t="s">
        <v>27</v>
      </c>
      <c r="R120" s="60" t="s">
        <v>27</v>
      </c>
      <c r="S120" s="286" t="str">
        <f t="shared" si="4"/>
        <v/>
      </c>
      <c r="T120" s="286" t="str">
        <f>IF($C120= "", T119, IF(ISNA(VLOOKUP($C120,'ABC-S'!$A$5:$A$271,1,FALSE)), "", VLOOKUP($C120,'ABC-S'!$A$5:$A$271,1,FALSE)))</f>
        <v/>
      </c>
      <c r="W120" s="286" t="s">
        <v>1120</v>
      </c>
      <c r="X120" s="286" t="s">
        <v>21</v>
      </c>
      <c r="Y120" s="286" t="s">
        <v>423</v>
      </c>
      <c r="Z120" s="335" t="s">
        <v>21</v>
      </c>
      <c r="AA120" s="286" t="s">
        <v>21</v>
      </c>
      <c r="AB120" s="378"/>
      <c r="AC120" s="381">
        <v>90675</v>
      </c>
      <c r="AD120" s="378">
        <v>7.2700000000000001E-2</v>
      </c>
      <c r="AE120" s="378">
        <v>1</v>
      </c>
      <c r="AF120" s="378">
        <v>7.2700000000000001E-2</v>
      </c>
      <c r="AG120" s="378"/>
      <c r="AI120" s="378">
        <v>0</v>
      </c>
      <c r="AJ120" s="378">
        <v>0</v>
      </c>
      <c r="AL120" s="286">
        <v>90675</v>
      </c>
      <c r="AM120" s="286"/>
    </row>
    <row r="121" spans="1:39" s="51" customFormat="1" hidden="1" x14ac:dyDescent="0.25">
      <c r="A121" s="59">
        <v>100652</v>
      </c>
      <c r="B121" s="59" t="s">
        <v>87</v>
      </c>
      <c r="C121" s="248"/>
      <c r="D121" s="59">
        <v>90776</v>
      </c>
      <c r="E121" s="60" t="s">
        <v>557</v>
      </c>
      <c r="F121" s="59" t="s">
        <v>46</v>
      </c>
      <c r="G121" s="61">
        <v>0.1023</v>
      </c>
      <c r="H121" s="62">
        <v>19.41</v>
      </c>
      <c r="I121" s="62">
        <f>IF($D121="","",G121*H121)</f>
        <v>1.985643</v>
      </c>
      <c r="J121" s="62"/>
      <c r="K121" s="62">
        <v>1.8188940000000002</v>
      </c>
      <c r="L121" s="62">
        <v>0.16674899999999998</v>
      </c>
      <c r="M121" s="62">
        <v>0</v>
      </c>
      <c r="N121" s="62">
        <v>0</v>
      </c>
      <c r="O121" s="62">
        <v>-2.2204460492503131E-16</v>
      </c>
      <c r="P121" s="298" t="s">
        <v>4160</v>
      </c>
      <c r="Q121" s="60" t="s">
        <v>27</v>
      </c>
      <c r="R121" s="60" t="s">
        <v>27</v>
      </c>
      <c r="S121" s="286" t="str">
        <f t="shared" si="4"/>
        <v/>
      </c>
      <c r="T121" s="286" t="str">
        <f>IF($C121= "", T120, IF(ISNA(VLOOKUP($C121,'ABC-S'!$A$5:$A$271,1,FALSE)), "", VLOOKUP($C121,'ABC-S'!$A$5:$A$271,1,FALSE)))</f>
        <v/>
      </c>
      <c r="W121" s="286" t="s">
        <v>1120</v>
      </c>
      <c r="X121" s="286">
        <v>90776</v>
      </c>
      <c r="Y121" s="286" t="s">
        <v>424</v>
      </c>
      <c r="Z121" s="335">
        <v>0</v>
      </c>
      <c r="AA121" s="286">
        <v>0.1023</v>
      </c>
      <c r="AB121" s="378"/>
      <c r="AC121" s="381" t="s">
        <v>21</v>
      </c>
      <c r="AD121" s="378" t="s">
        <v>21</v>
      </c>
      <c r="AE121" s="378" t="s">
        <v>21</v>
      </c>
      <c r="AF121" s="378" t="s">
        <v>21</v>
      </c>
      <c r="AG121" s="378"/>
      <c r="AI121" s="378">
        <v>0</v>
      </c>
      <c r="AJ121" s="378">
        <v>0</v>
      </c>
      <c r="AL121" s="286">
        <v>90776</v>
      </c>
      <c r="AM121" s="286"/>
    </row>
    <row r="122" spans="1:39" s="51" customFormat="1" ht="22.5" hidden="1" x14ac:dyDescent="0.25">
      <c r="A122" s="59">
        <v>100652</v>
      </c>
      <c r="B122" s="59" t="s">
        <v>87</v>
      </c>
      <c r="C122" s="248"/>
      <c r="D122" s="59">
        <v>90778</v>
      </c>
      <c r="E122" s="60" t="s">
        <v>48</v>
      </c>
      <c r="F122" s="59" t="s">
        <v>46</v>
      </c>
      <c r="G122" s="61">
        <v>1.9199999999999998E-2</v>
      </c>
      <c r="H122" s="62">
        <v>105.61</v>
      </c>
      <c r="I122" s="62">
        <f>IF($D122="","",G122*H122)</f>
        <v>2.0277119999999997</v>
      </c>
      <c r="J122" s="62"/>
      <c r="K122" s="62">
        <v>2.0052479999999999</v>
      </c>
      <c r="L122" s="62">
        <v>2.2463999999999998E-2</v>
      </c>
      <c r="M122" s="62">
        <v>0</v>
      </c>
      <c r="N122" s="62">
        <v>0</v>
      </c>
      <c r="O122" s="62">
        <v>0</v>
      </c>
      <c r="P122" s="298" t="s">
        <v>4160</v>
      </c>
      <c r="Q122" s="60" t="s">
        <v>27</v>
      </c>
      <c r="R122" s="60" t="s">
        <v>27</v>
      </c>
      <c r="S122" s="286" t="str">
        <f t="shared" si="4"/>
        <v/>
      </c>
      <c r="T122" s="286" t="str">
        <f>IF($C122= "", T121, IF(ISNA(VLOOKUP($C122,'ABC-S'!$A$5:$A$271,1,FALSE)), "", VLOOKUP($C122,'ABC-S'!$A$5:$A$271,1,FALSE)))</f>
        <v/>
      </c>
      <c r="W122" s="286" t="s">
        <v>1120</v>
      </c>
      <c r="X122" s="286">
        <v>90778</v>
      </c>
      <c r="Y122" s="286" t="s">
        <v>424</v>
      </c>
      <c r="Z122" s="335">
        <v>0</v>
      </c>
      <c r="AA122" s="286">
        <v>1.9199999999999998E-2</v>
      </c>
      <c r="AB122" s="378"/>
      <c r="AC122" s="381" t="s">
        <v>21</v>
      </c>
      <c r="AD122" s="378" t="s">
        <v>21</v>
      </c>
      <c r="AE122" s="378" t="s">
        <v>21</v>
      </c>
      <c r="AF122" s="378" t="s">
        <v>21</v>
      </c>
      <c r="AG122" s="378"/>
      <c r="AI122" s="378">
        <v>0</v>
      </c>
      <c r="AJ122" s="378">
        <v>0</v>
      </c>
      <c r="AL122" s="286">
        <v>90778</v>
      </c>
      <c r="AM122" s="286"/>
    </row>
    <row r="123" spans="1:39" s="51" customFormat="1" ht="45" hidden="1" x14ac:dyDescent="0.25">
      <c r="A123" s="59">
        <v>100652</v>
      </c>
      <c r="B123" s="59" t="s">
        <v>87</v>
      </c>
      <c r="C123" s="248"/>
      <c r="D123" s="59">
        <v>95577</v>
      </c>
      <c r="E123" s="60" t="s">
        <v>602</v>
      </c>
      <c r="F123" s="59" t="s">
        <v>54</v>
      </c>
      <c r="G123" s="61">
        <f>(1495.61 * (1 + 10%)) / (101 * 19)</f>
        <v>0.85730640958832727</v>
      </c>
      <c r="H123" s="62">
        <v>13.36</v>
      </c>
      <c r="I123" s="62">
        <f>IF($D123="","",G123*H123)</f>
        <v>11.453613632100051</v>
      </c>
      <c r="J123" s="62"/>
      <c r="K123" s="62">
        <v>1.3288249348619072</v>
      </c>
      <c r="L123" s="62">
        <v>10.124788697238145</v>
      </c>
      <c r="M123" s="62">
        <v>0</v>
      </c>
      <c r="N123" s="62">
        <v>0</v>
      </c>
      <c r="O123" s="62">
        <v>-1.7763568394002505E-15</v>
      </c>
      <c r="P123" s="298" t="s">
        <v>4160</v>
      </c>
      <c r="Q123" s="60" t="s">
        <v>27</v>
      </c>
      <c r="R123" s="60" t="s">
        <v>1123</v>
      </c>
      <c r="S123" s="286" t="str">
        <f t="shared" si="4"/>
        <v/>
      </c>
      <c r="T123" s="286" t="str">
        <f>IF($C123= "", T122, IF(ISNA(VLOOKUP($C123,'ABC-S'!$A$5:$A$271,1,FALSE)), "", VLOOKUP($C123,'ABC-S'!$A$5:$A$271,1,FALSE)))</f>
        <v/>
      </c>
      <c r="W123" s="286" t="s">
        <v>1120</v>
      </c>
      <c r="X123" s="286" t="s">
        <v>21</v>
      </c>
      <c r="Y123" s="286" t="s">
        <v>1513</v>
      </c>
      <c r="Z123" s="335" t="s">
        <v>21</v>
      </c>
      <c r="AA123" s="286" t="s">
        <v>21</v>
      </c>
      <c r="AB123" s="378"/>
      <c r="AC123" s="381">
        <v>95577</v>
      </c>
      <c r="AD123" s="378">
        <v>0.85730640958832727</v>
      </c>
      <c r="AE123" s="378">
        <v>9.2300000000000021E-2</v>
      </c>
      <c r="AF123" s="378">
        <v>7.912938160500263E-2</v>
      </c>
      <c r="AG123" s="378"/>
      <c r="AI123" s="378">
        <v>0</v>
      </c>
      <c r="AJ123" s="378">
        <v>0</v>
      </c>
      <c r="AL123" s="286">
        <v>95577</v>
      </c>
      <c r="AM123" s="286"/>
    </row>
    <row r="124" spans="1:39" s="51" customFormat="1" ht="45" hidden="1" x14ac:dyDescent="0.25">
      <c r="A124" s="59">
        <v>100652</v>
      </c>
      <c r="B124" s="59" t="s">
        <v>87</v>
      </c>
      <c r="C124" s="248"/>
      <c r="D124" s="59">
        <v>95583</v>
      </c>
      <c r="E124" s="60" t="s">
        <v>604</v>
      </c>
      <c r="F124" s="59" t="s">
        <v>54</v>
      </c>
      <c r="G124" s="61">
        <f>(641.72 * (1 + 10%)) / (101 * 19)</f>
        <v>0.3678436685773841</v>
      </c>
      <c r="H124" s="62">
        <v>17.510000000000002</v>
      </c>
      <c r="I124" s="62">
        <f t="shared" si="7"/>
        <v>6.4409426367899965</v>
      </c>
      <c r="J124" s="62"/>
      <c r="K124" s="62">
        <v>2.1334932777488276</v>
      </c>
      <c r="L124" s="62">
        <v>4.3074493590411684</v>
      </c>
      <c r="M124" s="62">
        <v>0</v>
      </c>
      <c r="N124" s="62">
        <v>0</v>
      </c>
      <c r="O124" s="62">
        <v>0</v>
      </c>
      <c r="P124" s="298" t="s">
        <v>4160</v>
      </c>
      <c r="Q124" s="60" t="s">
        <v>27</v>
      </c>
      <c r="R124" s="60" t="s">
        <v>1123</v>
      </c>
      <c r="S124" s="286" t="str">
        <f t="shared" si="4"/>
        <v/>
      </c>
      <c r="T124" s="286" t="str">
        <f>IF($C124= "", T123, IF(ISNA(VLOOKUP($C124,'ABC-S'!$A$5:$A$271,1,FALSE)), "", VLOOKUP($C124,'ABC-S'!$A$5:$A$271,1,FALSE)))</f>
        <v/>
      </c>
      <c r="W124" s="286" t="s">
        <v>1120</v>
      </c>
      <c r="X124" s="286" t="s">
        <v>21</v>
      </c>
      <c r="Y124" s="286" t="s">
        <v>1513</v>
      </c>
      <c r="Z124" s="335" t="s">
        <v>21</v>
      </c>
      <c r="AA124" s="286" t="s">
        <v>21</v>
      </c>
      <c r="AB124" s="378"/>
      <c r="AC124" s="381">
        <v>95583</v>
      </c>
      <c r="AD124" s="378">
        <v>0.3678436685773841</v>
      </c>
      <c r="AE124" s="378">
        <v>0.33910000000000007</v>
      </c>
      <c r="AF124" s="378">
        <v>0.12473578801459097</v>
      </c>
      <c r="AG124" s="378"/>
      <c r="AI124" s="378">
        <v>0</v>
      </c>
      <c r="AJ124" s="378">
        <v>0</v>
      </c>
      <c r="AL124" s="286">
        <v>95583</v>
      </c>
      <c r="AM124" s="286"/>
    </row>
    <row r="125" spans="1:39" s="51" customFormat="1" ht="45" hidden="1" x14ac:dyDescent="0.25">
      <c r="A125" s="59">
        <v>100652</v>
      </c>
      <c r="B125" s="59" t="s">
        <v>87</v>
      </c>
      <c r="C125" s="59"/>
      <c r="D125" s="59">
        <v>97913</v>
      </c>
      <c r="E125" s="60" t="s">
        <v>790</v>
      </c>
      <c r="F125" s="59" t="s">
        <v>43</v>
      </c>
      <c r="G125" s="61">
        <v>0</v>
      </c>
      <c r="H125" s="62">
        <v>2.2200000000000002</v>
      </c>
      <c r="I125" s="62">
        <f t="shared" si="7"/>
        <v>0</v>
      </c>
      <c r="J125" s="62"/>
      <c r="K125" s="62">
        <v>0</v>
      </c>
      <c r="L125" s="62">
        <v>0</v>
      </c>
      <c r="M125" s="62">
        <v>0</v>
      </c>
      <c r="N125" s="62">
        <v>0</v>
      </c>
      <c r="O125" s="62">
        <v>0</v>
      </c>
      <c r="P125" s="298" t="s">
        <v>4160</v>
      </c>
      <c r="Q125" s="60" t="s">
        <v>27</v>
      </c>
      <c r="R125" s="60" t="s">
        <v>1125</v>
      </c>
      <c r="S125" s="286" t="str">
        <f t="shared" si="4"/>
        <v/>
      </c>
      <c r="T125" s="286" t="str">
        <f>IF($C125= "", T124, IF(ISNA(VLOOKUP($C125,'ABC-S'!$A$5:$A$271,1,FALSE)), "", VLOOKUP($C125,'ABC-S'!$A$5:$A$271,1,FALSE)))</f>
        <v/>
      </c>
      <c r="W125" s="286" t="s">
        <v>1120</v>
      </c>
      <c r="X125" s="286" t="s">
        <v>21</v>
      </c>
      <c r="Y125" s="286" t="s">
        <v>1098</v>
      </c>
      <c r="Z125" s="335" t="s">
        <v>21</v>
      </c>
      <c r="AA125" s="286" t="s">
        <v>21</v>
      </c>
      <c r="AB125" s="378"/>
      <c r="AC125" s="381">
        <v>97913</v>
      </c>
      <c r="AD125" s="378">
        <v>0</v>
      </c>
      <c r="AE125" s="378">
        <v>2.1700000000000001E-2</v>
      </c>
      <c r="AF125" s="378">
        <v>0</v>
      </c>
      <c r="AG125" s="378"/>
      <c r="AI125" s="378">
        <v>0</v>
      </c>
      <c r="AJ125" s="378">
        <v>0</v>
      </c>
      <c r="AL125" s="286">
        <v>97913</v>
      </c>
      <c r="AM125" s="286"/>
    </row>
    <row r="126" spans="1:39" s="51" customFormat="1" ht="56.25" hidden="1" x14ac:dyDescent="0.25">
      <c r="A126" s="59">
        <v>100652</v>
      </c>
      <c r="B126" s="59" t="s">
        <v>87</v>
      </c>
      <c r="C126" s="59"/>
      <c r="D126" s="59">
        <v>100973</v>
      </c>
      <c r="E126" s="60" t="s">
        <v>775</v>
      </c>
      <c r="F126" s="59" t="s">
        <v>44</v>
      </c>
      <c r="G126" s="61">
        <v>0</v>
      </c>
      <c r="H126" s="62">
        <v>6.16</v>
      </c>
      <c r="I126" s="62">
        <f t="shared" si="7"/>
        <v>0</v>
      </c>
      <c r="J126" s="62"/>
      <c r="K126" s="62">
        <v>0</v>
      </c>
      <c r="L126" s="62">
        <v>0</v>
      </c>
      <c r="M126" s="62">
        <v>0</v>
      </c>
      <c r="N126" s="62">
        <v>0</v>
      </c>
      <c r="O126" s="62">
        <v>0</v>
      </c>
      <c r="P126" s="298" t="s">
        <v>4160</v>
      </c>
      <c r="Q126" s="60" t="s">
        <v>27</v>
      </c>
      <c r="R126" s="60" t="s">
        <v>1125</v>
      </c>
      <c r="S126" s="286" t="str">
        <f t="shared" si="4"/>
        <v/>
      </c>
      <c r="T126" s="286" t="str">
        <f>IF($C126= "", T125, IF(ISNA(VLOOKUP($C126,'ABC-S'!$A$5:$A$271,1,FALSE)), "", VLOOKUP($C126,'ABC-S'!$A$5:$A$271,1,FALSE)))</f>
        <v/>
      </c>
      <c r="W126" s="286" t="s">
        <v>1120</v>
      </c>
      <c r="X126" s="286" t="s">
        <v>21</v>
      </c>
      <c r="Y126" s="286" t="s">
        <v>1513</v>
      </c>
      <c r="Z126" s="335" t="s">
        <v>21</v>
      </c>
      <c r="AA126" s="286" t="s">
        <v>21</v>
      </c>
      <c r="AB126" s="378"/>
      <c r="AC126" s="381">
        <v>100973</v>
      </c>
      <c r="AD126" s="378">
        <v>0</v>
      </c>
      <c r="AE126" s="378">
        <v>7.0400000000000004E-2</v>
      </c>
      <c r="AF126" s="378">
        <v>0</v>
      </c>
      <c r="AG126" s="378"/>
      <c r="AI126" s="378">
        <v>0</v>
      </c>
      <c r="AJ126" s="378">
        <v>0</v>
      </c>
      <c r="AL126" s="286">
        <v>100973</v>
      </c>
      <c r="AM126" s="286"/>
    </row>
    <row r="127" spans="1:39" s="51" customFormat="1" ht="33.75" hidden="1" x14ac:dyDescent="0.25">
      <c r="A127" s="55" t="s">
        <v>1010</v>
      </c>
      <c r="B127" s="55" t="s">
        <v>138</v>
      </c>
      <c r="C127" s="55" t="s">
        <v>1010</v>
      </c>
      <c r="D127" s="55"/>
      <c r="E127" s="56" t="s">
        <v>1011</v>
      </c>
      <c r="F127" s="55" t="s">
        <v>44</v>
      </c>
      <c r="G127" s="57"/>
      <c r="H127" s="58"/>
      <c r="I127" s="58"/>
      <c r="J127" s="58">
        <f>SUM(I127:I132)</f>
        <v>483.08967999999999</v>
      </c>
      <c r="K127" s="58">
        <v>59.792360000000002</v>
      </c>
      <c r="L127" s="58">
        <v>419.45535000000001</v>
      </c>
      <c r="M127" s="58">
        <v>2.5789900000000001</v>
      </c>
      <c r="N127" s="58">
        <v>0</v>
      </c>
      <c r="O127" s="58">
        <v>1.2629799999999392</v>
      </c>
      <c r="P127" s="58"/>
      <c r="Q127" s="56"/>
      <c r="R127" s="56" t="s">
        <v>1012</v>
      </c>
      <c r="S127" s="286" t="str">
        <f t="shared" si="4"/>
        <v/>
      </c>
      <c r="T127" s="286" t="str">
        <f>IF($C127= "", T126, IF(ISNA(VLOOKUP($C127,'ABC-S'!$A$5:$A$271,1,FALSE)), "", VLOOKUP($C127,'ABC-S'!$A$5:$A$271,1,FALSE)))</f>
        <v/>
      </c>
      <c r="W127" s="286" t="s">
        <v>1010</v>
      </c>
      <c r="X127" s="286"/>
      <c r="Y127" s="286"/>
      <c r="Z127" s="286"/>
      <c r="AA127" s="286" t="s">
        <v>21</v>
      </c>
      <c r="AB127" s="378">
        <v>1.008</v>
      </c>
      <c r="AC127" s="378"/>
      <c r="AD127" s="335"/>
      <c r="AE127" s="335"/>
      <c r="AF127" s="335"/>
      <c r="AG127" s="378">
        <v>4.7636759000000009</v>
      </c>
      <c r="AI127" s="378" t="s">
        <v>21</v>
      </c>
      <c r="AJ127" s="378" t="s">
        <v>21</v>
      </c>
      <c r="AL127" s="286"/>
      <c r="AM127" s="286"/>
    </row>
    <row r="128" spans="1:39" s="51" customFormat="1" ht="33.75" hidden="1" x14ac:dyDescent="0.25">
      <c r="A128" s="59" t="s">
        <v>1010</v>
      </c>
      <c r="B128" s="59" t="s">
        <v>87</v>
      </c>
      <c r="C128" s="59"/>
      <c r="D128" s="59">
        <v>94971</v>
      </c>
      <c r="E128" s="60" t="s">
        <v>3662</v>
      </c>
      <c r="F128" s="59" t="s">
        <v>44</v>
      </c>
      <c r="G128" s="61">
        <v>1.163</v>
      </c>
      <c r="H128" s="62">
        <v>397.28</v>
      </c>
      <c r="I128" s="62">
        <f>IF($D128="","",G128*H128)</f>
        <v>462.03663999999998</v>
      </c>
      <c r="J128" s="62"/>
      <c r="K128" s="62">
        <v>44.984839999999998</v>
      </c>
      <c r="L128" s="62">
        <v>413.34183000000002</v>
      </c>
      <c r="M128" s="62">
        <v>2.5004499999999998</v>
      </c>
      <c r="N128" s="62">
        <v>0</v>
      </c>
      <c r="O128" s="62">
        <v>1.2095199999999409</v>
      </c>
      <c r="P128" s="298" t="s">
        <v>4160</v>
      </c>
      <c r="Q128" s="60" t="s">
        <v>27</v>
      </c>
      <c r="R128" s="60" t="s">
        <v>1013</v>
      </c>
      <c r="S128" s="286" t="str">
        <f t="shared" si="4"/>
        <v/>
      </c>
      <c r="T128" s="286" t="str">
        <f>IF($C128= "", T127, IF(ISNA(VLOOKUP($C128,'ABC-S'!$A$5:$A$271,1,FALSE)), "", VLOOKUP($C128,'ABC-S'!$A$5:$A$271,1,FALSE)))</f>
        <v/>
      </c>
      <c r="W128" s="286" t="s">
        <v>1010</v>
      </c>
      <c r="X128" s="286" t="s">
        <v>21</v>
      </c>
      <c r="Y128" s="286" t="s">
        <v>1513</v>
      </c>
      <c r="Z128" s="335" t="s">
        <v>21</v>
      </c>
      <c r="AA128" s="286" t="s">
        <v>21</v>
      </c>
      <c r="AB128" s="378"/>
      <c r="AC128" s="381">
        <v>94971</v>
      </c>
      <c r="AD128" s="378">
        <v>1.163</v>
      </c>
      <c r="AE128" s="378">
        <v>3.2293000000000003</v>
      </c>
      <c r="AF128" s="378">
        <v>3.7556759000000004</v>
      </c>
      <c r="AG128" s="378"/>
      <c r="AI128" s="378">
        <v>2.5002</v>
      </c>
      <c r="AJ128" s="378">
        <v>2.9077326000000001</v>
      </c>
      <c r="AL128" s="286">
        <v>94971</v>
      </c>
      <c r="AM128" s="286"/>
    </row>
    <row r="129" spans="1:39" s="51" customFormat="1" hidden="1" x14ac:dyDescent="0.25">
      <c r="A129" s="59" t="s">
        <v>1010</v>
      </c>
      <c r="B129" s="59" t="s">
        <v>87</v>
      </c>
      <c r="C129" s="248"/>
      <c r="D129" s="59">
        <v>88309</v>
      </c>
      <c r="E129" s="60" t="s">
        <v>617</v>
      </c>
      <c r="F129" s="59" t="s">
        <v>46</v>
      </c>
      <c r="G129" s="61">
        <v>0.504</v>
      </c>
      <c r="H129" s="62">
        <v>23.9</v>
      </c>
      <c r="I129" s="62">
        <f>IF($D129="","",G129*H129)</f>
        <v>12.045599999999999</v>
      </c>
      <c r="J129" s="62"/>
      <c r="K129" s="62">
        <v>8.9611200000000011</v>
      </c>
      <c r="L129" s="62">
        <v>3.0844800000000001</v>
      </c>
      <c r="M129" s="62">
        <v>0</v>
      </c>
      <c r="N129" s="62">
        <v>0</v>
      </c>
      <c r="O129" s="62">
        <v>-1.7763568394002505E-15</v>
      </c>
      <c r="P129" s="298" t="s">
        <v>4160</v>
      </c>
      <c r="Q129" s="60" t="s">
        <v>27</v>
      </c>
      <c r="R129" s="60" t="s">
        <v>27</v>
      </c>
      <c r="S129" s="286" t="str">
        <f t="shared" si="4"/>
        <v/>
      </c>
      <c r="T129" s="286" t="str">
        <f>IF($C129= "", T128, IF(ISNA(VLOOKUP($C129,'ABC-S'!$A$5:$A$271,1,FALSE)), "", VLOOKUP($C129,'ABC-S'!$A$5:$A$271,1,FALSE)))</f>
        <v/>
      </c>
      <c r="W129" s="286" t="s">
        <v>1010</v>
      </c>
      <c r="X129" s="286">
        <v>88309</v>
      </c>
      <c r="Y129" s="286" t="s">
        <v>424</v>
      </c>
      <c r="Z129" s="335">
        <v>0</v>
      </c>
      <c r="AA129" s="286">
        <v>0.504</v>
      </c>
      <c r="AB129" s="378"/>
      <c r="AC129" s="381" t="s">
        <v>21</v>
      </c>
      <c r="AD129" s="378" t="s">
        <v>21</v>
      </c>
      <c r="AE129" s="378" t="s">
        <v>21</v>
      </c>
      <c r="AF129" s="378" t="s">
        <v>21</v>
      </c>
      <c r="AG129" s="378"/>
      <c r="AI129" s="378">
        <v>0</v>
      </c>
      <c r="AJ129" s="378">
        <v>0</v>
      </c>
      <c r="AL129" s="286">
        <v>88309</v>
      </c>
      <c r="AM129" s="286"/>
    </row>
    <row r="130" spans="1:39" s="51" customFormat="1" hidden="1" x14ac:dyDescent="0.25">
      <c r="A130" s="59" t="s">
        <v>1010</v>
      </c>
      <c r="B130" s="59" t="s">
        <v>87</v>
      </c>
      <c r="C130" s="248"/>
      <c r="D130" s="59">
        <v>88316</v>
      </c>
      <c r="E130" s="60" t="s">
        <v>649</v>
      </c>
      <c r="F130" s="59" t="s">
        <v>46</v>
      </c>
      <c r="G130" s="61">
        <v>0.504</v>
      </c>
      <c r="H130" s="62">
        <v>17.61</v>
      </c>
      <c r="I130" s="62">
        <f>IF($D130="","",G130*H130)</f>
        <v>8.8754399999999993</v>
      </c>
      <c r="J130" s="62"/>
      <c r="K130" s="62">
        <v>5.8464</v>
      </c>
      <c r="L130" s="62">
        <v>3.0290399999999997</v>
      </c>
      <c r="M130" s="62">
        <v>0</v>
      </c>
      <c r="N130" s="62">
        <v>0</v>
      </c>
      <c r="O130" s="62">
        <v>0</v>
      </c>
      <c r="P130" s="298" t="s">
        <v>4160</v>
      </c>
      <c r="Q130" s="60" t="s">
        <v>27</v>
      </c>
      <c r="R130" s="60" t="s">
        <v>27</v>
      </c>
      <c r="S130" s="286" t="str">
        <f t="shared" si="4"/>
        <v/>
      </c>
      <c r="T130" s="286" t="str">
        <f>IF($C130= "", T129, IF(ISNA(VLOOKUP($C130,'ABC-S'!$A$5:$A$271,1,FALSE)), "", VLOOKUP($C130,'ABC-S'!$A$5:$A$271,1,FALSE)))</f>
        <v/>
      </c>
      <c r="W130" s="286" t="s">
        <v>1010</v>
      </c>
      <c r="X130" s="286">
        <v>88316</v>
      </c>
      <c r="Y130" s="286" t="s">
        <v>424</v>
      </c>
      <c r="Z130" s="335">
        <v>0</v>
      </c>
      <c r="AA130" s="286">
        <v>0.504</v>
      </c>
      <c r="AB130" s="378"/>
      <c r="AC130" s="381" t="s">
        <v>21</v>
      </c>
      <c r="AD130" s="378" t="s">
        <v>21</v>
      </c>
      <c r="AE130" s="378" t="s">
        <v>21</v>
      </c>
      <c r="AF130" s="378" t="s">
        <v>21</v>
      </c>
      <c r="AG130" s="378"/>
      <c r="AI130" s="378">
        <v>0</v>
      </c>
      <c r="AJ130" s="378">
        <v>0</v>
      </c>
      <c r="AL130" s="286">
        <v>88316</v>
      </c>
      <c r="AM130" s="286"/>
    </row>
    <row r="131" spans="1:39" s="51" customFormat="1" ht="33.75" hidden="1" x14ac:dyDescent="0.25">
      <c r="A131" s="59" t="s">
        <v>1010</v>
      </c>
      <c r="B131" s="59" t="s">
        <v>87</v>
      </c>
      <c r="C131" s="59"/>
      <c r="D131" s="59">
        <v>90586</v>
      </c>
      <c r="E131" s="60" t="s">
        <v>672</v>
      </c>
      <c r="F131" s="59" t="s">
        <v>76</v>
      </c>
      <c r="G131" s="61">
        <v>6.6000000000000003E-2</v>
      </c>
      <c r="H131" s="62">
        <v>1.56</v>
      </c>
      <c r="I131" s="62">
        <f>IF($D131="","",G131*H131)</f>
        <v>0.10296000000000001</v>
      </c>
      <c r="J131" s="62"/>
      <c r="K131" s="62">
        <v>0</v>
      </c>
      <c r="L131" s="62">
        <v>0</v>
      </c>
      <c r="M131" s="62">
        <v>4.9500000000000002E-2</v>
      </c>
      <c r="N131" s="62">
        <v>0</v>
      </c>
      <c r="O131" s="62">
        <v>5.3460000000000008E-2</v>
      </c>
      <c r="P131" s="298" t="s">
        <v>4160</v>
      </c>
      <c r="Q131" s="60" t="s">
        <v>27</v>
      </c>
      <c r="R131" s="60" t="s">
        <v>27</v>
      </c>
      <c r="S131" s="286" t="str">
        <f t="shared" si="4"/>
        <v/>
      </c>
      <c r="T131" s="286" t="str">
        <f>IF($C131= "", T130, IF(ISNA(VLOOKUP($C131,'ABC-S'!$A$5:$A$271,1,FALSE)), "", VLOOKUP($C131,'ABC-S'!$A$5:$A$271,1,FALSE)))</f>
        <v/>
      </c>
      <c r="W131" s="286" t="s">
        <v>1010</v>
      </c>
      <c r="X131" s="286" t="s">
        <v>21</v>
      </c>
      <c r="Y131" s="286" t="s">
        <v>423</v>
      </c>
      <c r="Z131" s="335" t="s">
        <v>21</v>
      </c>
      <c r="AA131" s="286" t="s">
        <v>21</v>
      </c>
      <c r="AB131" s="378"/>
      <c r="AC131" s="381">
        <v>90586</v>
      </c>
      <c r="AD131" s="378">
        <v>6.6000000000000003E-2</v>
      </c>
      <c r="AE131" s="378">
        <v>0</v>
      </c>
      <c r="AF131" s="378">
        <v>0</v>
      </c>
      <c r="AG131" s="378"/>
      <c r="AI131" s="378">
        <v>0</v>
      </c>
      <c r="AJ131" s="378">
        <v>0</v>
      </c>
      <c r="AL131" s="286">
        <v>90586</v>
      </c>
      <c r="AM131" s="286"/>
    </row>
    <row r="132" spans="1:39" s="51" customFormat="1" ht="33.75" hidden="1" x14ac:dyDescent="0.25">
      <c r="A132" s="59" t="s">
        <v>1010</v>
      </c>
      <c r="B132" s="59" t="s">
        <v>87</v>
      </c>
      <c r="C132" s="59"/>
      <c r="D132" s="59">
        <v>90587</v>
      </c>
      <c r="E132" s="60" t="s">
        <v>671</v>
      </c>
      <c r="F132" s="59" t="s">
        <v>75</v>
      </c>
      <c r="G132" s="61">
        <v>6.6000000000000003E-2</v>
      </c>
      <c r="H132" s="62">
        <v>0.44</v>
      </c>
      <c r="I132" s="62">
        <f>IF($D132="","",G132*H132)</f>
        <v>2.904E-2</v>
      </c>
      <c r="J132" s="62"/>
      <c r="K132" s="62">
        <v>0</v>
      </c>
      <c r="L132" s="62">
        <v>0</v>
      </c>
      <c r="M132" s="62">
        <v>2.904E-2</v>
      </c>
      <c r="N132" s="62">
        <v>0</v>
      </c>
      <c r="O132" s="62">
        <v>0</v>
      </c>
      <c r="P132" s="298" t="s">
        <v>4160</v>
      </c>
      <c r="Q132" s="60" t="s">
        <v>27</v>
      </c>
      <c r="R132" s="60" t="s">
        <v>27</v>
      </c>
      <c r="S132" s="286" t="str">
        <f t="shared" si="4"/>
        <v/>
      </c>
      <c r="T132" s="286" t="str">
        <f>IF($C132= "", T131, IF(ISNA(VLOOKUP($C132,'ABC-S'!$A$5:$A$271,1,FALSE)), "", VLOOKUP($C132,'ABC-S'!$A$5:$A$271,1,FALSE)))</f>
        <v/>
      </c>
      <c r="W132" s="286" t="s">
        <v>1010</v>
      </c>
      <c r="X132" s="286" t="s">
        <v>21</v>
      </c>
      <c r="Y132" s="286" t="s">
        <v>423</v>
      </c>
      <c r="Z132" s="335" t="s">
        <v>21</v>
      </c>
      <c r="AA132" s="286" t="s">
        <v>21</v>
      </c>
      <c r="AB132" s="378"/>
      <c r="AC132" s="381">
        <v>90587</v>
      </c>
      <c r="AD132" s="378">
        <v>6.6000000000000003E-2</v>
      </c>
      <c r="AE132" s="378">
        <v>0</v>
      </c>
      <c r="AF132" s="378">
        <v>0</v>
      </c>
      <c r="AG132" s="378"/>
      <c r="AI132" s="378">
        <v>0</v>
      </c>
      <c r="AJ132" s="378">
        <v>0</v>
      </c>
      <c r="AL132" s="286">
        <v>90587</v>
      </c>
      <c r="AM132" s="286"/>
    </row>
    <row r="133" spans="1:39" s="51" customFormat="1" ht="33.75" hidden="1" x14ac:dyDescent="0.25">
      <c r="A133" s="55" t="s">
        <v>1014</v>
      </c>
      <c r="B133" s="55" t="s">
        <v>138</v>
      </c>
      <c r="C133" s="55" t="s">
        <v>1014</v>
      </c>
      <c r="D133" s="55"/>
      <c r="E133" s="56" t="s">
        <v>1015</v>
      </c>
      <c r="F133" s="55" t="s">
        <v>51</v>
      </c>
      <c r="G133" s="57"/>
      <c r="H133" s="58"/>
      <c r="I133" s="58"/>
      <c r="J133" s="58">
        <f>SUM(I133:I138)</f>
        <v>83.936329999999998</v>
      </c>
      <c r="K133" s="58">
        <v>19.620340000000002</v>
      </c>
      <c r="L133" s="58">
        <v>64.287189999999995</v>
      </c>
      <c r="M133" s="58">
        <v>1.8599999999999998E-2</v>
      </c>
      <c r="N133" s="58">
        <v>0</v>
      </c>
      <c r="O133" s="58">
        <v>1.0199999999996656E-2</v>
      </c>
      <c r="P133" s="58"/>
      <c r="Q133" s="56"/>
      <c r="R133" s="56" t="s">
        <v>1017</v>
      </c>
      <c r="S133" s="286" t="str">
        <f t="shared" si="4"/>
        <v/>
      </c>
      <c r="T133" s="286" t="str">
        <f>IF($C133= "", T132, IF(ISNA(VLOOKUP($C133,'ABC-S'!$A$5:$A$271,1,FALSE)), "", VLOOKUP($C133,'ABC-S'!$A$5:$A$271,1,FALSE)))</f>
        <v/>
      </c>
      <c r="W133" s="286" t="s">
        <v>1014</v>
      </c>
      <c r="X133" s="286"/>
      <c r="Y133" s="286"/>
      <c r="Z133" s="286"/>
      <c r="AA133" s="286" t="s">
        <v>21</v>
      </c>
      <c r="AB133" s="378">
        <v>1.2050000000000001</v>
      </c>
      <c r="AC133" s="378"/>
      <c r="AD133" s="335"/>
      <c r="AE133" s="335"/>
      <c r="AF133" s="335"/>
      <c r="AG133" s="378">
        <v>1.2590000000000001</v>
      </c>
      <c r="AI133" s="378" t="s">
        <v>21</v>
      </c>
      <c r="AJ133" s="378" t="s">
        <v>21</v>
      </c>
      <c r="AL133" s="286"/>
      <c r="AM133" s="286"/>
    </row>
    <row r="134" spans="1:39" s="51" customFormat="1" ht="22.5" hidden="1" x14ac:dyDescent="0.25">
      <c r="A134" s="59" t="s">
        <v>1014</v>
      </c>
      <c r="B134" s="59" t="s">
        <v>86</v>
      </c>
      <c r="C134" s="59"/>
      <c r="D134" s="59">
        <v>41371</v>
      </c>
      <c r="E134" s="60" t="s">
        <v>802</v>
      </c>
      <c r="F134" s="59" t="s">
        <v>3665</v>
      </c>
      <c r="G134" s="61">
        <v>1.0269999999999999</v>
      </c>
      <c r="H134" s="62">
        <v>50.83</v>
      </c>
      <c r="I134" s="62">
        <f>IF($D134="","",G134*H134)</f>
        <v>52.202409999999993</v>
      </c>
      <c r="J134" s="62"/>
      <c r="K134" s="62">
        <v>0</v>
      </c>
      <c r="L134" s="62">
        <v>52.202409999999993</v>
      </c>
      <c r="M134" s="62">
        <v>0</v>
      </c>
      <c r="N134" s="62">
        <v>0</v>
      </c>
      <c r="O134" s="62">
        <v>0</v>
      </c>
      <c r="P134" s="298" t="s">
        <v>89</v>
      </c>
      <c r="Q134" s="60" t="s">
        <v>27</v>
      </c>
      <c r="R134" s="60" t="s">
        <v>1016</v>
      </c>
      <c r="S134" s="286" t="str">
        <f t="shared" ref="S134:S197" si="8">IF(T134 &lt;&gt; "", "SIM", "")</f>
        <v/>
      </c>
      <c r="T134" s="286" t="str">
        <f>IF($C134= "", T133, IF(ISNA(VLOOKUP($C134,'ABC-S'!$A$5:$A$271,1,FALSE)), "", VLOOKUP($C134,'ABC-S'!$A$5:$A$271,1,FALSE)))</f>
        <v/>
      </c>
      <c r="W134" s="286" t="s">
        <v>1014</v>
      </c>
      <c r="X134" s="286" t="s">
        <v>21</v>
      </c>
      <c r="Y134" s="286" t="s">
        <v>21</v>
      </c>
      <c r="Z134" s="286" t="s">
        <v>21</v>
      </c>
      <c r="AA134" s="286" t="s">
        <v>21</v>
      </c>
      <c r="AB134" s="378"/>
      <c r="AC134" s="381" t="s">
        <v>21</v>
      </c>
      <c r="AD134" s="378" t="s">
        <v>21</v>
      </c>
      <c r="AE134" s="378" t="s">
        <v>21</v>
      </c>
      <c r="AF134" s="378" t="s">
        <v>21</v>
      </c>
      <c r="AG134" s="378"/>
      <c r="AI134" s="378" t="s">
        <v>21</v>
      </c>
      <c r="AJ134" s="378" t="s">
        <v>21</v>
      </c>
      <c r="AL134" s="286"/>
      <c r="AM134" s="286">
        <v>41371</v>
      </c>
    </row>
    <row r="135" spans="1:39" s="51" customFormat="1" ht="33.75" hidden="1" x14ac:dyDescent="0.25">
      <c r="A135" s="59" t="s">
        <v>1014</v>
      </c>
      <c r="B135" s="59" t="s">
        <v>86</v>
      </c>
      <c r="C135" s="59"/>
      <c r="D135" s="59">
        <v>34557</v>
      </c>
      <c r="E135" s="60" t="s">
        <v>103</v>
      </c>
      <c r="F135" s="59" t="s">
        <v>3667</v>
      </c>
      <c r="G135" s="61">
        <v>0</v>
      </c>
      <c r="H135" s="62">
        <v>4.53</v>
      </c>
      <c r="I135" s="62">
        <f>IF($D135="","",G135*H135)</f>
        <v>0</v>
      </c>
      <c r="J135" s="62"/>
      <c r="K135" s="62">
        <v>0</v>
      </c>
      <c r="L135" s="62">
        <v>0</v>
      </c>
      <c r="M135" s="62">
        <v>0</v>
      </c>
      <c r="N135" s="62">
        <v>0</v>
      </c>
      <c r="O135" s="62">
        <v>0</v>
      </c>
      <c r="P135" s="298" t="s">
        <v>89</v>
      </c>
      <c r="Q135" s="60" t="s">
        <v>27</v>
      </c>
      <c r="R135" s="60" t="s">
        <v>480</v>
      </c>
      <c r="S135" s="286" t="str">
        <f t="shared" si="8"/>
        <v/>
      </c>
      <c r="T135" s="286" t="str">
        <f>IF($C135= "", T134, IF(ISNA(VLOOKUP($C135,'ABC-S'!$A$5:$A$271,1,FALSE)), "", VLOOKUP($C135,'ABC-S'!$A$5:$A$271,1,FALSE)))</f>
        <v/>
      </c>
      <c r="W135" s="286" t="s">
        <v>1014</v>
      </c>
      <c r="X135" s="286" t="s">
        <v>21</v>
      </c>
      <c r="Y135" s="286" t="s">
        <v>21</v>
      </c>
      <c r="Z135" s="286" t="s">
        <v>21</v>
      </c>
      <c r="AA135" s="286" t="s">
        <v>21</v>
      </c>
      <c r="AB135" s="378"/>
      <c r="AC135" s="381" t="s">
        <v>21</v>
      </c>
      <c r="AD135" s="378" t="s">
        <v>21</v>
      </c>
      <c r="AE135" s="378" t="s">
        <v>21</v>
      </c>
      <c r="AF135" s="378" t="s">
        <v>21</v>
      </c>
      <c r="AG135" s="378"/>
      <c r="AI135" s="378" t="s">
        <v>21</v>
      </c>
      <c r="AJ135" s="378" t="s">
        <v>21</v>
      </c>
      <c r="AL135" s="286"/>
      <c r="AM135" s="286">
        <v>34557</v>
      </c>
    </row>
    <row r="136" spans="1:39" s="51" customFormat="1" ht="45" hidden="1" x14ac:dyDescent="0.25">
      <c r="A136" s="59" t="s">
        <v>1014</v>
      </c>
      <c r="B136" s="59" t="s">
        <v>87</v>
      </c>
      <c r="C136" s="59"/>
      <c r="D136" s="59">
        <v>87292</v>
      </c>
      <c r="E136" s="60" t="s">
        <v>490</v>
      </c>
      <c r="F136" s="59" t="s">
        <v>44</v>
      </c>
      <c r="G136" s="61">
        <f>0.016*(0.075/0.1)</f>
        <v>1.1999999999999999E-2</v>
      </c>
      <c r="H136" s="62">
        <v>455.25</v>
      </c>
      <c r="I136" s="62">
        <f>IF($D136="","",G136*H136)</f>
        <v>5.4629999999999992</v>
      </c>
      <c r="J136" s="62"/>
      <c r="K136" s="62">
        <v>0.67979999999999985</v>
      </c>
      <c r="L136" s="62">
        <v>4.7543999999999995</v>
      </c>
      <c r="M136" s="62">
        <v>1.8599999999999998E-2</v>
      </c>
      <c r="N136" s="62">
        <v>0</v>
      </c>
      <c r="O136" s="62">
        <v>1.0199999999999321E-2</v>
      </c>
      <c r="P136" s="298" t="s">
        <v>4160</v>
      </c>
      <c r="Q136" s="60" t="s">
        <v>27</v>
      </c>
      <c r="R136" s="60" t="s">
        <v>1018</v>
      </c>
      <c r="S136" s="286" t="str">
        <f t="shared" si="8"/>
        <v/>
      </c>
      <c r="T136" s="286" t="str">
        <f>IF($C136= "", T135, IF(ISNA(VLOOKUP($C136,'ABC-S'!$A$5:$A$271,1,FALSE)), "", VLOOKUP($C136,'ABC-S'!$A$5:$A$271,1,FALSE)))</f>
        <v/>
      </c>
      <c r="W136" s="286" t="s">
        <v>1014</v>
      </c>
      <c r="X136" s="286" t="s">
        <v>21</v>
      </c>
      <c r="Y136" s="286" t="s">
        <v>1513</v>
      </c>
      <c r="Z136" s="335" t="s">
        <v>21</v>
      </c>
      <c r="AA136" s="286" t="s">
        <v>21</v>
      </c>
      <c r="AB136" s="378"/>
      <c r="AC136" s="381">
        <v>87292</v>
      </c>
      <c r="AD136" s="378">
        <v>1.1999999999999999E-2</v>
      </c>
      <c r="AE136" s="378">
        <v>4.5</v>
      </c>
      <c r="AF136" s="378">
        <v>5.3999999999999992E-2</v>
      </c>
      <c r="AG136" s="378"/>
      <c r="AI136" s="378">
        <v>9</v>
      </c>
      <c r="AJ136" s="378">
        <v>0.10799999999999998</v>
      </c>
      <c r="AL136" s="286">
        <v>87292</v>
      </c>
      <c r="AM136" s="286"/>
    </row>
    <row r="137" spans="1:39" s="51" customFormat="1" hidden="1" x14ac:dyDescent="0.25">
      <c r="A137" s="59" t="s">
        <v>1014</v>
      </c>
      <c r="B137" s="59" t="s">
        <v>87</v>
      </c>
      <c r="C137" s="248"/>
      <c r="D137" s="59">
        <v>88309</v>
      </c>
      <c r="E137" s="60" t="s">
        <v>617</v>
      </c>
      <c r="F137" s="59" t="s">
        <v>46</v>
      </c>
      <c r="G137" s="61">
        <v>0.80300000000000005</v>
      </c>
      <c r="H137" s="62">
        <v>23.9</v>
      </c>
      <c r="I137" s="62">
        <f>IF($D137="","",G137*H137)</f>
        <v>19.191700000000001</v>
      </c>
      <c r="J137" s="62"/>
      <c r="K137" s="62">
        <v>14.277340000000002</v>
      </c>
      <c r="L137" s="62">
        <v>4.9143600000000003</v>
      </c>
      <c r="M137" s="62">
        <v>0</v>
      </c>
      <c r="N137" s="62">
        <v>0</v>
      </c>
      <c r="O137" s="62">
        <v>-3.5527136788005009E-15</v>
      </c>
      <c r="P137" s="298" t="s">
        <v>4160</v>
      </c>
      <c r="Q137" s="60" t="s">
        <v>27</v>
      </c>
      <c r="R137" s="60" t="s">
        <v>27</v>
      </c>
      <c r="S137" s="286" t="str">
        <f t="shared" si="8"/>
        <v/>
      </c>
      <c r="T137" s="286" t="str">
        <f>IF($C137= "", T136, IF(ISNA(VLOOKUP($C137,'ABC-S'!$A$5:$A$271,1,FALSE)), "", VLOOKUP($C137,'ABC-S'!$A$5:$A$271,1,FALSE)))</f>
        <v/>
      </c>
      <c r="W137" s="286" t="s">
        <v>1014</v>
      </c>
      <c r="X137" s="286">
        <v>88309</v>
      </c>
      <c r="Y137" s="286" t="s">
        <v>424</v>
      </c>
      <c r="Z137" s="335">
        <v>0</v>
      </c>
      <c r="AA137" s="286">
        <v>0.80300000000000005</v>
      </c>
      <c r="AB137" s="378"/>
      <c r="AC137" s="381" t="s">
        <v>21</v>
      </c>
      <c r="AD137" s="378" t="s">
        <v>21</v>
      </c>
      <c r="AE137" s="378" t="s">
        <v>21</v>
      </c>
      <c r="AF137" s="378" t="s">
        <v>21</v>
      </c>
      <c r="AG137" s="378"/>
      <c r="AI137" s="378">
        <v>0</v>
      </c>
      <c r="AJ137" s="378">
        <v>0</v>
      </c>
      <c r="AL137" s="286">
        <v>88309</v>
      </c>
      <c r="AM137" s="286"/>
    </row>
    <row r="138" spans="1:39" s="51" customFormat="1" hidden="1" x14ac:dyDescent="0.25">
      <c r="A138" s="59" t="s">
        <v>1014</v>
      </c>
      <c r="B138" s="59" t="s">
        <v>87</v>
      </c>
      <c r="C138" s="248"/>
      <c r="D138" s="59">
        <v>88316</v>
      </c>
      <c r="E138" s="60" t="s">
        <v>649</v>
      </c>
      <c r="F138" s="59" t="s">
        <v>46</v>
      </c>
      <c r="G138" s="61">
        <v>0.40200000000000002</v>
      </c>
      <c r="H138" s="62">
        <v>17.61</v>
      </c>
      <c r="I138" s="62">
        <f>IF($D138="","",G138*H138)</f>
        <v>7.0792200000000003</v>
      </c>
      <c r="J138" s="62"/>
      <c r="K138" s="62">
        <v>4.6631999999999998</v>
      </c>
      <c r="L138" s="62">
        <v>2.4160200000000001</v>
      </c>
      <c r="M138" s="62">
        <v>0</v>
      </c>
      <c r="N138" s="62">
        <v>0</v>
      </c>
      <c r="O138" s="62">
        <v>8.8817841970012523E-16</v>
      </c>
      <c r="P138" s="298" t="s">
        <v>4160</v>
      </c>
      <c r="Q138" s="60" t="s">
        <v>27</v>
      </c>
      <c r="R138" s="60" t="s">
        <v>27</v>
      </c>
      <c r="S138" s="286" t="str">
        <f t="shared" si="8"/>
        <v/>
      </c>
      <c r="T138" s="286" t="str">
        <f>IF($C138= "", T137, IF(ISNA(VLOOKUP($C138,'ABC-S'!$A$5:$A$271,1,FALSE)), "", VLOOKUP($C138,'ABC-S'!$A$5:$A$271,1,FALSE)))</f>
        <v/>
      </c>
      <c r="W138" s="286" t="s">
        <v>1014</v>
      </c>
      <c r="X138" s="286">
        <v>88316</v>
      </c>
      <c r="Y138" s="286" t="s">
        <v>424</v>
      </c>
      <c r="Z138" s="335">
        <v>0</v>
      </c>
      <c r="AA138" s="286">
        <v>0.40200000000000002</v>
      </c>
      <c r="AB138" s="378"/>
      <c r="AC138" s="381" t="s">
        <v>21</v>
      </c>
      <c r="AD138" s="378" t="s">
        <v>21</v>
      </c>
      <c r="AE138" s="378" t="s">
        <v>21</v>
      </c>
      <c r="AF138" s="378" t="s">
        <v>21</v>
      </c>
      <c r="AG138" s="378"/>
      <c r="AI138" s="378">
        <v>0</v>
      </c>
      <c r="AJ138" s="378">
        <v>0</v>
      </c>
      <c r="AL138" s="286">
        <v>88316</v>
      </c>
      <c r="AM138" s="286"/>
    </row>
    <row r="139" spans="1:39" s="51" customFormat="1" ht="56.25" hidden="1" x14ac:dyDescent="0.25">
      <c r="A139" s="55" t="s">
        <v>1019</v>
      </c>
      <c r="B139" s="55" t="s">
        <v>138</v>
      </c>
      <c r="C139" s="55" t="s">
        <v>1019</v>
      </c>
      <c r="D139" s="55"/>
      <c r="E139" s="56" t="s">
        <v>1020</v>
      </c>
      <c r="F139" s="55" t="s">
        <v>51</v>
      </c>
      <c r="G139" s="57"/>
      <c r="H139" s="58"/>
      <c r="I139" s="58"/>
      <c r="J139" s="58">
        <f>SUM(I139:I142)</f>
        <v>39.202137499999992</v>
      </c>
      <c r="K139" s="58">
        <v>15.587799999999998</v>
      </c>
      <c r="L139" s="58">
        <v>23.501537500000001</v>
      </c>
      <c r="M139" s="58">
        <v>7.2849999999999998E-2</v>
      </c>
      <c r="N139" s="58">
        <v>0</v>
      </c>
      <c r="O139" s="58">
        <v>3.9949999999999264E-2</v>
      </c>
      <c r="P139" s="58"/>
      <c r="Q139" s="56"/>
      <c r="R139" s="56" t="s">
        <v>1021</v>
      </c>
      <c r="S139" s="286" t="str">
        <f t="shared" si="8"/>
        <v/>
      </c>
      <c r="T139" s="286" t="str">
        <f>IF($C139= "", T138, IF(ISNA(VLOOKUP($C139,'ABC-S'!$A$5:$A$271,1,FALSE)), "", VLOOKUP($C139,'ABC-S'!$A$5:$A$271,1,FALSE)))</f>
        <v/>
      </c>
      <c r="W139" s="286" t="s">
        <v>1019</v>
      </c>
      <c r="X139" s="286"/>
      <c r="Y139" s="286"/>
      <c r="Z139" s="286"/>
      <c r="AA139" s="286" t="s">
        <v>21</v>
      </c>
      <c r="AB139" s="378">
        <v>0.80124999999999991</v>
      </c>
      <c r="AC139" s="378"/>
      <c r="AD139" s="335"/>
      <c r="AE139" s="335"/>
      <c r="AF139" s="335"/>
      <c r="AG139" s="378">
        <v>1.0127499999999998</v>
      </c>
      <c r="AI139" s="378" t="s">
        <v>21</v>
      </c>
      <c r="AJ139" s="378" t="s">
        <v>21</v>
      </c>
      <c r="AL139" s="286"/>
      <c r="AM139" s="286"/>
    </row>
    <row r="140" spans="1:39" s="51" customFormat="1" ht="45" hidden="1" x14ac:dyDescent="0.25">
      <c r="A140" s="59" t="s">
        <v>1019</v>
      </c>
      <c r="B140" s="59" t="s">
        <v>87</v>
      </c>
      <c r="C140" s="59"/>
      <c r="D140" s="59">
        <v>87292</v>
      </c>
      <c r="E140" s="60" t="s">
        <v>490</v>
      </c>
      <c r="F140" s="59" t="s">
        <v>44</v>
      </c>
      <c r="G140" s="61">
        <f>0.0376*(25/20)</f>
        <v>4.7E-2</v>
      </c>
      <c r="H140" s="62">
        <v>455.25</v>
      </c>
      <c r="I140" s="62">
        <f>IF($D140="","",G140*H140)</f>
        <v>21.396750000000001</v>
      </c>
      <c r="J140" s="62"/>
      <c r="K140" s="62">
        <v>2.66255</v>
      </c>
      <c r="L140" s="62">
        <v>18.621400000000001</v>
      </c>
      <c r="M140" s="62">
        <v>7.2849999999999998E-2</v>
      </c>
      <c r="N140" s="62">
        <v>0</v>
      </c>
      <c r="O140" s="62">
        <v>3.995000000000104E-2</v>
      </c>
      <c r="P140" s="298" t="s">
        <v>4160</v>
      </c>
      <c r="Q140" s="60" t="s">
        <v>27</v>
      </c>
      <c r="R140" s="60" t="s">
        <v>1018</v>
      </c>
      <c r="S140" s="286" t="str">
        <f t="shared" si="8"/>
        <v/>
      </c>
      <c r="T140" s="286" t="str">
        <f>IF($C140= "", T139, IF(ISNA(VLOOKUP($C140,'ABC-S'!$A$5:$A$271,1,FALSE)), "", VLOOKUP($C140,'ABC-S'!$A$5:$A$271,1,FALSE)))</f>
        <v/>
      </c>
      <c r="W140" s="286" t="s">
        <v>1019</v>
      </c>
      <c r="X140" s="286" t="s">
        <v>21</v>
      </c>
      <c r="Y140" s="286" t="s">
        <v>1513</v>
      </c>
      <c r="Z140" s="335" t="s">
        <v>21</v>
      </c>
      <c r="AA140" s="286" t="s">
        <v>21</v>
      </c>
      <c r="AB140" s="378"/>
      <c r="AC140" s="381">
        <v>87292</v>
      </c>
      <c r="AD140" s="378">
        <v>4.7E-2</v>
      </c>
      <c r="AE140" s="378">
        <v>4.5</v>
      </c>
      <c r="AF140" s="378">
        <v>0.21149999999999999</v>
      </c>
      <c r="AG140" s="378"/>
      <c r="AI140" s="378">
        <v>9</v>
      </c>
      <c r="AJ140" s="378">
        <v>0.42299999999999999</v>
      </c>
      <c r="AL140" s="286">
        <v>87292</v>
      </c>
      <c r="AM140" s="286"/>
    </row>
    <row r="141" spans="1:39" s="51" customFormat="1" ht="22.5" hidden="1" x14ac:dyDescent="0.25">
      <c r="A141" s="59" t="s">
        <v>1019</v>
      </c>
      <c r="B141" s="59" t="s">
        <v>87</v>
      </c>
      <c r="C141" s="248"/>
      <c r="D141" s="59">
        <v>88309</v>
      </c>
      <c r="E141" s="60" t="s">
        <v>617</v>
      </c>
      <c r="F141" s="59" t="s">
        <v>46</v>
      </c>
      <c r="G141" s="61">
        <f>0.47*(25/20)</f>
        <v>0.58749999999999991</v>
      </c>
      <c r="H141" s="62">
        <v>23.9</v>
      </c>
      <c r="I141" s="62">
        <f>IF($D141="","",G141*H141)</f>
        <v>14.041249999999996</v>
      </c>
      <c r="J141" s="62"/>
      <c r="K141" s="62">
        <v>10.445749999999999</v>
      </c>
      <c r="L141" s="62">
        <v>3.5954999999999995</v>
      </c>
      <c r="M141" s="62">
        <v>0</v>
      </c>
      <c r="N141" s="62">
        <v>0</v>
      </c>
      <c r="O141" s="62">
        <v>-1.7763568394002505E-15</v>
      </c>
      <c r="P141" s="298" t="s">
        <v>4160</v>
      </c>
      <c r="Q141" s="60" t="s">
        <v>27</v>
      </c>
      <c r="R141" s="60" t="s">
        <v>1018</v>
      </c>
      <c r="S141" s="286" t="str">
        <f t="shared" si="8"/>
        <v/>
      </c>
      <c r="T141" s="286" t="str">
        <f>IF($C141= "", T140, IF(ISNA(VLOOKUP($C141,'ABC-S'!$A$5:$A$271,1,FALSE)), "", VLOOKUP($C141,'ABC-S'!$A$5:$A$271,1,FALSE)))</f>
        <v/>
      </c>
      <c r="W141" s="286" t="s">
        <v>1019</v>
      </c>
      <c r="X141" s="286">
        <v>88309</v>
      </c>
      <c r="Y141" s="286" t="s">
        <v>424</v>
      </c>
      <c r="Z141" s="335">
        <v>0</v>
      </c>
      <c r="AA141" s="286">
        <v>0.58749999999999991</v>
      </c>
      <c r="AB141" s="378"/>
      <c r="AC141" s="381" t="s">
        <v>21</v>
      </c>
      <c r="AD141" s="378" t="s">
        <v>21</v>
      </c>
      <c r="AE141" s="378" t="s">
        <v>21</v>
      </c>
      <c r="AF141" s="378" t="s">
        <v>21</v>
      </c>
      <c r="AG141" s="378"/>
      <c r="AI141" s="378">
        <v>0</v>
      </c>
      <c r="AJ141" s="378">
        <v>0</v>
      </c>
      <c r="AL141" s="286">
        <v>88309</v>
      </c>
      <c r="AM141" s="286"/>
    </row>
    <row r="142" spans="1:39" s="51" customFormat="1" ht="22.5" hidden="1" x14ac:dyDescent="0.25">
      <c r="A142" s="59" t="s">
        <v>1019</v>
      </c>
      <c r="B142" s="59" t="s">
        <v>87</v>
      </c>
      <c r="C142" s="248"/>
      <c r="D142" s="59">
        <v>88316</v>
      </c>
      <c r="E142" s="60" t="s">
        <v>649</v>
      </c>
      <c r="F142" s="59" t="s">
        <v>46</v>
      </c>
      <c r="G142" s="61">
        <f>0.171*(25/20)</f>
        <v>0.21375000000000002</v>
      </c>
      <c r="H142" s="62">
        <v>17.61</v>
      </c>
      <c r="I142" s="62">
        <f>IF($D142="","",G142*H142)</f>
        <v>3.7641375000000004</v>
      </c>
      <c r="J142" s="62"/>
      <c r="K142" s="62">
        <v>2.4795000000000003</v>
      </c>
      <c r="L142" s="62">
        <v>1.2846375000000001</v>
      </c>
      <c r="M142" s="62">
        <v>0</v>
      </c>
      <c r="N142" s="62">
        <v>0</v>
      </c>
      <c r="O142" s="62">
        <v>0</v>
      </c>
      <c r="P142" s="298" t="s">
        <v>4160</v>
      </c>
      <c r="Q142" s="60" t="s">
        <v>27</v>
      </c>
      <c r="R142" s="60" t="s">
        <v>1018</v>
      </c>
      <c r="S142" s="286" t="str">
        <f t="shared" si="8"/>
        <v/>
      </c>
      <c r="T142" s="286" t="str">
        <f>IF($C142= "", T141, IF(ISNA(VLOOKUP($C142,'ABC-S'!$A$5:$A$271,1,FALSE)), "", VLOOKUP($C142,'ABC-S'!$A$5:$A$271,1,FALSE)))</f>
        <v/>
      </c>
      <c r="W142" s="286" t="s">
        <v>1019</v>
      </c>
      <c r="X142" s="286">
        <v>88316</v>
      </c>
      <c r="Y142" s="286" t="s">
        <v>424</v>
      </c>
      <c r="Z142" s="335">
        <v>0</v>
      </c>
      <c r="AA142" s="286">
        <v>0.21375000000000002</v>
      </c>
      <c r="AB142" s="378"/>
      <c r="AC142" s="381" t="s">
        <v>21</v>
      </c>
      <c r="AD142" s="378" t="s">
        <v>21</v>
      </c>
      <c r="AE142" s="378" t="s">
        <v>21</v>
      </c>
      <c r="AF142" s="378" t="s">
        <v>21</v>
      </c>
      <c r="AG142" s="378"/>
      <c r="AI142" s="378">
        <v>0</v>
      </c>
      <c r="AJ142" s="378">
        <v>0</v>
      </c>
      <c r="AL142" s="286">
        <v>88316</v>
      </c>
      <c r="AM142" s="286"/>
    </row>
    <row r="143" spans="1:39" s="51" customFormat="1" ht="45" hidden="1" x14ac:dyDescent="0.25">
      <c r="A143" s="55" t="s">
        <v>1022</v>
      </c>
      <c r="B143" s="55" t="s">
        <v>138</v>
      </c>
      <c r="C143" s="55" t="s">
        <v>1022</v>
      </c>
      <c r="D143" s="55"/>
      <c r="E143" s="56" t="s">
        <v>1023</v>
      </c>
      <c r="F143" s="55" t="s">
        <v>44</v>
      </c>
      <c r="G143" s="57"/>
      <c r="H143" s="58"/>
      <c r="I143" s="58"/>
      <c r="J143" s="58">
        <f>SUM(I143:I149)</f>
        <v>700.98560999999995</v>
      </c>
      <c r="K143" s="58">
        <v>224.69301999999999</v>
      </c>
      <c r="L143" s="58">
        <v>471.56162</v>
      </c>
      <c r="M143" s="58">
        <v>3.0857000000000001</v>
      </c>
      <c r="N143" s="58">
        <v>0</v>
      </c>
      <c r="O143" s="58">
        <v>1.6452699999999159</v>
      </c>
      <c r="P143" s="58"/>
      <c r="Q143" s="56"/>
      <c r="R143" s="56" t="s">
        <v>1024</v>
      </c>
      <c r="S143" s="286" t="str">
        <f t="shared" si="8"/>
        <v/>
      </c>
      <c r="T143" s="286" t="str">
        <f>IF($C143= "", T142, IF(ISNA(VLOOKUP($C143,'ABC-S'!$A$5:$A$271,1,FALSE)), "", VLOOKUP($C143,'ABC-S'!$A$5:$A$271,1,FALSE)))</f>
        <v/>
      </c>
      <c r="W143" s="286" t="s">
        <v>1022</v>
      </c>
      <c r="X143" s="286"/>
      <c r="Y143" s="286"/>
      <c r="Z143" s="286"/>
      <c r="AA143" s="286" t="s">
        <v>21</v>
      </c>
      <c r="AB143" s="378">
        <v>13.167999999999999</v>
      </c>
      <c r="AC143" s="378"/>
      <c r="AD143" s="335"/>
      <c r="AE143" s="335"/>
      <c r="AF143" s="335"/>
      <c r="AG143" s="378">
        <v>16.7299179</v>
      </c>
      <c r="AI143" s="378" t="s">
        <v>21</v>
      </c>
      <c r="AJ143" s="378" t="s">
        <v>21</v>
      </c>
      <c r="AL143" s="286"/>
      <c r="AM143" s="286"/>
    </row>
    <row r="144" spans="1:39" s="51" customFormat="1" ht="33.75" hidden="1" x14ac:dyDescent="0.25">
      <c r="A144" s="59" t="s">
        <v>1022</v>
      </c>
      <c r="B144" s="59" t="s">
        <v>87</v>
      </c>
      <c r="C144" s="59"/>
      <c r="D144" s="59">
        <v>94971</v>
      </c>
      <c r="E144" s="60" t="s">
        <v>3662</v>
      </c>
      <c r="F144" s="59" t="s">
        <v>44</v>
      </c>
      <c r="G144" s="61">
        <v>1.103</v>
      </c>
      <c r="H144" s="62">
        <v>397.28</v>
      </c>
      <c r="I144" s="62">
        <f t="shared" ref="I144:I149" si="9">IF($D144="","",G144*H144)</f>
        <v>438.19983999999994</v>
      </c>
      <c r="J144" s="62"/>
      <c r="K144" s="62">
        <v>42.66404</v>
      </c>
      <c r="L144" s="62">
        <v>392.01723000000004</v>
      </c>
      <c r="M144" s="62">
        <v>2.3714499999999998</v>
      </c>
      <c r="N144" s="62">
        <v>0</v>
      </c>
      <c r="O144" s="62">
        <v>1.1471199999999158</v>
      </c>
      <c r="P144" s="298" t="s">
        <v>4160</v>
      </c>
      <c r="Q144" s="60" t="s">
        <v>27</v>
      </c>
      <c r="R144" s="60" t="s">
        <v>1013</v>
      </c>
      <c r="S144" s="286" t="str">
        <f t="shared" si="8"/>
        <v/>
      </c>
      <c r="T144" s="286" t="str">
        <f>IF($C144= "", T143, IF(ISNA(VLOOKUP($C144,'ABC-S'!$A$5:$A$271,1,FALSE)), "", VLOOKUP($C144,'ABC-S'!$A$5:$A$271,1,FALSE)))</f>
        <v/>
      </c>
      <c r="W144" s="286" t="s">
        <v>1022</v>
      </c>
      <c r="X144" s="286" t="s">
        <v>21</v>
      </c>
      <c r="Y144" s="286" t="s">
        <v>1513</v>
      </c>
      <c r="Z144" s="335" t="s">
        <v>21</v>
      </c>
      <c r="AA144" s="286" t="s">
        <v>21</v>
      </c>
      <c r="AB144" s="378"/>
      <c r="AC144" s="381">
        <v>94971</v>
      </c>
      <c r="AD144" s="378">
        <v>1.103</v>
      </c>
      <c r="AE144" s="378">
        <v>3.2293000000000003</v>
      </c>
      <c r="AF144" s="378">
        <v>3.5619179000000001</v>
      </c>
      <c r="AG144" s="378"/>
      <c r="AI144" s="378">
        <v>2.5002</v>
      </c>
      <c r="AJ144" s="378">
        <v>2.7577205999999999</v>
      </c>
      <c r="AL144" s="286">
        <v>94971</v>
      </c>
      <c r="AM144" s="286"/>
    </row>
    <row r="145" spans="1:39" s="51" customFormat="1" ht="22.5" hidden="1" x14ac:dyDescent="0.25">
      <c r="A145" s="59" t="s">
        <v>1022</v>
      </c>
      <c r="B145" s="59" t="s">
        <v>87</v>
      </c>
      <c r="C145" s="248"/>
      <c r="D145" s="59">
        <v>88262</v>
      </c>
      <c r="E145" s="60" t="s">
        <v>535</v>
      </c>
      <c r="F145" s="59" t="s">
        <v>46</v>
      </c>
      <c r="G145" s="61">
        <v>1.19</v>
      </c>
      <c r="H145" s="62">
        <v>23.68</v>
      </c>
      <c r="I145" s="62">
        <f t="shared" si="9"/>
        <v>28.179199999999998</v>
      </c>
      <c r="J145" s="62"/>
      <c r="K145" s="62">
        <v>21.0154</v>
      </c>
      <c r="L145" s="62">
        <v>7.1637999999999993</v>
      </c>
      <c r="M145" s="62">
        <v>0</v>
      </c>
      <c r="N145" s="62">
        <v>0</v>
      </c>
      <c r="O145" s="62">
        <v>0</v>
      </c>
      <c r="P145" s="298" t="s">
        <v>4160</v>
      </c>
      <c r="Q145" s="60" t="s">
        <v>27</v>
      </c>
      <c r="R145" s="60" t="s">
        <v>27</v>
      </c>
      <c r="S145" s="286" t="str">
        <f t="shared" si="8"/>
        <v/>
      </c>
      <c r="T145" s="286" t="str">
        <f>IF($C145= "", T144, IF(ISNA(VLOOKUP($C145,'ABC-S'!$A$5:$A$271,1,FALSE)), "", VLOOKUP($C145,'ABC-S'!$A$5:$A$271,1,FALSE)))</f>
        <v/>
      </c>
      <c r="W145" s="286" t="s">
        <v>1022</v>
      </c>
      <c r="X145" s="286">
        <v>88262</v>
      </c>
      <c r="Y145" s="286" t="s">
        <v>424</v>
      </c>
      <c r="Z145" s="335">
        <v>0</v>
      </c>
      <c r="AA145" s="286">
        <v>1.19</v>
      </c>
      <c r="AB145" s="378"/>
      <c r="AC145" s="381" t="s">
        <v>21</v>
      </c>
      <c r="AD145" s="378" t="s">
        <v>21</v>
      </c>
      <c r="AE145" s="378" t="s">
        <v>21</v>
      </c>
      <c r="AF145" s="378" t="s">
        <v>21</v>
      </c>
      <c r="AG145" s="378"/>
      <c r="AI145" s="378">
        <v>0</v>
      </c>
      <c r="AJ145" s="378">
        <v>0</v>
      </c>
      <c r="AL145" s="286">
        <v>88262</v>
      </c>
      <c r="AM145" s="286"/>
    </row>
    <row r="146" spans="1:39" s="51" customFormat="1" hidden="1" x14ac:dyDescent="0.25">
      <c r="A146" s="59" t="s">
        <v>1022</v>
      </c>
      <c r="B146" s="59" t="s">
        <v>87</v>
      </c>
      <c r="C146" s="248"/>
      <c r="D146" s="59">
        <v>88309</v>
      </c>
      <c r="E146" s="60" t="s">
        <v>617</v>
      </c>
      <c r="F146" s="59" t="s">
        <v>46</v>
      </c>
      <c r="G146" s="61">
        <v>3.5710000000000002</v>
      </c>
      <c r="H146" s="62">
        <v>23.9</v>
      </c>
      <c r="I146" s="62">
        <f t="shared" si="9"/>
        <v>85.346900000000005</v>
      </c>
      <c r="J146" s="62"/>
      <c r="K146" s="62">
        <v>63.492380000000004</v>
      </c>
      <c r="L146" s="62">
        <v>21.854520000000001</v>
      </c>
      <c r="M146" s="62">
        <v>0</v>
      </c>
      <c r="N146" s="62">
        <v>0</v>
      </c>
      <c r="O146" s="62">
        <v>0</v>
      </c>
      <c r="P146" s="298" t="s">
        <v>4160</v>
      </c>
      <c r="Q146" s="60" t="s">
        <v>27</v>
      </c>
      <c r="R146" s="60" t="s">
        <v>27</v>
      </c>
      <c r="S146" s="286" t="str">
        <f t="shared" si="8"/>
        <v/>
      </c>
      <c r="T146" s="286" t="str">
        <f>IF($C146= "", T145, IF(ISNA(VLOOKUP($C146,'ABC-S'!$A$5:$A$271,1,FALSE)), "", VLOOKUP($C146,'ABC-S'!$A$5:$A$271,1,FALSE)))</f>
        <v/>
      </c>
      <c r="W146" s="286" t="s">
        <v>1022</v>
      </c>
      <c r="X146" s="286">
        <v>88309</v>
      </c>
      <c r="Y146" s="286" t="s">
        <v>424</v>
      </c>
      <c r="Z146" s="335">
        <v>0</v>
      </c>
      <c r="AA146" s="286">
        <v>3.5710000000000002</v>
      </c>
      <c r="AB146" s="378"/>
      <c r="AC146" s="381" t="s">
        <v>21</v>
      </c>
      <c r="AD146" s="378" t="s">
        <v>21</v>
      </c>
      <c r="AE146" s="378" t="s">
        <v>21</v>
      </c>
      <c r="AF146" s="378" t="s">
        <v>21</v>
      </c>
      <c r="AG146" s="378"/>
      <c r="AI146" s="378">
        <v>0</v>
      </c>
      <c r="AJ146" s="378">
        <v>0</v>
      </c>
      <c r="AL146" s="286">
        <v>88309</v>
      </c>
      <c r="AM146" s="286"/>
    </row>
    <row r="147" spans="1:39" s="51" customFormat="1" hidden="1" x14ac:dyDescent="0.25">
      <c r="A147" s="59" t="s">
        <v>1022</v>
      </c>
      <c r="B147" s="59" t="s">
        <v>87</v>
      </c>
      <c r="C147" s="248"/>
      <c r="D147" s="59">
        <v>88316</v>
      </c>
      <c r="E147" s="60" t="s">
        <v>649</v>
      </c>
      <c r="F147" s="59" t="s">
        <v>46</v>
      </c>
      <c r="G147" s="61">
        <v>8.407</v>
      </c>
      <c r="H147" s="62">
        <v>17.61</v>
      </c>
      <c r="I147" s="62">
        <f t="shared" si="9"/>
        <v>148.04727</v>
      </c>
      <c r="J147" s="62"/>
      <c r="K147" s="62">
        <v>97.521199999999993</v>
      </c>
      <c r="L147" s="62">
        <v>50.526069999999997</v>
      </c>
      <c r="M147" s="62">
        <v>0</v>
      </c>
      <c r="N147" s="62">
        <v>0</v>
      </c>
      <c r="O147" s="62">
        <v>0</v>
      </c>
      <c r="P147" s="298" t="s">
        <v>4160</v>
      </c>
      <c r="Q147" s="60" t="s">
        <v>27</v>
      </c>
      <c r="R147" s="60" t="s">
        <v>27</v>
      </c>
      <c r="S147" s="286" t="str">
        <f t="shared" si="8"/>
        <v/>
      </c>
      <c r="T147" s="286" t="str">
        <f>IF($C147= "", T146, IF(ISNA(VLOOKUP($C147,'ABC-S'!$A$5:$A$271,1,FALSE)), "", VLOOKUP($C147,'ABC-S'!$A$5:$A$271,1,FALSE)))</f>
        <v/>
      </c>
      <c r="W147" s="286" t="s">
        <v>1022</v>
      </c>
      <c r="X147" s="286">
        <v>88316</v>
      </c>
      <c r="Y147" s="286" t="s">
        <v>424</v>
      </c>
      <c r="Z147" s="335">
        <v>0</v>
      </c>
      <c r="AA147" s="286">
        <v>8.407</v>
      </c>
      <c r="AB147" s="378"/>
      <c r="AC147" s="381" t="s">
        <v>21</v>
      </c>
      <c r="AD147" s="378" t="s">
        <v>21</v>
      </c>
      <c r="AE147" s="378" t="s">
        <v>21</v>
      </c>
      <c r="AF147" s="378" t="s">
        <v>21</v>
      </c>
      <c r="AG147" s="378"/>
      <c r="AI147" s="378">
        <v>0</v>
      </c>
      <c r="AJ147" s="378">
        <v>0</v>
      </c>
      <c r="AL147" s="286">
        <v>88316</v>
      </c>
      <c r="AM147" s="286"/>
    </row>
    <row r="148" spans="1:39" s="51" customFormat="1" ht="33.75" hidden="1" x14ac:dyDescent="0.25">
      <c r="A148" s="59" t="s">
        <v>1022</v>
      </c>
      <c r="B148" s="59" t="s">
        <v>87</v>
      </c>
      <c r="C148" s="59"/>
      <c r="D148" s="59">
        <v>90586</v>
      </c>
      <c r="E148" s="60" t="s">
        <v>672</v>
      </c>
      <c r="F148" s="59" t="s">
        <v>76</v>
      </c>
      <c r="G148" s="61">
        <v>0.61499999999999999</v>
      </c>
      <c r="H148" s="62">
        <v>1.56</v>
      </c>
      <c r="I148" s="62">
        <f t="shared" si="9"/>
        <v>0.95940000000000003</v>
      </c>
      <c r="J148" s="62"/>
      <c r="K148" s="62">
        <v>0</v>
      </c>
      <c r="L148" s="62">
        <v>0</v>
      </c>
      <c r="M148" s="62">
        <v>0.46124999999999999</v>
      </c>
      <c r="N148" s="62">
        <v>0</v>
      </c>
      <c r="O148" s="62">
        <v>0.49815000000000004</v>
      </c>
      <c r="P148" s="298" t="s">
        <v>4160</v>
      </c>
      <c r="Q148" s="60" t="s">
        <v>27</v>
      </c>
      <c r="R148" s="60" t="s">
        <v>27</v>
      </c>
      <c r="S148" s="286" t="str">
        <f t="shared" si="8"/>
        <v/>
      </c>
      <c r="T148" s="286" t="str">
        <f>IF($C148= "", T147, IF(ISNA(VLOOKUP($C148,'ABC-S'!$A$5:$A$271,1,FALSE)), "", VLOOKUP($C148,'ABC-S'!$A$5:$A$271,1,FALSE)))</f>
        <v/>
      </c>
      <c r="W148" s="286" t="s">
        <v>1022</v>
      </c>
      <c r="X148" s="286" t="s">
        <v>21</v>
      </c>
      <c r="Y148" s="286" t="s">
        <v>423</v>
      </c>
      <c r="Z148" s="335" t="s">
        <v>21</v>
      </c>
      <c r="AA148" s="286" t="s">
        <v>21</v>
      </c>
      <c r="AB148" s="378"/>
      <c r="AC148" s="381">
        <v>90586</v>
      </c>
      <c r="AD148" s="378">
        <v>0.61499999999999999</v>
      </c>
      <c r="AE148" s="378">
        <v>0</v>
      </c>
      <c r="AF148" s="378">
        <v>0</v>
      </c>
      <c r="AG148" s="378"/>
      <c r="AI148" s="378">
        <v>0</v>
      </c>
      <c r="AJ148" s="378">
        <v>0</v>
      </c>
      <c r="AL148" s="286">
        <v>90586</v>
      </c>
      <c r="AM148" s="286"/>
    </row>
    <row r="149" spans="1:39" s="51" customFormat="1" ht="33.75" hidden="1" x14ac:dyDescent="0.25">
      <c r="A149" s="59" t="s">
        <v>1022</v>
      </c>
      <c r="B149" s="59" t="s">
        <v>87</v>
      </c>
      <c r="C149" s="59"/>
      <c r="D149" s="59">
        <v>90587</v>
      </c>
      <c r="E149" s="60" t="s">
        <v>671</v>
      </c>
      <c r="F149" s="59" t="s">
        <v>75</v>
      </c>
      <c r="G149" s="61">
        <v>0.57499999999999996</v>
      </c>
      <c r="H149" s="62">
        <v>0.44</v>
      </c>
      <c r="I149" s="62">
        <f t="shared" si="9"/>
        <v>0.253</v>
      </c>
      <c r="J149" s="62"/>
      <c r="K149" s="62">
        <v>0</v>
      </c>
      <c r="L149" s="62">
        <v>0</v>
      </c>
      <c r="M149" s="62">
        <v>0.253</v>
      </c>
      <c r="N149" s="62">
        <v>0</v>
      </c>
      <c r="O149" s="62">
        <v>0</v>
      </c>
      <c r="P149" s="298" t="s">
        <v>4160</v>
      </c>
      <c r="Q149" s="60" t="s">
        <v>27</v>
      </c>
      <c r="R149" s="60" t="s">
        <v>27</v>
      </c>
      <c r="S149" s="286" t="str">
        <f t="shared" si="8"/>
        <v/>
      </c>
      <c r="T149" s="286" t="str">
        <f>IF($C149= "", T148, IF(ISNA(VLOOKUP($C149,'ABC-S'!$A$5:$A$271,1,FALSE)), "", VLOOKUP($C149,'ABC-S'!$A$5:$A$271,1,FALSE)))</f>
        <v/>
      </c>
      <c r="W149" s="286" t="s">
        <v>1022</v>
      </c>
      <c r="X149" s="286" t="s">
        <v>21</v>
      </c>
      <c r="Y149" s="286" t="s">
        <v>423</v>
      </c>
      <c r="Z149" s="335" t="s">
        <v>21</v>
      </c>
      <c r="AA149" s="286" t="s">
        <v>21</v>
      </c>
      <c r="AB149" s="378"/>
      <c r="AC149" s="381">
        <v>90587</v>
      </c>
      <c r="AD149" s="378">
        <v>0.57499999999999996</v>
      </c>
      <c r="AE149" s="378">
        <v>0</v>
      </c>
      <c r="AF149" s="378">
        <v>0</v>
      </c>
      <c r="AG149" s="378"/>
      <c r="AI149" s="378">
        <v>0</v>
      </c>
      <c r="AJ149" s="378">
        <v>0</v>
      </c>
      <c r="AL149" s="286">
        <v>90587</v>
      </c>
      <c r="AM149" s="286"/>
    </row>
    <row r="150" spans="1:39" s="51" customFormat="1" ht="33.75" hidden="1" x14ac:dyDescent="0.25">
      <c r="A150" s="55">
        <v>96557</v>
      </c>
      <c r="B150" s="55" t="s">
        <v>38</v>
      </c>
      <c r="C150" s="55" t="s">
        <v>1127</v>
      </c>
      <c r="D150" s="55"/>
      <c r="E150" s="56" t="s">
        <v>1128</v>
      </c>
      <c r="F150" s="55" t="s">
        <v>44</v>
      </c>
      <c r="G150" s="57"/>
      <c r="H150" s="58"/>
      <c r="I150" s="58"/>
      <c r="J150" s="58">
        <f>SUM(I150:I155)</f>
        <v>423.64774</v>
      </c>
      <c r="K150" s="58">
        <v>12.76454</v>
      </c>
      <c r="L150" s="58">
        <v>410.70499999999998</v>
      </c>
      <c r="M150" s="58">
        <v>0.10692</v>
      </c>
      <c r="N150" s="58">
        <v>0</v>
      </c>
      <c r="O150" s="58">
        <v>7.1279999999998206E-2</v>
      </c>
      <c r="P150" s="58"/>
      <c r="Q150" s="56"/>
      <c r="R150" s="56" t="s">
        <v>1129</v>
      </c>
      <c r="S150" s="286" t="str">
        <f t="shared" si="8"/>
        <v/>
      </c>
      <c r="T150" s="286" t="str">
        <f>IF($C150= "", T149, IF(ISNA(VLOOKUP($C150,'ABC-S'!$A$5:$A$271,1,FALSE)), "", VLOOKUP($C150,'ABC-S'!$A$5:$A$271,1,FALSE)))</f>
        <v/>
      </c>
      <c r="W150" s="286" t="s">
        <v>1127</v>
      </c>
      <c r="X150" s="286"/>
      <c r="Y150" s="286"/>
      <c r="Z150" s="286"/>
      <c r="AA150" s="286" t="s">
        <v>21</v>
      </c>
      <c r="AB150" s="378">
        <v>0.90700000000000003</v>
      </c>
      <c r="AC150" s="378"/>
      <c r="AD150" s="335"/>
      <c r="AE150" s="335"/>
      <c r="AF150" s="335"/>
      <c r="AG150" s="378">
        <v>0.90700000000000003</v>
      </c>
      <c r="AI150" s="378" t="s">
        <v>21</v>
      </c>
      <c r="AJ150" s="378" t="s">
        <v>21</v>
      </c>
      <c r="AL150" s="286"/>
      <c r="AM150" s="286"/>
    </row>
    <row r="151" spans="1:39" s="51" customFormat="1" ht="33.75" hidden="1" x14ac:dyDescent="0.25">
      <c r="A151" s="59">
        <v>96557</v>
      </c>
      <c r="B151" s="59" t="s">
        <v>86</v>
      </c>
      <c r="C151" s="59"/>
      <c r="D151" s="59">
        <v>11145</v>
      </c>
      <c r="E151" s="60" t="s">
        <v>692</v>
      </c>
      <c r="F151" s="59" t="s">
        <v>3670</v>
      </c>
      <c r="G151" s="61">
        <v>1.1499999999999999</v>
      </c>
      <c r="H151" s="62">
        <v>352.36</v>
      </c>
      <c r="I151" s="62">
        <f>IF($D151="","",G151*H151)</f>
        <v>405.214</v>
      </c>
      <c r="J151" s="62"/>
      <c r="K151" s="62">
        <v>0</v>
      </c>
      <c r="L151" s="62">
        <v>405.214</v>
      </c>
      <c r="M151" s="62">
        <v>0</v>
      </c>
      <c r="N151" s="62">
        <v>0</v>
      </c>
      <c r="O151" s="62">
        <v>0</v>
      </c>
      <c r="P151" s="298" t="s">
        <v>89</v>
      </c>
      <c r="Q151" s="60" t="s">
        <v>27</v>
      </c>
      <c r="R151" s="60" t="s">
        <v>1130</v>
      </c>
      <c r="S151" s="286" t="str">
        <f t="shared" si="8"/>
        <v/>
      </c>
      <c r="T151" s="286" t="str">
        <f>IF($C151= "", T150, IF(ISNA(VLOOKUP($C151,'ABC-S'!$A$5:$A$271,1,FALSE)), "", VLOOKUP($C151,'ABC-S'!$A$5:$A$271,1,FALSE)))</f>
        <v/>
      </c>
      <c r="W151" s="286" t="s">
        <v>1127</v>
      </c>
      <c r="X151" s="286" t="s">
        <v>21</v>
      </c>
      <c r="Y151" s="286" t="s">
        <v>21</v>
      </c>
      <c r="Z151" s="286" t="s">
        <v>21</v>
      </c>
      <c r="AA151" s="286" t="s">
        <v>21</v>
      </c>
      <c r="AB151" s="378"/>
      <c r="AC151" s="381" t="s">
        <v>21</v>
      </c>
      <c r="AD151" s="378" t="s">
        <v>21</v>
      </c>
      <c r="AE151" s="378" t="s">
        <v>21</v>
      </c>
      <c r="AF151" s="378" t="s">
        <v>21</v>
      </c>
      <c r="AG151" s="378"/>
      <c r="AI151" s="378" t="s">
        <v>21</v>
      </c>
      <c r="AJ151" s="378" t="s">
        <v>21</v>
      </c>
      <c r="AL151" s="286"/>
      <c r="AM151" s="286">
        <v>11145</v>
      </c>
    </row>
    <row r="152" spans="1:39" s="51" customFormat="1" hidden="1" x14ac:dyDescent="0.25">
      <c r="A152" s="59">
        <v>96557</v>
      </c>
      <c r="B152" s="59" t="s">
        <v>87</v>
      </c>
      <c r="C152" s="248"/>
      <c r="D152" s="59">
        <v>88309</v>
      </c>
      <c r="E152" s="60" t="s">
        <v>617</v>
      </c>
      <c r="F152" s="59" t="s">
        <v>46</v>
      </c>
      <c r="G152" s="61">
        <v>0.36299999999999999</v>
      </c>
      <c r="H152" s="62">
        <v>23.9</v>
      </c>
      <c r="I152" s="62">
        <f>IF($D152="","",G152*H152)</f>
        <v>8.6756999999999991</v>
      </c>
      <c r="J152" s="62"/>
      <c r="K152" s="62">
        <v>6.4541400000000007</v>
      </c>
      <c r="L152" s="62">
        <v>2.2215599999999998</v>
      </c>
      <c r="M152" s="62">
        <v>0</v>
      </c>
      <c r="N152" s="62">
        <v>0</v>
      </c>
      <c r="O152" s="62">
        <v>-1.7763568394002505E-15</v>
      </c>
      <c r="P152" s="298" t="s">
        <v>4160</v>
      </c>
      <c r="Q152" s="60" t="s">
        <v>27</v>
      </c>
      <c r="R152" s="60" t="s">
        <v>27</v>
      </c>
      <c r="S152" s="286" t="str">
        <f t="shared" si="8"/>
        <v/>
      </c>
      <c r="T152" s="286" t="str">
        <f>IF($C152= "", T151, IF(ISNA(VLOOKUP($C152,'ABC-S'!$A$5:$A$271,1,FALSE)), "", VLOOKUP($C152,'ABC-S'!$A$5:$A$271,1,FALSE)))</f>
        <v/>
      </c>
      <c r="W152" s="286" t="s">
        <v>1127</v>
      </c>
      <c r="X152" s="286">
        <v>88309</v>
      </c>
      <c r="Y152" s="286" t="s">
        <v>424</v>
      </c>
      <c r="Z152" s="335">
        <v>0</v>
      </c>
      <c r="AA152" s="286">
        <v>0.36299999999999999</v>
      </c>
      <c r="AB152" s="378"/>
      <c r="AC152" s="381" t="s">
        <v>21</v>
      </c>
      <c r="AD152" s="378" t="s">
        <v>21</v>
      </c>
      <c r="AE152" s="378" t="s">
        <v>21</v>
      </c>
      <c r="AF152" s="378" t="s">
        <v>21</v>
      </c>
      <c r="AG152" s="378"/>
      <c r="AI152" s="378">
        <v>0</v>
      </c>
      <c r="AJ152" s="378">
        <v>0</v>
      </c>
      <c r="AL152" s="286">
        <v>88309</v>
      </c>
      <c r="AM152" s="286"/>
    </row>
    <row r="153" spans="1:39" s="51" customFormat="1" hidden="1" x14ac:dyDescent="0.25">
      <c r="A153" s="59">
        <v>96557</v>
      </c>
      <c r="B153" s="59" t="s">
        <v>87</v>
      </c>
      <c r="C153" s="248"/>
      <c r="D153" s="59">
        <v>88316</v>
      </c>
      <c r="E153" s="60" t="s">
        <v>649</v>
      </c>
      <c r="F153" s="59" t="s">
        <v>46</v>
      </c>
      <c r="G153" s="61">
        <v>0.54400000000000004</v>
      </c>
      <c r="H153" s="62">
        <v>17.61</v>
      </c>
      <c r="I153" s="62">
        <f>IF($D153="","",G153*H153)</f>
        <v>9.5798400000000008</v>
      </c>
      <c r="J153" s="62"/>
      <c r="K153" s="62">
        <v>6.3104000000000005</v>
      </c>
      <c r="L153" s="62">
        <v>3.2694399999999999</v>
      </c>
      <c r="M153" s="62">
        <v>0</v>
      </c>
      <c r="N153" s="62">
        <v>0</v>
      </c>
      <c r="O153" s="62">
        <v>0</v>
      </c>
      <c r="P153" s="298" t="s">
        <v>4160</v>
      </c>
      <c r="Q153" s="60" t="s">
        <v>27</v>
      </c>
      <c r="R153" s="60" t="s">
        <v>27</v>
      </c>
      <c r="S153" s="286" t="str">
        <f t="shared" si="8"/>
        <v/>
      </c>
      <c r="T153" s="286" t="str">
        <f>IF($C153= "", T152, IF(ISNA(VLOOKUP($C153,'ABC-S'!$A$5:$A$271,1,FALSE)), "", VLOOKUP($C153,'ABC-S'!$A$5:$A$271,1,FALSE)))</f>
        <v/>
      </c>
      <c r="W153" s="286" t="s">
        <v>1127</v>
      </c>
      <c r="X153" s="286">
        <v>88316</v>
      </c>
      <c r="Y153" s="286" t="s">
        <v>424</v>
      </c>
      <c r="Z153" s="335">
        <v>0</v>
      </c>
      <c r="AA153" s="286">
        <v>0.54400000000000004</v>
      </c>
      <c r="AB153" s="378"/>
      <c r="AC153" s="381" t="s">
        <v>21</v>
      </c>
      <c r="AD153" s="378" t="s">
        <v>21</v>
      </c>
      <c r="AE153" s="378" t="s">
        <v>21</v>
      </c>
      <c r="AF153" s="378" t="s">
        <v>21</v>
      </c>
      <c r="AG153" s="378"/>
      <c r="AI153" s="378">
        <v>0</v>
      </c>
      <c r="AJ153" s="378">
        <v>0</v>
      </c>
      <c r="AL153" s="286">
        <v>88316</v>
      </c>
      <c r="AM153" s="286"/>
    </row>
    <row r="154" spans="1:39" s="51" customFormat="1" ht="33.75" hidden="1" x14ac:dyDescent="0.25">
      <c r="A154" s="59">
        <v>96557</v>
      </c>
      <c r="B154" s="59" t="s">
        <v>87</v>
      </c>
      <c r="C154" s="248"/>
      <c r="D154" s="59">
        <v>90586</v>
      </c>
      <c r="E154" s="60" t="s">
        <v>672</v>
      </c>
      <c r="F154" s="59" t="s">
        <v>76</v>
      </c>
      <c r="G154" s="61">
        <v>8.7999999999999995E-2</v>
      </c>
      <c r="H154" s="62">
        <v>1.56</v>
      </c>
      <c r="I154" s="62">
        <f>IF($D154="","",G154*H154)</f>
        <v>0.13727999999999999</v>
      </c>
      <c r="J154" s="62"/>
      <c r="K154" s="62">
        <v>0</v>
      </c>
      <c r="L154" s="62">
        <v>0</v>
      </c>
      <c r="M154" s="62">
        <v>6.6000000000000003E-2</v>
      </c>
      <c r="N154" s="62">
        <v>0</v>
      </c>
      <c r="O154" s="62">
        <v>7.1279999999999982E-2</v>
      </c>
      <c r="P154" s="298" t="s">
        <v>4160</v>
      </c>
      <c r="Q154" s="60" t="s">
        <v>27</v>
      </c>
      <c r="R154" s="60" t="s">
        <v>27</v>
      </c>
      <c r="S154" s="286" t="str">
        <f t="shared" si="8"/>
        <v/>
      </c>
      <c r="T154" s="286" t="str">
        <f>IF($C154= "", T153, IF(ISNA(VLOOKUP($C154,'ABC-S'!$A$5:$A$271,1,FALSE)), "", VLOOKUP($C154,'ABC-S'!$A$5:$A$271,1,FALSE)))</f>
        <v/>
      </c>
      <c r="W154" s="286" t="s">
        <v>1127</v>
      </c>
      <c r="X154" s="286" t="s">
        <v>21</v>
      </c>
      <c r="Y154" s="286" t="s">
        <v>423</v>
      </c>
      <c r="Z154" s="335" t="s">
        <v>21</v>
      </c>
      <c r="AA154" s="286" t="s">
        <v>21</v>
      </c>
      <c r="AB154" s="378"/>
      <c r="AC154" s="381">
        <v>90586</v>
      </c>
      <c r="AD154" s="378">
        <v>8.7999999999999995E-2</v>
      </c>
      <c r="AE154" s="378">
        <v>0</v>
      </c>
      <c r="AF154" s="378">
        <v>0</v>
      </c>
      <c r="AG154" s="378"/>
      <c r="AI154" s="378">
        <v>0</v>
      </c>
      <c r="AJ154" s="378">
        <v>0</v>
      </c>
      <c r="AL154" s="286">
        <v>90586</v>
      </c>
      <c r="AM154" s="286"/>
    </row>
    <row r="155" spans="1:39" s="51" customFormat="1" ht="33.75" hidden="1" x14ac:dyDescent="0.25">
      <c r="A155" s="59">
        <v>96557</v>
      </c>
      <c r="B155" s="59" t="s">
        <v>87</v>
      </c>
      <c r="C155" s="59"/>
      <c r="D155" s="59">
        <v>90587</v>
      </c>
      <c r="E155" s="60" t="s">
        <v>671</v>
      </c>
      <c r="F155" s="59" t="s">
        <v>75</v>
      </c>
      <c r="G155" s="61">
        <v>9.2999999999999999E-2</v>
      </c>
      <c r="H155" s="62">
        <v>0.44</v>
      </c>
      <c r="I155" s="62">
        <f>IF($D155="","",G155*H155)</f>
        <v>4.0919999999999998E-2</v>
      </c>
      <c r="J155" s="62"/>
      <c r="K155" s="62">
        <v>0</v>
      </c>
      <c r="L155" s="62">
        <v>0</v>
      </c>
      <c r="M155" s="62">
        <v>4.0919999999999998E-2</v>
      </c>
      <c r="N155" s="62">
        <v>0</v>
      </c>
      <c r="O155" s="62">
        <v>0</v>
      </c>
      <c r="P155" s="298" t="s">
        <v>4160</v>
      </c>
      <c r="Q155" s="60" t="s">
        <v>27</v>
      </c>
      <c r="R155" s="60" t="s">
        <v>27</v>
      </c>
      <c r="S155" s="286" t="str">
        <f t="shared" si="8"/>
        <v/>
      </c>
      <c r="T155" s="286" t="str">
        <f>IF($C155= "", T154, IF(ISNA(VLOOKUP($C155,'ABC-S'!$A$5:$A$271,1,FALSE)), "", VLOOKUP($C155,'ABC-S'!$A$5:$A$271,1,FALSE)))</f>
        <v/>
      </c>
      <c r="W155" s="286" t="s">
        <v>1127</v>
      </c>
      <c r="X155" s="286" t="s">
        <v>21</v>
      </c>
      <c r="Y155" s="286" t="s">
        <v>423</v>
      </c>
      <c r="Z155" s="335" t="s">
        <v>21</v>
      </c>
      <c r="AA155" s="286" t="s">
        <v>21</v>
      </c>
      <c r="AB155" s="378"/>
      <c r="AC155" s="381">
        <v>90587</v>
      </c>
      <c r="AD155" s="378">
        <v>9.2999999999999999E-2</v>
      </c>
      <c r="AE155" s="378">
        <v>0</v>
      </c>
      <c r="AF155" s="378">
        <v>0</v>
      </c>
      <c r="AG155" s="378"/>
      <c r="AI155" s="378">
        <v>0</v>
      </c>
      <c r="AJ155" s="378">
        <v>0</v>
      </c>
      <c r="AL155" s="286">
        <v>90587</v>
      </c>
      <c r="AM155" s="286"/>
    </row>
    <row r="156" spans="1:39" s="51" customFormat="1" ht="33.75" hidden="1" x14ac:dyDescent="0.25">
      <c r="A156" s="55">
        <v>100349</v>
      </c>
      <c r="B156" s="55" t="s">
        <v>38</v>
      </c>
      <c r="C156" s="55" t="s">
        <v>1131</v>
      </c>
      <c r="D156" s="55"/>
      <c r="E156" s="56" t="s">
        <v>1133</v>
      </c>
      <c r="F156" s="55" t="s">
        <v>44</v>
      </c>
      <c r="G156" s="57"/>
      <c r="H156" s="58"/>
      <c r="I156" s="58"/>
      <c r="J156" s="58">
        <f>SUM(I156:I160)</f>
        <v>414.82616400000001</v>
      </c>
      <c r="K156" s="58">
        <v>19.280632000000001</v>
      </c>
      <c r="L156" s="58">
        <v>395.28960799999999</v>
      </c>
      <c r="M156" s="58">
        <v>0.15710400000000002</v>
      </c>
      <c r="N156" s="58">
        <v>0</v>
      </c>
      <c r="O156" s="58">
        <v>9.8819999999996438E-2</v>
      </c>
      <c r="P156" s="58"/>
      <c r="Q156" s="56"/>
      <c r="R156" s="56" t="s">
        <v>1132</v>
      </c>
      <c r="S156" s="286" t="str">
        <f t="shared" si="8"/>
        <v/>
      </c>
      <c r="T156" s="286" t="str">
        <f>IF($C156= "", T155, IF(ISNA(VLOOKUP($C156,'ABC-S'!$A$5:$A$271,1,FALSE)), "", VLOOKUP($C156,'ABC-S'!$A$5:$A$271,1,FALSE)))</f>
        <v/>
      </c>
      <c r="W156" s="286" t="s">
        <v>1131</v>
      </c>
      <c r="X156" s="286"/>
      <c r="Y156" s="286"/>
      <c r="Z156" s="286"/>
      <c r="AA156" s="286" t="s">
        <v>21</v>
      </c>
      <c r="AB156" s="378">
        <v>1.0844</v>
      </c>
      <c r="AC156" s="378"/>
      <c r="AD156" s="335"/>
      <c r="AE156" s="335"/>
      <c r="AF156" s="335"/>
      <c r="AG156" s="378">
        <v>1.0844</v>
      </c>
      <c r="AI156" s="378" t="s">
        <v>21</v>
      </c>
      <c r="AJ156" s="378" t="s">
        <v>21</v>
      </c>
      <c r="AL156" s="286"/>
      <c r="AM156" s="286"/>
    </row>
    <row r="157" spans="1:39" s="51" customFormat="1" ht="33.75" hidden="1" x14ac:dyDescent="0.25">
      <c r="A157" s="59">
        <v>100349</v>
      </c>
      <c r="B157" s="59" t="s">
        <v>86</v>
      </c>
      <c r="C157" s="59"/>
      <c r="D157" s="59">
        <v>11145</v>
      </c>
      <c r="E157" s="60" t="s">
        <v>692</v>
      </c>
      <c r="F157" s="59" t="s">
        <v>3670</v>
      </c>
      <c r="G157" s="61">
        <v>1.103</v>
      </c>
      <c r="H157" s="62">
        <v>352.36</v>
      </c>
      <c r="I157" s="62">
        <f>IF($D157="","",G157*H157)</f>
        <v>388.65307999999999</v>
      </c>
      <c r="J157" s="62"/>
      <c r="K157" s="62">
        <v>0</v>
      </c>
      <c r="L157" s="62">
        <v>388.65307999999999</v>
      </c>
      <c r="M157" s="62">
        <v>0</v>
      </c>
      <c r="N157" s="62">
        <v>0</v>
      </c>
      <c r="O157" s="62">
        <v>0</v>
      </c>
      <c r="P157" s="298" t="s">
        <v>89</v>
      </c>
      <c r="Q157" s="60" t="s">
        <v>27</v>
      </c>
      <c r="R157" s="60" t="s">
        <v>1130</v>
      </c>
      <c r="S157" s="286" t="str">
        <f t="shared" si="8"/>
        <v/>
      </c>
      <c r="T157" s="286" t="str">
        <f>IF($C157= "", T156, IF(ISNA(VLOOKUP($C157,'ABC-S'!$A$5:$A$271,1,FALSE)), "", VLOOKUP($C157,'ABC-S'!$A$5:$A$271,1,FALSE)))</f>
        <v/>
      </c>
      <c r="W157" s="286" t="s">
        <v>1131</v>
      </c>
      <c r="X157" s="286" t="s">
        <v>21</v>
      </c>
      <c r="Y157" s="286" t="s">
        <v>21</v>
      </c>
      <c r="Z157" s="286" t="s">
        <v>21</v>
      </c>
      <c r="AA157" s="286" t="s">
        <v>21</v>
      </c>
      <c r="AB157" s="378"/>
      <c r="AC157" s="381" t="s">
        <v>21</v>
      </c>
      <c r="AD157" s="378" t="s">
        <v>21</v>
      </c>
      <c r="AE157" s="378" t="s">
        <v>21</v>
      </c>
      <c r="AF157" s="378" t="s">
        <v>21</v>
      </c>
      <c r="AG157" s="378"/>
      <c r="AI157" s="378" t="s">
        <v>21</v>
      </c>
      <c r="AJ157" s="378" t="s">
        <v>21</v>
      </c>
      <c r="AL157" s="286"/>
      <c r="AM157" s="286">
        <v>11145</v>
      </c>
    </row>
    <row r="158" spans="1:39" s="51" customFormat="1" hidden="1" x14ac:dyDescent="0.25">
      <c r="A158" s="59">
        <v>100349</v>
      </c>
      <c r="B158" s="59" t="s">
        <v>87</v>
      </c>
      <c r="C158" s="248"/>
      <c r="D158" s="59">
        <v>88309</v>
      </c>
      <c r="E158" s="60" t="s">
        <v>617</v>
      </c>
      <c r="F158" s="59" t="s">
        <v>46</v>
      </c>
      <c r="G158" s="61">
        <v>1.0844</v>
      </c>
      <c r="H158" s="62">
        <v>23.9</v>
      </c>
      <c r="I158" s="62">
        <f>IF($D158="","",G158*H158)</f>
        <v>25.917159999999999</v>
      </c>
      <c r="J158" s="62"/>
      <c r="K158" s="62">
        <v>19.280632000000001</v>
      </c>
      <c r="L158" s="62">
        <v>6.6365280000000002</v>
      </c>
      <c r="M158" s="62">
        <v>0</v>
      </c>
      <c r="N158" s="62">
        <v>0</v>
      </c>
      <c r="O158" s="62">
        <v>-3.5527136788005009E-15</v>
      </c>
      <c r="P158" s="298" t="s">
        <v>4160</v>
      </c>
      <c r="Q158" s="60" t="s">
        <v>27</v>
      </c>
      <c r="R158" s="60" t="s">
        <v>27</v>
      </c>
      <c r="S158" s="286" t="str">
        <f t="shared" si="8"/>
        <v/>
      </c>
      <c r="T158" s="286" t="str">
        <f>IF($C158= "", T157, IF(ISNA(VLOOKUP($C158,'ABC-S'!$A$5:$A$271,1,FALSE)), "", VLOOKUP($C158,'ABC-S'!$A$5:$A$271,1,FALSE)))</f>
        <v/>
      </c>
      <c r="W158" s="286" t="s">
        <v>1131</v>
      </c>
      <c r="X158" s="286">
        <v>88309</v>
      </c>
      <c r="Y158" s="286" t="s">
        <v>424</v>
      </c>
      <c r="Z158" s="335">
        <v>0</v>
      </c>
      <c r="AA158" s="286">
        <v>1.0844</v>
      </c>
      <c r="AB158" s="378"/>
      <c r="AC158" s="381" t="s">
        <v>21</v>
      </c>
      <c r="AD158" s="378" t="s">
        <v>21</v>
      </c>
      <c r="AE158" s="378" t="s">
        <v>21</v>
      </c>
      <c r="AF158" s="378" t="s">
        <v>21</v>
      </c>
      <c r="AG158" s="378"/>
      <c r="AI158" s="378">
        <v>0</v>
      </c>
      <c r="AJ158" s="378">
        <v>0</v>
      </c>
      <c r="AL158" s="286">
        <v>88309</v>
      </c>
      <c r="AM158" s="286"/>
    </row>
    <row r="159" spans="1:39" s="51" customFormat="1" ht="33.75" hidden="1" x14ac:dyDescent="0.25">
      <c r="A159" s="59">
        <v>100349</v>
      </c>
      <c r="B159" s="59" t="s">
        <v>87</v>
      </c>
      <c r="C159" s="248"/>
      <c r="D159" s="59">
        <v>90586</v>
      </c>
      <c r="E159" s="60" t="s">
        <v>672</v>
      </c>
      <c r="F159" s="59" t="s">
        <v>76</v>
      </c>
      <c r="G159" s="61">
        <v>0.122</v>
      </c>
      <c r="H159" s="62">
        <v>1.56</v>
      </c>
      <c r="I159" s="62">
        <f>IF($D159="","",G159*H159)</f>
        <v>0.19031999999999999</v>
      </c>
      <c r="J159" s="62"/>
      <c r="K159" s="62">
        <v>0</v>
      </c>
      <c r="L159" s="62">
        <v>0</v>
      </c>
      <c r="M159" s="62">
        <v>9.1499999999999998E-2</v>
      </c>
      <c r="N159" s="62">
        <v>0</v>
      </c>
      <c r="O159" s="62">
        <v>9.8819999999999991E-2</v>
      </c>
      <c r="P159" s="298" t="s">
        <v>4160</v>
      </c>
      <c r="Q159" s="60" t="s">
        <v>27</v>
      </c>
      <c r="R159" s="60" t="s">
        <v>27</v>
      </c>
      <c r="S159" s="286" t="str">
        <f t="shared" si="8"/>
        <v/>
      </c>
      <c r="T159" s="286" t="str">
        <f>IF($C159= "", T158, IF(ISNA(VLOOKUP($C159,'ABC-S'!$A$5:$A$271,1,FALSE)), "", VLOOKUP($C159,'ABC-S'!$A$5:$A$271,1,FALSE)))</f>
        <v/>
      </c>
      <c r="W159" s="286" t="s">
        <v>1131</v>
      </c>
      <c r="X159" s="286" t="s">
        <v>21</v>
      </c>
      <c r="Y159" s="286" t="s">
        <v>423</v>
      </c>
      <c r="Z159" s="335" t="s">
        <v>21</v>
      </c>
      <c r="AA159" s="286" t="s">
        <v>21</v>
      </c>
      <c r="AB159" s="378"/>
      <c r="AC159" s="381">
        <v>90586</v>
      </c>
      <c r="AD159" s="378">
        <v>0.122</v>
      </c>
      <c r="AE159" s="378">
        <v>0</v>
      </c>
      <c r="AF159" s="378">
        <v>0</v>
      </c>
      <c r="AG159" s="378"/>
      <c r="AI159" s="378">
        <v>0</v>
      </c>
      <c r="AJ159" s="378">
        <v>0</v>
      </c>
      <c r="AL159" s="286">
        <v>90586</v>
      </c>
      <c r="AM159" s="286"/>
    </row>
    <row r="160" spans="1:39" s="51" customFormat="1" ht="33.75" hidden="1" x14ac:dyDescent="0.25">
      <c r="A160" s="59">
        <v>100349</v>
      </c>
      <c r="B160" s="59" t="s">
        <v>87</v>
      </c>
      <c r="C160" s="248"/>
      <c r="D160" s="59">
        <v>90587</v>
      </c>
      <c r="E160" s="60" t="s">
        <v>671</v>
      </c>
      <c r="F160" s="59" t="s">
        <v>75</v>
      </c>
      <c r="G160" s="61">
        <v>0.14910000000000001</v>
      </c>
      <c r="H160" s="62">
        <v>0.44</v>
      </c>
      <c r="I160" s="62">
        <f>IF($D160="","",G160*H160)</f>
        <v>6.560400000000001E-2</v>
      </c>
      <c r="J160" s="62"/>
      <c r="K160" s="62">
        <v>0</v>
      </c>
      <c r="L160" s="62">
        <v>0</v>
      </c>
      <c r="M160" s="62">
        <v>6.560400000000001E-2</v>
      </c>
      <c r="N160" s="62">
        <v>0</v>
      </c>
      <c r="O160" s="62">
        <v>0</v>
      </c>
      <c r="P160" s="298" t="s">
        <v>4160</v>
      </c>
      <c r="Q160" s="60" t="s">
        <v>27</v>
      </c>
      <c r="R160" s="60" t="s">
        <v>27</v>
      </c>
      <c r="S160" s="286" t="str">
        <f t="shared" si="8"/>
        <v/>
      </c>
      <c r="T160" s="286" t="str">
        <f>IF($C160= "", T159, IF(ISNA(VLOOKUP($C160,'ABC-S'!$A$5:$A$271,1,FALSE)), "", VLOOKUP($C160,'ABC-S'!$A$5:$A$271,1,FALSE)))</f>
        <v/>
      </c>
      <c r="W160" s="286" t="s">
        <v>1131</v>
      </c>
      <c r="X160" s="286" t="s">
        <v>21</v>
      </c>
      <c r="Y160" s="286" t="s">
        <v>423</v>
      </c>
      <c r="Z160" s="335" t="s">
        <v>21</v>
      </c>
      <c r="AA160" s="286" t="s">
        <v>21</v>
      </c>
      <c r="AB160" s="378"/>
      <c r="AC160" s="381">
        <v>90587</v>
      </c>
      <c r="AD160" s="378">
        <v>0.14910000000000001</v>
      </c>
      <c r="AE160" s="378">
        <v>0</v>
      </c>
      <c r="AF160" s="378">
        <v>0</v>
      </c>
      <c r="AG160" s="378"/>
      <c r="AI160" s="378">
        <v>0</v>
      </c>
      <c r="AJ160" s="378">
        <v>0</v>
      </c>
      <c r="AL160" s="286">
        <v>90587</v>
      </c>
      <c r="AM160" s="286"/>
    </row>
    <row r="161" spans="1:39" s="51" customFormat="1" ht="45" hidden="1" x14ac:dyDescent="0.25">
      <c r="A161" s="55">
        <v>92720</v>
      </c>
      <c r="B161" s="55" t="s">
        <v>38</v>
      </c>
      <c r="C161" s="55" t="s">
        <v>1134</v>
      </c>
      <c r="D161" s="55"/>
      <c r="E161" s="56" t="s">
        <v>1135</v>
      </c>
      <c r="F161" s="55" t="s">
        <v>44</v>
      </c>
      <c r="G161" s="57"/>
      <c r="H161" s="58"/>
      <c r="I161" s="58"/>
      <c r="J161" s="58">
        <f>SUM(I161:I167)</f>
        <v>419.27634</v>
      </c>
      <c r="K161" s="58">
        <v>20.879760000000001</v>
      </c>
      <c r="L161" s="58">
        <v>398.23285999999996</v>
      </c>
      <c r="M161" s="58">
        <v>0.10864000000000001</v>
      </c>
      <c r="N161" s="58">
        <v>0</v>
      </c>
      <c r="O161" s="58">
        <v>5.5080000000000004E-2</v>
      </c>
      <c r="P161" s="58"/>
      <c r="Q161" s="56"/>
      <c r="R161" s="56" t="s">
        <v>1136</v>
      </c>
      <c r="S161" s="286" t="str">
        <f t="shared" si="8"/>
        <v/>
      </c>
      <c r="T161" s="286" t="str">
        <f>IF($C161= "", T160, IF(ISNA(VLOOKUP($C161,'ABC-S'!$A$5:$A$271,1,FALSE)), "", VLOOKUP($C161,'ABC-S'!$A$5:$A$271,1,FALSE)))</f>
        <v/>
      </c>
      <c r="W161" s="286" t="s">
        <v>1134</v>
      </c>
      <c r="X161" s="286"/>
      <c r="Y161" s="286"/>
      <c r="Z161" s="286"/>
      <c r="AA161" s="286" t="s">
        <v>21</v>
      </c>
      <c r="AB161" s="378">
        <v>1.5899999999999999</v>
      </c>
      <c r="AC161" s="378"/>
      <c r="AD161" s="335"/>
      <c r="AE161" s="335"/>
      <c r="AF161" s="335"/>
      <c r="AG161" s="378">
        <v>1.5899999999999999</v>
      </c>
      <c r="AI161" s="378" t="s">
        <v>21</v>
      </c>
      <c r="AJ161" s="378" t="s">
        <v>21</v>
      </c>
      <c r="AL161" s="286"/>
      <c r="AM161" s="286"/>
    </row>
    <row r="162" spans="1:39" s="51" customFormat="1" ht="33.75" hidden="1" x14ac:dyDescent="0.25">
      <c r="A162" s="59">
        <v>92720</v>
      </c>
      <c r="B162" s="59" t="s">
        <v>86</v>
      </c>
      <c r="C162" s="59"/>
      <c r="D162" s="59">
        <v>11145</v>
      </c>
      <c r="E162" s="60" t="s">
        <v>692</v>
      </c>
      <c r="F162" s="59" t="s">
        <v>3670</v>
      </c>
      <c r="G162" s="61">
        <v>1.103</v>
      </c>
      <c r="H162" s="62">
        <v>352.36</v>
      </c>
      <c r="I162" s="62">
        <f t="shared" ref="I162:I167" si="10">IF($D162="","",G162*H162)</f>
        <v>388.65307999999999</v>
      </c>
      <c r="J162" s="62"/>
      <c r="K162" s="62">
        <v>0</v>
      </c>
      <c r="L162" s="62">
        <v>388.65307999999999</v>
      </c>
      <c r="M162" s="62">
        <v>0</v>
      </c>
      <c r="N162" s="62">
        <v>0</v>
      </c>
      <c r="O162" s="62">
        <v>0</v>
      </c>
      <c r="P162" s="298" t="s">
        <v>89</v>
      </c>
      <c r="Q162" s="60" t="s">
        <v>27</v>
      </c>
      <c r="R162" s="60" t="s">
        <v>1130</v>
      </c>
      <c r="S162" s="286" t="str">
        <f t="shared" si="8"/>
        <v/>
      </c>
      <c r="T162" s="286" t="str">
        <f>IF($C162= "", T161, IF(ISNA(VLOOKUP($C162,'ABC-S'!$A$5:$A$271,1,FALSE)), "", VLOOKUP($C162,'ABC-S'!$A$5:$A$271,1,FALSE)))</f>
        <v/>
      </c>
      <c r="W162" s="286" t="s">
        <v>1134</v>
      </c>
      <c r="X162" s="286" t="s">
        <v>21</v>
      </c>
      <c r="Y162" s="286" t="s">
        <v>21</v>
      </c>
      <c r="Z162" s="286" t="s">
        <v>21</v>
      </c>
      <c r="AA162" s="286" t="s">
        <v>21</v>
      </c>
      <c r="AB162" s="378"/>
      <c r="AC162" s="381" t="s">
        <v>21</v>
      </c>
      <c r="AD162" s="378" t="s">
        <v>21</v>
      </c>
      <c r="AE162" s="378" t="s">
        <v>21</v>
      </c>
      <c r="AF162" s="378" t="s">
        <v>21</v>
      </c>
      <c r="AG162" s="378"/>
      <c r="AI162" s="378" t="s">
        <v>21</v>
      </c>
      <c r="AJ162" s="378" t="s">
        <v>21</v>
      </c>
      <c r="AL162" s="286"/>
      <c r="AM162" s="286">
        <v>11145</v>
      </c>
    </row>
    <row r="163" spans="1:39" s="51" customFormat="1" ht="22.5" hidden="1" x14ac:dyDescent="0.25">
      <c r="A163" s="59">
        <v>92720</v>
      </c>
      <c r="B163" s="59" t="s">
        <v>87</v>
      </c>
      <c r="C163" s="248"/>
      <c r="D163" s="59">
        <v>88262</v>
      </c>
      <c r="E163" s="60" t="s">
        <v>535</v>
      </c>
      <c r="F163" s="59" t="s">
        <v>46</v>
      </c>
      <c r="G163" s="61">
        <v>0.19900000000000001</v>
      </c>
      <c r="H163" s="62">
        <v>23.68</v>
      </c>
      <c r="I163" s="62">
        <f t="shared" si="10"/>
        <v>4.7123200000000001</v>
      </c>
      <c r="J163" s="62"/>
      <c r="K163" s="62">
        <v>3.5143400000000002</v>
      </c>
      <c r="L163" s="62">
        <v>1.19798</v>
      </c>
      <c r="M163" s="62">
        <v>0</v>
      </c>
      <c r="N163" s="62">
        <v>0</v>
      </c>
      <c r="O163" s="62">
        <v>0</v>
      </c>
      <c r="P163" s="298" t="s">
        <v>4160</v>
      </c>
      <c r="Q163" s="60" t="s">
        <v>27</v>
      </c>
      <c r="R163" s="60" t="s">
        <v>27</v>
      </c>
      <c r="S163" s="286" t="str">
        <f t="shared" si="8"/>
        <v/>
      </c>
      <c r="T163" s="286" t="str">
        <f>IF($C163= "", T162, IF(ISNA(VLOOKUP($C163,'ABC-S'!$A$5:$A$271,1,FALSE)), "", VLOOKUP($C163,'ABC-S'!$A$5:$A$271,1,FALSE)))</f>
        <v/>
      </c>
      <c r="W163" s="286" t="s">
        <v>1134</v>
      </c>
      <c r="X163" s="286">
        <v>88262</v>
      </c>
      <c r="Y163" s="286" t="s">
        <v>424</v>
      </c>
      <c r="Z163" s="335">
        <v>0</v>
      </c>
      <c r="AA163" s="286">
        <v>0.19900000000000001</v>
      </c>
      <c r="AB163" s="378"/>
      <c r="AC163" s="381" t="s">
        <v>21</v>
      </c>
      <c r="AD163" s="378" t="s">
        <v>21</v>
      </c>
      <c r="AE163" s="378" t="s">
        <v>21</v>
      </c>
      <c r="AF163" s="378" t="s">
        <v>21</v>
      </c>
      <c r="AG163" s="378"/>
      <c r="AI163" s="378">
        <v>0</v>
      </c>
      <c r="AJ163" s="378">
        <v>0</v>
      </c>
      <c r="AL163" s="286">
        <v>88262</v>
      </c>
      <c r="AM163" s="286"/>
    </row>
    <row r="164" spans="1:39" s="51" customFormat="1" hidden="1" x14ac:dyDescent="0.25">
      <c r="A164" s="59">
        <v>92720</v>
      </c>
      <c r="B164" s="59" t="s">
        <v>87</v>
      </c>
      <c r="C164" s="248"/>
      <c r="D164" s="59">
        <v>88309</v>
      </c>
      <c r="E164" s="60" t="s">
        <v>617</v>
      </c>
      <c r="F164" s="59" t="s">
        <v>46</v>
      </c>
      <c r="G164" s="61">
        <v>0.19900000000000001</v>
      </c>
      <c r="H164" s="62">
        <v>23.9</v>
      </c>
      <c r="I164" s="62">
        <f t="shared" si="10"/>
        <v>4.7561</v>
      </c>
      <c r="J164" s="62"/>
      <c r="K164" s="62">
        <v>3.5382200000000004</v>
      </c>
      <c r="L164" s="62">
        <v>1.2178800000000001</v>
      </c>
      <c r="M164" s="62">
        <v>0</v>
      </c>
      <c r="N164" s="62">
        <v>0</v>
      </c>
      <c r="O164" s="62">
        <v>0</v>
      </c>
      <c r="P164" s="298" t="s">
        <v>4160</v>
      </c>
      <c r="Q164" s="60" t="s">
        <v>27</v>
      </c>
      <c r="R164" s="60" t="s">
        <v>27</v>
      </c>
      <c r="S164" s="286" t="str">
        <f t="shared" si="8"/>
        <v/>
      </c>
      <c r="T164" s="286" t="str">
        <f>IF($C164= "", T163, IF(ISNA(VLOOKUP($C164,'ABC-S'!$A$5:$A$271,1,FALSE)), "", VLOOKUP($C164,'ABC-S'!$A$5:$A$271,1,FALSE)))</f>
        <v/>
      </c>
      <c r="W164" s="286" t="s">
        <v>1134</v>
      </c>
      <c r="X164" s="286">
        <v>88309</v>
      </c>
      <c r="Y164" s="286" t="s">
        <v>424</v>
      </c>
      <c r="Z164" s="335">
        <v>0</v>
      </c>
      <c r="AA164" s="286">
        <v>0.19900000000000001</v>
      </c>
      <c r="AB164" s="378"/>
      <c r="AC164" s="381" t="s">
        <v>21</v>
      </c>
      <c r="AD164" s="378" t="s">
        <v>21</v>
      </c>
      <c r="AE164" s="378" t="s">
        <v>21</v>
      </c>
      <c r="AF164" s="378" t="s">
        <v>21</v>
      </c>
      <c r="AG164" s="378"/>
      <c r="AI164" s="378">
        <v>0</v>
      </c>
      <c r="AJ164" s="378">
        <v>0</v>
      </c>
      <c r="AL164" s="286">
        <v>88309</v>
      </c>
      <c r="AM164" s="286"/>
    </row>
    <row r="165" spans="1:39" s="51" customFormat="1" hidden="1" x14ac:dyDescent="0.25">
      <c r="A165" s="59">
        <v>92720</v>
      </c>
      <c r="B165" s="59" t="s">
        <v>87</v>
      </c>
      <c r="C165" s="248"/>
      <c r="D165" s="59">
        <v>88316</v>
      </c>
      <c r="E165" s="60" t="s">
        <v>649</v>
      </c>
      <c r="F165" s="59" t="s">
        <v>46</v>
      </c>
      <c r="G165" s="61">
        <v>1.1919999999999999</v>
      </c>
      <c r="H165" s="62">
        <v>17.61</v>
      </c>
      <c r="I165" s="62">
        <f t="shared" si="10"/>
        <v>20.991119999999999</v>
      </c>
      <c r="J165" s="62"/>
      <c r="K165" s="62">
        <v>13.827199999999999</v>
      </c>
      <c r="L165" s="62">
        <v>7.1639199999999992</v>
      </c>
      <c r="M165" s="62">
        <v>0</v>
      </c>
      <c r="N165" s="62">
        <v>0</v>
      </c>
      <c r="O165" s="62">
        <v>0</v>
      </c>
      <c r="P165" s="298" t="s">
        <v>4160</v>
      </c>
      <c r="Q165" s="60" t="s">
        <v>27</v>
      </c>
      <c r="R165" s="60" t="s">
        <v>27</v>
      </c>
      <c r="S165" s="286" t="str">
        <f t="shared" si="8"/>
        <v/>
      </c>
      <c r="T165" s="286" t="str">
        <f>IF($C165= "", T164, IF(ISNA(VLOOKUP($C165,'ABC-S'!$A$5:$A$271,1,FALSE)), "", VLOOKUP($C165,'ABC-S'!$A$5:$A$271,1,FALSE)))</f>
        <v/>
      </c>
      <c r="W165" s="286" t="s">
        <v>1134</v>
      </c>
      <c r="X165" s="286">
        <v>88316</v>
      </c>
      <c r="Y165" s="286" t="s">
        <v>424</v>
      </c>
      <c r="Z165" s="335">
        <v>0</v>
      </c>
      <c r="AA165" s="286">
        <v>1.1919999999999999</v>
      </c>
      <c r="AB165" s="378"/>
      <c r="AC165" s="381" t="s">
        <v>21</v>
      </c>
      <c r="AD165" s="378" t="s">
        <v>21</v>
      </c>
      <c r="AE165" s="378" t="s">
        <v>21</v>
      </c>
      <c r="AF165" s="378" t="s">
        <v>21</v>
      </c>
      <c r="AG165" s="378"/>
      <c r="AI165" s="378">
        <v>0</v>
      </c>
      <c r="AJ165" s="378">
        <v>0</v>
      </c>
      <c r="AL165" s="286">
        <v>88316</v>
      </c>
      <c r="AM165" s="286"/>
    </row>
    <row r="166" spans="1:39" s="51" customFormat="1" ht="33.75" hidden="1" x14ac:dyDescent="0.25">
      <c r="A166" s="59">
        <v>92720</v>
      </c>
      <c r="B166" s="59" t="s">
        <v>87</v>
      </c>
      <c r="C166" s="248"/>
      <c r="D166" s="59">
        <v>90586</v>
      </c>
      <c r="E166" s="60" t="s">
        <v>672</v>
      </c>
      <c r="F166" s="59" t="s">
        <v>76</v>
      </c>
      <c r="G166" s="61">
        <v>6.8000000000000005E-2</v>
      </c>
      <c r="H166" s="62">
        <v>1.56</v>
      </c>
      <c r="I166" s="62">
        <f t="shared" si="10"/>
        <v>0.10608000000000001</v>
      </c>
      <c r="J166" s="62"/>
      <c r="K166" s="62">
        <v>0</v>
      </c>
      <c r="L166" s="62">
        <v>0</v>
      </c>
      <c r="M166" s="62">
        <v>5.1000000000000004E-2</v>
      </c>
      <c r="N166" s="62">
        <v>0</v>
      </c>
      <c r="O166" s="62">
        <v>5.5080000000000004E-2</v>
      </c>
      <c r="P166" s="298" t="s">
        <v>4160</v>
      </c>
      <c r="Q166" s="60" t="s">
        <v>27</v>
      </c>
      <c r="R166" s="60" t="s">
        <v>27</v>
      </c>
      <c r="S166" s="286" t="str">
        <f t="shared" si="8"/>
        <v/>
      </c>
      <c r="T166" s="286" t="str">
        <f>IF($C166= "", T165, IF(ISNA(VLOOKUP($C166,'ABC-S'!$A$5:$A$271,1,FALSE)), "", VLOOKUP($C166,'ABC-S'!$A$5:$A$271,1,FALSE)))</f>
        <v/>
      </c>
      <c r="W166" s="286" t="s">
        <v>1134</v>
      </c>
      <c r="X166" s="286" t="s">
        <v>21</v>
      </c>
      <c r="Y166" s="286" t="s">
        <v>423</v>
      </c>
      <c r="Z166" s="335" t="s">
        <v>21</v>
      </c>
      <c r="AA166" s="286" t="s">
        <v>21</v>
      </c>
      <c r="AB166" s="378"/>
      <c r="AC166" s="381">
        <v>90586</v>
      </c>
      <c r="AD166" s="378">
        <v>6.8000000000000005E-2</v>
      </c>
      <c r="AE166" s="378">
        <v>0</v>
      </c>
      <c r="AF166" s="378">
        <v>0</v>
      </c>
      <c r="AG166" s="378"/>
      <c r="AI166" s="378">
        <v>0</v>
      </c>
      <c r="AJ166" s="378">
        <v>0</v>
      </c>
      <c r="AL166" s="286">
        <v>90586</v>
      </c>
      <c r="AM166" s="286"/>
    </row>
    <row r="167" spans="1:39" s="51" customFormat="1" ht="33.75" hidden="1" x14ac:dyDescent="0.25">
      <c r="A167" s="59">
        <v>92720</v>
      </c>
      <c r="B167" s="59" t="s">
        <v>87</v>
      </c>
      <c r="C167" s="248"/>
      <c r="D167" s="59">
        <v>90587</v>
      </c>
      <c r="E167" s="60" t="s">
        <v>671</v>
      </c>
      <c r="F167" s="59" t="s">
        <v>75</v>
      </c>
      <c r="G167" s="61">
        <v>0.13100000000000001</v>
      </c>
      <c r="H167" s="62">
        <v>0.44</v>
      </c>
      <c r="I167" s="62">
        <f t="shared" si="10"/>
        <v>5.7640000000000004E-2</v>
      </c>
      <c r="J167" s="62"/>
      <c r="K167" s="62">
        <v>0</v>
      </c>
      <c r="L167" s="62">
        <v>0</v>
      </c>
      <c r="M167" s="62">
        <v>5.7640000000000004E-2</v>
      </c>
      <c r="N167" s="62">
        <v>0</v>
      </c>
      <c r="O167" s="62">
        <v>0</v>
      </c>
      <c r="P167" s="298" t="s">
        <v>4160</v>
      </c>
      <c r="Q167" s="60" t="s">
        <v>27</v>
      </c>
      <c r="R167" s="60" t="s">
        <v>27</v>
      </c>
      <c r="S167" s="286" t="str">
        <f t="shared" si="8"/>
        <v/>
      </c>
      <c r="T167" s="286" t="str">
        <f>IF($C167= "", T166, IF(ISNA(VLOOKUP($C167,'ABC-S'!$A$5:$A$271,1,FALSE)), "", VLOOKUP($C167,'ABC-S'!$A$5:$A$271,1,FALSE)))</f>
        <v/>
      </c>
      <c r="W167" s="286" t="s">
        <v>1134</v>
      </c>
      <c r="X167" s="286" t="s">
        <v>21</v>
      </c>
      <c r="Y167" s="286" t="s">
        <v>423</v>
      </c>
      <c r="Z167" s="335" t="s">
        <v>21</v>
      </c>
      <c r="AA167" s="286" t="s">
        <v>21</v>
      </c>
      <c r="AB167" s="378"/>
      <c r="AC167" s="381">
        <v>90587</v>
      </c>
      <c r="AD167" s="378">
        <v>0.13100000000000001</v>
      </c>
      <c r="AE167" s="378">
        <v>0</v>
      </c>
      <c r="AF167" s="378">
        <v>0</v>
      </c>
      <c r="AG167" s="378"/>
      <c r="AI167" s="378">
        <v>0</v>
      </c>
      <c r="AJ167" s="378">
        <v>0</v>
      </c>
      <c r="AL167" s="286">
        <v>90587</v>
      </c>
      <c r="AM167" s="286"/>
    </row>
    <row r="168" spans="1:39" s="51" customFormat="1" ht="56.25" hidden="1" x14ac:dyDescent="0.25">
      <c r="A168" s="55">
        <v>92725</v>
      </c>
      <c r="B168" s="55" t="s">
        <v>38</v>
      </c>
      <c r="C168" s="55" t="s">
        <v>1137</v>
      </c>
      <c r="D168" s="55"/>
      <c r="E168" s="56" t="s">
        <v>1140</v>
      </c>
      <c r="F168" s="55" t="s">
        <v>44</v>
      </c>
      <c r="G168" s="57"/>
      <c r="H168" s="58"/>
      <c r="I168" s="58"/>
      <c r="J168" s="58">
        <f>SUM(I168:I174)</f>
        <v>415.76355999999993</v>
      </c>
      <c r="K168" s="58">
        <v>19.106540000000003</v>
      </c>
      <c r="L168" s="58">
        <v>396.51114000000001</v>
      </c>
      <c r="M168" s="58">
        <v>0.10052</v>
      </c>
      <c r="N168" s="58">
        <v>0</v>
      </c>
      <c r="O168" s="58">
        <v>4.5359999999998228E-2</v>
      </c>
      <c r="P168" s="58"/>
      <c r="Q168" s="56"/>
      <c r="R168" s="56" t="s">
        <v>1141</v>
      </c>
      <c r="S168" s="286" t="str">
        <f t="shared" si="8"/>
        <v/>
      </c>
      <c r="T168" s="286" t="str">
        <f>IF($C168= "", T167, IF(ISNA(VLOOKUP($C168,'ABC-S'!$A$5:$A$271,1,FALSE)), "", VLOOKUP($C168,'ABC-S'!$A$5:$A$271,1,FALSE)))</f>
        <v/>
      </c>
      <c r="W168" s="286" t="s">
        <v>1137</v>
      </c>
      <c r="X168" s="286"/>
      <c r="Y168" s="286"/>
      <c r="Z168" s="286"/>
      <c r="AA168" s="286" t="s">
        <v>21</v>
      </c>
      <c r="AB168" s="378">
        <v>1.2969999999999999</v>
      </c>
      <c r="AC168" s="378"/>
      <c r="AD168" s="335"/>
      <c r="AE168" s="335"/>
      <c r="AF168" s="335"/>
      <c r="AG168" s="378">
        <v>1.2969999999999999</v>
      </c>
      <c r="AI168" s="378" t="s">
        <v>21</v>
      </c>
      <c r="AJ168" s="378" t="s">
        <v>21</v>
      </c>
      <c r="AL168" s="286"/>
      <c r="AM168" s="286"/>
    </row>
    <row r="169" spans="1:39" s="51" customFormat="1" ht="33.75" hidden="1" x14ac:dyDescent="0.25">
      <c r="A169" s="59">
        <v>92725</v>
      </c>
      <c r="B169" s="59" t="s">
        <v>86</v>
      </c>
      <c r="C169" s="59"/>
      <c r="D169" s="59">
        <v>11145</v>
      </c>
      <c r="E169" s="60" t="s">
        <v>692</v>
      </c>
      <c r="F169" s="59" t="s">
        <v>3670</v>
      </c>
      <c r="G169" s="61">
        <v>1.103</v>
      </c>
      <c r="H169" s="62">
        <v>352.36</v>
      </c>
      <c r="I169" s="62">
        <f t="shared" ref="I169:I174" si="11">IF($D169="","",G169*H169)</f>
        <v>388.65307999999999</v>
      </c>
      <c r="J169" s="62"/>
      <c r="K169" s="62">
        <v>0</v>
      </c>
      <c r="L169" s="62">
        <v>388.65307999999999</v>
      </c>
      <c r="M169" s="62">
        <v>0</v>
      </c>
      <c r="N169" s="62">
        <v>0</v>
      </c>
      <c r="O169" s="62">
        <v>0</v>
      </c>
      <c r="P169" s="298" t="s">
        <v>89</v>
      </c>
      <c r="Q169" s="60" t="s">
        <v>27</v>
      </c>
      <c r="R169" s="60" t="s">
        <v>1130</v>
      </c>
      <c r="S169" s="286" t="str">
        <f t="shared" si="8"/>
        <v/>
      </c>
      <c r="T169" s="286" t="str">
        <f>IF($C169= "", T168, IF(ISNA(VLOOKUP($C169,'ABC-S'!$A$5:$A$271,1,FALSE)), "", VLOOKUP($C169,'ABC-S'!$A$5:$A$271,1,FALSE)))</f>
        <v/>
      </c>
      <c r="W169" s="286" t="s">
        <v>1137</v>
      </c>
      <c r="X169" s="286" t="s">
        <v>21</v>
      </c>
      <c r="Y169" s="286" t="s">
        <v>21</v>
      </c>
      <c r="Z169" s="286" t="s">
        <v>21</v>
      </c>
      <c r="AA169" s="286" t="s">
        <v>21</v>
      </c>
      <c r="AB169" s="378"/>
      <c r="AC169" s="381" t="s">
        <v>21</v>
      </c>
      <c r="AD169" s="378" t="s">
        <v>21</v>
      </c>
      <c r="AE169" s="378" t="s">
        <v>21</v>
      </c>
      <c r="AF169" s="378" t="s">
        <v>21</v>
      </c>
      <c r="AG169" s="378"/>
      <c r="AI169" s="378" t="s">
        <v>21</v>
      </c>
      <c r="AJ169" s="378" t="s">
        <v>21</v>
      </c>
      <c r="AL169" s="286"/>
      <c r="AM169" s="286">
        <v>11145</v>
      </c>
    </row>
    <row r="170" spans="1:39" s="51" customFormat="1" ht="22.5" hidden="1" x14ac:dyDescent="0.25">
      <c r="A170" s="59">
        <v>92725</v>
      </c>
      <c r="B170" s="59" t="s">
        <v>87</v>
      </c>
      <c r="C170" s="248"/>
      <c r="D170" s="59">
        <v>88262</v>
      </c>
      <c r="E170" s="60" t="s">
        <v>535</v>
      </c>
      <c r="F170" s="59" t="s">
        <v>46</v>
      </c>
      <c r="G170" s="61">
        <v>9.4E-2</v>
      </c>
      <c r="H170" s="62">
        <v>23.68</v>
      </c>
      <c r="I170" s="62">
        <f t="shared" si="11"/>
        <v>2.2259199999999999</v>
      </c>
      <c r="J170" s="62"/>
      <c r="K170" s="62">
        <v>1.66004</v>
      </c>
      <c r="L170" s="62">
        <v>0.56587999999999994</v>
      </c>
      <c r="M170" s="62">
        <v>0</v>
      </c>
      <c r="N170" s="62">
        <v>0</v>
      </c>
      <c r="O170" s="62">
        <v>0</v>
      </c>
      <c r="P170" s="298" t="s">
        <v>4160</v>
      </c>
      <c r="Q170" s="60" t="s">
        <v>27</v>
      </c>
      <c r="R170" s="60" t="s">
        <v>27</v>
      </c>
      <c r="S170" s="286" t="str">
        <f t="shared" si="8"/>
        <v/>
      </c>
      <c r="T170" s="286" t="str">
        <f>IF($C170= "", T169, IF(ISNA(VLOOKUP($C170,'ABC-S'!$A$5:$A$271,1,FALSE)), "", VLOOKUP($C170,'ABC-S'!$A$5:$A$271,1,FALSE)))</f>
        <v/>
      </c>
      <c r="W170" s="286" t="s">
        <v>1137</v>
      </c>
      <c r="X170" s="286">
        <v>88262</v>
      </c>
      <c r="Y170" s="286" t="s">
        <v>424</v>
      </c>
      <c r="Z170" s="335">
        <v>0</v>
      </c>
      <c r="AA170" s="286">
        <v>9.4E-2</v>
      </c>
      <c r="AB170" s="378"/>
      <c r="AC170" s="381" t="s">
        <v>21</v>
      </c>
      <c r="AD170" s="378" t="s">
        <v>21</v>
      </c>
      <c r="AE170" s="378" t="s">
        <v>21</v>
      </c>
      <c r="AF170" s="378" t="s">
        <v>21</v>
      </c>
      <c r="AG170" s="378"/>
      <c r="AI170" s="378">
        <v>0</v>
      </c>
      <c r="AJ170" s="378">
        <v>0</v>
      </c>
      <c r="AL170" s="286">
        <v>88262</v>
      </c>
      <c r="AM170" s="286"/>
    </row>
    <row r="171" spans="1:39" s="51" customFormat="1" hidden="1" x14ac:dyDescent="0.25">
      <c r="A171" s="59">
        <v>92725</v>
      </c>
      <c r="B171" s="59" t="s">
        <v>87</v>
      </c>
      <c r="C171" s="248"/>
      <c r="D171" s="59">
        <v>88309</v>
      </c>
      <c r="E171" s="60" t="s">
        <v>617</v>
      </c>
      <c r="F171" s="59" t="s">
        <v>46</v>
      </c>
      <c r="G171" s="61">
        <v>0.56499999999999995</v>
      </c>
      <c r="H171" s="62">
        <v>23.9</v>
      </c>
      <c r="I171" s="62">
        <f t="shared" si="11"/>
        <v>13.503499999999997</v>
      </c>
      <c r="J171" s="62"/>
      <c r="K171" s="62">
        <v>10.0457</v>
      </c>
      <c r="L171" s="62">
        <v>3.4577999999999998</v>
      </c>
      <c r="M171" s="62">
        <v>0</v>
      </c>
      <c r="N171" s="62">
        <v>0</v>
      </c>
      <c r="O171" s="62">
        <v>-1.7763568394002505E-15</v>
      </c>
      <c r="P171" s="298" t="s">
        <v>4160</v>
      </c>
      <c r="Q171" s="60" t="s">
        <v>27</v>
      </c>
      <c r="R171" s="60" t="s">
        <v>27</v>
      </c>
      <c r="S171" s="286" t="str">
        <f t="shared" si="8"/>
        <v/>
      </c>
      <c r="T171" s="286" t="str">
        <f>IF($C171= "", T170, IF(ISNA(VLOOKUP($C171,'ABC-S'!$A$5:$A$271,1,FALSE)), "", VLOOKUP($C171,'ABC-S'!$A$5:$A$271,1,FALSE)))</f>
        <v/>
      </c>
      <c r="W171" s="286" t="s">
        <v>1137</v>
      </c>
      <c r="X171" s="286">
        <v>88309</v>
      </c>
      <c r="Y171" s="286" t="s">
        <v>424</v>
      </c>
      <c r="Z171" s="335">
        <v>0</v>
      </c>
      <c r="AA171" s="286">
        <v>0.56499999999999995</v>
      </c>
      <c r="AB171" s="378"/>
      <c r="AC171" s="381" t="s">
        <v>21</v>
      </c>
      <c r="AD171" s="378" t="s">
        <v>21</v>
      </c>
      <c r="AE171" s="378" t="s">
        <v>21</v>
      </c>
      <c r="AF171" s="378" t="s">
        <v>21</v>
      </c>
      <c r="AG171" s="378"/>
      <c r="AI171" s="378">
        <v>0</v>
      </c>
      <c r="AJ171" s="378">
        <v>0</v>
      </c>
      <c r="AL171" s="286">
        <v>88309</v>
      </c>
      <c r="AM171" s="286"/>
    </row>
    <row r="172" spans="1:39" s="51" customFormat="1" hidden="1" x14ac:dyDescent="0.25">
      <c r="A172" s="59">
        <v>92725</v>
      </c>
      <c r="B172" s="59" t="s">
        <v>87</v>
      </c>
      <c r="C172" s="248"/>
      <c r="D172" s="59">
        <v>88316</v>
      </c>
      <c r="E172" s="60" t="s">
        <v>649</v>
      </c>
      <c r="F172" s="59" t="s">
        <v>46</v>
      </c>
      <c r="G172" s="61">
        <v>0.63800000000000001</v>
      </c>
      <c r="H172" s="62">
        <v>17.61</v>
      </c>
      <c r="I172" s="62">
        <f t="shared" si="11"/>
        <v>11.23518</v>
      </c>
      <c r="J172" s="62"/>
      <c r="K172" s="62">
        <v>7.4008000000000003</v>
      </c>
      <c r="L172" s="62">
        <v>3.8343799999999999</v>
      </c>
      <c r="M172" s="62">
        <v>0</v>
      </c>
      <c r="N172" s="62">
        <v>0</v>
      </c>
      <c r="O172" s="62">
        <v>0</v>
      </c>
      <c r="P172" s="298" t="s">
        <v>4160</v>
      </c>
      <c r="Q172" s="60" t="s">
        <v>27</v>
      </c>
      <c r="R172" s="60" t="s">
        <v>27</v>
      </c>
      <c r="S172" s="286" t="str">
        <f t="shared" si="8"/>
        <v/>
      </c>
      <c r="T172" s="286" t="str">
        <f>IF($C172= "", T171, IF(ISNA(VLOOKUP($C172,'ABC-S'!$A$5:$A$271,1,FALSE)), "", VLOOKUP($C172,'ABC-S'!$A$5:$A$271,1,FALSE)))</f>
        <v/>
      </c>
      <c r="W172" s="286" t="s">
        <v>1137</v>
      </c>
      <c r="X172" s="286">
        <v>88316</v>
      </c>
      <c r="Y172" s="286" t="s">
        <v>424</v>
      </c>
      <c r="Z172" s="335">
        <v>0</v>
      </c>
      <c r="AA172" s="286">
        <v>0.63800000000000001</v>
      </c>
      <c r="AB172" s="378"/>
      <c r="AC172" s="381" t="s">
        <v>21</v>
      </c>
      <c r="AD172" s="378" t="s">
        <v>21</v>
      </c>
      <c r="AE172" s="378" t="s">
        <v>21</v>
      </c>
      <c r="AF172" s="378" t="s">
        <v>21</v>
      </c>
      <c r="AG172" s="378"/>
      <c r="AI172" s="378">
        <v>0</v>
      </c>
      <c r="AJ172" s="378">
        <v>0</v>
      </c>
      <c r="AL172" s="286">
        <v>88316</v>
      </c>
      <c r="AM172" s="286"/>
    </row>
    <row r="173" spans="1:39" s="51" customFormat="1" ht="33.75" hidden="1" x14ac:dyDescent="0.25">
      <c r="A173" s="59">
        <v>92725</v>
      </c>
      <c r="B173" s="59" t="s">
        <v>87</v>
      </c>
      <c r="C173" s="248"/>
      <c r="D173" s="59">
        <v>90586</v>
      </c>
      <c r="E173" s="60" t="s">
        <v>672</v>
      </c>
      <c r="F173" s="59" t="s">
        <v>76</v>
      </c>
      <c r="G173" s="61">
        <v>5.6000000000000001E-2</v>
      </c>
      <c r="H173" s="62">
        <v>1.56</v>
      </c>
      <c r="I173" s="62">
        <f t="shared" si="11"/>
        <v>8.7360000000000007E-2</v>
      </c>
      <c r="J173" s="62"/>
      <c r="K173" s="62">
        <v>0</v>
      </c>
      <c r="L173" s="62">
        <v>0</v>
      </c>
      <c r="M173" s="62">
        <v>4.2000000000000003E-2</v>
      </c>
      <c r="N173" s="62">
        <v>0</v>
      </c>
      <c r="O173" s="62">
        <v>4.5360000000000004E-2</v>
      </c>
      <c r="P173" s="298" t="s">
        <v>4160</v>
      </c>
      <c r="Q173" s="60" t="s">
        <v>27</v>
      </c>
      <c r="R173" s="60" t="s">
        <v>27</v>
      </c>
      <c r="S173" s="286" t="str">
        <f t="shared" si="8"/>
        <v/>
      </c>
      <c r="T173" s="286" t="str">
        <f>IF($C173= "", T172, IF(ISNA(VLOOKUP($C173,'ABC-S'!$A$5:$A$271,1,FALSE)), "", VLOOKUP($C173,'ABC-S'!$A$5:$A$271,1,FALSE)))</f>
        <v/>
      </c>
      <c r="W173" s="286" t="s">
        <v>1137</v>
      </c>
      <c r="X173" s="286" t="s">
        <v>21</v>
      </c>
      <c r="Y173" s="286" t="s">
        <v>423</v>
      </c>
      <c r="Z173" s="335" t="s">
        <v>21</v>
      </c>
      <c r="AA173" s="286" t="s">
        <v>21</v>
      </c>
      <c r="AB173" s="378"/>
      <c r="AC173" s="381">
        <v>90586</v>
      </c>
      <c r="AD173" s="378">
        <v>5.6000000000000001E-2</v>
      </c>
      <c r="AE173" s="378">
        <v>0</v>
      </c>
      <c r="AF173" s="378">
        <v>0</v>
      </c>
      <c r="AG173" s="378"/>
      <c r="AI173" s="378">
        <v>0</v>
      </c>
      <c r="AJ173" s="378">
        <v>0</v>
      </c>
      <c r="AL173" s="286">
        <v>90586</v>
      </c>
      <c r="AM173" s="286"/>
    </row>
    <row r="174" spans="1:39" s="51" customFormat="1" ht="33.75" hidden="1" x14ac:dyDescent="0.25">
      <c r="A174" s="59">
        <v>92725</v>
      </c>
      <c r="B174" s="59" t="s">
        <v>87</v>
      </c>
      <c r="C174" s="248"/>
      <c r="D174" s="59">
        <v>90587</v>
      </c>
      <c r="E174" s="60" t="s">
        <v>671</v>
      </c>
      <c r="F174" s="59" t="s">
        <v>75</v>
      </c>
      <c r="G174" s="61">
        <v>0.13300000000000001</v>
      </c>
      <c r="H174" s="62">
        <v>0.44</v>
      </c>
      <c r="I174" s="62">
        <f t="shared" si="11"/>
        <v>5.8520000000000003E-2</v>
      </c>
      <c r="J174" s="62"/>
      <c r="K174" s="62">
        <v>0</v>
      </c>
      <c r="L174" s="62">
        <v>0</v>
      </c>
      <c r="M174" s="62">
        <v>5.8520000000000003E-2</v>
      </c>
      <c r="N174" s="62">
        <v>0</v>
      </c>
      <c r="O174" s="62">
        <v>0</v>
      </c>
      <c r="P174" s="298" t="s">
        <v>4160</v>
      </c>
      <c r="Q174" s="60" t="s">
        <v>27</v>
      </c>
      <c r="R174" s="60" t="s">
        <v>27</v>
      </c>
      <c r="S174" s="286" t="str">
        <f t="shared" si="8"/>
        <v/>
      </c>
      <c r="T174" s="286" t="str">
        <f>IF($C174= "", T173, IF(ISNA(VLOOKUP($C174,'ABC-S'!$A$5:$A$271,1,FALSE)), "", VLOOKUP($C174,'ABC-S'!$A$5:$A$271,1,FALSE)))</f>
        <v/>
      </c>
      <c r="W174" s="286" t="s">
        <v>1137</v>
      </c>
      <c r="X174" s="286" t="s">
        <v>21</v>
      </c>
      <c r="Y174" s="286" t="s">
        <v>423</v>
      </c>
      <c r="Z174" s="335" t="s">
        <v>21</v>
      </c>
      <c r="AA174" s="286" t="s">
        <v>21</v>
      </c>
      <c r="AB174" s="378"/>
      <c r="AC174" s="381">
        <v>90587</v>
      </c>
      <c r="AD174" s="378">
        <v>0.13300000000000001</v>
      </c>
      <c r="AE174" s="378">
        <v>0</v>
      </c>
      <c r="AF174" s="378">
        <v>0</v>
      </c>
      <c r="AG174" s="378"/>
      <c r="AI174" s="378">
        <v>0</v>
      </c>
      <c r="AJ174" s="378">
        <v>0</v>
      </c>
      <c r="AL174" s="286">
        <v>90587</v>
      </c>
      <c r="AM174" s="286"/>
    </row>
    <row r="175" spans="1:39" s="51" customFormat="1" ht="45" hidden="1" x14ac:dyDescent="0.25">
      <c r="A175" s="55">
        <v>92726</v>
      </c>
      <c r="B175" s="55" t="s">
        <v>38</v>
      </c>
      <c r="C175" s="55" t="s">
        <v>1139</v>
      </c>
      <c r="D175" s="55"/>
      <c r="E175" s="56" t="s">
        <v>1138</v>
      </c>
      <c r="F175" s="55" t="s">
        <v>44</v>
      </c>
      <c r="G175" s="57"/>
      <c r="H175" s="58"/>
      <c r="I175" s="58"/>
      <c r="J175" s="58">
        <f>SUM(I175:I181)</f>
        <v>413.34666000000004</v>
      </c>
      <c r="K175" s="58">
        <v>17.402059999999999</v>
      </c>
      <c r="L175" s="58">
        <v>395.82008000000002</v>
      </c>
      <c r="M175" s="58">
        <v>8.8880000000000001E-2</v>
      </c>
      <c r="N175" s="58">
        <v>0</v>
      </c>
      <c r="O175" s="58">
        <v>3.5639999999997771E-2</v>
      </c>
      <c r="P175" s="58"/>
      <c r="Q175" s="56"/>
      <c r="R175" s="56" t="s">
        <v>1136</v>
      </c>
      <c r="S175" s="286" t="str">
        <f t="shared" si="8"/>
        <v/>
      </c>
      <c r="T175" s="286" t="str">
        <f>IF($C175= "", T174, IF(ISNA(VLOOKUP($C175,'ABC-S'!$A$5:$A$271,1,FALSE)), "", VLOOKUP($C175,'ABC-S'!$A$5:$A$271,1,FALSE)))</f>
        <v/>
      </c>
      <c r="W175" s="286" t="s">
        <v>1139</v>
      </c>
      <c r="X175" s="286"/>
      <c r="Y175" s="286"/>
      <c r="Z175" s="286"/>
      <c r="AA175" s="286" t="s">
        <v>21</v>
      </c>
      <c r="AB175" s="378">
        <v>1.1829999999999998</v>
      </c>
      <c r="AC175" s="378"/>
      <c r="AD175" s="335"/>
      <c r="AE175" s="335"/>
      <c r="AF175" s="335"/>
      <c r="AG175" s="378">
        <v>1.1829999999999998</v>
      </c>
      <c r="AI175" s="378" t="s">
        <v>21</v>
      </c>
      <c r="AJ175" s="378" t="s">
        <v>21</v>
      </c>
      <c r="AL175" s="286"/>
      <c r="AM175" s="286"/>
    </row>
    <row r="176" spans="1:39" s="51" customFormat="1" ht="33.75" hidden="1" x14ac:dyDescent="0.25">
      <c r="A176" s="59">
        <v>92726</v>
      </c>
      <c r="B176" s="59" t="s">
        <v>86</v>
      </c>
      <c r="C176" s="59"/>
      <c r="D176" s="59">
        <v>11145</v>
      </c>
      <c r="E176" s="60" t="s">
        <v>692</v>
      </c>
      <c r="F176" s="59" t="s">
        <v>3670</v>
      </c>
      <c r="G176" s="61">
        <v>1.103</v>
      </c>
      <c r="H176" s="62">
        <v>352.36</v>
      </c>
      <c r="I176" s="62">
        <f t="shared" ref="I176:I181" si="12">IF($D176="","",G176*H176)</f>
        <v>388.65307999999999</v>
      </c>
      <c r="J176" s="62"/>
      <c r="K176" s="62">
        <v>0</v>
      </c>
      <c r="L176" s="62">
        <v>388.65307999999999</v>
      </c>
      <c r="M176" s="62">
        <v>0</v>
      </c>
      <c r="N176" s="62">
        <v>0</v>
      </c>
      <c r="O176" s="62">
        <v>0</v>
      </c>
      <c r="P176" s="298" t="s">
        <v>89</v>
      </c>
      <c r="Q176" s="60" t="s">
        <v>27</v>
      </c>
      <c r="R176" s="60" t="s">
        <v>1130</v>
      </c>
      <c r="S176" s="286" t="str">
        <f t="shared" si="8"/>
        <v/>
      </c>
      <c r="T176" s="286" t="str">
        <f>IF($C176= "", T175, IF(ISNA(VLOOKUP($C176,'ABC-S'!$A$5:$A$271,1,FALSE)), "", VLOOKUP($C176,'ABC-S'!$A$5:$A$271,1,FALSE)))</f>
        <v/>
      </c>
      <c r="W176" s="286" t="s">
        <v>1139</v>
      </c>
      <c r="X176" s="286" t="s">
        <v>21</v>
      </c>
      <c r="Y176" s="286" t="s">
        <v>21</v>
      </c>
      <c r="Z176" s="286" t="s">
        <v>21</v>
      </c>
      <c r="AA176" s="286" t="s">
        <v>21</v>
      </c>
      <c r="AB176" s="378"/>
      <c r="AC176" s="381" t="s">
        <v>21</v>
      </c>
      <c r="AD176" s="378" t="s">
        <v>21</v>
      </c>
      <c r="AE176" s="378" t="s">
        <v>21</v>
      </c>
      <c r="AF176" s="378" t="s">
        <v>21</v>
      </c>
      <c r="AG176" s="378"/>
      <c r="AI176" s="378" t="s">
        <v>21</v>
      </c>
      <c r="AJ176" s="378" t="s">
        <v>21</v>
      </c>
      <c r="AL176" s="286"/>
      <c r="AM176" s="286">
        <v>11145</v>
      </c>
    </row>
    <row r="177" spans="1:39" s="51" customFormat="1" ht="22.5" hidden="1" x14ac:dyDescent="0.25">
      <c r="A177" s="59">
        <v>92726</v>
      </c>
      <c r="B177" s="59" t="s">
        <v>87</v>
      </c>
      <c r="C177" s="248"/>
      <c r="D177" s="59">
        <v>88262</v>
      </c>
      <c r="E177" s="60" t="s">
        <v>535</v>
      </c>
      <c r="F177" s="59" t="s">
        <v>46</v>
      </c>
      <c r="G177" s="61">
        <v>8.5000000000000006E-2</v>
      </c>
      <c r="H177" s="62">
        <v>23.68</v>
      </c>
      <c r="I177" s="62">
        <f t="shared" si="12"/>
        <v>2.0127999999999999</v>
      </c>
      <c r="J177" s="62"/>
      <c r="K177" s="62">
        <v>1.5011000000000001</v>
      </c>
      <c r="L177" s="62">
        <v>0.51170000000000004</v>
      </c>
      <c r="M177" s="62">
        <v>0</v>
      </c>
      <c r="N177" s="62">
        <v>0</v>
      </c>
      <c r="O177" s="62">
        <v>-4.4408920985006262E-16</v>
      </c>
      <c r="P177" s="298" t="s">
        <v>4160</v>
      </c>
      <c r="Q177" s="60" t="s">
        <v>27</v>
      </c>
      <c r="R177" s="60" t="s">
        <v>27</v>
      </c>
      <c r="S177" s="286" t="str">
        <f t="shared" si="8"/>
        <v/>
      </c>
      <c r="T177" s="286" t="str">
        <f>IF($C177= "", T176, IF(ISNA(VLOOKUP($C177,'ABC-S'!$A$5:$A$271,1,FALSE)), "", VLOOKUP($C177,'ABC-S'!$A$5:$A$271,1,FALSE)))</f>
        <v/>
      </c>
      <c r="W177" s="286" t="s">
        <v>1139</v>
      </c>
      <c r="X177" s="286">
        <v>88262</v>
      </c>
      <c r="Y177" s="286" t="s">
        <v>424</v>
      </c>
      <c r="Z177" s="335">
        <v>0</v>
      </c>
      <c r="AA177" s="286">
        <v>8.5000000000000006E-2</v>
      </c>
      <c r="AB177" s="378"/>
      <c r="AC177" s="381" t="s">
        <v>21</v>
      </c>
      <c r="AD177" s="378" t="s">
        <v>21</v>
      </c>
      <c r="AE177" s="378" t="s">
        <v>21</v>
      </c>
      <c r="AF177" s="378" t="s">
        <v>21</v>
      </c>
      <c r="AG177" s="378"/>
      <c r="AI177" s="378">
        <v>0</v>
      </c>
      <c r="AJ177" s="378">
        <v>0</v>
      </c>
      <c r="AL177" s="286">
        <v>88262</v>
      </c>
      <c r="AM177" s="286"/>
    </row>
    <row r="178" spans="1:39" s="51" customFormat="1" hidden="1" x14ac:dyDescent="0.25">
      <c r="A178" s="59">
        <v>92726</v>
      </c>
      <c r="B178" s="59" t="s">
        <v>87</v>
      </c>
      <c r="C178" s="248"/>
      <c r="D178" s="59">
        <v>88309</v>
      </c>
      <c r="E178" s="60" t="s">
        <v>617</v>
      </c>
      <c r="F178" s="59" t="s">
        <v>46</v>
      </c>
      <c r="G178" s="61">
        <v>0.51200000000000001</v>
      </c>
      <c r="H178" s="62">
        <v>23.9</v>
      </c>
      <c r="I178" s="62">
        <f t="shared" si="12"/>
        <v>12.236799999999999</v>
      </c>
      <c r="J178" s="62"/>
      <c r="K178" s="62">
        <v>9.1033600000000003</v>
      </c>
      <c r="L178" s="62">
        <v>3.1334400000000002</v>
      </c>
      <c r="M178" s="62">
        <v>0</v>
      </c>
      <c r="N178" s="62">
        <v>0</v>
      </c>
      <c r="O178" s="62">
        <v>-1.7763568394002505E-15</v>
      </c>
      <c r="P178" s="298" t="s">
        <v>4160</v>
      </c>
      <c r="Q178" s="60" t="s">
        <v>27</v>
      </c>
      <c r="R178" s="60" t="s">
        <v>27</v>
      </c>
      <c r="S178" s="286" t="str">
        <f t="shared" si="8"/>
        <v/>
      </c>
      <c r="T178" s="286" t="str">
        <f>IF($C178= "", T177, IF(ISNA(VLOOKUP($C178,'ABC-S'!$A$5:$A$271,1,FALSE)), "", VLOOKUP($C178,'ABC-S'!$A$5:$A$271,1,FALSE)))</f>
        <v/>
      </c>
      <c r="W178" s="286" t="s">
        <v>1139</v>
      </c>
      <c r="X178" s="286">
        <v>88309</v>
      </c>
      <c r="Y178" s="286" t="s">
        <v>424</v>
      </c>
      <c r="Z178" s="335">
        <v>0</v>
      </c>
      <c r="AA178" s="286">
        <v>0.51200000000000001</v>
      </c>
      <c r="AB178" s="378"/>
      <c r="AC178" s="381" t="s">
        <v>21</v>
      </c>
      <c r="AD178" s="378" t="s">
        <v>21</v>
      </c>
      <c r="AE178" s="378" t="s">
        <v>21</v>
      </c>
      <c r="AF178" s="378" t="s">
        <v>21</v>
      </c>
      <c r="AG178" s="378"/>
      <c r="AI178" s="378">
        <v>0</v>
      </c>
      <c r="AJ178" s="378">
        <v>0</v>
      </c>
      <c r="AL178" s="286">
        <v>88309</v>
      </c>
      <c r="AM178" s="286"/>
    </row>
    <row r="179" spans="1:39" s="51" customFormat="1" hidden="1" x14ac:dyDescent="0.25">
      <c r="A179" s="59">
        <v>92726</v>
      </c>
      <c r="B179" s="59" t="s">
        <v>87</v>
      </c>
      <c r="C179" s="248"/>
      <c r="D179" s="59">
        <v>88316</v>
      </c>
      <c r="E179" s="60" t="s">
        <v>649</v>
      </c>
      <c r="F179" s="59" t="s">
        <v>46</v>
      </c>
      <c r="G179" s="61">
        <v>0.58599999999999997</v>
      </c>
      <c r="H179" s="62">
        <v>17.61</v>
      </c>
      <c r="I179" s="62">
        <f t="shared" si="12"/>
        <v>10.319459999999999</v>
      </c>
      <c r="J179" s="62"/>
      <c r="K179" s="62">
        <v>6.7975999999999992</v>
      </c>
      <c r="L179" s="62">
        <v>3.5218599999999998</v>
      </c>
      <c r="M179" s="62">
        <v>0</v>
      </c>
      <c r="N179" s="62">
        <v>0</v>
      </c>
      <c r="O179" s="62">
        <v>0</v>
      </c>
      <c r="P179" s="298" t="s">
        <v>4160</v>
      </c>
      <c r="Q179" s="60" t="s">
        <v>27</v>
      </c>
      <c r="R179" s="60" t="s">
        <v>27</v>
      </c>
      <c r="S179" s="286" t="str">
        <f t="shared" si="8"/>
        <v/>
      </c>
      <c r="T179" s="286" t="str">
        <f>IF($C179= "", T178, IF(ISNA(VLOOKUP($C179,'ABC-S'!$A$5:$A$271,1,FALSE)), "", VLOOKUP($C179,'ABC-S'!$A$5:$A$271,1,FALSE)))</f>
        <v/>
      </c>
      <c r="W179" s="286" t="s">
        <v>1139</v>
      </c>
      <c r="X179" s="286">
        <v>88316</v>
      </c>
      <c r="Y179" s="286" t="s">
        <v>424</v>
      </c>
      <c r="Z179" s="335">
        <v>0</v>
      </c>
      <c r="AA179" s="286">
        <v>0.58599999999999997</v>
      </c>
      <c r="AB179" s="378"/>
      <c r="AC179" s="381" t="s">
        <v>21</v>
      </c>
      <c r="AD179" s="378" t="s">
        <v>21</v>
      </c>
      <c r="AE179" s="378" t="s">
        <v>21</v>
      </c>
      <c r="AF179" s="378" t="s">
        <v>21</v>
      </c>
      <c r="AG179" s="378"/>
      <c r="AI179" s="378">
        <v>0</v>
      </c>
      <c r="AJ179" s="378">
        <v>0</v>
      </c>
      <c r="AL179" s="286">
        <v>88316</v>
      </c>
      <c r="AM179" s="286"/>
    </row>
    <row r="180" spans="1:39" s="51" customFormat="1" ht="33.75" hidden="1" x14ac:dyDescent="0.25">
      <c r="A180" s="59">
        <v>92726</v>
      </c>
      <c r="B180" s="59" t="s">
        <v>87</v>
      </c>
      <c r="C180" s="248"/>
      <c r="D180" s="59">
        <v>90586</v>
      </c>
      <c r="E180" s="60" t="s">
        <v>672</v>
      </c>
      <c r="F180" s="59" t="s">
        <v>76</v>
      </c>
      <c r="G180" s="61">
        <v>4.3999999999999997E-2</v>
      </c>
      <c r="H180" s="62">
        <v>1.56</v>
      </c>
      <c r="I180" s="62">
        <f t="shared" si="12"/>
        <v>6.8639999999999993E-2</v>
      </c>
      <c r="J180" s="62"/>
      <c r="K180" s="62">
        <v>0</v>
      </c>
      <c r="L180" s="62">
        <v>0</v>
      </c>
      <c r="M180" s="62">
        <v>3.3000000000000002E-2</v>
      </c>
      <c r="N180" s="62">
        <v>0</v>
      </c>
      <c r="O180" s="62">
        <v>3.5639999999999991E-2</v>
      </c>
      <c r="P180" s="298" t="s">
        <v>4160</v>
      </c>
      <c r="Q180" s="60" t="s">
        <v>27</v>
      </c>
      <c r="R180" s="60" t="s">
        <v>27</v>
      </c>
      <c r="S180" s="286" t="str">
        <f t="shared" si="8"/>
        <v/>
      </c>
      <c r="T180" s="286" t="str">
        <f>IF($C180= "", T179, IF(ISNA(VLOOKUP($C180,'ABC-S'!$A$5:$A$271,1,FALSE)), "", VLOOKUP($C180,'ABC-S'!$A$5:$A$271,1,FALSE)))</f>
        <v/>
      </c>
      <c r="W180" s="286" t="s">
        <v>1139</v>
      </c>
      <c r="X180" s="286" t="s">
        <v>21</v>
      </c>
      <c r="Y180" s="286" t="s">
        <v>423</v>
      </c>
      <c r="Z180" s="335" t="s">
        <v>21</v>
      </c>
      <c r="AA180" s="286" t="s">
        <v>21</v>
      </c>
      <c r="AB180" s="378"/>
      <c r="AC180" s="381">
        <v>90586</v>
      </c>
      <c r="AD180" s="378">
        <v>4.3999999999999997E-2</v>
      </c>
      <c r="AE180" s="378">
        <v>0</v>
      </c>
      <c r="AF180" s="378">
        <v>0</v>
      </c>
      <c r="AG180" s="378"/>
      <c r="AI180" s="378">
        <v>0</v>
      </c>
      <c r="AJ180" s="378">
        <v>0</v>
      </c>
      <c r="AL180" s="286">
        <v>90586</v>
      </c>
      <c r="AM180" s="286"/>
    </row>
    <row r="181" spans="1:39" s="51" customFormat="1" ht="33.75" hidden="1" x14ac:dyDescent="0.25">
      <c r="A181" s="59">
        <v>92726</v>
      </c>
      <c r="B181" s="59" t="s">
        <v>87</v>
      </c>
      <c r="C181" s="248"/>
      <c r="D181" s="59">
        <v>90587</v>
      </c>
      <c r="E181" s="60" t="s">
        <v>671</v>
      </c>
      <c r="F181" s="59" t="s">
        <v>75</v>
      </c>
      <c r="G181" s="61">
        <v>0.127</v>
      </c>
      <c r="H181" s="62">
        <v>0.44</v>
      </c>
      <c r="I181" s="62">
        <f t="shared" si="12"/>
        <v>5.5879999999999999E-2</v>
      </c>
      <c r="J181" s="62"/>
      <c r="K181" s="62">
        <v>0</v>
      </c>
      <c r="L181" s="62">
        <v>0</v>
      </c>
      <c r="M181" s="62">
        <v>5.5879999999999999E-2</v>
      </c>
      <c r="N181" s="62">
        <v>0</v>
      </c>
      <c r="O181" s="62">
        <v>0</v>
      </c>
      <c r="P181" s="298" t="s">
        <v>4160</v>
      </c>
      <c r="Q181" s="60" t="s">
        <v>27</v>
      </c>
      <c r="R181" s="60" t="s">
        <v>27</v>
      </c>
      <c r="S181" s="286" t="str">
        <f t="shared" si="8"/>
        <v/>
      </c>
      <c r="T181" s="286" t="str">
        <f>IF($C181= "", T180, IF(ISNA(VLOOKUP($C181,'ABC-S'!$A$5:$A$271,1,FALSE)), "", VLOOKUP($C181,'ABC-S'!$A$5:$A$271,1,FALSE)))</f>
        <v/>
      </c>
      <c r="W181" s="286" t="s">
        <v>1139</v>
      </c>
      <c r="X181" s="286" t="s">
        <v>21</v>
      </c>
      <c r="Y181" s="286" t="s">
        <v>423</v>
      </c>
      <c r="Z181" s="335" t="s">
        <v>21</v>
      </c>
      <c r="AA181" s="286" t="s">
        <v>21</v>
      </c>
      <c r="AB181" s="378"/>
      <c r="AC181" s="381">
        <v>90587</v>
      </c>
      <c r="AD181" s="378">
        <v>0.127</v>
      </c>
      <c r="AE181" s="378">
        <v>0</v>
      </c>
      <c r="AF181" s="378">
        <v>0</v>
      </c>
      <c r="AG181" s="378"/>
      <c r="AI181" s="378">
        <v>0</v>
      </c>
      <c r="AJ181" s="378">
        <v>0</v>
      </c>
      <c r="AL181" s="286">
        <v>90587</v>
      </c>
      <c r="AM181" s="286"/>
    </row>
    <row r="182" spans="1:39" s="51" customFormat="1" ht="33.75" hidden="1" x14ac:dyDescent="0.25">
      <c r="A182" s="55" t="s">
        <v>1491</v>
      </c>
      <c r="B182" s="55" t="s">
        <v>138</v>
      </c>
      <c r="C182" s="55" t="s">
        <v>1491</v>
      </c>
      <c r="D182" s="55"/>
      <c r="E182" s="56" t="s">
        <v>1492</v>
      </c>
      <c r="F182" s="55" t="s">
        <v>44</v>
      </c>
      <c r="G182" s="57"/>
      <c r="H182" s="58"/>
      <c r="I182" s="58"/>
      <c r="J182" s="58">
        <f>SUM(I182:I188)</f>
        <v>174.34023999999999</v>
      </c>
      <c r="K182" s="58">
        <v>15.90096</v>
      </c>
      <c r="L182" s="58">
        <v>158.32699</v>
      </c>
      <c r="M182" s="58">
        <v>0.11229</v>
      </c>
      <c r="N182" s="58">
        <v>0</v>
      </c>
      <c r="O182" s="58">
        <v>-1.7763568394002505E-15</v>
      </c>
      <c r="P182" s="58"/>
      <c r="Q182" s="56"/>
      <c r="R182" s="56" t="s">
        <v>1493</v>
      </c>
      <c r="S182" s="286" t="str">
        <f t="shared" si="8"/>
        <v/>
      </c>
      <c r="T182" s="286" t="str">
        <f>IF($C182= "", T181, IF(ISNA(VLOOKUP($C182,'ABC-S'!$A$5:$A$271,1,FALSE)), "", VLOOKUP($C182,'ABC-S'!$A$5:$A$271,1,FALSE)))</f>
        <v/>
      </c>
      <c r="W182" s="286" t="s">
        <v>1491</v>
      </c>
      <c r="X182" s="286"/>
      <c r="Y182" s="286"/>
      <c r="Z182" s="286"/>
      <c r="AA182" s="286" t="s">
        <v>21</v>
      </c>
      <c r="AB182" s="378">
        <v>1.0979999999999999</v>
      </c>
      <c r="AC182" s="378"/>
      <c r="AD182" s="335"/>
      <c r="AE182" s="335"/>
      <c r="AF182" s="335"/>
      <c r="AG182" s="378">
        <v>1.0979999999999999</v>
      </c>
      <c r="AI182" s="378" t="s">
        <v>21</v>
      </c>
      <c r="AJ182" s="378" t="s">
        <v>21</v>
      </c>
      <c r="AL182" s="286"/>
      <c r="AM182" s="286"/>
    </row>
    <row r="183" spans="1:39" s="51" customFormat="1" ht="22.5" hidden="1" x14ac:dyDescent="0.25">
      <c r="A183" s="384" t="s">
        <v>1491</v>
      </c>
      <c r="B183" s="59" t="s">
        <v>86</v>
      </c>
      <c r="C183" s="59"/>
      <c r="D183" s="59">
        <v>4718</v>
      </c>
      <c r="E183" s="60" t="s">
        <v>102</v>
      </c>
      <c r="F183" s="59" t="s">
        <v>3670</v>
      </c>
      <c r="G183" s="61">
        <v>0</v>
      </c>
      <c r="H183" s="62">
        <v>128.37</v>
      </c>
      <c r="I183" s="62">
        <f t="shared" ref="I183:I188" si="13">IF($D183="","",G183*H183)</f>
        <v>0</v>
      </c>
      <c r="J183" s="62"/>
      <c r="K183" s="62">
        <v>0</v>
      </c>
      <c r="L183" s="62">
        <v>0</v>
      </c>
      <c r="M183" s="62">
        <v>0</v>
      </c>
      <c r="N183" s="62">
        <v>0</v>
      </c>
      <c r="O183" s="62">
        <v>0</v>
      </c>
      <c r="P183" s="298" t="s">
        <v>89</v>
      </c>
      <c r="Q183" s="60" t="s">
        <v>27</v>
      </c>
      <c r="R183" s="60" t="s">
        <v>1494</v>
      </c>
      <c r="S183" s="286" t="str">
        <f t="shared" si="8"/>
        <v/>
      </c>
      <c r="T183" s="286" t="str">
        <f>IF($C183= "", T182, IF(ISNA(VLOOKUP($C183,'ABC-S'!$A$5:$A$271,1,FALSE)), "", VLOOKUP($C183,'ABC-S'!$A$5:$A$271,1,FALSE)))</f>
        <v/>
      </c>
      <c r="W183" s="286" t="s">
        <v>1491</v>
      </c>
      <c r="X183" s="286" t="s">
        <v>21</v>
      </c>
      <c r="Y183" s="286" t="s">
        <v>21</v>
      </c>
      <c r="Z183" s="286" t="s">
        <v>21</v>
      </c>
      <c r="AA183" s="286" t="s">
        <v>21</v>
      </c>
      <c r="AB183" s="378"/>
      <c r="AC183" s="381" t="s">
        <v>21</v>
      </c>
      <c r="AD183" s="378" t="s">
        <v>21</v>
      </c>
      <c r="AE183" s="378" t="s">
        <v>21</v>
      </c>
      <c r="AF183" s="378" t="s">
        <v>21</v>
      </c>
      <c r="AG183" s="378"/>
      <c r="AI183" s="378" t="s">
        <v>21</v>
      </c>
      <c r="AJ183" s="378" t="s">
        <v>21</v>
      </c>
      <c r="AL183" s="286"/>
      <c r="AM183" s="286">
        <v>4718</v>
      </c>
    </row>
    <row r="184" spans="1:39" s="51" customFormat="1" ht="22.5" hidden="1" x14ac:dyDescent="0.25">
      <c r="A184" s="384" t="s">
        <v>1491</v>
      </c>
      <c r="B184" s="59" t="s">
        <v>86</v>
      </c>
      <c r="C184" s="248"/>
      <c r="D184" s="59">
        <v>4721</v>
      </c>
      <c r="E184" s="60" t="s">
        <v>100</v>
      </c>
      <c r="F184" s="59" t="s">
        <v>3670</v>
      </c>
      <c r="G184" s="61">
        <f>1.1 + 0.085</f>
        <v>1.1850000000000001</v>
      </c>
      <c r="H184" s="62">
        <v>127.69</v>
      </c>
      <c r="I184" s="62">
        <f t="shared" si="13"/>
        <v>151.31264999999999</v>
      </c>
      <c r="J184" s="62"/>
      <c r="K184" s="62">
        <v>0</v>
      </c>
      <c r="L184" s="62">
        <v>151.31264999999999</v>
      </c>
      <c r="M184" s="62">
        <v>0</v>
      </c>
      <c r="N184" s="62">
        <v>0</v>
      </c>
      <c r="O184" s="62">
        <v>0</v>
      </c>
      <c r="P184" s="298" t="s">
        <v>89</v>
      </c>
      <c r="Q184" s="60" t="s">
        <v>27</v>
      </c>
      <c r="R184" s="60" t="s">
        <v>27</v>
      </c>
      <c r="S184" s="286" t="str">
        <f t="shared" si="8"/>
        <v/>
      </c>
      <c r="T184" s="286" t="str">
        <f>IF($C184= "", T183, IF(ISNA(VLOOKUP($C184,'ABC-S'!$A$5:$A$271,1,FALSE)), "", VLOOKUP($C184,'ABC-S'!$A$5:$A$271,1,FALSE)))</f>
        <v/>
      </c>
      <c r="W184" s="286" t="s">
        <v>1491</v>
      </c>
      <c r="X184" s="286" t="s">
        <v>21</v>
      </c>
      <c r="Y184" s="286" t="s">
        <v>21</v>
      </c>
      <c r="Z184" s="286" t="s">
        <v>21</v>
      </c>
      <c r="AA184" s="286" t="s">
        <v>21</v>
      </c>
      <c r="AB184" s="378"/>
      <c r="AC184" s="381" t="s">
        <v>21</v>
      </c>
      <c r="AD184" s="378" t="s">
        <v>21</v>
      </c>
      <c r="AE184" s="378" t="s">
        <v>21</v>
      </c>
      <c r="AF184" s="378" t="s">
        <v>21</v>
      </c>
      <c r="AG184" s="378"/>
      <c r="AI184" s="378" t="s">
        <v>21</v>
      </c>
      <c r="AJ184" s="378" t="s">
        <v>21</v>
      </c>
      <c r="AL184" s="286"/>
      <c r="AM184" s="286">
        <v>4721</v>
      </c>
    </row>
    <row r="185" spans="1:39" s="51" customFormat="1" hidden="1" x14ac:dyDescent="0.25">
      <c r="A185" s="384" t="s">
        <v>1491</v>
      </c>
      <c r="B185" s="59" t="s">
        <v>87</v>
      </c>
      <c r="C185" s="248"/>
      <c r="D185" s="59">
        <v>88309</v>
      </c>
      <c r="E185" s="60" t="s">
        <v>617</v>
      </c>
      <c r="F185" s="59" t="s">
        <v>46</v>
      </c>
      <c r="G185" s="61">
        <v>0.51200000000000001</v>
      </c>
      <c r="H185" s="62">
        <v>23.9</v>
      </c>
      <c r="I185" s="62">
        <f t="shared" si="13"/>
        <v>12.236799999999999</v>
      </c>
      <c r="J185" s="62"/>
      <c r="K185" s="62">
        <v>9.1033600000000003</v>
      </c>
      <c r="L185" s="62">
        <v>3.1334400000000002</v>
      </c>
      <c r="M185" s="62">
        <v>0</v>
      </c>
      <c r="N185" s="62">
        <v>0</v>
      </c>
      <c r="O185" s="62">
        <v>-1.7763568394002505E-15</v>
      </c>
      <c r="P185" s="298" t="s">
        <v>4160</v>
      </c>
      <c r="Q185" s="60" t="s">
        <v>27</v>
      </c>
      <c r="R185" s="60" t="s">
        <v>27</v>
      </c>
      <c r="S185" s="286" t="str">
        <f t="shared" si="8"/>
        <v/>
      </c>
      <c r="T185" s="286" t="str">
        <f>IF($C185= "", T184, IF(ISNA(VLOOKUP($C185,'ABC-S'!$A$5:$A$271,1,FALSE)), "", VLOOKUP($C185,'ABC-S'!$A$5:$A$271,1,FALSE)))</f>
        <v/>
      </c>
      <c r="W185" s="286" t="s">
        <v>1491</v>
      </c>
      <c r="X185" s="286">
        <v>88309</v>
      </c>
      <c r="Y185" s="286" t="s">
        <v>424</v>
      </c>
      <c r="Z185" s="335">
        <v>0</v>
      </c>
      <c r="AA185" s="286">
        <v>0.51200000000000001</v>
      </c>
      <c r="AB185" s="378"/>
      <c r="AC185" s="381" t="s">
        <v>21</v>
      </c>
      <c r="AD185" s="378" t="s">
        <v>21</v>
      </c>
      <c r="AE185" s="378" t="s">
        <v>21</v>
      </c>
      <c r="AF185" s="378" t="s">
        <v>21</v>
      </c>
      <c r="AG185" s="378"/>
      <c r="AI185" s="378">
        <v>0</v>
      </c>
      <c r="AJ185" s="378">
        <v>0</v>
      </c>
      <c r="AL185" s="286">
        <v>88309</v>
      </c>
      <c r="AM185" s="286"/>
    </row>
    <row r="186" spans="1:39" s="51" customFormat="1" hidden="1" x14ac:dyDescent="0.25">
      <c r="A186" s="384" t="s">
        <v>1491</v>
      </c>
      <c r="B186" s="59" t="s">
        <v>87</v>
      </c>
      <c r="C186" s="248"/>
      <c r="D186" s="59">
        <v>88316</v>
      </c>
      <c r="E186" s="60" t="s">
        <v>649</v>
      </c>
      <c r="F186" s="59" t="s">
        <v>46</v>
      </c>
      <c r="G186" s="61">
        <v>0.58599999999999997</v>
      </c>
      <c r="H186" s="62">
        <v>17.61</v>
      </c>
      <c r="I186" s="62">
        <f t="shared" si="13"/>
        <v>10.319459999999999</v>
      </c>
      <c r="J186" s="62"/>
      <c r="K186" s="62">
        <v>6.7975999999999992</v>
      </c>
      <c r="L186" s="62">
        <v>3.5218599999999998</v>
      </c>
      <c r="M186" s="62">
        <v>0</v>
      </c>
      <c r="N186" s="62">
        <v>0</v>
      </c>
      <c r="O186" s="62">
        <v>0</v>
      </c>
      <c r="P186" s="298" t="s">
        <v>4160</v>
      </c>
      <c r="Q186" s="60" t="s">
        <v>27</v>
      </c>
      <c r="R186" s="60" t="s">
        <v>27</v>
      </c>
      <c r="S186" s="286" t="str">
        <f t="shared" si="8"/>
        <v/>
      </c>
      <c r="T186" s="286" t="str">
        <f>IF($C186= "", T185, IF(ISNA(VLOOKUP($C186,'ABC-S'!$A$5:$A$271,1,FALSE)), "", VLOOKUP($C186,'ABC-S'!$A$5:$A$271,1,FALSE)))</f>
        <v/>
      </c>
      <c r="W186" s="286" t="s">
        <v>1491</v>
      </c>
      <c r="X186" s="286">
        <v>88316</v>
      </c>
      <c r="Y186" s="286" t="s">
        <v>424</v>
      </c>
      <c r="Z186" s="335">
        <v>0</v>
      </c>
      <c r="AA186" s="286">
        <v>0.58599999999999997</v>
      </c>
      <c r="AB186" s="378"/>
      <c r="AC186" s="381" t="s">
        <v>21</v>
      </c>
      <c r="AD186" s="378" t="s">
        <v>21</v>
      </c>
      <c r="AE186" s="378" t="s">
        <v>21</v>
      </c>
      <c r="AF186" s="378" t="s">
        <v>21</v>
      </c>
      <c r="AG186" s="378"/>
      <c r="AI186" s="378">
        <v>0</v>
      </c>
      <c r="AJ186" s="378">
        <v>0</v>
      </c>
      <c r="AL186" s="286">
        <v>88316</v>
      </c>
      <c r="AM186" s="286"/>
    </row>
    <row r="187" spans="1:39" s="51" customFormat="1" ht="33.75" hidden="1" x14ac:dyDescent="0.25">
      <c r="A187" s="384" t="s">
        <v>1491</v>
      </c>
      <c r="B187" s="59" t="s">
        <v>87</v>
      </c>
      <c r="C187" s="248"/>
      <c r="D187" s="59">
        <v>91277</v>
      </c>
      <c r="E187" s="60" t="s">
        <v>623</v>
      </c>
      <c r="F187" s="59" t="s">
        <v>76</v>
      </c>
      <c r="G187" s="61">
        <v>4.3999999999999997E-2</v>
      </c>
      <c r="H187" s="62">
        <v>9.24</v>
      </c>
      <c r="I187" s="62">
        <f t="shared" si="13"/>
        <v>0.40655999999999998</v>
      </c>
      <c r="J187" s="62"/>
      <c r="K187" s="62">
        <v>0</v>
      </c>
      <c r="L187" s="62">
        <v>0.35903999999999997</v>
      </c>
      <c r="M187" s="62">
        <v>4.752E-2</v>
      </c>
      <c r="N187" s="62">
        <v>0</v>
      </c>
      <c r="O187" s="62">
        <v>0</v>
      </c>
      <c r="P187" s="298" t="s">
        <v>4160</v>
      </c>
      <c r="Q187" s="60" t="s">
        <v>27</v>
      </c>
      <c r="R187" s="60" t="s">
        <v>27</v>
      </c>
      <c r="S187" s="286" t="str">
        <f t="shared" si="8"/>
        <v/>
      </c>
      <c r="T187" s="286" t="str">
        <f>IF($C187= "", T186, IF(ISNA(VLOOKUP($C187,'ABC-S'!$A$5:$A$271,1,FALSE)), "", VLOOKUP($C187,'ABC-S'!$A$5:$A$271,1,FALSE)))</f>
        <v/>
      </c>
      <c r="W187" s="286" t="s">
        <v>1491</v>
      </c>
      <c r="X187" s="286" t="s">
        <v>21</v>
      </c>
      <c r="Y187" s="286" t="s">
        <v>423</v>
      </c>
      <c r="Z187" s="335" t="s">
        <v>21</v>
      </c>
      <c r="AA187" s="286" t="s">
        <v>21</v>
      </c>
      <c r="AB187" s="378"/>
      <c r="AC187" s="381">
        <v>91277</v>
      </c>
      <c r="AD187" s="378">
        <v>4.3999999999999997E-2</v>
      </c>
      <c r="AE187" s="378">
        <v>0</v>
      </c>
      <c r="AF187" s="378">
        <v>0</v>
      </c>
      <c r="AG187" s="378"/>
      <c r="AI187" s="378">
        <v>0</v>
      </c>
      <c r="AJ187" s="378">
        <v>0</v>
      </c>
      <c r="AL187" s="286">
        <v>91277</v>
      </c>
      <c r="AM187" s="286"/>
    </row>
    <row r="188" spans="1:39" s="51" customFormat="1" ht="33.75" hidden="1" x14ac:dyDescent="0.25">
      <c r="A188" s="384" t="s">
        <v>1491</v>
      </c>
      <c r="B188" s="59" t="s">
        <v>87</v>
      </c>
      <c r="C188" s="248"/>
      <c r="D188" s="59">
        <v>91278</v>
      </c>
      <c r="E188" s="60" t="s">
        <v>622</v>
      </c>
      <c r="F188" s="59" t="s">
        <v>75</v>
      </c>
      <c r="G188" s="61">
        <v>0.127</v>
      </c>
      <c r="H188" s="62">
        <v>0.51</v>
      </c>
      <c r="I188" s="62">
        <f t="shared" si="13"/>
        <v>6.4770000000000008E-2</v>
      </c>
      <c r="J188" s="62"/>
      <c r="K188" s="62">
        <v>0</v>
      </c>
      <c r="L188" s="62">
        <v>0</v>
      </c>
      <c r="M188" s="62">
        <v>6.4770000000000008E-2</v>
      </c>
      <c r="N188" s="62">
        <v>0</v>
      </c>
      <c r="O188" s="62">
        <v>0</v>
      </c>
      <c r="P188" s="298" t="s">
        <v>4160</v>
      </c>
      <c r="Q188" s="60" t="s">
        <v>27</v>
      </c>
      <c r="R188" s="60" t="s">
        <v>27</v>
      </c>
      <c r="S188" s="286" t="str">
        <f t="shared" si="8"/>
        <v/>
      </c>
      <c r="T188" s="286" t="str">
        <f>IF($C188= "", T187, IF(ISNA(VLOOKUP($C188,'ABC-S'!$A$5:$A$271,1,FALSE)), "", VLOOKUP($C188,'ABC-S'!$A$5:$A$271,1,FALSE)))</f>
        <v/>
      </c>
      <c r="W188" s="286" t="s">
        <v>1491</v>
      </c>
      <c r="X188" s="286" t="s">
        <v>21</v>
      </c>
      <c r="Y188" s="286" t="s">
        <v>423</v>
      </c>
      <c r="Z188" s="335" t="s">
        <v>21</v>
      </c>
      <c r="AA188" s="286" t="s">
        <v>21</v>
      </c>
      <c r="AB188" s="378"/>
      <c r="AC188" s="381">
        <v>91278</v>
      </c>
      <c r="AD188" s="378">
        <v>0.127</v>
      </c>
      <c r="AE188" s="378">
        <v>0</v>
      </c>
      <c r="AF188" s="378">
        <v>0</v>
      </c>
      <c r="AG188" s="378"/>
      <c r="AI188" s="378">
        <v>0</v>
      </c>
      <c r="AJ188" s="378">
        <v>0</v>
      </c>
      <c r="AL188" s="286">
        <v>91278</v>
      </c>
      <c r="AM188" s="286"/>
    </row>
    <row r="189" spans="1:39" s="51" customFormat="1" ht="45" hidden="1" x14ac:dyDescent="0.25">
      <c r="A189" s="55" t="s">
        <v>1495</v>
      </c>
      <c r="B189" s="55" t="s">
        <v>138</v>
      </c>
      <c r="C189" s="55" t="s">
        <v>1495</v>
      </c>
      <c r="D189" s="55"/>
      <c r="E189" s="56" t="s">
        <v>1500</v>
      </c>
      <c r="F189" s="55" t="s">
        <v>41</v>
      </c>
      <c r="G189" s="57"/>
      <c r="H189" s="58"/>
      <c r="I189" s="58"/>
      <c r="J189" s="58">
        <f>SUM(I189:I195)</f>
        <v>96.323424048663114</v>
      </c>
      <c r="K189" s="58">
        <v>63.796229810623338</v>
      </c>
      <c r="L189" s="58">
        <v>28.867074238039788</v>
      </c>
      <c r="M189" s="58">
        <v>3.66012</v>
      </c>
      <c r="N189" s="58">
        <v>0</v>
      </c>
      <c r="O189" s="58">
        <v>1.1171619185290638E-15</v>
      </c>
      <c r="P189" s="58"/>
      <c r="Q189" s="56"/>
      <c r="R189" s="56" t="s">
        <v>1496</v>
      </c>
      <c r="S189" s="286" t="str">
        <f t="shared" si="8"/>
        <v/>
      </c>
      <c r="T189" s="286" t="str">
        <f>IF($C189= "", T188, IF(ISNA(VLOOKUP($C189,'ABC-S'!$A$5:$A$271,1,FALSE)), "", VLOOKUP($C189,'ABC-S'!$A$5:$A$271,1,FALSE)))</f>
        <v/>
      </c>
      <c r="W189" s="286" t="s">
        <v>1495</v>
      </c>
      <c r="X189" s="286"/>
      <c r="Y189" s="286"/>
      <c r="Z189" s="286"/>
      <c r="AA189" s="286" t="s">
        <v>21</v>
      </c>
      <c r="AB189" s="378">
        <v>0</v>
      </c>
      <c r="AC189" s="378"/>
      <c r="AD189" s="335"/>
      <c r="AE189" s="335"/>
      <c r="AF189" s="335"/>
      <c r="AG189" s="378">
        <v>4.1069902145141421</v>
      </c>
      <c r="AI189" s="378" t="s">
        <v>21</v>
      </c>
      <c r="AJ189" s="378" t="s">
        <v>21</v>
      </c>
      <c r="AL189" s="286"/>
      <c r="AM189" s="286"/>
    </row>
    <row r="190" spans="1:39" s="51" customFormat="1" ht="22.5" hidden="1" x14ac:dyDescent="0.25">
      <c r="A190" s="384" t="s">
        <v>1495</v>
      </c>
      <c r="B190" s="59" t="s">
        <v>87</v>
      </c>
      <c r="C190" s="248"/>
      <c r="D190" s="59">
        <v>90440</v>
      </c>
      <c r="E190" s="60" t="s">
        <v>585</v>
      </c>
      <c r="F190" s="59" t="s">
        <v>41</v>
      </c>
      <c r="G190" s="61">
        <v>1</v>
      </c>
      <c r="H190" s="62">
        <v>88.59</v>
      </c>
      <c r="I190" s="62">
        <f t="shared" ref="I190:I195" si="14">IF($D190="","",G190*H190)</f>
        <v>88.59</v>
      </c>
      <c r="J190" s="62"/>
      <c r="K190" s="62">
        <v>62.9</v>
      </c>
      <c r="L190" s="62">
        <v>22.03</v>
      </c>
      <c r="M190" s="62">
        <v>3.66</v>
      </c>
      <c r="N190" s="62">
        <v>0</v>
      </c>
      <c r="O190" s="62">
        <v>0</v>
      </c>
      <c r="P190" s="298" t="s">
        <v>4160</v>
      </c>
      <c r="Q190" s="60" t="s">
        <v>27</v>
      </c>
      <c r="R190" s="60" t="s">
        <v>138</v>
      </c>
      <c r="S190" s="286" t="str">
        <f t="shared" si="8"/>
        <v/>
      </c>
      <c r="T190" s="286" t="str">
        <f>IF($C190= "", T189, IF(ISNA(VLOOKUP($C190,'ABC-S'!$A$5:$A$271,1,FALSE)), "", VLOOKUP($C190,'ABC-S'!$A$5:$A$271,1,FALSE)))</f>
        <v/>
      </c>
      <c r="W190" s="286" t="s">
        <v>1495</v>
      </c>
      <c r="X190" s="286" t="s">
        <v>21</v>
      </c>
      <c r="Y190" s="286" t="s">
        <v>1513</v>
      </c>
      <c r="Z190" s="335" t="s">
        <v>21</v>
      </c>
      <c r="AA190" s="286" t="s">
        <v>21</v>
      </c>
      <c r="AB190" s="378"/>
      <c r="AC190" s="381">
        <v>90440</v>
      </c>
      <c r="AD190" s="378">
        <v>1</v>
      </c>
      <c r="AE190" s="378">
        <v>4.0469999999999997</v>
      </c>
      <c r="AF190" s="378">
        <v>4.0469999999999997</v>
      </c>
      <c r="AG190" s="378"/>
      <c r="AI190" s="378">
        <v>0</v>
      </c>
      <c r="AJ190" s="378">
        <v>0</v>
      </c>
      <c r="AL190" s="286">
        <v>90440</v>
      </c>
      <c r="AM190" s="286"/>
    </row>
    <row r="191" spans="1:39" s="51" customFormat="1" ht="33.75" hidden="1" x14ac:dyDescent="0.25">
      <c r="A191" s="384" t="s">
        <v>1495</v>
      </c>
      <c r="B191" s="59" t="s">
        <v>87</v>
      </c>
      <c r="C191" s="248"/>
      <c r="D191" s="59">
        <v>89798</v>
      </c>
      <c r="E191" s="60" t="s">
        <v>665</v>
      </c>
      <c r="F191" s="59" t="s">
        <v>22</v>
      </c>
      <c r="G191" s="61">
        <f>0.45 * (1 + 10%)</f>
        <v>0.49500000000000005</v>
      </c>
      <c r="H191" s="62">
        <v>12.03</v>
      </c>
      <c r="I191" s="62">
        <f t="shared" si="14"/>
        <v>5.9548500000000004</v>
      </c>
      <c r="J191" s="62"/>
      <c r="K191" s="62">
        <v>0.74250000000000005</v>
      </c>
      <c r="L191" s="62">
        <v>5.2123499999999998</v>
      </c>
      <c r="M191" s="62">
        <v>0</v>
      </c>
      <c r="N191" s="62">
        <v>0</v>
      </c>
      <c r="O191" s="62">
        <v>8.8817841970012523E-16</v>
      </c>
      <c r="P191" s="298" t="s">
        <v>4160</v>
      </c>
      <c r="Q191" s="60" t="s">
        <v>27</v>
      </c>
      <c r="R191" s="60" t="s">
        <v>138</v>
      </c>
      <c r="S191" s="286" t="str">
        <f t="shared" si="8"/>
        <v/>
      </c>
      <c r="T191" s="286" t="str">
        <f>IF($C191= "", T190, IF(ISNA(VLOOKUP($C191,'ABC-S'!$A$5:$A$271,1,FALSE)), "", VLOOKUP($C191,'ABC-S'!$A$5:$A$271,1,FALSE)))</f>
        <v/>
      </c>
      <c r="W191" s="286" t="s">
        <v>1495</v>
      </c>
      <c r="X191" s="286" t="s">
        <v>21</v>
      </c>
      <c r="Y191" s="286" t="s">
        <v>1513</v>
      </c>
      <c r="Z191" s="335" t="s">
        <v>21</v>
      </c>
      <c r="AA191" s="286" t="s">
        <v>21</v>
      </c>
      <c r="AB191" s="378"/>
      <c r="AC191" s="381">
        <v>89798</v>
      </c>
      <c r="AD191" s="378">
        <v>0.49500000000000005</v>
      </c>
      <c r="AE191" s="378">
        <v>0.1</v>
      </c>
      <c r="AF191" s="378">
        <v>4.9500000000000009E-2</v>
      </c>
      <c r="AG191" s="378"/>
      <c r="AI191" s="378">
        <v>0</v>
      </c>
      <c r="AJ191" s="378">
        <v>0</v>
      </c>
      <c r="AL191" s="286">
        <v>89798</v>
      </c>
      <c r="AM191" s="286"/>
    </row>
    <row r="192" spans="1:39" s="51" customFormat="1" ht="22.5" hidden="1" x14ac:dyDescent="0.25">
      <c r="A192" s="384" t="s">
        <v>1495</v>
      </c>
      <c r="B192" s="59" t="s">
        <v>87</v>
      </c>
      <c r="C192" s="248"/>
      <c r="D192" s="59">
        <v>97062</v>
      </c>
      <c r="E192" s="60" t="s">
        <v>537</v>
      </c>
      <c r="F192" s="59" t="s">
        <v>51</v>
      </c>
      <c r="G192" s="61">
        <f>(PI() * 0.05 * 0.05) * (1 + 10%)</f>
        <v>8.6393797973719332E-3</v>
      </c>
      <c r="H192" s="62">
        <v>5.69</v>
      </c>
      <c r="I192" s="62">
        <f t="shared" si="14"/>
        <v>4.9158071047046302E-2</v>
      </c>
      <c r="J192" s="62"/>
      <c r="K192" s="62">
        <v>1.9611392140034288E-2</v>
      </c>
      <c r="L192" s="62">
        <v>2.954667890701201E-2</v>
      </c>
      <c r="M192" s="62">
        <v>0</v>
      </c>
      <c r="N192" s="62">
        <v>0</v>
      </c>
      <c r="O192" s="62">
        <v>6.9388939039072284E-18</v>
      </c>
      <c r="P192" s="298" t="s">
        <v>4160</v>
      </c>
      <c r="Q192" s="60" t="s">
        <v>27</v>
      </c>
      <c r="R192" s="60" t="s">
        <v>138</v>
      </c>
      <c r="S192" s="286" t="str">
        <f t="shared" si="8"/>
        <v/>
      </c>
      <c r="T192" s="286" t="str">
        <f>IF($C192= "", T191, IF(ISNA(VLOOKUP($C192,'ABC-S'!$A$5:$A$271,1,FALSE)), "", VLOOKUP($C192,'ABC-S'!$A$5:$A$271,1,FALSE)))</f>
        <v/>
      </c>
      <c r="W192" s="286" t="s">
        <v>1495</v>
      </c>
      <c r="X192" s="286" t="s">
        <v>21</v>
      </c>
      <c r="Y192" s="286" t="s">
        <v>1513</v>
      </c>
      <c r="Z192" s="335" t="s">
        <v>21</v>
      </c>
      <c r="AA192" s="286" t="s">
        <v>21</v>
      </c>
      <c r="AB192" s="378"/>
      <c r="AC192" s="381">
        <v>97062</v>
      </c>
      <c r="AD192" s="378">
        <v>8.6393797973719332E-3</v>
      </c>
      <c r="AE192" s="378">
        <v>0.14330000000000001</v>
      </c>
      <c r="AF192" s="378">
        <v>1.2380231249633981E-3</v>
      </c>
      <c r="AG192" s="378"/>
      <c r="AI192" s="378">
        <v>0</v>
      </c>
      <c r="AJ192" s="378">
        <v>0</v>
      </c>
      <c r="AL192" s="286">
        <v>97062</v>
      </c>
      <c r="AM192" s="286"/>
    </row>
    <row r="193" spans="1:39" s="51" customFormat="1" hidden="1" x14ac:dyDescent="0.25">
      <c r="A193" s="384" t="s">
        <v>1495</v>
      </c>
      <c r="B193" s="59" t="s">
        <v>87</v>
      </c>
      <c r="C193" s="248"/>
      <c r="D193" s="59" t="s">
        <v>568</v>
      </c>
      <c r="E193" s="60" t="s">
        <v>74</v>
      </c>
      <c r="F193" s="59" t="s">
        <v>51</v>
      </c>
      <c r="G193" s="61">
        <f>(4 * PI() * 0.1 ^ 2) * (1 + 25%)</f>
        <v>0.15707963267948966</v>
      </c>
      <c r="H193" s="62">
        <v>6.44</v>
      </c>
      <c r="I193" s="62">
        <f t="shared" si="14"/>
        <v>1.0115928344559135</v>
      </c>
      <c r="J193" s="62"/>
      <c r="K193" s="62">
        <v>3.4557519189487726E-2</v>
      </c>
      <c r="L193" s="62">
        <v>0.97703531526642562</v>
      </c>
      <c r="M193" s="62">
        <v>0</v>
      </c>
      <c r="N193" s="62">
        <v>0</v>
      </c>
      <c r="O193" s="62">
        <v>2.2204460492503131E-16</v>
      </c>
      <c r="P193" s="298" t="s">
        <v>4160</v>
      </c>
      <c r="Q193" s="60" t="s">
        <v>27</v>
      </c>
      <c r="R193" s="60" t="s">
        <v>138</v>
      </c>
      <c r="S193" s="286" t="str">
        <f t="shared" si="8"/>
        <v/>
      </c>
      <c r="T193" s="286" t="str">
        <f>IF($C193= "", T192, IF(ISNA(VLOOKUP($C193,'ABC-S'!$A$5:$A$271,1,FALSE)), "", VLOOKUP($C193,'ABC-S'!$A$5:$A$271,1,FALSE)))</f>
        <v/>
      </c>
      <c r="W193" s="286" t="s">
        <v>1495</v>
      </c>
      <c r="X193" s="286" t="s">
        <v>21</v>
      </c>
      <c r="Y193" s="286" t="s">
        <v>1513</v>
      </c>
      <c r="Z193" s="335" t="s">
        <v>21</v>
      </c>
      <c r="AA193" s="286" t="s">
        <v>21</v>
      </c>
      <c r="AB193" s="378"/>
      <c r="AC193" s="381" t="s">
        <v>568</v>
      </c>
      <c r="AD193" s="378">
        <v>0.15707963267948966</v>
      </c>
      <c r="AE193" s="378">
        <v>0.02</v>
      </c>
      <c r="AF193" s="378">
        <v>3.1415926535897933E-3</v>
      </c>
      <c r="AG193" s="378"/>
      <c r="AI193" s="378">
        <v>0</v>
      </c>
      <c r="AJ193" s="378">
        <v>0</v>
      </c>
      <c r="AL193" s="286" t="s">
        <v>568</v>
      </c>
      <c r="AM193" s="286"/>
    </row>
    <row r="194" spans="1:39" s="51" customFormat="1" ht="33.75" hidden="1" x14ac:dyDescent="0.25">
      <c r="A194" s="384" t="s">
        <v>1495</v>
      </c>
      <c r="B194" s="59" t="s">
        <v>87</v>
      </c>
      <c r="C194" s="248"/>
      <c r="D194" s="59">
        <v>100324</v>
      </c>
      <c r="E194" s="60" t="s">
        <v>1305</v>
      </c>
      <c r="F194" s="59" t="s">
        <v>44</v>
      </c>
      <c r="G194" s="61">
        <v>4.0000000000000001E-3</v>
      </c>
      <c r="H194" s="62">
        <v>175.61</v>
      </c>
      <c r="I194" s="62">
        <f t="shared" si="14"/>
        <v>0.70244000000000006</v>
      </c>
      <c r="J194" s="62"/>
      <c r="K194" s="62">
        <v>8.9120000000000005E-2</v>
      </c>
      <c r="L194" s="62">
        <v>0.61320000000000008</v>
      </c>
      <c r="M194" s="62">
        <v>1.2E-4</v>
      </c>
      <c r="N194" s="62">
        <v>0</v>
      </c>
      <c r="O194" s="62">
        <v>0</v>
      </c>
      <c r="P194" s="298" t="s">
        <v>4160</v>
      </c>
      <c r="Q194" s="60" t="s">
        <v>27</v>
      </c>
      <c r="R194" s="60" t="s">
        <v>138</v>
      </c>
      <c r="S194" s="286" t="str">
        <f t="shared" si="8"/>
        <v/>
      </c>
      <c r="T194" s="286" t="str">
        <f>IF($C194= "", T193, IF(ISNA(VLOOKUP($C194,'ABC-S'!$A$5:$A$271,1,FALSE)), "", VLOOKUP($C194,'ABC-S'!$A$5:$A$271,1,FALSE)))</f>
        <v/>
      </c>
      <c r="W194" s="286" t="s">
        <v>1495</v>
      </c>
      <c r="X194" s="286" t="s">
        <v>21</v>
      </c>
      <c r="Y194" s="286" t="s">
        <v>1513</v>
      </c>
      <c r="Z194" s="335" t="s">
        <v>21</v>
      </c>
      <c r="AA194" s="286" t="s">
        <v>21</v>
      </c>
      <c r="AB194" s="378"/>
      <c r="AC194" s="381">
        <v>100324</v>
      </c>
      <c r="AD194" s="378">
        <v>4.0000000000000001E-3</v>
      </c>
      <c r="AE194" s="378">
        <v>1.373</v>
      </c>
      <c r="AF194" s="378">
        <v>5.4920000000000004E-3</v>
      </c>
      <c r="AG194" s="378"/>
      <c r="AI194" s="378">
        <v>0</v>
      </c>
      <c r="AJ194" s="378">
        <v>0</v>
      </c>
      <c r="AL194" s="286">
        <v>100324</v>
      </c>
      <c r="AM194" s="286"/>
    </row>
    <row r="195" spans="1:39" s="51" customFormat="1" ht="33.75" hidden="1" x14ac:dyDescent="0.25">
      <c r="A195" s="384" t="s">
        <v>1495</v>
      </c>
      <c r="B195" s="59" t="s">
        <v>87</v>
      </c>
      <c r="C195" s="248"/>
      <c r="D195" s="59">
        <v>91525</v>
      </c>
      <c r="E195" s="60" t="s">
        <v>567</v>
      </c>
      <c r="F195" s="59" t="s">
        <v>51</v>
      </c>
      <c r="G195" s="61">
        <f>((0.06 ^ 2) - (PI() * 0.05 ^ 2 / 4)) * 2</f>
        <v>3.2730091830127581E-3</v>
      </c>
      <c r="H195" s="62">
        <v>4.7</v>
      </c>
      <c r="I195" s="62">
        <f t="shared" si="14"/>
        <v>1.5383143160159964E-2</v>
      </c>
      <c r="J195" s="62"/>
      <c r="K195" s="62">
        <v>1.0440899293810698E-2</v>
      </c>
      <c r="L195" s="62">
        <v>4.9422438663492647E-3</v>
      </c>
      <c r="M195" s="62">
        <v>0</v>
      </c>
      <c r="N195" s="62">
        <v>0</v>
      </c>
      <c r="O195" s="62">
        <v>0</v>
      </c>
      <c r="P195" s="298" t="s">
        <v>4160</v>
      </c>
      <c r="Q195" s="60" t="s">
        <v>27</v>
      </c>
      <c r="R195" s="60" t="s">
        <v>138</v>
      </c>
      <c r="S195" s="286" t="str">
        <f t="shared" si="8"/>
        <v/>
      </c>
      <c r="T195" s="286" t="str">
        <f>IF($C195= "", T194, IF(ISNA(VLOOKUP($C195,'ABC-S'!$A$5:$A$271,1,FALSE)), "", VLOOKUP($C195,'ABC-S'!$A$5:$A$271,1,FALSE)))</f>
        <v/>
      </c>
      <c r="W195" s="286" t="s">
        <v>1495</v>
      </c>
      <c r="X195" s="286" t="s">
        <v>21</v>
      </c>
      <c r="Y195" s="286" t="s">
        <v>1513</v>
      </c>
      <c r="Z195" s="335" t="s">
        <v>21</v>
      </c>
      <c r="AA195" s="286" t="s">
        <v>21</v>
      </c>
      <c r="AB195" s="378"/>
      <c r="AC195" s="381">
        <v>91525</v>
      </c>
      <c r="AD195" s="378">
        <v>3.2730091830127581E-3</v>
      </c>
      <c r="AE195" s="378">
        <v>0.189</v>
      </c>
      <c r="AF195" s="378">
        <v>6.1859873558941126E-4</v>
      </c>
      <c r="AG195" s="378"/>
      <c r="AI195" s="378">
        <v>0</v>
      </c>
      <c r="AJ195" s="378">
        <v>0</v>
      </c>
      <c r="AL195" s="286">
        <v>91525</v>
      </c>
      <c r="AM195" s="286"/>
    </row>
    <row r="196" spans="1:39" s="51" customFormat="1" ht="33.75" hidden="1" x14ac:dyDescent="0.25">
      <c r="A196" s="55" t="s">
        <v>1968</v>
      </c>
      <c r="B196" s="55" t="s">
        <v>138</v>
      </c>
      <c r="C196" s="55" t="s">
        <v>1968</v>
      </c>
      <c r="D196" s="55"/>
      <c r="E196" s="56" t="s">
        <v>1969</v>
      </c>
      <c r="F196" s="55" t="s">
        <v>51</v>
      </c>
      <c r="G196" s="57"/>
      <c r="H196" s="58"/>
      <c r="I196" s="58"/>
      <c r="J196" s="58">
        <f>SUM(I196:I207)</f>
        <v>70.189439899999996</v>
      </c>
      <c r="K196" s="58">
        <v>23.853794400000002</v>
      </c>
      <c r="L196" s="58">
        <v>45.459755899999998</v>
      </c>
      <c r="M196" s="58">
        <v>0.62770079999999995</v>
      </c>
      <c r="N196" s="58">
        <v>0</v>
      </c>
      <c r="O196" s="58">
        <v>0.24818880000000121</v>
      </c>
      <c r="P196" s="58"/>
      <c r="Q196" s="56"/>
      <c r="R196" s="56" t="s">
        <v>1970</v>
      </c>
      <c r="S196" s="286" t="str">
        <f t="shared" si="8"/>
        <v/>
      </c>
      <c r="T196" s="286" t="str">
        <f>IF($C196= "", T195, IF(ISNA(VLOOKUP($C196,'ABC-S'!$A$5:$A$271,1,FALSE)), "", VLOOKUP($C196,'ABC-S'!$A$5:$A$271,1,FALSE)))</f>
        <v/>
      </c>
      <c r="W196" s="286" t="s">
        <v>1968</v>
      </c>
      <c r="X196" s="286"/>
      <c r="Y196" s="286"/>
      <c r="Z196" s="286"/>
      <c r="AA196" s="286" t="s">
        <v>21</v>
      </c>
      <c r="AB196" s="378">
        <v>1.4</v>
      </c>
      <c r="AC196" s="378"/>
      <c r="AD196" s="335"/>
      <c r="AE196" s="335"/>
      <c r="AF196" s="335"/>
      <c r="AG196" s="378">
        <v>1.5204799999999998</v>
      </c>
      <c r="AI196" s="378" t="s">
        <v>21</v>
      </c>
      <c r="AJ196" s="378" t="s">
        <v>21</v>
      </c>
      <c r="AL196" s="286"/>
      <c r="AM196" s="286"/>
    </row>
    <row r="197" spans="1:39" s="51" customFormat="1" ht="22.5" hidden="1" x14ac:dyDescent="0.25">
      <c r="A197" s="384" t="s">
        <v>1968</v>
      </c>
      <c r="B197" s="59" t="s">
        <v>86</v>
      </c>
      <c r="C197" s="59"/>
      <c r="D197" s="248">
        <v>1355</v>
      </c>
      <c r="E197" s="395" t="s">
        <v>689</v>
      </c>
      <c r="F197" s="248" t="s">
        <v>3665</v>
      </c>
      <c r="G197" s="280">
        <v>0.40425</v>
      </c>
      <c r="H197" s="62">
        <v>36.93</v>
      </c>
      <c r="I197" s="62">
        <f t="shared" ref="I197:I207" si="15">IF($D197="","",G197*H197)</f>
        <v>14.928952499999999</v>
      </c>
      <c r="J197" s="62"/>
      <c r="K197" s="62">
        <v>0</v>
      </c>
      <c r="L197" s="62">
        <v>14.928952499999999</v>
      </c>
      <c r="M197" s="62">
        <v>0</v>
      </c>
      <c r="N197" s="62">
        <v>0</v>
      </c>
      <c r="O197" s="62">
        <v>0</v>
      </c>
      <c r="P197" s="298" t="s">
        <v>89</v>
      </c>
      <c r="Q197" s="60" t="s">
        <v>27</v>
      </c>
      <c r="R197" s="60" t="s">
        <v>174</v>
      </c>
      <c r="S197" s="286" t="str">
        <f t="shared" si="8"/>
        <v/>
      </c>
      <c r="T197" s="286" t="str">
        <f>IF($C197= "", T196, IF(ISNA(VLOOKUP($C197,'ABC-S'!$A$5:$A$271,1,FALSE)), "", VLOOKUP($C197,'ABC-S'!$A$5:$A$271,1,FALSE)))</f>
        <v/>
      </c>
      <c r="W197" s="286" t="s">
        <v>1968</v>
      </c>
      <c r="X197" s="286" t="s">
        <v>21</v>
      </c>
      <c r="Y197" s="286" t="s">
        <v>21</v>
      </c>
      <c r="Z197" s="286" t="s">
        <v>21</v>
      </c>
      <c r="AA197" s="286" t="s">
        <v>21</v>
      </c>
      <c r="AB197" s="378"/>
      <c r="AC197" s="381" t="s">
        <v>21</v>
      </c>
      <c r="AD197" s="378" t="s">
        <v>21</v>
      </c>
      <c r="AE197" s="378" t="s">
        <v>21</v>
      </c>
      <c r="AF197" s="378" t="s">
        <v>21</v>
      </c>
      <c r="AG197" s="378"/>
      <c r="AI197" s="378" t="s">
        <v>21</v>
      </c>
      <c r="AJ197" s="378" t="s">
        <v>21</v>
      </c>
      <c r="AL197" s="286"/>
      <c r="AM197" s="286">
        <v>1350</v>
      </c>
    </row>
    <row r="198" spans="1:39" s="51" customFormat="1" ht="22.5" hidden="1" x14ac:dyDescent="0.25">
      <c r="A198" s="384" t="s">
        <v>1968</v>
      </c>
      <c r="B198" s="59" t="s">
        <v>86</v>
      </c>
      <c r="C198" s="59"/>
      <c r="D198" s="248">
        <v>2692</v>
      </c>
      <c r="E198" s="395" t="s">
        <v>105</v>
      </c>
      <c r="F198" s="248" t="s">
        <v>3668</v>
      </c>
      <c r="G198" s="280">
        <v>1.8519999999999998E-2</v>
      </c>
      <c r="H198" s="62">
        <v>6.38</v>
      </c>
      <c r="I198" s="62">
        <f>IF($D198="","",G198*H198)</f>
        <v>0.11815759999999999</v>
      </c>
      <c r="J198" s="62"/>
      <c r="K198" s="62">
        <v>0.11815759999999999</v>
      </c>
      <c r="L198" s="62">
        <v>0</v>
      </c>
      <c r="M198" s="62">
        <v>0</v>
      </c>
      <c r="N198" s="62">
        <v>0</v>
      </c>
      <c r="O198" s="62">
        <v>0</v>
      </c>
      <c r="P198" s="298" t="s">
        <v>424</v>
      </c>
      <c r="Q198" s="60" t="s">
        <v>27</v>
      </c>
      <c r="R198" s="60" t="s">
        <v>174</v>
      </c>
      <c r="S198" s="286" t="str">
        <f t="shared" ref="S198:S261" si="16">IF(T198 &lt;&gt; "", "SIM", "")</f>
        <v/>
      </c>
      <c r="T198" s="286" t="str">
        <f>IF($C198= "", T197, IF(ISNA(VLOOKUP($C198,'ABC-S'!$A$5:$A$271,1,FALSE)), "", VLOOKUP($C198,'ABC-S'!$A$5:$A$271,1,FALSE)))</f>
        <v/>
      </c>
      <c r="W198" s="286" t="s">
        <v>1968</v>
      </c>
      <c r="X198" s="286" t="s">
        <v>21</v>
      </c>
      <c r="Y198" s="286" t="s">
        <v>21</v>
      </c>
      <c r="Z198" s="286" t="s">
        <v>21</v>
      </c>
      <c r="AA198" s="286" t="s">
        <v>21</v>
      </c>
      <c r="AB198" s="378"/>
      <c r="AC198" s="381" t="s">
        <v>21</v>
      </c>
      <c r="AD198" s="378" t="s">
        <v>21</v>
      </c>
      <c r="AE198" s="378" t="s">
        <v>21</v>
      </c>
      <c r="AF198" s="378" t="s">
        <v>21</v>
      </c>
      <c r="AG198" s="378"/>
      <c r="AI198" s="378" t="s">
        <v>21</v>
      </c>
      <c r="AJ198" s="378" t="s">
        <v>21</v>
      </c>
      <c r="AL198" s="286"/>
      <c r="AM198" s="286">
        <v>11615</v>
      </c>
    </row>
    <row r="199" spans="1:39" s="51" customFormat="1" ht="22.5" hidden="1" x14ac:dyDescent="0.25">
      <c r="A199" s="384" t="s">
        <v>1968</v>
      </c>
      <c r="B199" s="59" t="s">
        <v>86</v>
      </c>
      <c r="C199" s="248"/>
      <c r="D199" s="248">
        <v>4491</v>
      </c>
      <c r="E199" s="395" t="s">
        <v>1176</v>
      </c>
      <c r="F199" s="248" t="s">
        <v>3667</v>
      </c>
      <c r="G199" s="280">
        <v>0.44917000000000001</v>
      </c>
      <c r="H199" s="62">
        <v>6.49</v>
      </c>
      <c r="I199" s="62">
        <f t="shared" si="15"/>
        <v>2.9151133000000002</v>
      </c>
      <c r="J199" s="62"/>
      <c r="K199" s="62">
        <v>0</v>
      </c>
      <c r="L199" s="62">
        <v>2.9151133000000002</v>
      </c>
      <c r="M199" s="62">
        <v>0</v>
      </c>
      <c r="N199" s="62">
        <v>0</v>
      </c>
      <c r="O199" s="62">
        <v>0</v>
      </c>
      <c r="P199" s="298" t="s">
        <v>89</v>
      </c>
      <c r="Q199" s="60" t="s">
        <v>27</v>
      </c>
      <c r="R199" s="60" t="s">
        <v>174</v>
      </c>
      <c r="S199" s="286" t="str">
        <f t="shared" si="16"/>
        <v/>
      </c>
      <c r="T199" s="286" t="str">
        <f>IF($C199= "", T198, IF(ISNA(VLOOKUP($C199,'ABC-S'!$A$5:$A$271,1,FALSE)), "", VLOOKUP($C199,'ABC-S'!$A$5:$A$271,1,FALSE)))</f>
        <v/>
      </c>
      <c r="W199" s="286" t="s">
        <v>1968</v>
      </c>
      <c r="X199" s="286" t="s">
        <v>21</v>
      </c>
      <c r="Y199" s="286" t="s">
        <v>21</v>
      </c>
      <c r="Z199" s="335" t="s">
        <v>21</v>
      </c>
      <c r="AA199" s="286" t="s">
        <v>21</v>
      </c>
      <c r="AB199" s="378"/>
      <c r="AC199" s="381" t="s">
        <v>21</v>
      </c>
      <c r="AD199" s="378" t="s">
        <v>21</v>
      </c>
      <c r="AE199" s="378" t="s">
        <v>21</v>
      </c>
      <c r="AF199" s="378" t="s">
        <v>21</v>
      </c>
      <c r="AG199" s="378"/>
      <c r="AI199" s="378" t="s">
        <v>21</v>
      </c>
      <c r="AJ199" s="378" t="s">
        <v>21</v>
      </c>
      <c r="AL199" s="286">
        <v>100341</v>
      </c>
      <c r="AM199" s="286"/>
    </row>
    <row r="200" spans="1:39" s="51" customFormat="1" ht="22.5" hidden="1" x14ac:dyDescent="0.25">
      <c r="A200" s="384" t="s">
        <v>1968</v>
      </c>
      <c r="B200" s="59" t="s">
        <v>86</v>
      </c>
      <c r="C200" s="248"/>
      <c r="D200" s="248">
        <v>4517</v>
      </c>
      <c r="E200" s="395" t="s">
        <v>1179</v>
      </c>
      <c r="F200" s="248" t="s">
        <v>3667</v>
      </c>
      <c r="G200" s="280">
        <v>1.2985</v>
      </c>
      <c r="H200" s="62">
        <v>2.27</v>
      </c>
      <c r="I200" s="62">
        <f t="shared" si="15"/>
        <v>2.9475950000000002</v>
      </c>
      <c r="J200" s="62"/>
      <c r="K200" s="62">
        <v>0</v>
      </c>
      <c r="L200" s="62">
        <v>2.9475950000000002</v>
      </c>
      <c r="M200" s="62">
        <v>0</v>
      </c>
      <c r="N200" s="62">
        <v>0</v>
      </c>
      <c r="O200" s="62">
        <v>0</v>
      </c>
      <c r="P200" s="298" t="s">
        <v>89</v>
      </c>
      <c r="Q200" s="60" t="s">
        <v>27</v>
      </c>
      <c r="R200" s="60" t="s">
        <v>174</v>
      </c>
      <c r="S200" s="286" t="str">
        <f t="shared" si="16"/>
        <v/>
      </c>
      <c r="T200" s="286" t="str">
        <f>IF($C200= "", T199, IF(ISNA(VLOOKUP($C200,'ABC-S'!$A$5:$A$271,1,FALSE)), "", VLOOKUP($C200,'ABC-S'!$A$5:$A$271,1,FALSE)))</f>
        <v/>
      </c>
      <c r="W200" s="286" t="s">
        <v>1968</v>
      </c>
      <c r="X200" s="286" t="s">
        <v>21</v>
      </c>
      <c r="Y200" s="286" t="s">
        <v>21</v>
      </c>
      <c r="Z200" s="335" t="s">
        <v>21</v>
      </c>
      <c r="AA200" s="286" t="s">
        <v>21</v>
      </c>
      <c r="AB200" s="378"/>
      <c r="AC200" s="381" t="s">
        <v>21</v>
      </c>
      <c r="AD200" s="378" t="s">
        <v>21</v>
      </c>
      <c r="AE200" s="378" t="s">
        <v>21</v>
      </c>
      <c r="AF200" s="378" t="s">
        <v>21</v>
      </c>
      <c r="AG200" s="378"/>
      <c r="AI200" s="378" t="s">
        <v>21</v>
      </c>
      <c r="AJ200" s="378" t="s">
        <v>21</v>
      </c>
      <c r="AL200" s="286">
        <v>92522</v>
      </c>
      <c r="AM200" s="286"/>
    </row>
    <row r="201" spans="1:39" s="51" customFormat="1" ht="22.5" hidden="1" x14ac:dyDescent="0.25">
      <c r="A201" s="384" t="s">
        <v>1968</v>
      </c>
      <c r="B201" s="59" t="s">
        <v>86</v>
      </c>
      <c r="C201" s="248"/>
      <c r="D201" s="248">
        <v>4509</v>
      </c>
      <c r="E201" s="395" t="s">
        <v>1177</v>
      </c>
      <c r="F201" s="248" t="s">
        <v>3667</v>
      </c>
      <c r="G201" s="280">
        <v>1.1186</v>
      </c>
      <c r="H201" s="62">
        <v>3.29</v>
      </c>
      <c r="I201" s="62">
        <f t="shared" si="15"/>
        <v>3.6801940000000002</v>
      </c>
      <c r="J201" s="62"/>
      <c r="K201" s="62">
        <v>0</v>
      </c>
      <c r="L201" s="62">
        <v>3.6801940000000002</v>
      </c>
      <c r="M201" s="62">
        <v>0</v>
      </c>
      <c r="N201" s="62">
        <v>0</v>
      </c>
      <c r="O201" s="62">
        <v>0</v>
      </c>
      <c r="P201" s="298" t="s">
        <v>89</v>
      </c>
      <c r="Q201" s="60" t="s">
        <v>27</v>
      </c>
      <c r="R201" s="60" t="s">
        <v>174</v>
      </c>
      <c r="S201" s="286" t="str">
        <f t="shared" si="16"/>
        <v/>
      </c>
      <c r="T201" s="286" t="str">
        <f>IF($C201= "", T200, IF(ISNA(VLOOKUP($C201,'ABC-S'!$A$5:$A$271,1,FALSE)), "", VLOOKUP($C201,'ABC-S'!$A$5:$A$271,1,FALSE)))</f>
        <v/>
      </c>
      <c r="W201" s="286" t="s">
        <v>1968</v>
      </c>
      <c r="X201" s="286" t="s">
        <v>21</v>
      </c>
      <c r="Y201" s="286" t="s">
        <v>21</v>
      </c>
      <c r="Z201" s="335" t="s">
        <v>21</v>
      </c>
      <c r="AA201" s="286" t="s">
        <v>21</v>
      </c>
      <c r="AB201" s="378"/>
      <c r="AC201" s="381" t="s">
        <v>21</v>
      </c>
      <c r="AD201" s="378" t="s">
        <v>21</v>
      </c>
      <c r="AE201" s="378" t="s">
        <v>21</v>
      </c>
      <c r="AF201" s="378" t="s">
        <v>21</v>
      </c>
      <c r="AG201" s="378"/>
      <c r="AI201" s="378" t="s">
        <v>21</v>
      </c>
      <c r="AJ201" s="378" t="s">
        <v>21</v>
      </c>
      <c r="AL201" s="286">
        <v>100342</v>
      </c>
      <c r="AM201" s="286"/>
    </row>
    <row r="202" spans="1:39" s="51" customFormat="1" ht="22.5" hidden="1" x14ac:dyDescent="0.25">
      <c r="A202" s="384" t="s">
        <v>1968</v>
      </c>
      <c r="B202" s="59" t="s">
        <v>86</v>
      </c>
      <c r="C202" s="248"/>
      <c r="D202" s="248">
        <v>6212</v>
      </c>
      <c r="E202" s="395" t="s">
        <v>1181</v>
      </c>
      <c r="F202" s="248" t="s">
        <v>3667</v>
      </c>
      <c r="G202" s="280">
        <v>0.19763</v>
      </c>
      <c r="H202" s="62">
        <v>10.77</v>
      </c>
      <c r="I202" s="62">
        <f>IF($D202="","",G202*H202)</f>
        <v>2.1284750999999997</v>
      </c>
      <c r="J202" s="62"/>
      <c r="K202" s="62">
        <v>0</v>
      </c>
      <c r="L202" s="62">
        <v>2.1284750999999997</v>
      </c>
      <c r="M202" s="62">
        <v>0</v>
      </c>
      <c r="N202" s="62">
        <v>0</v>
      </c>
      <c r="O202" s="62">
        <v>0</v>
      </c>
      <c r="P202" s="298" t="s">
        <v>89</v>
      </c>
      <c r="Q202" s="60" t="s">
        <v>27</v>
      </c>
      <c r="R202" s="60" t="s">
        <v>174</v>
      </c>
      <c r="S202" s="286" t="str">
        <f t="shared" si="16"/>
        <v/>
      </c>
      <c r="T202" s="286" t="str">
        <f>IF($C202= "", T201, IF(ISNA(VLOOKUP($C202,'ABC-S'!$A$5:$A$271,1,FALSE)), "", VLOOKUP($C202,'ABC-S'!$A$5:$A$271,1,FALSE)))</f>
        <v/>
      </c>
      <c r="W202" s="286" t="s">
        <v>1968</v>
      </c>
      <c r="X202" s="286" t="s">
        <v>21</v>
      </c>
      <c r="Y202" s="286" t="s">
        <v>21</v>
      </c>
      <c r="Z202" s="335" t="s">
        <v>21</v>
      </c>
      <c r="AA202" s="286" t="s">
        <v>21</v>
      </c>
      <c r="AB202" s="378"/>
      <c r="AC202" s="381" t="s">
        <v>21</v>
      </c>
      <c r="AD202" s="378" t="s">
        <v>21</v>
      </c>
      <c r="AE202" s="378" t="s">
        <v>21</v>
      </c>
      <c r="AF202" s="378" t="s">
        <v>21</v>
      </c>
      <c r="AG202" s="378"/>
      <c r="AI202" s="378" t="s">
        <v>21</v>
      </c>
      <c r="AJ202" s="378" t="s">
        <v>21</v>
      </c>
      <c r="AL202" s="286">
        <v>100345</v>
      </c>
      <c r="AM202" s="286"/>
    </row>
    <row r="203" spans="1:39" s="51" customFormat="1" ht="22.5" hidden="1" x14ac:dyDescent="0.25">
      <c r="A203" s="384" t="s">
        <v>1968</v>
      </c>
      <c r="B203" s="59" t="s">
        <v>86</v>
      </c>
      <c r="C203" s="248"/>
      <c r="D203" s="248">
        <v>40304</v>
      </c>
      <c r="E203" s="395" t="s">
        <v>104</v>
      </c>
      <c r="F203" s="248" t="s">
        <v>3669</v>
      </c>
      <c r="G203" s="280">
        <v>0.14585999999999999</v>
      </c>
      <c r="H203" s="62">
        <v>24.98</v>
      </c>
      <c r="I203" s="62">
        <f>IF($D203="","",G203*H203)</f>
        <v>3.6435827999999999</v>
      </c>
      <c r="J203" s="62"/>
      <c r="K203" s="62">
        <v>0</v>
      </c>
      <c r="L203" s="62">
        <v>3.6435827999999999</v>
      </c>
      <c r="M203" s="62">
        <v>0</v>
      </c>
      <c r="N203" s="62">
        <v>0</v>
      </c>
      <c r="O203" s="62">
        <v>0</v>
      </c>
      <c r="P203" s="298" t="s">
        <v>89</v>
      </c>
      <c r="Q203" s="60" t="s">
        <v>27</v>
      </c>
      <c r="R203" s="60" t="s">
        <v>174</v>
      </c>
      <c r="S203" s="286" t="str">
        <f t="shared" si="16"/>
        <v/>
      </c>
      <c r="T203" s="286" t="str">
        <f>IF($C203= "", T202, IF(ISNA(VLOOKUP($C203,'ABC-S'!$A$5:$A$271,1,FALSE)), "", VLOOKUP($C203,'ABC-S'!$A$5:$A$271,1,FALSE)))</f>
        <v/>
      </c>
      <c r="W203" s="286" t="s">
        <v>1968</v>
      </c>
      <c r="X203" s="286" t="s">
        <v>21</v>
      </c>
      <c r="Y203" s="286" t="s">
        <v>21</v>
      </c>
      <c r="Z203" s="335" t="s">
        <v>21</v>
      </c>
      <c r="AA203" s="286" t="s">
        <v>21</v>
      </c>
      <c r="AB203" s="378"/>
      <c r="AC203" s="381" t="s">
        <v>21</v>
      </c>
      <c r="AD203" s="378" t="s">
        <v>21</v>
      </c>
      <c r="AE203" s="378" t="s">
        <v>21</v>
      </c>
      <c r="AF203" s="378" t="s">
        <v>21</v>
      </c>
      <c r="AG203" s="378"/>
      <c r="AI203" s="378" t="s">
        <v>21</v>
      </c>
      <c r="AJ203" s="378" t="s">
        <v>21</v>
      </c>
      <c r="AL203" s="286">
        <v>100346</v>
      </c>
      <c r="AM203" s="286"/>
    </row>
    <row r="204" spans="1:39" s="51" customFormat="1" ht="22.5" hidden="1" x14ac:dyDescent="0.25">
      <c r="A204" s="384" t="s">
        <v>1968</v>
      </c>
      <c r="B204" s="59" t="s">
        <v>87</v>
      </c>
      <c r="C204" s="248"/>
      <c r="D204" s="248">
        <v>88239</v>
      </c>
      <c r="E204" s="395" t="s">
        <v>483</v>
      </c>
      <c r="F204" s="248" t="s">
        <v>46</v>
      </c>
      <c r="G204" s="280">
        <v>0.7</v>
      </c>
      <c r="H204" s="62">
        <v>19.96</v>
      </c>
      <c r="I204" s="62">
        <f>IF($D204="","",G204*H204)</f>
        <v>13.972</v>
      </c>
      <c r="J204" s="62"/>
      <c r="K204" s="62">
        <v>9.7579999999999991</v>
      </c>
      <c r="L204" s="62">
        <v>4.2139999999999995</v>
      </c>
      <c r="M204" s="62">
        <v>0</v>
      </c>
      <c r="N204" s="62">
        <v>0</v>
      </c>
      <c r="O204" s="62">
        <v>1.7763568394002505E-15</v>
      </c>
      <c r="P204" s="298" t="s">
        <v>4160</v>
      </c>
      <c r="Q204" s="60" t="s">
        <v>27</v>
      </c>
      <c r="R204" s="60" t="s">
        <v>174</v>
      </c>
      <c r="S204" s="286" t="str">
        <f t="shared" si="16"/>
        <v/>
      </c>
      <c r="T204" s="286" t="str">
        <f>IF($C204= "", T203, IF(ISNA(VLOOKUP($C204,'ABC-S'!$A$5:$A$271,1,FALSE)), "", VLOOKUP($C204,'ABC-S'!$A$5:$A$271,1,FALSE)))</f>
        <v/>
      </c>
      <c r="W204" s="286" t="s">
        <v>1968</v>
      </c>
      <c r="X204" s="286">
        <v>88239</v>
      </c>
      <c r="Y204" s="286" t="s">
        <v>424</v>
      </c>
      <c r="Z204" s="335">
        <v>0</v>
      </c>
      <c r="AA204" s="286">
        <v>0.7</v>
      </c>
      <c r="AB204" s="378"/>
      <c r="AC204" s="381" t="s">
        <v>21</v>
      </c>
      <c r="AD204" s="378" t="s">
        <v>21</v>
      </c>
      <c r="AE204" s="378" t="s">
        <v>21</v>
      </c>
      <c r="AF204" s="378" t="s">
        <v>21</v>
      </c>
      <c r="AG204" s="378"/>
      <c r="AI204" s="378">
        <v>0</v>
      </c>
      <c r="AJ204" s="378">
        <v>0</v>
      </c>
      <c r="AL204" s="286">
        <v>92725</v>
      </c>
      <c r="AM204" s="286"/>
    </row>
    <row r="205" spans="1:39" s="51" customFormat="1" ht="22.5" hidden="1" x14ac:dyDescent="0.25">
      <c r="A205" s="384" t="s">
        <v>1968</v>
      </c>
      <c r="B205" s="59" t="s">
        <v>87</v>
      </c>
      <c r="C205" s="59"/>
      <c r="D205" s="248">
        <v>88262</v>
      </c>
      <c r="E205" s="395" t="s">
        <v>535</v>
      </c>
      <c r="F205" s="248" t="s">
        <v>46</v>
      </c>
      <c r="G205" s="280">
        <v>0.7</v>
      </c>
      <c r="H205" s="62">
        <v>23.68</v>
      </c>
      <c r="I205" s="62">
        <f>IF($D205="","",G205*H205)</f>
        <v>16.576000000000001</v>
      </c>
      <c r="J205" s="62"/>
      <c r="K205" s="62">
        <v>12.362</v>
      </c>
      <c r="L205" s="62">
        <v>4.2139999999999995</v>
      </c>
      <c r="M205" s="62">
        <v>0</v>
      </c>
      <c r="N205" s="62">
        <v>0</v>
      </c>
      <c r="O205" s="62">
        <v>0</v>
      </c>
      <c r="P205" s="298" t="s">
        <v>4160</v>
      </c>
      <c r="Q205" s="60" t="s">
        <v>27</v>
      </c>
      <c r="R205" s="60" t="s">
        <v>174</v>
      </c>
      <c r="S205" s="286" t="str">
        <f t="shared" si="16"/>
        <v/>
      </c>
      <c r="T205" s="286" t="str">
        <f>IF($C205= "", T204, IF(ISNA(VLOOKUP($C205,'ABC-S'!$A$5:$A$271,1,FALSE)), "", VLOOKUP($C205,'ABC-S'!$A$5:$A$271,1,FALSE)))</f>
        <v/>
      </c>
      <c r="W205" s="286" t="s">
        <v>1968</v>
      </c>
      <c r="X205" s="286">
        <v>88262</v>
      </c>
      <c r="Y205" s="286" t="s">
        <v>424</v>
      </c>
      <c r="Z205" s="335">
        <v>0</v>
      </c>
      <c r="AA205" s="286">
        <v>0.7</v>
      </c>
      <c r="AB205" s="378"/>
      <c r="AC205" s="381" t="s">
        <v>21</v>
      </c>
      <c r="AD205" s="378" t="s">
        <v>21</v>
      </c>
      <c r="AE205" s="378" t="s">
        <v>21</v>
      </c>
      <c r="AF205" s="378" t="s">
        <v>21</v>
      </c>
      <c r="AG205" s="378"/>
      <c r="AI205" s="378">
        <v>0</v>
      </c>
      <c r="AJ205" s="378">
        <v>0</v>
      </c>
      <c r="AL205" s="286">
        <v>98682</v>
      </c>
      <c r="AM205" s="286"/>
    </row>
    <row r="206" spans="1:39" s="51" customFormat="1" ht="33.75" hidden="1" x14ac:dyDescent="0.25">
      <c r="A206" s="384" t="s">
        <v>1968</v>
      </c>
      <c r="B206" s="59" t="s">
        <v>87</v>
      </c>
      <c r="C206" s="59"/>
      <c r="D206" s="248">
        <v>91692</v>
      </c>
      <c r="E206" s="395" t="s">
        <v>432</v>
      </c>
      <c r="F206" s="248" t="s">
        <v>76</v>
      </c>
      <c r="G206" s="280">
        <v>0.12048</v>
      </c>
      <c r="H206" s="62">
        <v>20.83</v>
      </c>
      <c r="I206" s="62">
        <f>IF($D206="","",G206*H206)</f>
        <v>2.5095983999999998</v>
      </c>
      <c r="J206" s="62"/>
      <c r="K206" s="62">
        <v>1.6156368000000001</v>
      </c>
      <c r="L206" s="62">
        <v>0.63011040000000007</v>
      </c>
      <c r="M206" s="62">
        <v>1.56624E-2</v>
      </c>
      <c r="N206" s="62">
        <v>0</v>
      </c>
      <c r="O206" s="62">
        <v>0.24818879999999943</v>
      </c>
      <c r="P206" s="298" t="s">
        <v>4160</v>
      </c>
      <c r="Q206" s="60" t="s">
        <v>27</v>
      </c>
      <c r="R206" s="60" t="s">
        <v>174</v>
      </c>
      <c r="S206" s="286" t="str">
        <f t="shared" si="16"/>
        <v/>
      </c>
      <c r="T206" s="286" t="str">
        <f>IF($C206= "", T205, IF(ISNA(VLOOKUP($C206,'ABC-S'!$A$5:$A$271,1,FALSE)), "", VLOOKUP($C206,'ABC-S'!$A$5:$A$271,1,FALSE)))</f>
        <v/>
      </c>
      <c r="W206" s="286" t="s">
        <v>1968</v>
      </c>
      <c r="X206" s="286" t="s">
        <v>21</v>
      </c>
      <c r="Y206" s="286" t="s">
        <v>423</v>
      </c>
      <c r="Z206" s="335" t="s">
        <v>21</v>
      </c>
      <c r="AA206" s="286" t="s">
        <v>21</v>
      </c>
      <c r="AB206" s="378"/>
      <c r="AC206" s="381">
        <v>91692</v>
      </c>
      <c r="AD206" s="378">
        <v>0.12048</v>
      </c>
      <c r="AE206" s="378">
        <v>1</v>
      </c>
      <c r="AF206" s="378">
        <v>0.12048</v>
      </c>
      <c r="AG206" s="378"/>
      <c r="AI206" s="378">
        <v>0</v>
      </c>
      <c r="AJ206" s="378">
        <v>0</v>
      </c>
      <c r="AL206" s="286">
        <v>98682</v>
      </c>
      <c r="AM206" s="286"/>
    </row>
    <row r="207" spans="1:39" s="51" customFormat="1" ht="33.75" hidden="1" x14ac:dyDescent="0.25">
      <c r="A207" s="384" t="s">
        <v>1968</v>
      </c>
      <c r="B207" s="59" t="s">
        <v>87</v>
      </c>
      <c r="C207" s="248"/>
      <c r="D207" s="248">
        <v>93421</v>
      </c>
      <c r="E207" s="395" t="s">
        <v>591</v>
      </c>
      <c r="F207" s="248" t="s">
        <v>76</v>
      </c>
      <c r="G207" s="280">
        <v>0.12048</v>
      </c>
      <c r="H207" s="62">
        <v>56.19</v>
      </c>
      <c r="I207" s="62">
        <f t="shared" si="15"/>
        <v>6.7697712000000001</v>
      </c>
      <c r="J207" s="62"/>
      <c r="K207" s="62">
        <v>0</v>
      </c>
      <c r="L207" s="62">
        <v>6.1577327999999998</v>
      </c>
      <c r="M207" s="62">
        <v>0.61203839999999998</v>
      </c>
      <c r="N207" s="62">
        <v>0</v>
      </c>
      <c r="O207" s="62">
        <v>0</v>
      </c>
      <c r="P207" s="298" t="s">
        <v>4160</v>
      </c>
      <c r="Q207" s="60" t="s">
        <v>27</v>
      </c>
      <c r="R207" s="60" t="s">
        <v>1398</v>
      </c>
      <c r="S207" s="286" t="str">
        <f t="shared" si="16"/>
        <v/>
      </c>
      <c r="T207" s="286" t="str">
        <f>IF($C207= "", T206, IF(ISNA(VLOOKUP($C207,'ABC-S'!$A$5:$A$271,1,FALSE)), "", VLOOKUP($C207,'ABC-S'!$A$5:$A$271,1,FALSE)))</f>
        <v/>
      </c>
      <c r="W207" s="286" t="s">
        <v>1968</v>
      </c>
      <c r="X207" s="286" t="s">
        <v>21</v>
      </c>
      <c r="Y207" s="286" t="s">
        <v>423</v>
      </c>
      <c r="Z207" s="335" t="s">
        <v>21</v>
      </c>
      <c r="AA207" s="286" t="s">
        <v>21</v>
      </c>
      <c r="AB207" s="378"/>
      <c r="AC207" s="381">
        <v>93421</v>
      </c>
      <c r="AD207" s="378">
        <v>0.12048</v>
      </c>
      <c r="AE207" s="378">
        <v>0</v>
      </c>
      <c r="AF207" s="378">
        <v>0</v>
      </c>
      <c r="AG207" s="378"/>
      <c r="AI207" s="378">
        <v>0</v>
      </c>
      <c r="AJ207" s="378">
        <v>0</v>
      </c>
      <c r="AL207" s="286">
        <v>96620</v>
      </c>
      <c r="AM207" s="286"/>
    </row>
    <row r="208" spans="1:39" s="51" customFormat="1" ht="22.5" x14ac:dyDescent="0.25">
      <c r="A208" s="55" t="s">
        <v>3304</v>
      </c>
      <c r="B208" s="55" t="s">
        <v>138</v>
      </c>
      <c r="C208" s="55" t="s">
        <v>3304</v>
      </c>
      <c r="D208" s="55"/>
      <c r="E208" s="56" t="s">
        <v>3303</v>
      </c>
      <c r="F208" s="55" t="s">
        <v>44</v>
      </c>
      <c r="G208" s="57"/>
      <c r="H208" s="58"/>
      <c r="I208" s="58"/>
      <c r="J208" s="58">
        <f>SUM(I208:I209)</f>
        <v>350.69349999999997</v>
      </c>
      <c r="K208" s="58">
        <v>0</v>
      </c>
      <c r="L208" s="58">
        <v>350.69349999999997</v>
      </c>
      <c r="M208" s="58">
        <v>0</v>
      </c>
      <c r="N208" s="58">
        <v>0</v>
      </c>
      <c r="O208" s="58">
        <v>0</v>
      </c>
      <c r="P208" s="58"/>
      <c r="Q208" s="56"/>
      <c r="R208" s="56" t="s">
        <v>1026</v>
      </c>
      <c r="S208" s="286" t="str">
        <f t="shared" si="16"/>
        <v>SIM</v>
      </c>
      <c r="T208" s="286" t="str">
        <f>IF($C208= "", T207, IF(ISNA(VLOOKUP($C208,'ABC-S'!$A$5:$A$271,1,FALSE)), "", VLOOKUP($C208,'ABC-S'!$A$5:$A$271,1,FALSE)))</f>
        <v>CP0314</v>
      </c>
      <c r="W208" s="286" t="s">
        <v>3304</v>
      </c>
      <c r="X208" s="286"/>
      <c r="Y208" s="286"/>
      <c r="Z208" s="286"/>
      <c r="AA208" s="286" t="s">
        <v>21</v>
      </c>
      <c r="AB208" s="378">
        <v>0</v>
      </c>
      <c r="AC208" s="378"/>
      <c r="AD208" s="335"/>
      <c r="AE208" s="335"/>
      <c r="AF208" s="335"/>
      <c r="AG208" s="378">
        <v>0</v>
      </c>
      <c r="AI208" s="378" t="s">
        <v>21</v>
      </c>
      <c r="AJ208" s="378" t="s">
        <v>21</v>
      </c>
      <c r="AL208" s="286"/>
      <c r="AM208" s="286"/>
    </row>
    <row r="209" spans="1:39" s="51" customFormat="1" ht="33.75" x14ac:dyDescent="0.25">
      <c r="A209" s="384" t="s">
        <v>3304</v>
      </c>
      <c r="B209" s="59" t="s">
        <v>86</v>
      </c>
      <c r="C209" s="59"/>
      <c r="D209" s="59">
        <v>1525</v>
      </c>
      <c r="E209" s="60" t="s">
        <v>691</v>
      </c>
      <c r="F209" s="59" t="s">
        <v>3670</v>
      </c>
      <c r="G209" s="61">
        <v>1.0249999999999999</v>
      </c>
      <c r="H209" s="62">
        <v>342.14</v>
      </c>
      <c r="I209" s="62">
        <f>IF($D209="","",G209*H209)</f>
        <v>350.69349999999997</v>
      </c>
      <c r="J209" s="62"/>
      <c r="K209" s="62">
        <v>0</v>
      </c>
      <c r="L209" s="62">
        <v>350.69349999999997</v>
      </c>
      <c r="M209" s="62">
        <v>0</v>
      </c>
      <c r="N209" s="62">
        <v>0</v>
      </c>
      <c r="O209" s="62">
        <v>0</v>
      </c>
      <c r="P209" s="298" t="s">
        <v>89</v>
      </c>
      <c r="Q209" s="60" t="s">
        <v>27</v>
      </c>
      <c r="R209" s="60" t="s">
        <v>27</v>
      </c>
      <c r="S209" s="286" t="str">
        <f t="shared" si="16"/>
        <v>SIM</v>
      </c>
      <c r="T209" s="286" t="str">
        <f>IF($C209= "", T208, IF(ISNA(VLOOKUP($C209,'ABC-S'!$A$5:$A$271,1,FALSE)), "", VLOOKUP($C209,'ABC-S'!$A$5:$A$271,1,FALSE)))</f>
        <v>CP0314</v>
      </c>
      <c r="W209" s="286" t="s">
        <v>3304</v>
      </c>
      <c r="X209" s="286" t="s">
        <v>21</v>
      </c>
      <c r="Y209" s="286" t="s">
        <v>21</v>
      </c>
      <c r="Z209" s="286" t="s">
        <v>21</v>
      </c>
      <c r="AA209" s="286" t="s">
        <v>21</v>
      </c>
      <c r="AB209" s="378"/>
      <c r="AC209" s="381" t="s">
        <v>21</v>
      </c>
      <c r="AD209" s="378" t="s">
        <v>21</v>
      </c>
      <c r="AE209" s="378" t="s">
        <v>21</v>
      </c>
      <c r="AF209" s="378" t="s">
        <v>21</v>
      </c>
      <c r="AG209" s="378"/>
      <c r="AI209" s="378" t="s">
        <v>21</v>
      </c>
      <c r="AJ209" s="378" t="s">
        <v>21</v>
      </c>
      <c r="AL209" s="286"/>
      <c r="AM209" s="286" t="s">
        <v>1393</v>
      </c>
    </row>
    <row r="210" spans="1:39" s="51" customFormat="1" ht="33.75" hidden="1" x14ac:dyDescent="0.25">
      <c r="A210" s="55" t="s">
        <v>1395</v>
      </c>
      <c r="B210" s="55" t="s">
        <v>138</v>
      </c>
      <c r="C210" s="55" t="s">
        <v>1395</v>
      </c>
      <c r="D210" s="55"/>
      <c r="E210" s="56" t="s">
        <v>1397</v>
      </c>
      <c r="F210" s="55" t="s">
        <v>22</v>
      </c>
      <c r="G210" s="57"/>
      <c r="H210" s="58"/>
      <c r="I210" s="58"/>
      <c r="J210" s="58">
        <f>SUM(I210:I220)</f>
        <v>4110.586769917355</v>
      </c>
      <c r="K210" s="58">
        <v>561.2620639999999</v>
      </c>
      <c r="L210" s="58">
        <v>3492.257705917355</v>
      </c>
      <c r="M210" s="58">
        <v>56.785000000000011</v>
      </c>
      <c r="N210" s="58">
        <v>0</v>
      </c>
      <c r="O210" s="58">
        <v>0.28200000000005332</v>
      </c>
      <c r="P210" s="58"/>
      <c r="Q210" s="56"/>
      <c r="R210" s="56" t="s">
        <v>1396</v>
      </c>
      <c r="S210" s="286" t="str">
        <f t="shared" si="16"/>
        <v/>
      </c>
      <c r="T210" s="286" t="str">
        <f>IF($C210= "", T209, IF(ISNA(VLOOKUP($C210,'ABC-S'!$A$5:$A$271,1,FALSE)), "", VLOOKUP($C210,'ABC-S'!$A$5:$A$271,1,FALSE)))</f>
        <v/>
      </c>
      <c r="W210" s="286" t="s">
        <v>1395</v>
      </c>
      <c r="X210" s="286"/>
      <c r="Y210" s="286"/>
      <c r="Z210" s="286"/>
      <c r="AA210" s="286" t="s">
        <v>21</v>
      </c>
      <c r="AB210" s="378">
        <v>0</v>
      </c>
      <c r="AC210" s="378"/>
      <c r="AD210" s="335"/>
      <c r="AE210" s="335"/>
      <c r="AF210" s="335"/>
      <c r="AG210" s="378">
        <v>33.453511479999996</v>
      </c>
      <c r="AI210" s="378" t="s">
        <v>21</v>
      </c>
      <c r="AJ210" s="378" t="s">
        <v>21</v>
      </c>
      <c r="AL210" s="286"/>
      <c r="AM210" s="286"/>
    </row>
    <row r="211" spans="1:39" s="51" customFormat="1" ht="33.75" hidden="1" x14ac:dyDescent="0.25">
      <c r="A211" s="384" t="s">
        <v>1395</v>
      </c>
      <c r="B211" s="59" t="s">
        <v>86</v>
      </c>
      <c r="C211" s="59"/>
      <c r="D211" s="59">
        <v>1350</v>
      </c>
      <c r="E211" s="60" t="s">
        <v>677</v>
      </c>
      <c r="F211" s="59" t="s">
        <v>3666</v>
      </c>
      <c r="G211" s="61">
        <f>0.1334 / (2.2 * 1.1)</f>
        <v>5.5123966942148751E-2</v>
      </c>
      <c r="H211" s="62">
        <v>63</v>
      </c>
      <c r="I211" s="62">
        <f t="shared" ref="I211:I218" si="17">IF($D211="","",G211*H211)</f>
        <v>3.4728099173553715</v>
      </c>
      <c r="J211" s="62"/>
      <c r="K211" s="62">
        <v>0</v>
      </c>
      <c r="L211" s="62">
        <v>3.4728099173553715</v>
      </c>
      <c r="M211" s="62">
        <v>0</v>
      </c>
      <c r="N211" s="62">
        <v>0</v>
      </c>
      <c r="O211" s="62">
        <v>0</v>
      </c>
      <c r="P211" s="298" t="s">
        <v>89</v>
      </c>
      <c r="Q211" s="60" t="s">
        <v>27</v>
      </c>
      <c r="R211" s="60" t="s">
        <v>174</v>
      </c>
      <c r="S211" s="286" t="str">
        <f t="shared" si="16"/>
        <v/>
      </c>
      <c r="T211" s="286" t="str">
        <f>IF($C211= "", T210, IF(ISNA(VLOOKUP($C211,'ABC-S'!$A$5:$A$271,1,FALSE)), "", VLOOKUP($C211,'ABC-S'!$A$5:$A$271,1,FALSE)))</f>
        <v/>
      </c>
      <c r="W211" s="286" t="s">
        <v>1395</v>
      </c>
      <c r="X211" s="286" t="s">
        <v>21</v>
      </c>
      <c r="Y211" s="286" t="s">
        <v>21</v>
      </c>
      <c r="Z211" s="286" t="s">
        <v>21</v>
      </c>
      <c r="AA211" s="286" t="s">
        <v>21</v>
      </c>
      <c r="AB211" s="378"/>
      <c r="AC211" s="381" t="s">
        <v>21</v>
      </c>
      <c r="AD211" s="378" t="s">
        <v>21</v>
      </c>
      <c r="AE211" s="378" t="s">
        <v>21</v>
      </c>
      <c r="AF211" s="378" t="s">
        <v>21</v>
      </c>
      <c r="AG211" s="378"/>
      <c r="AI211" s="378" t="s">
        <v>21</v>
      </c>
      <c r="AJ211" s="378" t="s">
        <v>21</v>
      </c>
      <c r="AL211" s="286"/>
      <c r="AM211" s="286">
        <v>1350</v>
      </c>
    </row>
    <row r="212" spans="1:39" s="51" customFormat="1" ht="33.75" hidden="1" x14ac:dyDescent="0.25">
      <c r="A212" s="384" t="s">
        <v>1395</v>
      </c>
      <c r="B212" s="59" t="s">
        <v>86</v>
      </c>
      <c r="C212" s="59"/>
      <c r="D212" s="59">
        <v>11615</v>
      </c>
      <c r="E212" s="60" t="s">
        <v>708</v>
      </c>
      <c r="F212" s="59" t="s">
        <v>3665</v>
      </c>
      <c r="G212" s="61">
        <f>0.00133 / 0.01</f>
        <v>0.13300000000000001</v>
      </c>
      <c r="H212" s="62">
        <v>3.48</v>
      </c>
      <c r="I212" s="62">
        <f t="shared" si="17"/>
        <v>0.46284000000000003</v>
      </c>
      <c r="J212" s="62"/>
      <c r="K212" s="62">
        <v>0</v>
      </c>
      <c r="L212" s="62">
        <v>0.46284000000000003</v>
      </c>
      <c r="M212" s="62">
        <v>0</v>
      </c>
      <c r="N212" s="62">
        <v>0</v>
      </c>
      <c r="O212" s="62">
        <v>0</v>
      </c>
      <c r="P212" s="298" t="s">
        <v>89</v>
      </c>
      <c r="Q212" s="60" t="s">
        <v>27</v>
      </c>
      <c r="R212" s="60" t="s">
        <v>174</v>
      </c>
      <c r="S212" s="286" t="str">
        <f t="shared" si="16"/>
        <v/>
      </c>
      <c r="T212" s="286" t="str">
        <f>IF($C212= "", T211, IF(ISNA(VLOOKUP($C212,'ABC-S'!$A$5:$A$271,1,FALSE)), "", VLOOKUP($C212,'ABC-S'!$A$5:$A$271,1,FALSE)))</f>
        <v/>
      </c>
      <c r="W212" s="286" t="s">
        <v>1395</v>
      </c>
      <c r="X212" s="286" t="s">
        <v>21</v>
      </c>
      <c r="Y212" s="286" t="s">
        <v>21</v>
      </c>
      <c r="Z212" s="286" t="s">
        <v>21</v>
      </c>
      <c r="AA212" s="286" t="s">
        <v>21</v>
      </c>
      <c r="AB212" s="378"/>
      <c r="AC212" s="381" t="s">
        <v>21</v>
      </c>
      <c r="AD212" s="378" t="s">
        <v>21</v>
      </c>
      <c r="AE212" s="378" t="s">
        <v>21</v>
      </c>
      <c r="AF212" s="378" t="s">
        <v>21</v>
      </c>
      <c r="AG212" s="378"/>
      <c r="AI212" s="378" t="s">
        <v>21</v>
      </c>
      <c r="AJ212" s="378" t="s">
        <v>21</v>
      </c>
      <c r="AL212" s="286"/>
      <c r="AM212" s="286">
        <v>11615</v>
      </c>
    </row>
    <row r="213" spans="1:39" s="51" customFormat="1" ht="45" hidden="1" x14ac:dyDescent="0.25">
      <c r="A213" s="384" t="s">
        <v>1395</v>
      </c>
      <c r="B213" s="59" t="s">
        <v>87</v>
      </c>
      <c r="C213" s="248"/>
      <c r="D213" s="59">
        <v>100341</v>
      </c>
      <c r="E213" s="60" t="s">
        <v>582</v>
      </c>
      <c r="F213" s="59" t="s">
        <v>51</v>
      </c>
      <c r="G213" s="61">
        <f>15.9 - G214</f>
        <v>12.9</v>
      </c>
      <c r="H213" s="62">
        <v>29.98</v>
      </c>
      <c r="I213" s="62">
        <f t="shared" si="17"/>
        <v>386.74200000000002</v>
      </c>
      <c r="J213" s="62"/>
      <c r="K213" s="62">
        <v>155.57400000000001</v>
      </c>
      <c r="L213" s="62">
        <v>182.27700000000002</v>
      </c>
      <c r="M213" s="62">
        <v>48.891000000000005</v>
      </c>
      <c r="N213" s="62">
        <v>0</v>
      </c>
      <c r="O213" s="62">
        <v>0</v>
      </c>
      <c r="P213" s="298" t="s">
        <v>4160</v>
      </c>
      <c r="Q213" s="60" t="s">
        <v>27</v>
      </c>
      <c r="R213" s="60" t="s">
        <v>174</v>
      </c>
      <c r="S213" s="286" t="str">
        <f t="shared" si="16"/>
        <v/>
      </c>
      <c r="T213" s="286" t="str">
        <f>IF($C213= "", T212, IF(ISNA(VLOOKUP($C213,'ABC-S'!$A$5:$A$271,1,FALSE)), "", VLOOKUP($C213,'ABC-S'!$A$5:$A$271,1,FALSE)))</f>
        <v/>
      </c>
      <c r="W213" s="286" t="s">
        <v>1395</v>
      </c>
      <c r="X213" s="286" t="s">
        <v>21</v>
      </c>
      <c r="Y213" s="286" t="s">
        <v>1513</v>
      </c>
      <c r="Z213" s="335" t="s">
        <v>21</v>
      </c>
      <c r="AA213" s="286" t="s">
        <v>21</v>
      </c>
      <c r="AB213" s="378"/>
      <c r="AC213" s="381">
        <v>100341</v>
      </c>
      <c r="AD213" s="378">
        <v>12.9</v>
      </c>
      <c r="AE213" s="378">
        <v>0.68709999999999993</v>
      </c>
      <c r="AF213" s="378">
        <v>8.8635899999999985</v>
      </c>
      <c r="AG213" s="378"/>
      <c r="AI213" s="378">
        <v>0</v>
      </c>
      <c r="AJ213" s="378">
        <v>0</v>
      </c>
      <c r="AL213" s="286">
        <v>100341</v>
      </c>
      <c r="AM213" s="286"/>
    </row>
    <row r="214" spans="1:39" s="51" customFormat="1" ht="33.75" hidden="1" x14ac:dyDescent="0.25">
      <c r="A214" s="384" t="s">
        <v>1395</v>
      </c>
      <c r="B214" s="59" t="s">
        <v>87</v>
      </c>
      <c r="C214" s="248"/>
      <c r="D214" s="59">
        <v>92522</v>
      </c>
      <c r="E214" s="60" t="s">
        <v>1162</v>
      </c>
      <c r="F214" s="59" t="s">
        <v>51</v>
      </c>
      <c r="G214" s="61">
        <v>3</v>
      </c>
      <c r="H214" s="62">
        <v>25.11</v>
      </c>
      <c r="I214" s="62">
        <f t="shared" si="17"/>
        <v>75.33</v>
      </c>
      <c r="J214" s="62"/>
      <c r="K214" s="62">
        <v>26.099999999999998</v>
      </c>
      <c r="L214" s="62">
        <v>41.849999999999994</v>
      </c>
      <c r="M214" s="62">
        <v>7.38</v>
      </c>
      <c r="N214" s="62">
        <v>0</v>
      </c>
      <c r="O214" s="62">
        <v>1.4210854715202004E-14</v>
      </c>
      <c r="P214" s="298" t="s">
        <v>4160</v>
      </c>
      <c r="Q214" s="60" t="s">
        <v>27</v>
      </c>
      <c r="R214" s="60" t="s">
        <v>174</v>
      </c>
      <c r="S214" s="286" t="str">
        <f t="shared" si="16"/>
        <v/>
      </c>
      <c r="T214" s="286" t="str">
        <f>IF($C214= "", T213, IF(ISNA(VLOOKUP($C214,'ABC-S'!$A$5:$A$271,1,FALSE)), "", VLOOKUP($C214,'ABC-S'!$A$5:$A$271,1,FALSE)))</f>
        <v/>
      </c>
      <c r="W214" s="286" t="s">
        <v>1395</v>
      </c>
      <c r="X214" s="286" t="s">
        <v>21</v>
      </c>
      <c r="Y214" s="286" t="s">
        <v>1513</v>
      </c>
      <c r="Z214" s="335" t="s">
        <v>21</v>
      </c>
      <c r="AA214" s="286" t="s">
        <v>21</v>
      </c>
      <c r="AB214" s="378"/>
      <c r="AC214" s="381">
        <v>92522</v>
      </c>
      <c r="AD214" s="378">
        <v>3</v>
      </c>
      <c r="AE214" s="378">
        <v>0.50824000000000003</v>
      </c>
      <c r="AF214" s="378">
        <v>1.5247200000000001</v>
      </c>
      <c r="AG214" s="378"/>
      <c r="AI214" s="378">
        <v>0</v>
      </c>
      <c r="AJ214" s="378">
        <v>0</v>
      </c>
      <c r="AL214" s="286">
        <v>92522</v>
      </c>
      <c r="AM214" s="286"/>
    </row>
    <row r="215" spans="1:39" s="51" customFormat="1" ht="33.75" hidden="1" x14ac:dyDescent="0.25">
      <c r="A215" s="384" t="s">
        <v>1395</v>
      </c>
      <c r="B215" s="59" t="s">
        <v>87</v>
      </c>
      <c r="C215" s="248"/>
      <c r="D215" s="59">
        <v>100342</v>
      </c>
      <c r="E215" s="60" t="s">
        <v>501</v>
      </c>
      <c r="F215" s="59" t="s">
        <v>54</v>
      </c>
      <c r="G215" s="61">
        <f>46.354 + (14 * (0.22 * 5) * 0.164)</f>
        <v>48.879599999999996</v>
      </c>
      <c r="H215" s="62">
        <v>15.7</v>
      </c>
      <c r="I215" s="62">
        <f t="shared" si="17"/>
        <v>767.40971999999988</v>
      </c>
      <c r="J215" s="62"/>
      <c r="K215" s="62">
        <v>143.70602399999999</v>
      </c>
      <c r="L215" s="62">
        <v>623.70369599999992</v>
      </c>
      <c r="M215" s="62">
        <v>0</v>
      </c>
      <c r="N215" s="62">
        <v>0</v>
      </c>
      <c r="O215" s="62">
        <v>0</v>
      </c>
      <c r="P215" s="298" t="s">
        <v>4160</v>
      </c>
      <c r="Q215" s="60" t="s">
        <v>27</v>
      </c>
      <c r="R215" s="60" t="s">
        <v>174</v>
      </c>
      <c r="S215" s="286" t="str">
        <f t="shared" si="16"/>
        <v/>
      </c>
      <c r="T215" s="286" t="str">
        <f>IF($C215= "", T214, IF(ISNA(VLOOKUP($C215,'ABC-S'!$A$5:$A$271,1,FALSE)), "", VLOOKUP($C215,'ABC-S'!$A$5:$A$271,1,FALSE)))</f>
        <v/>
      </c>
      <c r="W215" s="286" t="s">
        <v>1395</v>
      </c>
      <c r="X215" s="286" t="s">
        <v>21</v>
      </c>
      <c r="Y215" s="286" t="s">
        <v>1513</v>
      </c>
      <c r="Z215" s="335" t="s">
        <v>21</v>
      </c>
      <c r="AA215" s="286" t="s">
        <v>21</v>
      </c>
      <c r="AB215" s="378"/>
      <c r="AC215" s="381">
        <v>100342</v>
      </c>
      <c r="AD215" s="378">
        <v>48.879599999999996</v>
      </c>
      <c r="AE215" s="378">
        <v>0.16930000000000001</v>
      </c>
      <c r="AF215" s="378">
        <v>8.2753162800000002</v>
      </c>
      <c r="AG215" s="378"/>
      <c r="AI215" s="378">
        <v>0</v>
      </c>
      <c r="AJ215" s="378">
        <v>0</v>
      </c>
      <c r="AL215" s="286">
        <v>100342</v>
      </c>
      <c r="AM215" s="286"/>
    </row>
    <row r="216" spans="1:39" s="51" customFormat="1" ht="33.75" hidden="1" x14ac:dyDescent="0.25">
      <c r="A216" s="384" t="s">
        <v>1395</v>
      </c>
      <c r="B216" s="59" t="s">
        <v>87</v>
      </c>
      <c r="C216" s="248"/>
      <c r="D216" s="59">
        <v>100345</v>
      </c>
      <c r="E216" s="60" t="s">
        <v>499</v>
      </c>
      <c r="F216" s="59" t="s">
        <v>54</v>
      </c>
      <c r="G216" s="61">
        <v>109.532</v>
      </c>
      <c r="H216" s="62">
        <v>11.32</v>
      </c>
      <c r="I216" s="62">
        <f t="shared" si="17"/>
        <v>1239.9022399999999</v>
      </c>
      <c r="J216" s="62"/>
      <c r="K216" s="62">
        <v>109.532</v>
      </c>
      <c r="L216" s="62">
        <v>1130.37024</v>
      </c>
      <c r="M216" s="62">
        <v>0</v>
      </c>
      <c r="N216" s="62">
        <v>0</v>
      </c>
      <c r="O216" s="62">
        <v>0</v>
      </c>
      <c r="P216" s="298" t="s">
        <v>4160</v>
      </c>
      <c r="Q216" s="60" t="s">
        <v>27</v>
      </c>
      <c r="R216" s="60" t="s">
        <v>174</v>
      </c>
      <c r="S216" s="286" t="str">
        <f t="shared" si="16"/>
        <v/>
      </c>
      <c r="T216" s="286" t="str">
        <f>IF($C216= "", T215, IF(ISNA(VLOOKUP($C216,'ABC-S'!$A$5:$A$271,1,FALSE)), "", VLOOKUP($C216,'ABC-S'!$A$5:$A$271,1,FALSE)))</f>
        <v/>
      </c>
      <c r="W216" s="286" t="s">
        <v>1395</v>
      </c>
      <c r="X216" s="286" t="s">
        <v>21</v>
      </c>
      <c r="Y216" s="286" t="s">
        <v>1513</v>
      </c>
      <c r="Z216" s="335" t="s">
        <v>21</v>
      </c>
      <c r="AA216" s="286" t="s">
        <v>21</v>
      </c>
      <c r="AB216" s="378"/>
      <c r="AC216" s="381">
        <v>100345</v>
      </c>
      <c r="AD216" s="378">
        <v>109.532</v>
      </c>
      <c r="AE216" s="378">
        <v>5.8000000000000003E-2</v>
      </c>
      <c r="AF216" s="378">
        <v>6.3528560000000001</v>
      </c>
      <c r="AG216" s="378"/>
      <c r="AI216" s="378">
        <v>0</v>
      </c>
      <c r="AJ216" s="378">
        <v>0</v>
      </c>
      <c r="AL216" s="286">
        <v>100345</v>
      </c>
      <c r="AM216" s="286"/>
    </row>
    <row r="217" spans="1:39" s="51" customFormat="1" ht="33.75" hidden="1" x14ac:dyDescent="0.25">
      <c r="A217" s="384" t="s">
        <v>1395</v>
      </c>
      <c r="B217" s="59" t="s">
        <v>87</v>
      </c>
      <c r="C217" s="248"/>
      <c r="D217" s="59">
        <v>100346</v>
      </c>
      <c r="E217" s="60" t="s">
        <v>500</v>
      </c>
      <c r="F217" s="59" t="s">
        <v>54</v>
      </c>
      <c r="G217" s="61">
        <v>18.936</v>
      </c>
      <c r="H217" s="62">
        <v>10.81</v>
      </c>
      <c r="I217" s="62">
        <f t="shared" si="17"/>
        <v>204.69816</v>
      </c>
      <c r="J217" s="62"/>
      <c r="K217" s="62">
        <v>12.11904</v>
      </c>
      <c r="L217" s="62">
        <v>192.57911999999999</v>
      </c>
      <c r="M217" s="62">
        <v>0</v>
      </c>
      <c r="N217" s="62">
        <v>0</v>
      </c>
      <c r="O217" s="62">
        <v>0</v>
      </c>
      <c r="P217" s="298" t="s">
        <v>4160</v>
      </c>
      <c r="Q217" s="60" t="s">
        <v>27</v>
      </c>
      <c r="R217" s="60" t="s">
        <v>174</v>
      </c>
      <c r="S217" s="286" t="str">
        <f t="shared" si="16"/>
        <v/>
      </c>
      <c r="T217" s="286" t="str">
        <f>IF($C217= "", T216, IF(ISNA(VLOOKUP($C217,'ABC-S'!$A$5:$A$271,1,FALSE)), "", VLOOKUP($C217,'ABC-S'!$A$5:$A$271,1,FALSE)))</f>
        <v/>
      </c>
      <c r="W217" s="286" t="s">
        <v>1395</v>
      </c>
      <c r="X217" s="286" t="s">
        <v>21</v>
      </c>
      <c r="Y217" s="286" t="s">
        <v>1513</v>
      </c>
      <c r="Z217" s="335" t="s">
        <v>21</v>
      </c>
      <c r="AA217" s="286" t="s">
        <v>21</v>
      </c>
      <c r="AB217" s="378"/>
      <c r="AC217" s="381">
        <v>100346</v>
      </c>
      <c r="AD217" s="378">
        <v>18.936</v>
      </c>
      <c r="AE217" s="378">
        <v>3.7200000000000004E-2</v>
      </c>
      <c r="AF217" s="378">
        <v>0.70441920000000002</v>
      </c>
      <c r="AG217" s="378"/>
      <c r="AI217" s="378">
        <v>0</v>
      </c>
      <c r="AJ217" s="378">
        <v>0</v>
      </c>
      <c r="AL217" s="286">
        <v>100346</v>
      </c>
      <c r="AM217" s="286"/>
    </row>
    <row r="218" spans="1:39" s="51" customFormat="1" ht="56.25" hidden="1" x14ac:dyDescent="0.25">
      <c r="A218" s="384" t="s">
        <v>1395</v>
      </c>
      <c r="B218" s="59" t="s">
        <v>87</v>
      </c>
      <c r="C218" s="248"/>
      <c r="D218" s="59">
        <v>92725</v>
      </c>
      <c r="E218" s="60" t="s">
        <v>543</v>
      </c>
      <c r="F218" s="59" t="s">
        <v>44</v>
      </c>
      <c r="G218" s="61">
        <v>3.3</v>
      </c>
      <c r="H218" s="62">
        <v>381.93</v>
      </c>
      <c r="I218" s="62">
        <f t="shared" si="17"/>
        <v>1260.3689999999999</v>
      </c>
      <c r="J218" s="62"/>
      <c r="K218" s="62">
        <v>62.930999999999997</v>
      </c>
      <c r="L218" s="62">
        <v>1197.0419999999999</v>
      </c>
      <c r="M218" s="62">
        <v>0.26400000000000001</v>
      </c>
      <c r="N218" s="62">
        <v>0</v>
      </c>
      <c r="O218" s="62">
        <v>0.13200000000006185</v>
      </c>
      <c r="P218" s="298" t="s">
        <v>4160</v>
      </c>
      <c r="Q218" s="60" t="s">
        <v>27</v>
      </c>
      <c r="R218" s="60" t="s">
        <v>174</v>
      </c>
      <c r="S218" s="286" t="str">
        <f t="shared" si="16"/>
        <v/>
      </c>
      <c r="T218" s="286" t="str">
        <f>IF($C218= "", T217, IF(ISNA(VLOOKUP($C218,'ABC-S'!$A$5:$A$271,1,FALSE)), "", VLOOKUP($C218,'ABC-S'!$A$5:$A$271,1,FALSE)))</f>
        <v/>
      </c>
      <c r="W218" s="286" t="s">
        <v>1395</v>
      </c>
      <c r="X218" s="286" t="s">
        <v>21</v>
      </c>
      <c r="Y218" s="286" t="s">
        <v>1513</v>
      </c>
      <c r="Z218" s="335" t="s">
        <v>21</v>
      </c>
      <c r="AA218" s="286" t="s">
        <v>21</v>
      </c>
      <c r="AB218" s="378"/>
      <c r="AC218" s="381">
        <v>92725</v>
      </c>
      <c r="AD218" s="378">
        <v>3.3</v>
      </c>
      <c r="AE218" s="378">
        <v>1.2969999999999999</v>
      </c>
      <c r="AF218" s="378">
        <v>4.2800999999999991</v>
      </c>
      <c r="AG218" s="378"/>
      <c r="AI218" s="378">
        <v>0</v>
      </c>
      <c r="AJ218" s="378">
        <v>0</v>
      </c>
      <c r="AL218" s="286">
        <v>92725</v>
      </c>
      <c r="AM218" s="286"/>
    </row>
    <row r="219" spans="1:39" s="51" customFormat="1" ht="33.75" hidden="1" x14ac:dyDescent="0.25">
      <c r="A219" s="384" t="s">
        <v>1395</v>
      </c>
      <c r="B219" s="59" t="s">
        <v>87</v>
      </c>
      <c r="C219" s="59"/>
      <c r="D219" s="59">
        <v>98682</v>
      </c>
      <c r="E219" s="60" t="s">
        <v>1165</v>
      </c>
      <c r="F219" s="59" t="s">
        <v>51</v>
      </c>
      <c r="G219" s="61">
        <f>(0.15 / 0.03)</f>
        <v>5</v>
      </c>
      <c r="H219" s="62">
        <v>34.44</v>
      </c>
      <c r="I219" s="62">
        <f>IF($D219="","",G219*H219)</f>
        <v>172.2</v>
      </c>
      <c r="J219" s="62"/>
      <c r="K219" s="62">
        <v>51.3</v>
      </c>
      <c r="L219" s="62">
        <v>120.5</v>
      </c>
      <c r="M219" s="62">
        <v>0.25</v>
      </c>
      <c r="N219" s="62">
        <v>0</v>
      </c>
      <c r="O219" s="62">
        <v>0.14999999999997726</v>
      </c>
      <c r="P219" s="298" t="s">
        <v>4160</v>
      </c>
      <c r="Q219" s="60" t="s">
        <v>27</v>
      </c>
      <c r="R219" s="60" t="s">
        <v>174</v>
      </c>
      <c r="S219" s="286" t="str">
        <f t="shared" si="16"/>
        <v/>
      </c>
      <c r="T219" s="286" t="str">
        <f>IF($C219= "", T218, IF(ISNA(VLOOKUP($C219,'ABC-S'!$A$5:$A$271,1,FALSE)), "", VLOOKUP($C219,'ABC-S'!$A$5:$A$271,1,FALSE)))</f>
        <v/>
      </c>
      <c r="W219" s="286" t="s">
        <v>1395</v>
      </c>
      <c r="X219" s="286" t="s">
        <v>21</v>
      </c>
      <c r="Y219" s="286" t="s">
        <v>1513</v>
      </c>
      <c r="Z219" s="335" t="s">
        <v>21</v>
      </c>
      <c r="AA219" s="286" t="s">
        <v>21</v>
      </c>
      <c r="AB219" s="378"/>
      <c r="AC219" s="381">
        <v>98682</v>
      </c>
      <c r="AD219" s="378">
        <v>5</v>
      </c>
      <c r="AE219" s="378">
        <v>0.69050199999999995</v>
      </c>
      <c r="AF219" s="378">
        <v>3.4525099999999997</v>
      </c>
      <c r="AG219" s="378"/>
      <c r="AI219" s="378">
        <v>4.3099999999999999E-2</v>
      </c>
      <c r="AJ219" s="378">
        <v>0.2155</v>
      </c>
      <c r="AL219" s="286">
        <v>98682</v>
      </c>
      <c r="AM219" s="286"/>
    </row>
    <row r="220" spans="1:39" s="51" customFormat="1" ht="33.75" hidden="1" x14ac:dyDescent="0.25">
      <c r="A220" s="384" t="s">
        <v>1395</v>
      </c>
      <c r="B220" s="59" t="s">
        <v>87</v>
      </c>
      <c r="C220" s="248"/>
      <c r="D220" s="59">
        <v>96620</v>
      </c>
      <c r="E220" s="60" t="s">
        <v>1308</v>
      </c>
      <c r="F220" s="59" t="s">
        <v>44</v>
      </c>
      <c r="G220" s="61">
        <v>0</v>
      </c>
      <c r="H220" s="62">
        <v>525.14</v>
      </c>
      <c r="I220" s="62">
        <f>IF($D220="","",G220*H220)</f>
        <v>0</v>
      </c>
      <c r="J220" s="62"/>
      <c r="K220" s="62">
        <v>0</v>
      </c>
      <c r="L220" s="62">
        <v>0</v>
      </c>
      <c r="M220" s="62">
        <v>0</v>
      </c>
      <c r="N220" s="62">
        <v>0</v>
      </c>
      <c r="O220" s="62">
        <v>0</v>
      </c>
      <c r="P220" s="298" t="s">
        <v>4160</v>
      </c>
      <c r="Q220" s="60" t="s">
        <v>27</v>
      </c>
      <c r="R220" s="60" t="s">
        <v>1398</v>
      </c>
      <c r="S220" s="286" t="str">
        <f t="shared" si="16"/>
        <v/>
      </c>
      <c r="T220" s="286" t="str">
        <f>IF($C220= "", T219, IF(ISNA(VLOOKUP($C220,'ABC-S'!$A$5:$A$271,1,FALSE)), "", VLOOKUP($C220,'ABC-S'!$A$5:$A$271,1,FALSE)))</f>
        <v/>
      </c>
      <c r="W220" s="286" t="s">
        <v>1395</v>
      </c>
      <c r="X220" s="286" t="s">
        <v>21</v>
      </c>
      <c r="Y220" s="286" t="s">
        <v>1513</v>
      </c>
      <c r="Z220" s="335" t="s">
        <v>21</v>
      </c>
      <c r="AA220" s="286" t="s">
        <v>21</v>
      </c>
      <c r="AB220" s="378"/>
      <c r="AC220" s="381">
        <v>96620</v>
      </c>
      <c r="AD220" s="378">
        <v>0</v>
      </c>
      <c r="AE220" s="378">
        <v>10.804148999999999</v>
      </c>
      <c r="AF220" s="378">
        <v>0</v>
      </c>
      <c r="AG220" s="378"/>
      <c r="AI220" s="378">
        <v>1.1299999999999999</v>
      </c>
      <c r="AJ220" s="378">
        <v>0</v>
      </c>
      <c r="AL220" s="286">
        <v>96620</v>
      </c>
      <c r="AM220" s="286"/>
    </row>
    <row r="221" spans="1:39" s="51" customFormat="1" ht="33.75" hidden="1" x14ac:dyDescent="0.25">
      <c r="A221" s="55" t="s">
        <v>1497</v>
      </c>
      <c r="B221" s="55" t="s">
        <v>138</v>
      </c>
      <c r="C221" s="55" t="s">
        <v>1497</v>
      </c>
      <c r="D221" s="55"/>
      <c r="E221" s="56" t="s">
        <v>1498</v>
      </c>
      <c r="F221" s="55" t="s">
        <v>22</v>
      </c>
      <c r="G221" s="57"/>
      <c r="H221" s="58"/>
      <c r="I221" s="58"/>
      <c r="J221" s="58">
        <f>SUM(I221:I231)</f>
        <v>6537.5029738842968</v>
      </c>
      <c r="K221" s="58">
        <v>933.72016799999994</v>
      </c>
      <c r="L221" s="58">
        <v>5518.6904058842974</v>
      </c>
      <c r="M221" s="58">
        <v>84.607600000000005</v>
      </c>
      <c r="N221" s="58">
        <v>0</v>
      </c>
      <c r="O221" s="58">
        <v>0.48480000000020596</v>
      </c>
      <c r="P221" s="58"/>
      <c r="Q221" s="56"/>
      <c r="R221" s="56" t="s">
        <v>1499</v>
      </c>
      <c r="S221" s="286" t="str">
        <f t="shared" si="16"/>
        <v/>
      </c>
      <c r="T221" s="286" t="str">
        <f>IF($C221= "", T220, IF(ISNA(VLOOKUP($C221,'ABC-S'!$A$5:$A$271,1,FALSE)), "", VLOOKUP($C221,'ABC-S'!$A$5:$A$271,1,FALSE)))</f>
        <v/>
      </c>
      <c r="W221" s="286" t="s">
        <v>1497</v>
      </c>
      <c r="X221" s="286"/>
      <c r="Y221" s="286"/>
      <c r="Z221" s="286"/>
      <c r="AA221" s="286" t="s">
        <v>21</v>
      </c>
      <c r="AB221" s="378">
        <v>0</v>
      </c>
      <c r="AC221" s="378"/>
      <c r="AD221" s="335"/>
      <c r="AE221" s="335"/>
      <c r="AF221" s="335"/>
      <c r="AG221" s="378">
        <v>55.754850159999997</v>
      </c>
      <c r="AI221" s="378" t="s">
        <v>21</v>
      </c>
      <c r="AJ221" s="378" t="s">
        <v>21</v>
      </c>
      <c r="AL221" s="286"/>
      <c r="AM221" s="286"/>
    </row>
    <row r="222" spans="1:39" s="51" customFormat="1" ht="33.75" hidden="1" x14ac:dyDescent="0.25">
      <c r="A222" s="384" t="s">
        <v>1497</v>
      </c>
      <c r="B222" s="59" t="s">
        <v>86</v>
      </c>
      <c r="C222" s="59"/>
      <c r="D222" s="59">
        <v>1350</v>
      </c>
      <c r="E222" s="60" t="s">
        <v>677</v>
      </c>
      <c r="F222" s="59" t="s">
        <v>3666</v>
      </c>
      <c r="G222" s="61">
        <f>0.18676 / (2.2 * 1.1)</f>
        <v>7.7173553719008262E-2</v>
      </c>
      <c r="H222" s="62">
        <v>63</v>
      </c>
      <c r="I222" s="62">
        <f t="shared" ref="I222:I229" si="18">IF($D222="","",G222*H222)</f>
        <v>4.8619338842975202</v>
      </c>
      <c r="J222" s="62"/>
      <c r="K222" s="62">
        <v>0</v>
      </c>
      <c r="L222" s="62">
        <v>4.8619338842975202</v>
      </c>
      <c r="M222" s="62">
        <v>0</v>
      </c>
      <c r="N222" s="62">
        <v>0</v>
      </c>
      <c r="O222" s="62">
        <v>0</v>
      </c>
      <c r="P222" s="298" t="s">
        <v>89</v>
      </c>
      <c r="Q222" s="60" t="s">
        <v>27</v>
      </c>
      <c r="R222" s="60" t="s">
        <v>174</v>
      </c>
      <c r="S222" s="286" t="str">
        <f t="shared" si="16"/>
        <v/>
      </c>
      <c r="T222" s="286" t="str">
        <f>IF($C222= "", T221, IF(ISNA(VLOOKUP($C222,'ABC-S'!$A$5:$A$271,1,FALSE)), "", VLOOKUP($C222,'ABC-S'!$A$5:$A$271,1,FALSE)))</f>
        <v/>
      </c>
      <c r="W222" s="286" t="s">
        <v>1497</v>
      </c>
      <c r="X222" s="286" t="s">
        <v>21</v>
      </c>
      <c r="Y222" s="286" t="s">
        <v>21</v>
      </c>
      <c r="Z222" s="286" t="s">
        <v>21</v>
      </c>
      <c r="AA222" s="286" t="s">
        <v>21</v>
      </c>
      <c r="AB222" s="378"/>
      <c r="AC222" s="381" t="s">
        <v>21</v>
      </c>
      <c r="AD222" s="378" t="s">
        <v>21</v>
      </c>
      <c r="AE222" s="378" t="s">
        <v>21</v>
      </c>
      <c r="AF222" s="378" t="s">
        <v>21</v>
      </c>
      <c r="AG222" s="378"/>
      <c r="AI222" s="378" t="s">
        <v>21</v>
      </c>
      <c r="AJ222" s="378" t="s">
        <v>21</v>
      </c>
      <c r="AL222" s="286"/>
      <c r="AM222" s="286">
        <v>1350</v>
      </c>
    </row>
    <row r="223" spans="1:39" s="51" customFormat="1" ht="33.75" hidden="1" x14ac:dyDescent="0.25">
      <c r="A223" s="384" t="s">
        <v>1497</v>
      </c>
      <c r="B223" s="59" t="s">
        <v>86</v>
      </c>
      <c r="C223" s="59"/>
      <c r="D223" s="59">
        <v>11615</v>
      </c>
      <c r="E223" s="60" t="s">
        <v>708</v>
      </c>
      <c r="F223" s="59" t="s">
        <v>3665</v>
      </c>
      <c r="G223" s="61">
        <f>0.00187 / 0.01</f>
        <v>0.187</v>
      </c>
      <c r="H223" s="62">
        <v>3.48</v>
      </c>
      <c r="I223" s="62">
        <f t="shared" si="18"/>
        <v>0.65076000000000001</v>
      </c>
      <c r="J223" s="62"/>
      <c r="K223" s="62">
        <v>0</v>
      </c>
      <c r="L223" s="62">
        <v>0.65076000000000001</v>
      </c>
      <c r="M223" s="62">
        <v>0</v>
      </c>
      <c r="N223" s="62">
        <v>0</v>
      </c>
      <c r="O223" s="62">
        <v>0</v>
      </c>
      <c r="P223" s="298" t="s">
        <v>89</v>
      </c>
      <c r="Q223" s="60" t="s">
        <v>27</v>
      </c>
      <c r="R223" s="60" t="s">
        <v>174</v>
      </c>
      <c r="S223" s="286" t="str">
        <f t="shared" si="16"/>
        <v/>
      </c>
      <c r="T223" s="286" t="str">
        <f>IF($C223= "", T222, IF(ISNA(VLOOKUP($C223,'ABC-S'!$A$5:$A$271,1,FALSE)), "", VLOOKUP($C223,'ABC-S'!$A$5:$A$271,1,FALSE)))</f>
        <v/>
      </c>
      <c r="W223" s="286" t="s">
        <v>1497</v>
      </c>
      <c r="X223" s="286" t="s">
        <v>21</v>
      </c>
      <c r="Y223" s="286" t="s">
        <v>21</v>
      </c>
      <c r="Z223" s="286" t="s">
        <v>21</v>
      </c>
      <c r="AA223" s="286" t="s">
        <v>21</v>
      </c>
      <c r="AB223" s="378"/>
      <c r="AC223" s="381" t="s">
        <v>21</v>
      </c>
      <c r="AD223" s="378" t="s">
        <v>21</v>
      </c>
      <c r="AE223" s="378" t="s">
        <v>21</v>
      </c>
      <c r="AF223" s="378" t="s">
        <v>21</v>
      </c>
      <c r="AG223" s="378"/>
      <c r="AI223" s="378" t="s">
        <v>21</v>
      </c>
      <c r="AJ223" s="378" t="s">
        <v>21</v>
      </c>
      <c r="AL223" s="286"/>
      <c r="AM223" s="286">
        <v>11615</v>
      </c>
    </row>
    <row r="224" spans="1:39" s="51" customFormat="1" ht="45" hidden="1" x14ac:dyDescent="0.25">
      <c r="A224" s="384" t="s">
        <v>1497</v>
      </c>
      <c r="B224" s="59" t="s">
        <v>87</v>
      </c>
      <c r="C224" s="248"/>
      <c r="D224" s="59">
        <v>100341</v>
      </c>
      <c r="E224" s="60" t="s">
        <v>582</v>
      </c>
      <c r="F224" s="59" t="s">
        <v>51</v>
      </c>
      <c r="G224" s="61">
        <f>24.2 - G225</f>
        <v>18.2</v>
      </c>
      <c r="H224" s="62">
        <v>29.98</v>
      </c>
      <c r="I224" s="62">
        <f t="shared" si="18"/>
        <v>545.63599999999997</v>
      </c>
      <c r="J224" s="62"/>
      <c r="K224" s="62">
        <v>219.49199999999999</v>
      </c>
      <c r="L224" s="62">
        <v>257.166</v>
      </c>
      <c r="M224" s="62">
        <v>68.977999999999994</v>
      </c>
      <c r="N224" s="62">
        <v>0</v>
      </c>
      <c r="O224" s="62">
        <v>0</v>
      </c>
      <c r="P224" s="298" t="s">
        <v>4160</v>
      </c>
      <c r="Q224" s="60" t="s">
        <v>27</v>
      </c>
      <c r="R224" s="60" t="s">
        <v>174</v>
      </c>
      <c r="S224" s="286" t="str">
        <f t="shared" si="16"/>
        <v/>
      </c>
      <c r="T224" s="286" t="str">
        <f>IF($C224= "", T223, IF(ISNA(VLOOKUP($C224,'ABC-S'!$A$5:$A$271,1,FALSE)), "", VLOOKUP($C224,'ABC-S'!$A$5:$A$271,1,FALSE)))</f>
        <v/>
      </c>
      <c r="W224" s="286" t="s">
        <v>1497</v>
      </c>
      <c r="X224" s="286" t="s">
        <v>21</v>
      </c>
      <c r="Y224" s="286" t="s">
        <v>1513</v>
      </c>
      <c r="Z224" s="335" t="s">
        <v>21</v>
      </c>
      <c r="AA224" s="286" t="s">
        <v>21</v>
      </c>
      <c r="AB224" s="378"/>
      <c r="AC224" s="381">
        <v>100341</v>
      </c>
      <c r="AD224" s="378">
        <v>18.2</v>
      </c>
      <c r="AE224" s="378">
        <v>0.68709999999999993</v>
      </c>
      <c r="AF224" s="378">
        <v>12.505219999999998</v>
      </c>
      <c r="AG224" s="378"/>
      <c r="AI224" s="378">
        <v>0</v>
      </c>
      <c r="AJ224" s="378">
        <v>0</v>
      </c>
      <c r="AL224" s="286">
        <v>100341</v>
      </c>
      <c r="AM224" s="286"/>
    </row>
    <row r="225" spans="1:39" s="51" customFormat="1" ht="33.75" hidden="1" x14ac:dyDescent="0.25">
      <c r="A225" s="384" t="s">
        <v>1497</v>
      </c>
      <c r="B225" s="59" t="s">
        <v>87</v>
      </c>
      <c r="C225" s="248"/>
      <c r="D225" s="59">
        <v>92522</v>
      </c>
      <c r="E225" s="60" t="s">
        <v>1162</v>
      </c>
      <c r="F225" s="59" t="s">
        <v>51</v>
      </c>
      <c r="G225" s="61">
        <v>6</v>
      </c>
      <c r="H225" s="62">
        <v>25.11</v>
      </c>
      <c r="I225" s="62">
        <f t="shared" si="18"/>
        <v>150.66</v>
      </c>
      <c r="J225" s="62"/>
      <c r="K225" s="62">
        <v>52.199999999999996</v>
      </c>
      <c r="L225" s="62">
        <v>83.699999999999989</v>
      </c>
      <c r="M225" s="62">
        <v>14.76</v>
      </c>
      <c r="N225" s="62">
        <v>0</v>
      </c>
      <c r="O225" s="62">
        <v>2.8421709430404007E-14</v>
      </c>
      <c r="P225" s="298" t="s">
        <v>4160</v>
      </c>
      <c r="Q225" s="60" t="s">
        <v>27</v>
      </c>
      <c r="R225" s="60" t="s">
        <v>174</v>
      </c>
      <c r="S225" s="286" t="str">
        <f t="shared" si="16"/>
        <v/>
      </c>
      <c r="T225" s="286" t="str">
        <f>IF($C225= "", T224, IF(ISNA(VLOOKUP($C225,'ABC-S'!$A$5:$A$271,1,FALSE)), "", VLOOKUP($C225,'ABC-S'!$A$5:$A$271,1,FALSE)))</f>
        <v/>
      </c>
      <c r="W225" s="286" t="s">
        <v>1497</v>
      </c>
      <c r="X225" s="286" t="s">
        <v>21</v>
      </c>
      <c r="Y225" s="286" t="s">
        <v>1513</v>
      </c>
      <c r="Z225" s="335" t="s">
        <v>21</v>
      </c>
      <c r="AA225" s="286" t="s">
        <v>21</v>
      </c>
      <c r="AB225" s="378"/>
      <c r="AC225" s="381">
        <v>92522</v>
      </c>
      <c r="AD225" s="378">
        <v>6</v>
      </c>
      <c r="AE225" s="378">
        <v>0.50824000000000003</v>
      </c>
      <c r="AF225" s="378">
        <v>3.0494400000000002</v>
      </c>
      <c r="AG225" s="378"/>
      <c r="AI225" s="378">
        <v>0</v>
      </c>
      <c r="AJ225" s="378">
        <v>0</v>
      </c>
      <c r="AL225" s="286">
        <v>92522</v>
      </c>
      <c r="AM225" s="286"/>
    </row>
    <row r="226" spans="1:39" s="51" customFormat="1" ht="33.75" hidden="1" x14ac:dyDescent="0.25">
      <c r="A226" s="384" t="s">
        <v>1497</v>
      </c>
      <c r="B226" s="59" t="s">
        <v>87</v>
      </c>
      <c r="C226" s="248"/>
      <c r="D226" s="59">
        <v>100342</v>
      </c>
      <c r="E226" s="60" t="s">
        <v>501</v>
      </c>
      <c r="F226" s="59" t="s">
        <v>54</v>
      </c>
      <c r="G226" s="61">
        <f>57.82 + (28 * (0.22 * 5) * 0.164)</f>
        <v>62.871200000000002</v>
      </c>
      <c r="H226" s="62">
        <v>15.7</v>
      </c>
      <c r="I226" s="62">
        <f t="shared" si="18"/>
        <v>987.07784000000004</v>
      </c>
      <c r="J226" s="62"/>
      <c r="K226" s="62">
        <v>184.841328</v>
      </c>
      <c r="L226" s="62">
        <v>802.23651200000006</v>
      </c>
      <c r="M226" s="62">
        <v>0</v>
      </c>
      <c r="N226" s="62">
        <v>0</v>
      </c>
      <c r="O226" s="62">
        <v>0</v>
      </c>
      <c r="P226" s="298" t="s">
        <v>4160</v>
      </c>
      <c r="Q226" s="60" t="s">
        <v>27</v>
      </c>
      <c r="R226" s="60" t="s">
        <v>174</v>
      </c>
      <c r="S226" s="286" t="str">
        <f t="shared" si="16"/>
        <v/>
      </c>
      <c r="T226" s="286" t="str">
        <f>IF($C226= "", T225, IF(ISNA(VLOOKUP($C226,'ABC-S'!$A$5:$A$271,1,FALSE)), "", VLOOKUP($C226,'ABC-S'!$A$5:$A$271,1,FALSE)))</f>
        <v/>
      </c>
      <c r="W226" s="286" t="s">
        <v>1497</v>
      </c>
      <c r="X226" s="286" t="s">
        <v>21</v>
      </c>
      <c r="Y226" s="286" t="s">
        <v>1513</v>
      </c>
      <c r="Z226" s="335" t="s">
        <v>21</v>
      </c>
      <c r="AA226" s="286" t="s">
        <v>21</v>
      </c>
      <c r="AB226" s="378"/>
      <c r="AC226" s="381">
        <v>100342</v>
      </c>
      <c r="AD226" s="378">
        <v>62.871200000000002</v>
      </c>
      <c r="AE226" s="378">
        <v>0.16930000000000001</v>
      </c>
      <c r="AF226" s="378">
        <v>10.64409416</v>
      </c>
      <c r="AG226" s="378"/>
      <c r="AI226" s="378">
        <v>0</v>
      </c>
      <c r="AJ226" s="378">
        <v>0</v>
      </c>
      <c r="AL226" s="286">
        <v>100342</v>
      </c>
      <c r="AM226" s="286"/>
    </row>
    <row r="227" spans="1:39" s="51" customFormat="1" ht="33.75" hidden="1" x14ac:dyDescent="0.25">
      <c r="A227" s="384" t="s">
        <v>1497</v>
      </c>
      <c r="B227" s="59" t="s">
        <v>87</v>
      </c>
      <c r="C227" s="248"/>
      <c r="D227" s="59">
        <v>100344</v>
      </c>
      <c r="E227" s="60" t="s">
        <v>498</v>
      </c>
      <c r="F227" s="59" t="s">
        <v>54</v>
      </c>
      <c r="G227" s="61">
        <v>194.98400000000001</v>
      </c>
      <c r="H227" s="62">
        <v>13.38</v>
      </c>
      <c r="I227" s="62">
        <f t="shared" si="18"/>
        <v>2608.8859200000002</v>
      </c>
      <c r="J227" s="62"/>
      <c r="K227" s="62">
        <v>274.92743999999999</v>
      </c>
      <c r="L227" s="62">
        <v>2333.9584800000002</v>
      </c>
      <c r="M227" s="62">
        <v>0</v>
      </c>
      <c r="N227" s="62">
        <v>0</v>
      </c>
      <c r="O227" s="62">
        <v>0</v>
      </c>
      <c r="P227" s="298" t="s">
        <v>4160</v>
      </c>
      <c r="Q227" s="60" t="s">
        <v>27</v>
      </c>
      <c r="R227" s="60" t="s">
        <v>174</v>
      </c>
      <c r="S227" s="286" t="str">
        <f t="shared" si="16"/>
        <v/>
      </c>
      <c r="T227" s="286" t="str">
        <f>IF($C227= "", T226, IF(ISNA(VLOOKUP($C227,'ABC-S'!$A$5:$A$271,1,FALSE)), "", VLOOKUP($C227,'ABC-S'!$A$5:$A$271,1,FALSE)))</f>
        <v/>
      </c>
      <c r="W227" s="286" t="s">
        <v>1497</v>
      </c>
      <c r="X227" s="286" t="s">
        <v>21</v>
      </c>
      <c r="Y227" s="286" t="s">
        <v>1513</v>
      </c>
      <c r="Z227" s="335" t="s">
        <v>21</v>
      </c>
      <c r="AA227" s="286" t="s">
        <v>21</v>
      </c>
      <c r="AB227" s="378"/>
      <c r="AC227" s="381">
        <v>100344</v>
      </c>
      <c r="AD227" s="378">
        <v>194.98400000000001</v>
      </c>
      <c r="AE227" s="378">
        <v>8.199999999999999E-2</v>
      </c>
      <c r="AF227" s="378">
        <v>15.988687999999998</v>
      </c>
      <c r="AG227" s="378"/>
      <c r="AI227" s="378">
        <v>0</v>
      </c>
      <c r="AJ227" s="378">
        <v>0</v>
      </c>
      <c r="AL227" s="286">
        <v>100344</v>
      </c>
      <c r="AM227" s="286"/>
    </row>
    <row r="228" spans="1:39" s="51" customFormat="1" ht="33.75" hidden="1" x14ac:dyDescent="0.25">
      <c r="A228" s="384" t="s">
        <v>1497</v>
      </c>
      <c r="B228" s="59" t="s">
        <v>87</v>
      </c>
      <c r="C228" s="248"/>
      <c r="D228" s="59">
        <v>100345</v>
      </c>
      <c r="E228" s="60" t="s">
        <v>499</v>
      </c>
      <c r="F228" s="59" t="s">
        <v>54</v>
      </c>
      <c r="G228" s="61">
        <v>11.555999999999999</v>
      </c>
      <c r="H228" s="62">
        <v>11.32</v>
      </c>
      <c r="I228" s="62">
        <f t="shared" si="18"/>
        <v>130.81392</v>
      </c>
      <c r="J228" s="62"/>
      <c r="K228" s="62">
        <v>11.555999999999999</v>
      </c>
      <c r="L228" s="62">
        <v>119.25792</v>
      </c>
      <c r="M228" s="62">
        <v>0</v>
      </c>
      <c r="N228" s="62">
        <v>0</v>
      </c>
      <c r="O228" s="62">
        <v>0</v>
      </c>
      <c r="P228" s="298" t="s">
        <v>4160</v>
      </c>
      <c r="Q228" s="60" t="s">
        <v>27</v>
      </c>
      <c r="R228" s="60" t="s">
        <v>174</v>
      </c>
      <c r="S228" s="286" t="str">
        <f t="shared" si="16"/>
        <v/>
      </c>
      <c r="T228" s="286" t="str">
        <f>IF($C228= "", T227, IF(ISNA(VLOOKUP($C228,'ABC-S'!$A$5:$A$271,1,FALSE)), "", VLOOKUP($C228,'ABC-S'!$A$5:$A$271,1,FALSE)))</f>
        <v/>
      </c>
      <c r="W228" s="286" t="s">
        <v>1497</v>
      </c>
      <c r="X228" s="286" t="s">
        <v>21</v>
      </c>
      <c r="Y228" s="286" t="s">
        <v>1513</v>
      </c>
      <c r="Z228" s="335" t="s">
        <v>21</v>
      </c>
      <c r="AA228" s="286" t="s">
        <v>21</v>
      </c>
      <c r="AB228" s="378"/>
      <c r="AC228" s="381">
        <v>100345</v>
      </c>
      <c r="AD228" s="378">
        <v>11.555999999999999</v>
      </c>
      <c r="AE228" s="378">
        <v>5.8000000000000003E-2</v>
      </c>
      <c r="AF228" s="378">
        <v>0.67024799999999995</v>
      </c>
      <c r="AG228" s="378"/>
      <c r="AI228" s="378">
        <v>0</v>
      </c>
      <c r="AJ228" s="378">
        <v>0</v>
      </c>
      <c r="AL228" s="286">
        <v>100345</v>
      </c>
      <c r="AM228" s="286"/>
    </row>
    <row r="229" spans="1:39" s="51" customFormat="1" ht="56.25" hidden="1" x14ac:dyDescent="0.25">
      <c r="A229" s="384" t="s">
        <v>1497</v>
      </c>
      <c r="B229" s="59" t="s">
        <v>87</v>
      </c>
      <c r="C229" s="248"/>
      <c r="D229" s="59">
        <v>92725</v>
      </c>
      <c r="E229" s="60" t="s">
        <v>543</v>
      </c>
      <c r="F229" s="59" t="s">
        <v>44</v>
      </c>
      <c r="G229" s="61">
        <v>4.62</v>
      </c>
      <c r="H229" s="62">
        <v>381.93</v>
      </c>
      <c r="I229" s="62">
        <f t="shared" si="18"/>
        <v>1764.5166000000002</v>
      </c>
      <c r="J229" s="62"/>
      <c r="K229" s="62">
        <v>88.103400000000008</v>
      </c>
      <c r="L229" s="62">
        <v>1675.8588</v>
      </c>
      <c r="M229" s="62">
        <v>0.36960000000000004</v>
      </c>
      <c r="N229" s="62">
        <v>0</v>
      </c>
      <c r="O229" s="62">
        <v>0.18480000000022301</v>
      </c>
      <c r="P229" s="298" t="s">
        <v>4160</v>
      </c>
      <c r="Q229" s="60" t="s">
        <v>27</v>
      </c>
      <c r="R229" s="60" t="s">
        <v>174</v>
      </c>
      <c r="S229" s="286" t="str">
        <f t="shared" si="16"/>
        <v/>
      </c>
      <c r="T229" s="286" t="str">
        <f>IF($C229= "", T228, IF(ISNA(VLOOKUP($C229,'ABC-S'!$A$5:$A$271,1,FALSE)), "", VLOOKUP($C229,'ABC-S'!$A$5:$A$271,1,FALSE)))</f>
        <v/>
      </c>
      <c r="W229" s="286" t="s">
        <v>1497</v>
      </c>
      <c r="X229" s="286" t="s">
        <v>21</v>
      </c>
      <c r="Y229" s="286" t="s">
        <v>1513</v>
      </c>
      <c r="Z229" s="335" t="s">
        <v>21</v>
      </c>
      <c r="AA229" s="286" t="s">
        <v>21</v>
      </c>
      <c r="AB229" s="378"/>
      <c r="AC229" s="381">
        <v>92725</v>
      </c>
      <c r="AD229" s="378">
        <v>4.62</v>
      </c>
      <c r="AE229" s="378">
        <v>1.2969999999999999</v>
      </c>
      <c r="AF229" s="378">
        <v>5.99214</v>
      </c>
      <c r="AG229" s="378"/>
      <c r="AI229" s="378">
        <v>0</v>
      </c>
      <c r="AJ229" s="378">
        <v>0</v>
      </c>
      <c r="AL229" s="286">
        <v>92725</v>
      </c>
      <c r="AM229" s="286"/>
    </row>
    <row r="230" spans="1:39" s="51" customFormat="1" ht="33.75" hidden="1" x14ac:dyDescent="0.25">
      <c r="A230" s="384" t="s">
        <v>1497</v>
      </c>
      <c r="B230" s="59" t="s">
        <v>87</v>
      </c>
      <c r="C230" s="59"/>
      <c r="D230" s="59">
        <v>98682</v>
      </c>
      <c r="E230" s="60" t="s">
        <v>1165</v>
      </c>
      <c r="F230" s="59" t="s">
        <v>51</v>
      </c>
      <c r="G230" s="61">
        <f>(0.3 / 0.03)</f>
        <v>10</v>
      </c>
      <c r="H230" s="62">
        <v>34.44</v>
      </c>
      <c r="I230" s="62">
        <f>IF($D230="","",G230*H230)</f>
        <v>344.4</v>
      </c>
      <c r="J230" s="62"/>
      <c r="K230" s="62">
        <v>102.6</v>
      </c>
      <c r="L230" s="62">
        <v>241</v>
      </c>
      <c r="M230" s="62">
        <v>0.5</v>
      </c>
      <c r="N230" s="62">
        <v>0</v>
      </c>
      <c r="O230" s="62">
        <v>0.29999999999995453</v>
      </c>
      <c r="P230" s="298" t="s">
        <v>4160</v>
      </c>
      <c r="Q230" s="60" t="s">
        <v>27</v>
      </c>
      <c r="R230" s="60" t="s">
        <v>174</v>
      </c>
      <c r="S230" s="286" t="str">
        <f t="shared" si="16"/>
        <v/>
      </c>
      <c r="T230" s="286" t="str">
        <f>IF($C230= "", T229, IF(ISNA(VLOOKUP($C230,'ABC-S'!$A$5:$A$271,1,FALSE)), "", VLOOKUP($C230,'ABC-S'!$A$5:$A$271,1,FALSE)))</f>
        <v/>
      </c>
      <c r="W230" s="286" t="s">
        <v>1497</v>
      </c>
      <c r="X230" s="286" t="s">
        <v>21</v>
      </c>
      <c r="Y230" s="286" t="s">
        <v>1513</v>
      </c>
      <c r="Z230" s="335" t="s">
        <v>21</v>
      </c>
      <c r="AA230" s="286" t="s">
        <v>21</v>
      </c>
      <c r="AB230" s="378"/>
      <c r="AC230" s="381">
        <v>98682</v>
      </c>
      <c r="AD230" s="378">
        <v>10</v>
      </c>
      <c r="AE230" s="378">
        <v>0.69050199999999995</v>
      </c>
      <c r="AF230" s="378">
        <v>6.9050199999999995</v>
      </c>
      <c r="AG230" s="378"/>
      <c r="AI230" s="378">
        <v>4.3099999999999999E-2</v>
      </c>
      <c r="AJ230" s="378">
        <v>0.43099999999999999</v>
      </c>
      <c r="AL230" s="286">
        <v>98682</v>
      </c>
      <c r="AM230" s="286"/>
    </row>
    <row r="231" spans="1:39" s="51" customFormat="1" ht="33.75" hidden="1" x14ac:dyDescent="0.25">
      <c r="A231" s="384" t="s">
        <v>1497</v>
      </c>
      <c r="B231" s="59" t="s">
        <v>87</v>
      </c>
      <c r="C231" s="248"/>
      <c r="D231" s="59">
        <v>96620</v>
      </c>
      <c r="E231" s="60" t="s">
        <v>1308</v>
      </c>
      <c r="F231" s="59" t="s">
        <v>44</v>
      </c>
      <c r="G231" s="61">
        <v>0</v>
      </c>
      <c r="H231" s="62">
        <v>525.14</v>
      </c>
      <c r="I231" s="62">
        <f>IF($D231="","",G231*H231)</f>
        <v>0</v>
      </c>
      <c r="J231" s="62"/>
      <c r="K231" s="62">
        <v>0</v>
      </c>
      <c r="L231" s="62">
        <v>0</v>
      </c>
      <c r="M231" s="62">
        <v>0</v>
      </c>
      <c r="N231" s="62">
        <v>0</v>
      </c>
      <c r="O231" s="62">
        <v>0</v>
      </c>
      <c r="P231" s="298" t="s">
        <v>4160</v>
      </c>
      <c r="Q231" s="60" t="s">
        <v>27</v>
      </c>
      <c r="R231" s="60" t="s">
        <v>1398</v>
      </c>
      <c r="S231" s="286" t="str">
        <f t="shared" si="16"/>
        <v/>
      </c>
      <c r="T231" s="286" t="str">
        <f>IF($C231= "", T230, IF(ISNA(VLOOKUP($C231,'ABC-S'!$A$5:$A$271,1,FALSE)), "", VLOOKUP($C231,'ABC-S'!$A$5:$A$271,1,FALSE)))</f>
        <v/>
      </c>
      <c r="W231" s="286" t="s">
        <v>1497</v>
      </c>
      <c r="X231" s="286" t="s">
        <v>21</v>
      </c>
      <c r="Y231" s="286" t="s">
        <v>1513</v>
      </c>
      <c r="Z231" s="335" t="s">
        <v>21</v>
      </c>
      <c r="AA231" s="286" t="s">
        <v>21</v>
      </c>
      <c r="AB231" s="378"/>
      <c r="AC231" s="381">
        <v>96620</v>
      </c>
      <c r="AD231" s="378">
        <v>0</v>
      </c>
      <c r="AE231" s="378">
        <v>10.804148999999999</v>
      </c>
      <c r="AF231" s="378">
        <v>0</v>
      </c>
      <c r="AG231" s="378"/>
      <c r="AI231" s="378">
        <v>1.1299999999999999</v>
      </c>
      <c r="AJ231" s="378">
        <v>0</v>
      </c>
      <c r="AL231" s="286">
        <v>96620</v>
      </c>
      <c r="AM231" s="286"/>
    </row>
    <row r="232" spans="1:39" s="51" customFormat="1" ht="33.75" hidden="1" x14ac:dyDescent="0.25">
      <c r="A232" s="55" t="s">
        <v>1503</v>
      </c>
      <c r="B232" s="55" t="s">
        <v>138</v>
      </c>
      <c r="C232" s="55" t="s">
        <v>1503</v>
      </c>
      <c r="D232" s="55"/>
      <c r="E232" s="56" t="s">
        <v>1504</v>
      </c>
      <c r="F232" s="55" t="s">
        <v>22</v>
      </c>
      <c r="G232" s="57"/>
      <c r="H232" s="58"/>
      <c r="I232" s="58"/>
      <c r="J232" s="58">
        <f>SUM(I232:I242)</f>
        <v>3769.3911055519675</v>
      </c>
      <c r="K232" s="58">
        <v>502.84085996363638</v>
      </c>
      <c r="L232" s="58">
        <v>3222.6931255883301</v>
      </c>
      <c r="M232" s="58">
        <v>43.560314999999996</v>
      </c>
      <c r="N232" s="58">
        <v>0</v>
      </c>
      <c r="O232" s="58">
        <v>0.29680500000011989</v>
      </c>
      <c r="P232" s="58"/>
      <c r="Q232" s="56"/>
      <c r="R232" s="56" t="s">
        <v>1505</v>
      </c>
      <c r="S232" s="286" t="str">
        <f t="shared" si="16"/>
        <v/>
      </c>
      <c r="T232" s="286" t="str">
        <f>IF($C232= "", T231, IF(ISNA(VLOOKUP($C232,'ABC-S'!$A$5:$A$271,1,FALSE)), "", VLOOKUP($C232,'ABC-S'!$A$5:$A$271,1,FALSE)))</f>
        <v/>
      </c>
      <c r="W232" s="286" t="s">
        <v>1503</v>
      </c>
      <c r="X232" s="286"/>
      <c r="Y232" s="286"/>
      <c r="Z232" s="286"/>
      <c r="AA232" s="286" t="s">
        <v>21</v>
      </c>
      <c r="AB232" s="378">
        <v>0</v>
      </c>
      <c r="AC232" s="378"/>
      <c r="AD232" s="335"/>
      <c r="AE232" s="335"/>
      <c r="AF232" s="335"/>
      <c r="AG232" s="378">
        <v>30.15097049718182</v>
      </c>
      <c r="AI232" s="378" t="s">
        <v>21</v>
      </c>
      <c r="AJ232" s="378" t="s">
        <v>21</v>
      </c>
      <c r="AL232" s="286"/>
      <c r="AM232" s="286"/>
    </row>
    <row r="233" spans="1:39" s="51" customFormat="1" ht="33.75" hidden="1" x14ac:dyDescent="0.25">
      <c r="A233" s="384" t="s">
        <v>1503</v>
      </c>
      <c r="B233" s="59" t="s">
        <v>86</v>
      </c>
      <c r="C233" s="59"/>
      <c r="D233" s="59">
        <v>1350</v>
      </c>
      <c r="E233" s="60" t="s">
        <v>677</v>
      </c>
      <c r="F233" s="59" t="s">
        <v>3666</v>
      </c>
      <c r="G233" s="61">
        <f>(0.1334 * 0.9167) / (2.2 * 1.1)</f>
        <v>5.0532140495867753E-2</v>
      </c>
      <c r="H233" s="62">
        <v>63</v>
      </c>
      <c r="I233" s="62">
        <f t="shared" ref="I233:I240" si="19">IF($D233="","",G233*H233)</f>
        <v>3.1835248512396683</v>
      </c>
      <c r="J233" s="62"/>
      <c r="K233" s="62">
        <v>0</v>
      </c>
      <c r="L233" s="62">
        <v>3.1835248512396683</v>
      </c>
      <c r="M233" s="62">
        <v>0</v>
      </c>
      <c r="N233" s="62">
        <v>0</v>
      </c>
      <c r="O233" s="62">
        <v>0</v>
      </c>
      <c r="P233" s="298" t="s">
        <v>89</v>
      </c>
      <c r="Q233" s="60" t="s">
        <v>27</v>
      </c>
      <c r="R233" s="60" t="s">
        <v>1506</v>
      </c>
      <c r="S233" s="286" t="str">
        <f t="shared" si="16"/>
        <v/>
      </c>
      <c r="T233" s="286" t="str">
        <f>IF($C233= "", T232, IF(ISNA(VLOOKUP($C233,'ABC-S'!$A$5:$A$271,1,FALSE)), "", VLOOKUP($C233,'ABC-S'!$A$5:$A$271,1,FALSE)))</f>
        <v/>
      </c>
      <c r="W233" s="286" t="s">
        <v>1503</v>
      </c>
      <c r="X233" s="286" t="s">
        <v>21</v>
      </c>
      <c r="Y233" s="286" t="s">
        <v>21</v>
      </c>
      <c r="Z233" s="286" t="s">
        <v>21</v>
      </c>
      <c r="AA233" s="286" t="s">
        <v>21</v>
      </c>
      <c r="AB233" s="378"/>
      <c r="AC233" s="381" t="s">
        <v>21</v>
      </c>
      <c r="AD233" s="378" t="s">
        <v>21</v>
      </c>
      <c r="AE233" s="378" t="s">
        <v>21</v>
      </c>
      <c r="AF233" s="378" t="s">
        <v>21</v>
      </c>
      <c r="AG233" s="378"/>
      <c r="AI233" s="378" t="s">
        <v>21</v>
      </c>
      <c r="AJ233" s="378" t="s">
        <v>21</v>
      </c>
      <c r="AL233" s="286"/>
      <c r="AM233" s="286">
        <v>1350</v>
      </c>
    </row>
    <row r="234" spans="1:39" s="51" customFormat="1" ht="33.75" hidden="1" x14ac:dyDescent="0.25">
      <c r="A234" s="384" t="s">
        <v>1503</v>
      </c>
      <c r="B234" s="59" t="s">
        <v>86</v>
      </c>
      <c r="C234" s="59"/>
      <c r="D234" s="59">
        <v>11615</v>
      </c>
      <c r="E234" s="60" t="s">
        <v>708</v>
      </c>
      <c r="F234" s="59" t="s">
        <v>3665</v>
      </c>
      <c r="G234" s="61">
        <f>(0.00133 * 0.9167) / 0.01</f>
        <v>0.12192109999999999</v>
      </c>
      <c r="H234" s="62">
        <v>3.48</v>
      </c>
      <c r="I234" s="62">
        <f t="shared" si="19"/>
        <v>0.42428542799999996</v>
      </c>
      <c r="J234" s="62"/>
      <c r="K234" s="62">
        <v>0</v>
      </c>
      <c r="L234" s="62">
        <v>0.42428542799999996</v>
      </c>
      <c r="M234" s="62">
        <v>0</v>
      </c>
      <c r="N234" s="62">
        <v>0</v>
      </c>
      <c r="O234" s="62">
        <v>0</v>
      </c>
      <c r="P234" s="298" t="s">
        <v>89</v>
      </c>
      <c r="Q234" s="60" t="s">
        <v>27</v>
      </c>
      <c r="R234" s="60" t="s">
        <v>1506</v>
      </c>
      <c r="S234" s="286" t="str">
        <f t="shared" si="16"/>
        <v/>
      </c>
      <c r="T234" s="286" t="str">
        <f>IF($C234= "", T233, IF(ISNA(VLOOKUP($C234,'ABC-S'!$A$5:$A$271,1,FALSE)), "", VLOOKUP($C234,'ABC-S'!$A$5:$A$271,1,FALSE)))</f>
        <v/>
      </c>
      <c r="W234" s="286" t="s">
        <v>1503</v>
      </c>
      <c r="X234" s="286" t="s">
        <v>21</v>
      </c>
      <c r="Y234" s="286" t="s">
        <v>21</v>
      </c>
      <c r="Z234" s="286" t="s">
        <v>21</v>
      </c>
      <c r="AA234" s="286" t="s">
        <v>21</v>
      </c>
      <c r="AB234" s="378"/>
      <c r="AC234" s="381" t="s">
        <v>21</v>
      </c>
      <c r="AD234" s="378" t="s">
        <v>21</v>
      </c>
      <c r="AE234" s="378" t="s">
        <v>21</v>
      </c>
      <c r="AF234" s="378" t="s">
        <v>21</v>
      </c>
      <c r="AG234" s="378"/>
      <c r="AI234" s="378" t="s">
        <v>21</v>
      </c>
      <c r="AJ234" s="378" t="s">
        <v>21</v>
      </c>
      <c r="AL234" s="286"/>
      <c r="AM234" s="286">
        <v>11615</v>
      </c>
    </row>
    <row r="235" spans="1:39" s="51" customFormat="1" ht="45" hidden="1" x14ac:dyDescent="0.25">
      <c r="A235" s="384" t="s">
        <v>1503</v>
      </c>
      <c r="B235" s="59" t="s">
        <v>87</v>
      </c>
      <c r="C235" s="248"/>
      <c r="D235" s="59">
        <v>100341</v>
      </c>
      <c r="E235" s="60" t="s">
        <v>582</v>
      </c>
      <c r="F235" s="59" t="s">
        <v>51</v>
      </c>
      <c r="G235" s="61">
        <f>(2.5 + 2) * 2</f>
        <v>9</v>
      </c>
      <c r="H235" s="62">
        <v>29.98</v>
      </c>
      <c r="I235" s="62">
        <f t="shared" si="19"/>
        <v>269.82</v>
      </c>
      <c r="J235" s="62"/>
      <c r="K235" s="62">
        <v>108.54</v>
      </c>
      <c r="L235" s="62">
        <v>127.17</v>
      </c>
      <c r="M235" s="62">
        <v>34.11</v>
      </c>
      <c r="N235" s="62">
        <v>0</v>
      </c>
      <c r="O235" s="62">
        <v>0</v>
      </c>
      <c r="P235" s="298" t="s">
        <v>4160</v>
      </c>
      <c r="Q235" s="60" t="s">
        <v>27</v>
      </c>
      <c r="R235" s="60" t="s">
        <v>1510</v>
      </c>
      <c r="S235" s="286" t="str">
        <f t="shared" si="16"/>
        <v/>
      </c>
      <c r="T235" s="286" t="str">
        <f>IF($C235= "", T234, IF(ISNA(VLOOKUP($C235,'ABC-S'!$A$5:$A$271,1,FALSE)), "", VLOOKUP($C235,'ABC-S'!$A$5:$A$271,1,FALSE)))</f>
        <v/>
      </c>
      <c r="W235" s="286" t="s">
        <v>1503</v>
      </c>
      <c r="X235" s="286" t="s">
        <v>21</v>
      </c>
      <c r="Y235" s="286" t="s">
        <v>1513</v>
      </c>
      <c r="Z235" s="335" t="s">
        <v>21</v>
      </c>
      <c r="AA235" s="286" t="s">
        <v>21</v>
      </c>
      <c r="AB235" s="378"/>
      <c r="AC235" s="381">
        <v>100341</v>
      </c>
      <c r="AD235" s="378">
        <v>9</v>
      </c>
      <c r="AE235" s="378">
        <v>0.68709999999999993</v>
      </c>
      <c r="AF235" s="378">
        <v>6.1838999999999995</v>
      </c>
      <c r="AG235" s="378"/>
      <c r="AI235" s="378">
        <v>0</v>
      </c>
      <c r="AJ235" s="378">
        <v>0</v>
      </c>
      <c r="AL235" s="286">
        <v>100341</v>
      </c>
      <c r="AM235" s="286"/>
    </row>
    <row r="236" spans="1:39" s="51" customFormat="1" ht="33.75" hidden="1" x14ac:dyDescent="0.25">
      <c r="A236" s="384" t="s">
        <v>1503</v>
      </c>
      <c r="B236" s="59" t="s">
        <v>87</v>
      </c>
      <c r="C236" s="248"/>
      <c r="D236" s="59">
        <v>92522</v>
      </c>
      <c r="E236" s="60" t="s">
        <v>1162</v>
      </c>
      <c r="F236" s="59" t="s">
        <v>51</v>
      </c>
      <c r="G236" s="61">
        <v>3.6240000000000001</v>
      </c>
      <c r="H236" s="62">
        <v>25.11</v>
      </c>
      <c r="I236" s="62">
        <f t="shared" si="19"/>
        <v>90.998639999999995</v>
      </c>
      <c r="J236" s="62"/>
      <c r="K236" s="62">
        <v>31.528799999999997</v>
      </c>
      <c r="L236" s="62">
        <v>50.5548</v>
      </c>
      <c r="M236" s="62">
        <v>8.9150399999999994</v>
      </c>
      <c r="N236" s="62">
        <v>0</v>
      </c>
      <c r="O236" s="62">
        <v>0</v>
      </c>
      <c r="P236" s="298" t="s">
        <v>4160</v>
      </c>
      <c r="Q236" s="60" t="s">
        <v>27</v>
      </c>
      <c r="R236" s="60" t="s">
        <v>1510</v>
      </c>
      <c r="S236" s="286" t="str">
        <f t="shared" si="16"/>
        <v/>
      </c>
      <c r="T236" s="286" t="str">
        <f>IF($C236= "", T235, IF(ISNA(VLOOKUP($C236,'ABC-S'!$A$5:$A$271,1,FALSE)), "", VLOOKUP($C236,'ABC-S'!$A$5:$A$271,1,FALSE)))</f>
        <v/>
      </c>
      <c r="W236" s="286" t="s">
        <v>1503</v>
      </c>
      <c r="X236" s="286" t="s">
        <v>21</v>
      </c>
      <c r="Y236" s="286" t="s">
        <v>1513</v>
      </c>
      <c r="Z236" s="335" t="s">
        <v>21</v>
      </c>
      <c r="AA236" s="286" t="s">
        <v>21</v>
      </c>
      <c r="AB236" s="378"/>
      <c r="AC236" s="381">
        <v>92522</v>
      </c>
      <c r="AD236" s="378">
        <v>3.6240000000000001</v>
      </c>
      <c r="AE236" s="378">
        <v>0.50824000000000003</v>
      </c>
      <c r="AF236" s="378">
        <v>1.8418617600000002</v>
      </c>
      <c r="AG236" s="378"/>
      <c r="AI236" s="378">
        <v>0</v>
      </c>
      <c r="AJ236" s="378">
        <v>0</v>
      </c>
      <c r="AL236" s="286">
        <v>92522</v>
      </c>
      <c r="AM236" s="286"/>
    </row>
    <row r="237" spans="1:39" s="51" customFormat="1" ht="33.75" hidden="1" x14ac:dyDescent="0.25">
      <c r="A237" s="384" t="s">
        <v>1503</v>
      </c>
      <c r="B237" s="59" t="s">
        <v>87</v>
      </c>
      <c r="C237" s="248"/>
      <c r="D237" s="59">
        <v>100342</v>
      </c>
      <c r="E237" s="60" t="s">
        <v>501</v>
      </c>
      <c r="F237" s="59" t="s">
        <v>54</v>
      </c>
      <c r="G237" s="61">
        <f>((46.354 + (14 * (0.22 * 5) * 0.164)) / 3.3) * G240</f>
        <v>45.102539999999998</v>
      </c>
      <c r="H237" s="62">
        <v>15.7</v>
      </c>
      <c r="I237" s="62">
        <f t="shared" si="19"/>
        <v>708.10987799999998</v>
      </c>
      <c r="J237" s="62"/>
      <c r="K237" s="62">
        <v>132.60146759999998</v>
      </c>
      <c r="L237" s="62">
        <v>575.5084104</v>
      </c>
      <c r="M237" s="62">
        <v>0</v>
      </c>
      <c r="N237" s="62">
        <v>0</v>
      </c>
      <c r="O237" s="62">
        <v>0</v>
      </c>
      <c r="P237" s="298" t="s">
        <v>4160</v>
      </c>
      <c r="Q237" s="60" t="s">
        <v>27</v>
      </c>
      <c r="R237" s="60" t="s">
        <v>1507</v>
      </c>
      <c r="S237" s="286" t="str">
        <f t="shared" si="16"/>
        <v/>
      </c>
      <c r="T237" s="286" t="str">
        <f>IF($C237= "", T236, IF(ISNA(VLOOKUP($C237,'ABC-S'!$A$5:$A$271,1,FALSE)), "", VLOOKUP($C237,'ABC-S'!$A$5:$A$271,1,FALSE)))</f>
        <v/>
      </c>
      <c r="W237" s="286" t="s">
        <v>1503</v>
      </c>
      <c r="X237" s="286" t="s">
        <v>21</v>
      </c>
      <c r="Y237" s="286" t="s">
        <v>1513</v>
      </c>
      <c r="Z237" s="335" t="s">
        <v>21</v>
      </c>
      <c r="AA237" s="286" t="s">
        <v>21</v>
      </c>
      <c r="AB237" s="378"/>
      <c r="AC237" s="381">
        <v>100342</v>
      </c>
      <c r="AD237" s="378">
        <v>45.102539999999998</v>
      </c>
      <c r="AE237" s="378">
        <v>0.16930000000000001</v>
      </c>
      <c r="AF237" s="378">
        <v>7.6358600220000001</v>
      </c>
      <c r="AG237" s="378"/>
      <c r="AI237" s="378">
        <v>0</v>
      </c>
      <c r="AJ237" s="378">
        <v>0</v>
      </c>
      <c r="AL237" s="286">
        <v>100342</v>
      </c>
      <c r="AM237" s="286"/>
    </row>
    <row r="238" spans="1:39" s="51" customFormat="1" ht="33.75" hidden="1" x14ac:dyDescent="0.25">
      <c r="A238" s="384" t="s">
        <v>1503</v>
      </c>
      <c r="B238" s="59" t="s">
        <v>87</v>
      </c>
      <c r="C238" s="248"/>
      <c r="D238" s="59">
        <v>100345</v>
      </c>
      <c r="E238" s="60" t="s">
        <v>499</v>
      </c>
      <c r="F238" s="59" t="s">
        <v>54</v>
      </c>
      <c r="G238" s="61">
        <f>(109.532 / 3.3) * G240</f>
        <v>101.06816363636365</v>
      </c>
      <c r="H238" s="62">
        <v>11.32</v>
      </c>
      <c r="I238" s="62">
        <f t="shared" si="19"/>
        <v>1144.0916123636366</v>
      </c>
      <c r="J238" s="62"/>
      <c r="K238" s="62">
        <v>101.06816363636365</v>
      </c>
      <c r="L238" s="62">
        <v>1043.0234487272728</v>
      </c>
      <c r="M238" s="62">
        <v>0</v>
      </c>
      <c r="N238" s="62">
        <v>0</v>
      </c>
      <c r="O238" s="62">
        <v>2.2737367544323206E-13</v>
      </c>
      <c r="P238" s="298" t="s">
        <v>4160</v>
      </c>
      <c r="Q238" s="60" t="s">
        <v>27</v>
      </c>
      <c r="R238" s="60" t="s">
        <v>1507</v>
      </c>
      <c r="S238" s="286" t="str">
        <f t="shared" si="16"/>
        <v/>
      </c>
      <c r="T238" s="286" t="str">
        <f>IF($C238= "", T237, IF(ISNA(VLOOKUP($C238,'ABC-S'!$A$5:$A$271,1,FALSE)), "", VLOOKUP($C238,'ABC-S'!$A$5:$A$271,1,FALSE)))</f>
        <v/>
      </c>
      <c r="W238" s="286" t="s">
        <v>1503</v>
      </c>
      <c r="X238" s="286" t="s">
        <v>21</v>
      </c>
      <c r="Y238" s="286" t="s">
        <v>1513</v>
      </c>
      <c r="Z238" s="335" t="s">
        <v>21</v>
      </c>
      <c r="AA238" s="286" t="s">
        <v>21</v>
      </c>
      <c r="AB238" s="378"/>
      <c r="AC238" s="381">
        <v>100345</v>
      </c>
      <c r="AD238" s="378">
        <v>101.06816363636365</v>
      </c>
      <c r="AE238" s="378">
        <v>5.8000000000000003E-2</v>
      </c>
      <c r="AF238" s="378">
        <v>5.8619534909090918</v>
      </c>
      <c r="AG238" s="378"/>
      <c r="AI238" s="378">
        <v>0</v>
      </c>
      <c r="AJ238" s="378">
        <v>0</v>
      </c>
      <c r="AL238" s="286">
        <v>100345</v>
      </c>
      <c r="AM238" s="286"/>
    </row>
    <row r="239" spans="1:39" s="51" customFormat="1" ht="33.75" hidden="1" x14ac:dyDescent="0.25">
      <c r="A239" s="384" t="s">
        <v>1503</v>
      </c>
      <c r="B239" s="59" t="s">
        <v>87</v>
      </c>
      <c r="C239" s="248"/>
      <c r="D239" s="59">
        <v>100346</v>
      </c>
      <c r="E239" s="60" t="s">
        <v>500</v>
      </c>
      <c r="F239" s="59" t="s">
        <v>54</v>
      </c>
      <c r="G239" s="61">
        <f>(18.936 / 3.3) * G240</f>
        <v>17.472763636363638</v>
      </c>
      <c r="H239" s="62">
        <v>10.81</v>
      </c>
      <c r="I239" s="62">
        <f t="shared" si="19"/>
        <v>188.88057490909094</v>
      </c>
      <c r="J239" s="62"/>
      <c r="K239" s="62">
        <v>11.182568727272729</v>
      </c>
      <c r="L239" s="62">
        <v>177.69800618181819</v>
      </c>
      <c r="M239" s="62">
        <v>0</v>
      </c>
      <c r="N239" s="62">
        <v>0</v>
      </c>
      <c r="O239" s="62">
        <v>2.8421709430404007E-14</v>
      </c>
      <c r="P239" s="298" t="s">
        <v>4160</v>
      </c>
      <c r="Q239" s="60" t="s">
        <v>27</v>
      </c>
      <c r="R239" s="60" t="s">
        <v>1507</v>
      </c>
      <c r="S239" s="286" t="str">
        <f t="shared" si="16"/>
        <v/>
      </c>
      <c r="T239" s="286" t="str">
        <f>IF($C239= "", T238, IF(ISNA(VLOOKUP($C239,'ABC-S'!$A$5:$A$271,1,FALSE)), "", VLOOKUP($C239,'ABC-S'!$A$5:$A$271,1,FALSE)))</f>
        <v/>
      </c>
      <c r="W239" s="286" t="s">
        <v>1503</v>
      </c>
      <c r="X239" s="286" t="s">
        <v>21</v>
      </c>
      <c r="Y239" s="286" t="s">
        <v>1513</v>
      </c>
      <c r="Z239" s="335" t="s">
        <v>21</v>
      </c>
      <c r="AA239" s="286" t="s">
        <v>21</v>
      </c>
      <c r="AB239" s="378"/>
      <c r="AC239" s="381">
        <v>100346</v>
      </c>
      <c r="AD239" s="378">
        <v>17.472763636363638</v>
      </c>
      <c r="AE239" s="378">
        <v>3.7200000000000004E-2</v>
      </c>
      <c r="AF239" s="378">
        <v>0.6499868072727274</v>
      </c>
      <c r="AG239" s="378"/>
      <c r="AI239" s="378">
        <v>0</v>
      </c>
      <c r="AJ239" s="378">
        <v>0</v>
      </c>
      <c r="AL239" s="286">
        <v>100346</v>
      </c>
      <c r="AM239" s="286"/>
    </row>
    <row r="240" spans="1:39" s="51" customFormat="1" ht="56.25" hidden="1" x14ac:dyDescent="0.25">
      <c r="A240" s="384" t="s">
        <v>1503</v>
      </c>
      <c r="B240" s="59" t="s">
        <v>87</v>
      </c>
      <c r="C240" s="248"/>
      <c r="D240" s="59">
        <v>92725</v>
      </c>
      <c r="E240" s="60" t="s">
        <v>543</v>
      </c>
      <c r="F240" s="59" t="s">
        <v>44</v>
      </c>
      <c r="G240" s="61">
        <v>3.0449999999999999</v>
      </c>
      <c r="H240" s="62">
        <v>381.93</v>
      </c>
      <c r="I240" s="62">
        <f t="shared" si="19"/>
        <v>1162.97685</v>
      </c>
      <c r="J240" s="62"/>
      <c r="K240" s="62">
        <v>58.068150000000003</v>
      </c>
      <c r="L240" s="62">
        <v>1104.5433</v>
      </c>
      <c r="M240" s="62">
        <v>0.24360000000000001</v>
      </c>
      <c r="N240" s="62">
        <v>0</v>
      </c>
      <c r="O240" s="62">
        <v>0.12179999999989377</v>
      </c>
      <c r="P240" s="298" t="s">
        <v>4160</v>
      </c>
      <c r="Q240" s="60" t="s">
        <v>27</v>
      </c>
      <c r="R240" s="60" t="s">
        <v>1510</v>
      </c>
      <c r="S240" s="286" t="str">
        <f t="shared" si="16"/>
        <v/>
      </c>
      <c r="T240" s="286" t="str">
        <f>IF($C240= "", T239, IF(ISNA(VLOOKUP($C240,'ABC-S'!$A$5:$A$271,1,FALSE)), "", VLOOKUP($C240,'ABC-S'!$A$5:$A$271,1,FALSE)))</f>
        <v/>
      </c>
      <c r="W240" s="286" t="s">
        <v>1503</v>
      </c>
      <c r="X240" s="286" t="s">
        <v>21</v>
      </c>
      <c r="Y240" s="286" t="s">
        <v>1513</v>
      </c>
      <c r="Z240" s="335" t="s">
        <v>21</v>
      </c>
      <c r="AA240" s="286" t="s">
        <v>21</v>
      </c>
      <c r="AB240" s="378"/>
      <c r="AC240" s="381">
        <v>92725</v>
      </c>
      <c r="AD240" s="378">
        <v>3.0449999999999999</v>
      </c>
      <c r="AE240" s="378">
        <v>1.2969999999999999</v>
      </c>
      <c r="AF240" s="378">
        <v>3.9493649999999998</v>
      </c>
      <c r="AG240" s="378"/>
      <c r="AI240" s="378">
        <v>0</v>
      </c>
      <c r="AJ240" s="378">
        <v>0</v>
      </c>
      <c r="AL240" s="286">
        <v>92725</v>
      </c>
      <c r="AM240" s="286"/>
    </row>
    <row r="241" spans="1:39" s="51" customFormat="1" ht="33.75" hidden="1" x14ac:dyDescent="0.25">
      <c r="A241" s="384" t="s">
        <v>1503</v>
      </c>
      <c r="B241" s="59" t="s">
        <v>87</v>
      </c>
      <c r="C241" s="59"/>
      <c r="D241" s="59">
        <v>98682</v>
      </c>
      <c r="E241" s="60" t="s">
        <v>1165</v>
      </c>
      <c r="F241" s="59" t="s">
        <v>51</v>
      </c>
      <c r="G241" s="61">
        <f>((0.15 * 1.1667) / 0.03)</f>
        <v>5.8334999999999999</v>
      </c>
      <c r="H241" s="62">
        <v>34.44</v>
      </c>
      <c r="I241" s="62">
        <f>IF($D241="","",G241*H241)</f>
        <v>200.90573999999998</v>
      </c>
      <c r="J241" s="62"/>
      <c r="K241" s="62">
        <v>59.851709999999997</v>
      </c>
      <c r="L241" s="62">
        <v>140.58735000000001</v>
      </c>
      <c r="M241" s="62">
        <v>0.29167500000000002</v>
      </c>
      <c r="N241" s="62">
        <v>0</v>
      </c>
      <c r="O241" s="62">
        <v>0.17500499999997032</v>
      </c>
      <c r="P241" s="298" t="s">
        <v>4160</v>
      </c>
      <c r="Q241" s="60" t="s">
        <v>27</v>
      </c>
      <c r="R241" s="60" t="s">
        <v>1509</v>
      </c>
      <c r="S241" s="286" t="str">
        <f t="shared" si="16"/>
        <v/>
      </c>
      <c r="T241" s="286" t="str">
        <f>IF($C241= "", T240, IF(ISNA(VLOOKUP($C241,'ABC-S'!$A$5:$A$271,1,FALSE)), "", VLOOKUP($C241,'ABC-S'!$A$5:$A$271,1,FALSE)))</f>
        <v/>
      </c>
      <c r="W241" s="286" t="s">
        <v>1503</v>
      </c>
      <c r="X241" s="286" t="s">
        <v>21</v>
      </c>
      <c r="Y241" s="286" t="s">
        <v>1513</v>
      </c>
      <c r="Z241" s="335" t="s">
        <v>21</v>
      </c>
      <c r="AA241" s="286" t="s">
        <v>21</v>
      </c>
      <c r="AB241" s="378"/>
      <c r="AC241" s="381">
        <v>98682</v>
      </c>
      <c r="AD241" s="378">
        <v>5.8334999999999999</v>
      </c>
      <c r="AE241" s="378">
        <v>0.69050199999999995</v>
      </c>
      <c r="AF241" s="378">
        <v>4.0280434169999992</v>
      </c>
      <c r="AG241" s="378"/>
      <c r="AI241" s="378">
        <v>4.3099999999999999E-2</v>
      </c>
      <c r="AJ241" s="378">
        <v>0.25142385</v>
      </c>
      <c r="AL241" s="286">
        <v>98682</v>
      </c>
      <c r="AM241" s="286"/>
    </row>
    <row r="242" spans="1:39" s="51" customFormat="1" ht="33.75" hidden="1" x14ac:dyDescent="0.25">
      <c r="A242" s="384" t="s">
        <v>1503</v>
      </c>
      <c r="B242" s="59" t="s">
        <v>87</v>
      </c>
      <c r="C242" s="248"/>
      <c r="D242" s="59">
        <v>96620</v>
      </c>
      <c r="E242" s="60" t="s">
        <v>1308</v>
      </c>
      <c r="F242" s="59" t="s">
        <v>44</v>
      </c>
      <c r="G242" s="61">
        <v>0</v>
      </c>
      <c r="H242" s="62">
        <v>525.14</v>
      </c>
      <c r="I242" s="62">
        <f>IF($D242="","",G242*H242)</f>
        <v>0</v>
      </c>
      <c r="J242" s="62"/>
      <c r="K242" s="62">
        <v>0</v>
      </c>
      <c r="L242" s="62">
        <v>0</v>
      </c>
      <c r="M242" s="62">
        <v>0</v>
      </c>
      <c r="N242" s="62">
        <v>0</v>
      </c>
      <c r="O242" s="62">
        <v>0</v>
      </c>
      <c r="P242" s="298" t="s">
        <v>4160</v>
      </c>
      <c r="Q242" s="60" t="s">
        <v>27</v>
      </c>
      <c r="R242" s="60" t="s">
        <v>1398</v>
      </c>
      <c r="S242" s="286" t="str">
        <f t="shared" si="16"/>
        <v/>
      </c>
      <c r="T242" s="286" t="str">
        <f>IF($C242= "", T241, IF(ISNA(VLOOKUP($C242,'ABC-S'!$A$5:$A$271,1,FALSE)), "", VLOOKUP($C242,'ABC-S'!$A$5:$A$271,1,FALSE)))</f>
        <v/>
      </c>
      <c r="W242" s="286" t="s">
        <v>1503</v>
      </c>
      <c r="X242" s="286" t="s">
        <v>21</v>
      </c>
      <c r="Y242" s="286" t="s">
        <v>1513</v>
      </c>
      <c r="Z242" s="335" t="s">
        <v>21</v>
      </c>
      <c r="AA242" s="286" t="s">
        <v>21</v>
      </c>
      <c r="AB242" s="378"/>
      <c r="AC242" s="381">
        <v>96620</v>
      </c>
      <c r="AD242" s="378">
        <v>0</v>
      </c>
      <c r="AE242" s="378">
        <v>10.804148999999999</v>
      </c>
      <c r="AF242" s="378">
        <v>0</v>
      </c>
      <c r="AG242" s="378"/>
      <c r="AI242" s="378">
        <v>1.1299999999999999</v>
      </c>
      <c r="AJ242" s="378">
        <v>0</v>
      </c>
      <c r="AL242" s="286">
        <v>96620</v>
      </c>
      <c r="AM242" s="286"/>
    </row>
    <row r="243" spans="1:39" s="51" customFormat="1" ht="33.75" hidden="1" x14ac:dyDescent="0.25">
      <c r="A243" s="55" t="s">
        <v>1508</v>
      </c>
      <c r="B243" s="55" t="s">
        <v>138</v>
      </c>
      <c r="C243" s="55" t="s">
        <v>1508</v>
      </c>
      <c r="D243" s="55"/>
      <c r="E243" s="56" t="s">
        <v>1511</v>
      </c>
      <c r="F243" s="55" t="s">
        <v>22</v>
      </c>
      <c r="G243" s="57"/>
      <c r="H243" s="58"/>
      <c r="I243" s="58"/>
      <c r="J243" s="58">
        <f>SUM(I243:I253)</f>
        <v>4609.772090758579</v>
      </c>
      <c r="K243" s="58">
        <v>594.85178360000009</v>
      </c>
      <c r="L243" s="58">
        <v>3966.053187158579</v>
      </c>
      <c r="M243" s="58">
        <v>48.540315</v>
      </c>
      <c r="N243" s="58">
        <v>0</v>
      </c>
      <c r="O243" s="58">
        <v>0.32680499999986523</v>
      </c>
      <c r="P243" s="58"/>
      <c r="Q243" s="56"/>
      <c r="R243" s="56" t="s">
        <v>1505</v>
      </c>
      <c r="S243" s="286" t="str">
        <f t="shared" si="16"/>
        <v/>
      </c>
      <c r="T243" s="286" t="str">
        <f>IF($C243= "", T242, IF(ISNA(VLOOKUP($C243,'ABC-S'!$A$5:$A$271,1,FALSE)), "", VLOOKUP($C243,'ABC-S'!$A$5:$A$271,1,FALSE)))</f>
        <v/>
      </c>
      <c r="W243" s="286" t="s">
        <v>1508</v>
      </c>
      <c r="X243" s="286"/>
      <c r="Y243" s="286"/>
      <c r="Z243" s="286"/>
      <c r="AA243" s="286" t="s">
        <v>21</v>
      </c>
      <c r="AB243" s="378">
        <v>0</v>
      </c>
      <c r="AC243" s="378"/>
      <c r="AD243" s="335"/>
      <c r="AE243" s="335"/>
      <c r="AF243" s="335"/>
      <c r="AG243" s="378">
        <v>35.624880378999997</v>
      </c>
      <c r="AI243" s="378" t="s">
        <v>21</v>
      </c>
      <c r="AJ243" s="378" t="s">
        <v>21</v>
      </c>
      <c r="AL243" s="286"/>
      <c r="AM243" s="286"/>
    </row>
    <row r="244" spans="1:39" s="51" customFormat="1" ht="33.75" hidden="1" x14ac:dyDescent="0.25">
      <c r="A244" s="384" t="s">
        <v>1508</v>
      </c>
      <c r="B244" s="59" t="s">
        <v>86</v>
      </c>
      <c r="C244" s="59"/>
      <c r="D244" s="59">
        <v>1350</v>
      </c>
      <c r="E244" s="60" t="s">
        <v>677</v>
      </c>
      <c r="F244" s="59" t="s">
        <v>3666</v>
      </c>
      <c r="G244" s="61">
        <f>(0.1334 * 1.1667) / (2.2 * 1.1)</f>
        <v>6.4313132231404946E-2</v>
      </c>
      <c r="H244" s="62">
        <v>63</v>
      </c>
      <c r="I244" s="62">
        <f t="shared" ref="I244:I251" si="20">IF($D244="","",G244*H244)</f>
        <v>4.0517273305785118</v>
      </c>
      <c r="J244" s="62"/>
      <c r="K244" s="62">
        <v>0</v>
      </c>
      <c r="L244" s="62">
        <v>4.0517273305785118</v>
      </c>
      <c r="M244" s="62">
        <v>0</v>
      </c>
      <c r="N244" s="62">
        <v>0</v>
      </c>
      <c r="O244" s="62">
        <v>0</v>
      </c>
      <c r="P244" s="298" t="s">
        <v>89</v>
      </c>
      <c r="Q244" s="60" t="s">
        <v>27</v>
      </c>
      <c r="R244" s="60" t="s">
        <v>1506</v>
      </c>
      <c r="S244" s="286" t="str">
        <f t="shared" si="16"/>
        <v/>
      </c>
      <c r="T244" s="286" t="str">
        <f>IF($C244= "", T243, IF(ISNA(VLOOKUP($C244,'ABC-S'!$A$5:$A$271,1,FALSE)), "", VLOOKUP($C244,'ABC-S'!$A$5:$A$271,1,FALSE)))</f>
        <v/>
      </c>
      <c r="W244" s="286" t="s">
        <v>1508</v>
      </c>
      <c r="X244" s="286" t="s">
        <v>21</v>
      </c>
      <c r="Y244" s="286" t="s">
        <v>21</v>
      </c>
      <c r="Z244" s="286" t="s">
        <v>21</v>
      </c>
      <c r="AA244" s="286" t="s">
        <v>21</v>
      </c>
      <c r="AB244" s="378"/>
      <c r="AC244" s="381" t="s">
        <v>21</v>
      </c>
      <c r="AD244" s="378" t="s">
        <v>21</v>
      </c>
      <c r="AE244" s="378" t="s">
        <v>21</v>
      </c>
      <c r="AF244" s="378" t="s">
        <v>21</v>
      </c>
      <c r="AG244" s="378"/>
      <c r="AI244" s="378" t="s">
        <v>21</v>
      </c>
      <c r="AJ244" s="378" t="s">
        <v>21</v>
      </c>
      <c r="AL244" s="286"/>
      <c r="AM244" s="286">
        <v>1350</v>
      </c>
    </row>
    <row r="245" spans="1:39" s="51" customFormat="1" ht="33.75" hidden="1" x14ac:dyDescent="0.25">
      <c r="A245" s="384" t="s">
        <v>1508</v>
      </c>
      <c r="B245" s="59" t="s">
        <v>86</v>
      </c>
      <c r="C245" s="59"/>
      <c r="D245" s="59">
        <v>11615</v>
      </c>
      <c r="E245" s="60" t="s">
        <v>708</v>
      </c>
      <c r="F245" s="59" t="s">
        <v>3665</v>
      </c>
      <c r="G245" s="61">
        <f>(0.00133 * 1.1667) / 0.01</f>
        <v>0.15517110000000001</v>
      </c>
      <c r="H245" s="62">
        <v>3.48</v>
      </c>
      <c r="I245" s="62">
        <f t="shared" si="20"/>
        <v>0.539995428</v>
      </c>
      <c r="J245" s="62"/>
      <c r="K245" s="62">
        <v>0</v>
      </c>
      <c r="L245" s="62">
        <v>0.539995428</v>
      </c>
      <c r="M245" s="62">
        <v>0</v>
      </c>
      <c r="N245" s="62">
        <v>0</v>
      </c>
      <c r="O245" s="62">
        <v>0</v>
      </c>
      <c r="P245" s="298" t="s">
        <v>89</v>
      </c>
      <c r="Q245" s="60" t="s">
        <v>27</v>
      </c>
      <c r="R245" s="60" t="s">
        <v>1506</v>
      </c>
      <c r="S245" s="286" t="str">
        <f t="shared" si="16"/>
        <v/>
      </c>
      <c r="T245" s="286" t="str">
        <f>IF($C245= "", T244, IF(ISNA(VLOOKUP($C245,'ABC-S'!$A$5:$A$271,1,FALSE)), "", VLOOKUP($C245,'ABC-S'!$A$5:$A$271,1,FALSE)))</f>
        <v/>
      </c>
      <c r="W245" s="286" t="s">
        <v>1508</v>
      </c>
      <c r="X245" s="286" t="s">
        <v>21</v>
      </c>
      <c r="Y245" s="286" t="s">
        <v>21</v>
      </c>
      <c r="Z245" s="286" t="s">
        <v>21</v>
      </c>
      <c r="AA245" s="286" t="s">
        <v>21</v>
      </c>
      <c r="AB245" s="378"/>
      <c r="AC245" s="381" t="s">
        <v>21</v>
      </c>
      <c r="AD245" s="378" t="s">
        <v>21</v>
      </c>
      <c r="AE245" s="378" t="s">
        <v>21</v>
      </c>
      <c r="AF245" s="378" t="s">
        <v>21</v>
      </c>
      <c r="AG245" s="378"/>
      <c r="AI245" s="378" t="s">
        <v>21</v>
      </c>
      <c r="AJ245" s="378" t="s">
        <v>21</v>
      </c>
      <c r="AL245" s="286"/>
      <c r="AM245" s="286">
        <v>11615</v>
      </c>
    </row>
    <row r="246" spans="1:39" s="51" customFormat="1" ht="45" hidden="1" x14ac:dyDescent="0.25">
      <c r="A246" s="384" t="s">
        <v>1508</v>
      </c>
      <c r="B246" s="59" t="s">
        <v>87</v>
      </c>
      <c r="C246" s="248"/>
      <c r="D246" s="59">
        <v>100341</v>
      </c>
      <c r="E246" s="60" t="s">
        <v>582</v>
      </c>
      <c r="F246" s="59" t="s">
        <v>51</v>
      </c>
      <c r="G246" s="61">
        <f>(2.5 + 2) * 2</f>
        <v>9</v>
      </c>
      <c r="H246" s="62">
        <v>29.98</v>
      </c>
      <c r="I246" s="62">
        <f t="shared" si="20"/>
        <v>269.82</v>
      </c>
      <c r="J246" s="62"/>
      <c r="K246" s="62">
        <v>108.54</v>
      </c>
      <c r="L246" s="62">
        <v>127.17</v>
      </c>
      <c r="M246" s="62">
        <v>34.11</v>
      </c>
      <c r="N246" s="62">
        <v>0</v>
      </c>
      <c r="O246" s="62">
        <v>0</v>
      </c>
      <c r="P246" s="298" t="s">
        <v>4160</v>
      </c>
      <c r="Q246" s="60" t="s">
        <v>27</v>
      </c>
      <c r="R246" s="60" t="s">
        <v>1510</v>
      </c>
      <c r="S246" s="286" t="str">
        <f t="shared" si="16"/>
        <v/>
      </c>
      <c r="T246" s="286" t="str">
        <f>IF($C246= "", T245, IF(ISNA(VLOOKUP($C246,'ABC-S'!$A$5:$A$271,1,FALSE)), "", VLOOKUP($C246,'ABC-S'!$A$5:$A$271,1,FALSE)))</f>
        <v/>
      </c>
      <c r="W246" s="286" t="s">
        <v>1508</v>
      </c>
      <c r="X246" s="286" t="s">
        <v>21</v>
      </c>
      <c r="Y246" s="286" t="s">
        <v>1513</v>
      </c>
      <c r="Z246" s="335" t="s">
        <v>21</v>
      </c>
      <c r="AA246" s="286" t="s">
        <v>21</v>
      </c>
      <c r="AB246" s="378"/>
      <c r="AC246" s="381">
        <v>100341</v>
      </c>
      <c r="AD246" s="378">
        <v>9</v>
      </c>
      <c r="AE246" s="378">
        <v>0.68709999999999993</v>
      </c>
      <c r="AF246" s="378">
        <v>6.1838999999999995</v>
      </c>
      <c r="AG246" s="378"/>
      <c r="AI246" s="378">
        <v>0</v>
      </c>
      <c r="AJ246" s="378">
        <v>0</v>
      </c>
      <c r="AL246" s="286">
        <v>100341</v>
      </c>
      <c r="AM246" s="286"/>
    </row>
    <row r="247" spans="1:39" s="51" customFormat="1" ht="33.75" hidden="1" x14ac:dyDescent="0.25">
      <c r="A247" s="384" t="s">
        <v>1508</v>
      </c>
      <c r="B247" s="59" t="s">
        <v>87</v>
      </c>
      <c r="C247" s="248"/>
      <c r="D247" s="59">
        <v>92522</v>
      </c>
      <c r="E247" s="60" t="s">
        <v>1162</v>
      </c>
      <c r="F247" s="59" t="s">
        <v>51</v>
      </c>
      <c r="G247" s="61">
        <v>5.6239999999999997</v>
      </c>
      <c r="H247" s="62">
        <v>25.11</v>
      </c>
      <c r="I247" s="62">
        <f t="shared" si="20"/>
        <v>141.21863999999999</v>
      </c>
      <c r="J247" s="62"/>
      <c r="K247" s="62">
        <v>48.928799999999995</v>
      </c>
      <c r="L247" s="62">
        <v>78.454799999999992</v>
      </c>
      <c r="M247" s="62">
        <v>13.835039999999999</v>
      </c>
      <c r="N247" s="62">
        <v>0</v>
      </c>
      <c r="O247" s="62">
        <v>0</v>
      </c>
      <c r="P247" s="298" t="s">
        <v>4160</v>
      </c>
      <c r="Q247" s="60" t="s">
        <v>27</v>
      </c>
      <c r="R247" s="60" t="s">
        <v>1510</v>
      </c>
      <c r="S247" s="286" t="str">
        <f t="shared" si="16"/>
        <v/>
      </c>
      <c r="T247" s="286" t="str">
        <f>IF($C247= "", T246, IF(ISNA(VLOOKUP($C247,'ABC-S'!$A$5:$A$271,1,FALSE)), "", VLOOKUP($C247,'ABC-S'!$A$5:$A$271,1,FALSE)))</f>
        <v/>
      </c>
      <c r="W247" s="286" t="s">
        <v>1508</v>
      </c>
      <c r="X247" s="286" t="s">
        <v>21</v>
      </c>
      <c r="Y247" s="286" t="s">
        <v>1513</v>
      </c>
      <c r="Z247" s="335" t="s">
        <v>21</v>
      </c>
      <c r="AA247" s="286" t="s">
        <v>21</v>
      </c>
      <c r="AB247" s="378"/>
      <c r="AC247" s="381">
        <v>92522</v>
      </c>
      <c r="AD247" s="378">
        <v>5.6239999999999997</v>
      </c>
      <c r="AE247" s="378">
        <v>0.50824000000000003</v>
      </c>
      <c r="AF247" s="378">
        <v>2.8583417600000001</v>
      </c>
      <c r="AG247" s="378"/>
      <c r="AI247" s="378">
        <v>0</v>
      </c>
      <c r="AJ247" s="378">
        <v>0</v>
      </c>
      <c r="AL247" s="286">
        <v>92522</v>
      </c>
      <c r="AM247" s="286"/>
    </row>
    <row r="248" spans="1:39" s="51" customFormat="1" ht="33.75" hidden="1" x14ac:dyDescent="0.25">
      <c r="A248" s="384" t="s">
        <v>1508</v>
      </c>
      <c r="B248" s="59" t="s">
        <v>87</v>
      </c>
      <c r="C248" s="248"/>
      <c r="D248" s="59">
        <v>100342</v>
      </c>
      <c r="E248" s="60" t="s">
        <v>501</v>
      </c>
      <c r="F248" s="59" t="s">
        <v>54</v>
      </c>
      <c r="G248" s="61">
        <f>((46.354 + (14 * (0.22 * 5) * 0.164)) / 3.3) * G251</f>
        <v>56.211539999999999</v>
      </c>
      <c r="H248" s="62">
        <v>15.7</v>
      </c>
      <c r="I248" s="62">
        <f t="shared" si="20"/>
        <v>882.52117799999996</v>
      </c>
      <c r="J248" s="62"/>
      <c r="K248" s="62">
        <v>165.26192760000001</v>
      </c>
      <c r="L248" s="62">
        <v>717.25925039999993</v>
      </c>
      <c r="M248" s="62">
        <v>0</v>
      </c>
      <c r="N248" s="62">
        <v>0</v>
      </c>
      <c r="O248" s="62">
        <v>0</v>
      </c>
      <c r="P248" s="298" t="s">
        <v>4160</v>
      </c>
      <c r="Q248" s="60" t="s">
        <v>27</v>
      </c>
      <c r="R248" s="60" t="s">
        <v>1507</v>
      </c>
      <c r="S248" s="286" t="str">
        <f t="shared" si="16"/>
        <v/>
      </c>
      <c r="T248" s="286" t="str">
        <f>IF($C248= "", T247, IF(ISNA(VLOOKUP($C248,'ABC-S'!$A$5:$A$271,1,FALSE)), "", VLOOKUP($C248,'ABC-S'!$A$5:$A$271,1,FALSE)))</f>
        <v/>
      </c>
      <c r="W248" s="286" t="s">
        <v>1508</v>
      </c>
      <c r="X248" s="286" t="s">
        <v>21</v>
      </c>
      <c r="Y248" s="286" t="s">
        <v>1513</v>
      </c>
      <c r="Z248" s="335" t="s">
        <v>21</v>
      </c>
      <c r="AA248" s="286" t="s">
        <v>21</v>
      </c>
      <c r="AB248" s="378"/>
      <c r="AC248" s="381">
        <v>100342</v>
      </c>
      <c r="AD248" s="378">
        <v>56.211539999999999</v>
      </c>
      <c r="AE248" s="378">
        <v>0.16930000000000001</v>
      </c>
      <c r="AF248" s="378">
        <v>9.5166137220000007</v>
      </c>
      <c r="AG248" s="378"/>
      <c r="AI248" s="378">
        <v>0</v>
      </c>
      <c r="AJ248" s="378">
        <v>0</v>
      </c>
      <c r="AL248" s="286">
        <v>100342</v>
      </c>
      <c r="AM248" s="286"/>
    </row>
    <row r="249" spans="1:39" s="51" customFormat="1" ht="33.75" hidden="1" x14ac:dyDescent="0.25">
      <c r="A249" s="384" t="s">
        <v>1508</v>
      </c>
      <c r="B249" s="59" t="s">
        <v>87</v>
      </c>
      <c r="C249" s="248"/>
      <c r="D249" s="59">
        <v>100345</v>
      </c>
      <c r="E249" s="60" t="s">
        <v>499</v>
      </c>
      <c r="F249" s="59" t="s">
        <v>54</v>
      </c>
      <c r="G249" s="61">
        <f>(109.532 / 3.3) * G251</f>
        <v>125.96180000000001</v>
      </c>
      <c r="H249" s="62">
        <v>11.32</v>
      </c>
      <c r="I249" s="62">
        <f t="shared" si="20"/>
        <v>1425.8875760000001</v>
      </c>
      <c r="J249" s="62"/>
      <c r="K249" s="62">
        <v>125.96180000000001</v>
      </c>
      <c r="L249" s="62">
        <v>1299.925776</v>
      </c>
      <c r="M249" s="62">
        <v>0</v>
      </c>
      <c r="N249" s="62">
        <v>0</v>
      </c>
      <c r="O249" s="62">
        <v>0</v>
      </c>
      <c r="P249" s="298" t="s">
        <v>4160</v>
      </c>
      <c r="Q249" s="60" t="s">
        <v>27</v>
      </c>
      <c r="R249" s="60" t="s">
        <v>1507</v>
      </c>
      <c r="S249" s="286" t="str">
        <f t="shared" si="16"/>
        <v/>
      </c>
      <c r="T249" s="286" t="str">
        <f>IF($C249= "", T248, IF(ISNA(VLOOKUP($C249,'ABC-S'!$A$5:$A$271,1,FALSE)), "", VLOOKUP($C249,'ABC-S'!$A$5:$A$271,1,FALSE)))</f>
        <v/>
      </c>
      <c r="W249" s="286" t="s">
        <v>1508</v>
      </c>
      <c r="X249" s="286" t="s">
        <v>21</v>
      </c>
      <c r="Y249" s="286" t="s">
        <v>1513</v>
      </c>
      <c r="Z249" s="335" t="s">
        <v>21</v>
      </c>
      <c r="AA249" s="286" t="s">
        <v>21</v>
      </c>
      <c r="AB249" s="378"/>
      <c r="AC249" s="381">
        <v>100345</v>
      </c>
      <c r="AD249" s="378">
        <v>125.96180000000001</v>
      </c>
      <c r="AE249" s="378">
        <v>5.8000000000000003E-2</v>
      </c>
      <c r="AF249" s="378">
        <v>7.3057844000000012</v>
      </c>
      <c r="AG249" s="378"/>
      <c r="AI249" s="378">
        <v>0</v>
      </c>
      <c r="AJ249" s="378">
        <v>0</v>
      </c>
      <c r="AL249" s="286">
        <v>100345</v>
      </c>
      <c r="AM249" s="286"/>
    </row>
    <row r="250" spans="1:39" s="51" customFormat="1" ht="33.75" hidden="1" x14ac:dyDescent="0.25">
      <c r="A250" s="384" t="s">
        <v>1508</v>
      </c>
      <c r="B250" s="59" t="s">
        <v>87</v>
      </c>
      <c r="C250" s="248"/>
      <c r="D250" s="59">
        <v>100346</v>
      </c>
      <c r="E250" s="60" t="s">
        <v>500</v>
      </c>
      <c r="F250" s="59" t="s">
        <v>54</v>
      </c>
      <c r="G250" s="61">
        <f>(18.936 / 3.3) * G251</f>
        <v>21.776399999999999</v>
      </c>
      <c r="H250" s="62">
        <v>10.81</v>
      </c>
      <c r="I250" s="62">
        <f t="shared" si="20"/>
        <v>235.402884</v>
      </c>
      <c r="J250" s="62"/>
      <c r="K250" s="62">
        <v>13.936895999999999</v>
      </c>
      <c r="L250" s="62">
        <v>221.46598799999998</v>
      </c>
      <c r="M250" s="62">
        <v>0</v>
      </c>
      <c r="N250" s="62">
        <v>0</v>
      </c>
      <c r="O250" s="62">
        <v>2.8421709430404007E-14</v>
      </c>
      <c r="P250" s="298" t="s">
        <v>4160</v>
      </c>
      <c r="Q250" s="60" t="s">
        <v>27</v>
      </c>
      <c r="R250" s="60" t="s">
        <v>1507</v>
      </c>
      <c r="S250" s="286" t="str">
        <f t="shared" si="16"/>
        <v/>
      </c>
      <c r="T250" s="286" t="str">
        <f>IF($C250= "", T249, IF(ISNA(VLOOKUP($C250,'ABC-S'!$A$5:$A$271,1,FALSE)), "", VLOOKUP($C250,'ABC-S'!$A$5:$A$271,1,FALSE)))</f>
        <v/>
      </c>
      <c r="W250" s="286" t="s">
        <v>1508</v>
      </c>
      <c r="X250" s="286" t="s">
        <v>21</v>
      </c>
      <c r="Y250" s="286" t="s">
        <v>1513</v>
      </c>
      <c r="Z250" s="335" t="s">
        <v>21</v>
      </c>
      <c r="AA250" s="286" t="s">
        <v>21</v>
      </c>
      <c r="AB250" s="378"/>
      <c r="AC250" s="381">
        <v>100346</v>
      </c>
      <c r="AD250" s="378">
        <v>21.776399999999999</v>
      </c>
      <c r="AE250" s="378">
        <v>3.7200000000000004E-2</v>
      </c>
      <c r="AF250" s="378">
        <v>0.81008208000000004</v>
      </c>
      <c r="AG250" s="378"/>
      <c r="AI250" s="378">
        <v>0</v>
      </c>
      <c r="AJ250" s="378">
        <v>0</v>
      </c>
      <c r="AL250" s="286">
        <v>100346</v>
      </c>
      <c r="AM250" s="286"/>
    </row>
    <row r="251" spans="1:39" s="51" customFormat="1" ht="56.25" hidden="1" x14ac:dyDescent="0.25">
      <c r="A251" s="384" t="s">
        <v>1508</v>
      </c>
      <c r="B251" s="59" t="s">
        <v>87</v>
      </c>
      <c r="C251" s="248"/>
      <c r="D251" s="59">
        <v>92725</v>
      </c>
      <c r="E251" s="60" t="s">
        <v>543</v>
      </c>
      <c r="F251" s="59" t="s">
        <v>44</v>
      </c>
      <c r="G251" s="61">
        <v>3.7949999999999999</v>
      </c>
      <c r="H251" s="62">
        <v>381.93</v>
      </c>
      <c r="I251" s="62">
        <f t="shared" si="20"/>
        <v>1449.42435</v>
      </c>
      <c r="J251" s="62"/>
      <c r="K251" s="62">
        <v>72.370649999999998</v>
      </c>
      <c r="L251" s="62">
        <v>1376.5983000000001</v>
      </c>
      <c r="M251" s="62">
        <v>0.30359999999999998</v>
      </c>
      <c r="N251" s="62">
        <v>0</v>
      </c>
      <c r="O251" s="62">
        <v>0.15179999999986649</v>
      </c>
      <c r="P251" s="298" t="s">
        <v>4160</v>
      </c>
      <c r="Q251" s="60" t="s">
        <v>27</v>
      </c>
      <c r="R251" s="60" t="s">
        <v>1510</v>
      </c>
      <c r="S251" s="286" t="str">
        <f t="shared" si="16"/>
        <v/>
      </c>
      <c r="T251" s="286" t="str">
        <f>IF($C251= "", T250, IF(ISNA(VLOOKUP($C251,'ABC-S'!$A$5:$A$271,1,FALSE)), "", VLOOKUP($C251,'ABC-S'!$A$5:$A$271,1,FALSE)))</f>
        <v/>
      </c>
      <c r="W251" s="286" t="s">
        <v>1508</v>
      </c>
      <c r="X251" s="286" t="s">
        <v>21</v>
      </c>
      <c r="Y251" s="286" t="s">
        <v>1513</v>
      </c>
      <c r="Z251" s="335" t="s">
        <v>21</v>
      </c>
      <c r="AA251" s="286" t="s">
        <v>21</v>
      </c>
      <c r="AB251" s="378"/>
      <c r="AC251" s="381">
        <v>92725</v>
      </c>
      <c r="AD251" s="378">
        <v>3.7949999999999999</v>
      </c>
      <c r="AE251" s="378">
        <v>1.2969999999999999</v>
      </c>
      <c r="AF251" s="378">
        <v>4.9221149999999998</v>
      </c>
      <c r="AG251" s="378"/>
      <c r="AI251" s="378">
        <v>0</v>
      </c>
      <c r="AJ251" s="378">
        <v>0</v>
      </c>
      <c r="AL251" s="286">
        <v>92725</v>
      </c>
      <c r="AM251" s="286"/>
    </row>
    <row r="252" spans="1:39" s="51" customFormat="1" ht="33.75" hidden="1" x14ac:dyDescent="0.25">
      <c r="A252" s="384" t="s">
        <v>1508</v>
      </c>
      <c r="B252" s="59" t="s">
        <v>87</v>
      </c>
      <c r="C252" s="59"/>
      <c r="D252" s="59">
        <v>98682</v>
      </c>
      <c r="E252" s="60" t="s">
        <v>1165</v>
      </c>
      <c r="F252" s="59" t="s">
        <v>51</v>
      </c>
      <c r="G252" s="61">
        <f>((0.15 * 1.1667) / 0.03)</f>
        <v>5.8334999999999999</v>
      </c>
      <c r="H252" s="62">
        <v>34.44</v>
      </c>
      <c r="I252" s="62">
        <f>IF($D252="","",G252*H252)</f>
        <v>200.90573999999998</v>
      </c>
      <c r="J252" s="62"/>
      <c r="K252" s="62">
        <v>59.851709999999997</v>
      </c>
      <c r="L252" s="62">
        <v>140.58735000000001</v>
      </c>
      <c r="M252" s="62">
        <v>0.29167500000000002</v>
      </c>
      <c r="N252" s="62">
        <v>0</v>
      </c>
      <c r="O252" s="62">
        <v>0.17500499999997032</v>
      </c>
      <c r="P252" s="298" t="s">
        <v>4160</v>
      </c>
      <c r="Q252" s="60" t="s">
        <v>27</v>
      </c>
      <c r="R252" s="60" t="s">
        <v>1509</v>
      </c>
      <c r="S252" s="286" t="str">
        <f t="shared" si="16"/>
        <v/>
      </c>
      <c r="T252" s="286" t="str">
        <f>IF($C252= "", T251, IF(ISNA(VLOOKUP($C252,'ABC-S'!$A$5:$A$271,1,FALSE)), "", VLOOKUP($C252,'ABC-S'!$A$5:$A$271,1,FALSE)))</f>
        <v/>
      </c>
      <c r="W252" s="286" t="s">
        <v>1508</v>
      </c>
      <c r="X252" s="286" t="s">
        <v>21</v>
      </c>
      <c r="Y252" s="286" t="s">
        <v>1513</v>
      </c>
      <c r="Z252" s="335" t="s">
        <v>21</v>
      </c>
      <c r="AA252" s="286" t="s">
        <v>21</v>
      </c>
      <c r="AB252" s="378"/>
      <c r="AC252" s="381">
        <v>98682</v>
      </c>
      <c r="AD252" s="378">
        <v>5.8334999999999999</v>
      </c>
      <c r="AE252" s="378">
        <v>0.69050199999999995</v>
      </c>
      <c r="AF252" s="378">
        <v>4.0280434169999992</v>
      </c>
      <c r="AG252" s="378"/>
      <c r="AI252" s="378">
        <v>4.3099999999999999E-2</v>
      </c>
      <c r="AJ252" s="378">
        <v>0.25142385</v>
      </c>
      <c r="AL252" s="286">
        <v>98682</v>
      </c>
      <c r="AM252" s="286"/>
    </row>
    <row r="253" spans="1:39" s="51" customFormat="1" ht="33.75" hidden="1" x14ac:dyDescent="0.25">
      <c r="A253" s="384" t="s">
        <v>1508</v>
      </c>
      <c r="B253" s="59" t="s">
        <v>87</v>
      </c>
      <c r="C253" s="248"/>
      <c r="D253" s="59">
        <v>96620</v>
      </c>
      <c r="E253" s="60" t="s">
        <v>1308</v>
      </c>
      <c r="F253" s="59" t="s">
        <v>44</v>
      </c>
      <c r="G253" s="61">
        <v>0</v>
      </c>
      <c r="H253" s="62">
        <v>525.14</v>
      </c>
      <c r="I253" s="62">
        <f>IF($D253="","",G253*H253)</f>
        <v>0</v>
      </c>
      <c r="J253" s="62"/>
      <c r="K253" s="62">
        <v>0</v>
      </c>
      <c r="L253" s="62">
        <v>0</v>
      </c>
      <c r="M253" s="62">
        <v>0</v>
      </c>
      <c r="N253" s="62">
        <v>0</v>
      </c>
      <c r="O253" s="62">
        <v>0</v>
      </c>
      <c r="P253" s="298" t="s">
        <v>4160</v>
      </c>
      <c r="Q253" s="60" t="s">
        <v>27</v>
      </c>
      <c r="R253" s="60" t="s">
        <v>1398</v>
      </c>
      <c r="S253" s="286" t="str">
        <f t="shared" si="16"/>
        <v/>
      </c>
      <c r="T253" s="286" t="str">
        <f>IF($C253= "", T252, IF(ISNA(VLOOKUP($C253,'ABC-S'!$A$5:$A$271,1,FALSE)), "", VLOOKUP($C253,'ABC-S'!$A$5:$A$271,1,FALSE)))</f>
        <v/>
      </c>
      <c r="W253" s="286" t="s">
        <v>1508</v>
      </c>
      <c r="X253" s="286" t="s">
        <v>21</v>
      </c>
      <c r="Y253" s="286" t="s">
        <v>1513</v>
      </c>
      <c r="Z253" s="335" t="s">
        <v>21</v>
      </c>
      <c r="AA253" s="286" t="s">
        <v>21</v>
      </c>
      <c r="AB253" s="378"/>
      <c r="AC253" s="381">
        <v>96620</v>
      </c>
      <c r="AD253" s="378">
        <v>0</v>
      </c>
      <c r="AE253" s="378">
        <v>10.804148999999999</v>
      </c>
      <c r="AF253" s="378">
        <v>0</v>
      </c>
      <c r="AG253" s="378"/>
      <c r="AI253" s="378">
        <v>1.1299999999999999</v>
      </c>
      <c r="AJ253" s="378">
        <v>0</v>
      </c>
      <c r="AL253" s="286">
        <v>96620</v>
      </c>
      <c r="AM253" s="286"/>
    </row>
    <row r="254" spans="1:39" s="51" customFormat="1" x14ac:dyDescent="0.25">
      <c r="A254" s="55" t="s">
        <v>2824</v>
      </c>
      <c r="B254" s="55" t="s">
        <v>138</v>
      </c>
      <c r="C254" s="55" t="s">
        <v>2824</v>
      </c>
      <c r="D254" s="55"/>
      <c r="E254" s="56" t="s">
        <v>2825</v>
      </c>
      <c r="F254" s="55" t="s">
        <v>22</v>
      </c>
      <c r="G254" s="57"/>
      <c r="H254" s="58"/>
      <c r="I254" s="58"/>
      <c r="J254" s="58">
        <f>SUM(I254:I255)</f>
        <v>89.45174999999999</v>
      </c>
      <c r="K254" s="58">
        <v>0</v>
      </c>
      <c r="L254" s="58">
        <v>89.45174999999999</v>
      </c>
      <c r="M254" s="58">
        <v>0</v>
      </c>
      <c r="N254" s="58">
        <v>0</v>
      </c>
      <c r="O254" s="58">
        <v>0</v>
      </c>
      <c r="P254" s="58"/>
      <c r="Q254" s="56"/>
      <c r="R254" s="56" t="s">
        <v>1026</v>
      </c>
      <c r="S254" s="286" t="str">
        <f t="shared" si="16"/>
        <v>SIM</v>
      </c>
      <c r="T254" s="286" t="str">
        <f>IF($C254= "", T253, IF(ISNA(VLOOKUP($C254,'ABC-S'!$A$5:$A$271,1,FALSE)), "", VLOOKUP($C254,'ABC-S'!$A$5:$A$271,1,FALSE)))</f>
        <v>CP0350</v>
      </c>
      <c r="W254" s="286" t="s">
        <v>2824</v>
      </c>
      <c r="X254" s="286"/>
      <c r="Y254" s="286"/>
      <c r="Z254" s="286"/>
      <c r="AA254" s="286" t="s">
        <v>21</v>
      </c>
      <c r="AB254" s="378">
        <v>0</v>
      </c>
      <c r="AC254" s="378"/>
      <c r="AD254" s="335"/>
      <c r="AE254" s="335"/>
      <c r="AF254" s="335"/>
      <c r="AG254" s="378">
        <v>0</v>
      </c>
      <c r="AI254" s="378" t="s">
        <v>21</v>
      </c>
      <c r="AJ254" s="378" t="s">
        <v>21</v>
      </c>
      <c r="AL254" s="286"/>
      <c r="AM254" s="286"/>
    </row>
    <row r="255" spans="1:39" s="51" customFormat="1" ht="33.75" x14ac:dyDescent="0.25">
      <c r="A255" s="59" t="s">
        <v>2824</v>
      </c>
      <c r="B255" s="59" t="s">
        <v>86</v>
      </c>
      <c r="C255" s="59"/>
      <c r="D255" s="59">
        <v>7760</v>
      </c>
      <c r="E255" s="60" t="s">
        <v>812</v>
      </c>
      <c r="F255" s="59" t="s">
        <v>3667</v>
      </c>
      <c r="G255" s="61">
        <v>1.0249999999999999</v>
      </c>
      <c r="H255" s="62">
        <v>87.27</v>
      </c>
      <c r="I255" s="62">
        <f>IF($D255="","",G255*H255)</f>
        <v>89.45174999999999</v>
      </c>
      <c r="J255" s="62"/>
      <c r="K255" s="62">
        <v>0</v>
      </c>
      <c r="L255" s="62">
        <v>89.45174999999999</v>
      </c>
      <c r="M255" s="62">
        <v>0</v>
      </c>
      <c r="N255" s="62">
        <v>0</v>
      </c>
      <c r="O255" s="62">
        <v>0</v>
      </c>
      <c r="P255" s="298" t="s">
        <v>89</v>
      </c>
      <c r="Q255" s="60" t="s">
        <v>27</v>
      </c>
      <c r="R255" s="60" t="s">
        <v>27</v>
      </c>
      <c r="S255" s="286" t="str">
        <f t="shared" si="16"/>
        <v>SIM</v>
      </c>
      <c r="T255" s="286" t="str">
        <f>IF($C255= "", T254, IF(ISNA(VLOOKUP($C255,'ABC-S'!$A$5:$A$271,1,FALSE)), "", VLOOKUP($C255,'ABC-S'!$A$5:$A$271,1,FALSE)))</f>
        <v>CP0350</v>
      </c>
      <c r="W255" s="286" t="s">
        <v>2824</v>
      </c>
      <c r="X255" s="286" t="s">
        <v>21</v>
      </c>
      <c r="Y255" s="286" t="s">
        <v>21</v>
      </c>
      <c r="Z255" s="286" t="s">
        <v>21</v>
      </c>
      <c r="AA255" s="286" t="s">
        <v>21</v>
      </c>
      <c r="AB255" s="378"/>
      <c r="AC255" s="381" t="s">
        <v>21</v>
      </c>
      <c r="AD255" s="378" t="s">
        <v>21</v>
      </c>
      <c r="AE255" s="378" t="s">
        <v>21</v>
      </c>
      <c r="AF255" s="378" t="s">
        <v>21</v>
      </c>
      <c r="AG255" s="378"/>
      <c r="AI255" s="378" t="s">
        <v>21</v>
      </c>
      <c r="AJ255" s="378" t="s">
        <v>21</v>
      </c>
      <c r="AL255" s="286"/>
      <c r="AM255" s="286">
        <v>7781</v>
      </c>
    </row>
    <row r="256" spans="1:39" s="51" customFormat="1" x14ac:dyDescent="0.25">
      <c r="A256" s="55" t="s">
        <v>2333</v>
      </c>
      <c r="B256" s="55" t="s">
        <v>138</v>
      </c>
      <c r="C256" s="55" t="s">
        <v>2333</v>
      </c>
      <c r="D256" s="55"/>
      <c r="E256" s="56" t="s">
        <v>2351</v>
      </c>
      <c r="F256" s="55" t="s">
        <v>22</v>
      </c>
      <c r="G256" s="57"/>
      <c r="H256" s="58"/>
      <c r="I256" s="58"/>
      <c r="J256" s="58">
        <f>SUM(I256:I257)</f>
        <v>48.144249999999992</v>
      </c>
      <c r="K256" s="58">
        <v>0</v>
      </c>
      <c r="L256" s="58">
        <v>48.144249999999992</v>
      </c>
      <c r="M256" s="58">
        <v>0</v>
      </c>
      <c r="N256" s="58">
        <v>0</v>
      </c>
      <c r="O256" s="58">
        <v>0</v>
      </c>
      <c r="P256" s="58"/>
      <c r="Q256" s="56"/>
      <c r="R256" s="56" t="s">
        <v>1026</v>
      </c>
      <c r="S256" s="286" t="str">
        <f t="shared" si="16"/>
        <v>SIM</v>
      </c>
      <c r="T256" s="286" t="str">
        <f>IF($C256= "", T255, IF(ISNA(VLOOKUP($C256,'ABC-S'!$A$5:$A$271,1,FALSE)), "", VLOOKUP($C256,'ABC-S'!$A$5:$A$271,1,FALSE)))</f>
        <v>CP0351</v>
      </c>
      <c r="W256" s="286" t="s">
        <v>2333</v>
      </c>
      <c r="X256" s="286"/>
      <c r="Y256" s="286"/>
      <c r="Z256" s="286"/>
      <c r="AA256" s="286" t="s">
        <v>21</v>
      </c>
      <c r="AB256" s="378">
        <v>0</v>
      </c>
      <c r="AC256" s="378"/>
      <c r="AD256" s="335"/>
      <c r="AE256" s="335"/>
      <c r="AF256" s="335"/>
      <c r="AG256" s="378">
        <v>0</v>
      </c>
      <c r="AI256" s="378" t="s">
        <v>21</v>
      </c>
      <c r="AJ256" s="378" t="s">
        <v>21</v>
      </c>
      <c r="AL256" s="286"/>
      <c r="AM256" s="286"/>
    </row>
    <row r="257" spans="1:39" s="51" customFormat="1" ht="33.75" x14ac:dyDescent="0.25">
      <c r="A257" s="59" t="s">
        <v>2333</v>
      </c>
      <c r="B257" s="59" t="s">
        <v>86</v>
      </c>
      <c r="C257" s="59"/>
      <c r="D257" s="59">
        <v>7781</v>
      </c>
      <c r="E257" s="60" t="s">
        <v>820</v>
      </c>
      <c r="F257" s="59" t="s">
        <v>3667</v>
      </c>
      <c r="G257" s="61">
        <v>1.0249999999999999</v>
      </c>
      <c r="H257" s="62">
        <v>46.97</v>
      </c>
      <c r="I257" s="62">
        <f>IF($D257="","",G257*H257)</f>
        <v>48.144249999999992</v>
      </c>
      <c r="J257" s="62"/>
      <c r="K257" s="62">
        <v>0</v>
      </c>
      <c r="L257" s="62">
        <v>48.144249999999992</v>
      </c>
      <c r="M257" s="62">
        <v>0</v>
      </c>
      <c r="N257" s="62">
        <v>0</v>
      </c>
      <c r="O257" s="62">
        <v>0</v>
      </c>
      <c r="P257" s="298" t="s">
        <v>89</v>
      </c>
      <c r="Q257" s="60" t="s">
        <v>27</v>
      </c>
      <c r="R257" s="60" t="s">
        <v>27</v>
      </c>
      <c r="S257" s="286" t="str">
        <f t="shared" si="16"/>
        <v>SIM</v>
      </c>
      <c r="T257" s="286" t="str">
        <f>IF($C257= "", T256, IF(ISNA(VLOOKUP($C257,'ABC-S'!$A$5:$A$271,1,FALSE)), "", VLOOKUP($C257,'ABC-S'!$A$5:$A$271,1,FALSE)))</f>
        <v>CP0351</v>
      </c>
      <c r="W257" s="286" t="s">
        <v>2333</v>
      </c>
      <c r="X257" s="286" t="s">
        <v>21</v>
      </c>
      <c r="Y257" s="286" t="s">
        <v>21</v>
      </c>
      <c r="Z257" s="286" t="s">
        <v>21</v>
      </c>
      <c r="AA257" s="286" t="s">
        <v>21</v>
      </c>
      <c r="AB257" s="378"/>
      <c r="AC257" s="381" t="s">
        <v>21</v>
      </c>
      <c r="AD257" s="378" t="s">
        <v>21</v>
      </c>
      <c r="AE257" s="378" t="s">
        <v>21</v>
      </c>
      <c r="AF257" s="378" t="s">
        <v>21</v>
      </c>
      <c r="AG257" s="378"/>
      <c r="AI257" s="378" t="s">
        <v>21</v>
      </c>
      <c r="AJ257" s="378" t="s">
        <v>21</v>
      </c>
      <c r="AL257" s="286"/>
      <c r="AM257" s="286">
        <v>7781</v>
      </c>
    </row>
    <row r="258" spans="1:39" s="51" customFormat="1" x14ac:dyDescent="0.25">
      <c r="A258" s="55" t="s">
        <v>2334</v>
      </c>
      <c r="B258" s="55" t="s">
        <v>138</v>
      </c>
      <c r="C258" s="55" t="s">
        <v>2334</v>
      </c>
      <c r="D258" s="55"/>
      <c r="E258" s="56" t="s">
        <v>2368</v>
      </c>
      <c r="F258" s="55" t="s">
        <v>22</v>
      </c>
      <c r="G258" s="57"/>
      <c r="H258" s="58"/>
      <c r="I258" s="58"/>
      <c r="J258" s="58">
        <f>SUM(I258:I259)</f>
        <v>71.657749999999993</v>
      </c>
      <c r="K258" s="58">
        <v>0</v>
      </c>
      <c r="L258" s="58">
        <v>71.657749999999993</v>
      </c>
      <c r="M258" s="58">
        <v>0</v>
      </c>
      <c r="N258" s="58">
        <v>0</v>
      </c>
      <c r="O258" s="58">
        <v>0</v>
      </c>
      <c r="P258" s="58"/>
      <c r="Q258" s="56"/>
      <c r="R258" s="56" t="s">
        <v>1026</v>
      </c>
      <c r="S258" s="286" t="str">
        <f t="shared" si="16"/>
        <v>SIM</v>
      </c>
      <c r="T258" s="286" t="str">
        <f>IF($C258= "", T257, IF(ISNA(VLOOKUP($C258,'ABC-S'!$A$5:$A$271,1,FALSE)), "", VLOOKUP($C258,'ABC-S'!$A$5:$A$271,1,FALSE)))</f>
        <v>CP0352</v>
      </c>
      <c r="W258" s="286" t="s">
        <v>2334</v>
      </c>
      <c r="X258" s="286"/>
      <c r="Y258" s="286"/>
      <c r="Z258" s="286"/>
      <c r="AA258" s="286" t="s">
        <v>21</v>
      </c>
      <c r="AB258" s="378">
        <v>0</v>
      </c>
      <c r="AC258" s="378"/>
      <c r="AD258" s="335"/>
      <c r="AE258" s="335"/>
      <c r="AF258" s="335"/>
      <c r="AG258" s="378">
        <v>0</v>
      </c>
      <c r="AI258" s="378" t="s">
        <v>21</v>
      </c>
      <c r="AJ258" s="378" t="s">
        <v>21</v>
      </c>
      <c r="AL258" s="286"/>
      <c r="AM258" s="286"/>
    </row>
    <row r="259" spans="1:39" s="51" customFormat="1" ht="33.75" x14ac:dyDescent="0.25">
      <c r="A259" s="59" t="s">
        <v>2334</v>
      </c>
      <c r="B259" s="59" t="s">
        <v>86</v>
      </c>
      <c r="C259" s="59"/>
      <c r="D259" s="59">
        <v>7795</v>
      </c>
      <c r="E259" s="60" t="s">
        <v>821</v>
      </c>
      <c r="F259" s="59" t="s">
        <v>3667</v>
      </c>
      <c r="G259" s="61">
        <v>1.0249999999999999</v>
      </c>
      <c r="H259" s="62">
        <v>69.91</v>
      </c>
      <c r="I259" s="62">
        <f>IF($D259="","",G259*H259)</f>
        <v>71.657749999999993</v>
      </c>
      <c r="J259" s="62"/>
      <c r="K259" s="62">
        <v>0</v>
      </c>
      <c r="L259" s="62">
        <v>71.657749999999993</v>
      </c>
      <c r="M259" s="62">
        <v>0</v>
      </c>
      <c r="N259" s="62">
        <v>0</v>
      </c>
      <c r="O259" s="62">
        <v>0</v>
      </c>
      <c r="P259" s="298" t="s">
        <v>89</v>
      </c>
      <c r="Q259" s="60" t="s">
        <v>27</v>
      </c>
      <c r="R259" s="60" t="s">
        <v>27</v>
      </c>
      <c r="S259" s="286" t="str">
        <f t="shared" si="16"/>
        <v>SIM</v>
      </c>
      <c r="T259" s="286" t="str">
        <f>IF($C259= "", T258, IF(ISNA(VLOOKUP($C259,'ABC-S'!$A$5:$A$271,1,FALSE)), "", VLOOKUP($C259,'ABC-S'!$A$5:$A$271,1,FALSE)))</f>
        <v>CP0352</v>
      </c>
      <c r="W259" s="286" t="s">
        <v>2334</v>
      </c>
      <c r="X259" s="286" t="s">
        <v>21</v>
      </c>
      <c r="Y259" s="286" t="s">
        <v>21</v>
      </c>
      <c r="Z259" s="286" t="s">
        <v>21</v>
      </c>
      <c r="AA259" s="286" t="s">
        <v>21</v>
      </c>
      <c r="AB259" s="378"/>
      <c r="AC259" s="381" t="s">
        <v>21</v>
      </c>
      <c r="AD259" s="378" t="s">
        <v>21</v>
      </c>
      <c r="AE259" s="378" t="s">
        <v>21</v>
      </c>
      <c r="AF259" s="378" t="s">
        <v>21</v>
      </c>
      <c r="AG259" s="378"/>
      <c r="AI259" s="378" t="s">
        <v>21</v>
      </c>
      <c r="AJ259" s="378" t="s">
        <v>21</v>
      </c>
      <c r="AL259" s="286"/>
      <c r="AM259" s="286">
        <v>7781</v>
      </c>
    </row>
    <row r="260" spans="1:39" s="51" customFormat="1" x14ac:dyDescent="0.25">
      <c r="A260" s="55" t="s">
        <v>2335</v>
      </c>
      <c r="B260" s="55" t="s">
        <v>138</v>
      </c>
      <c r="C260" s="55" t="s">
        <v>2335</v>
      </c>
      <c r="D260" s="55"/>
      <c r="E260" s="56" t="s">
        <v>2355</v>
      </c>
      <c r="F260" s="55" t="s">
        <v>22</v>
      </c>
      <c r="G260" s="57"/>
      <c r="H260" s="58"/>
      <c r="I260" s="58"/>
      <c r="J260" s="58">
        <f>SUM(I260:I261)</f>
        <v>85.772000000000006</v>
      </c>
      <c r="K260" s="58">
        <v>0</v>
      </c>
      <c r="L260" s="58">
        <v>85.772000000000006</v>
      </c>
      <c r="M260" s="58">
        <v>0</v>
      </c>
      <c r="N260" s="58">
        <v>0</v>
      </c>
      <c r="O260" s="58">
        <v>0</v>
      </c>
      <c r="P260" s="58"/>
      <c r="Q260" s="56"/>
      <c r="R260" s="56" t="s">
        <v>1026</v>
      </c>
      <c r="S260" s="286" t="str">
        <f t="shared" si="16"/>
        <v>SIM</v>
      </c>
      <c r="T260" s="286" t="str">
        <f>IF($C260= "", T259, IF(ISNA(VLOOKUP($C260,'ABC-S'!$A$5:$A$271,1,FALSE)), "", VLOOKUP($C260,'ABC-S'!$A$5:$A$271,1,FALSE)))</f>
        <v>CP0353</v>
      </c>
      <c r="W260" s="286" t="s">
        <v>2335</v>
      </c>
      <c r="X260" s="286"/>
      <c r="Y260" s="286"/>
      <c r="Z260" s="286"/>
      <c r="AA260" s="286" t="s">
        <v>21</v>
      </c>
      <c r="AB260" s="378">
        <v>0</v>
      </c>
      <c r="AC260" s="378"/>
      <c r="AD260" s="335"/>
      <c r="AE260" s="335"/>
      <c r="AF260" s="335"/>
      <c r="AG260" s="378">
        <v>0</v>
      </c>
      <c r="AI260" s="378" t="s">
        <v>21</v>
      </c>
      <c r="AJ260" s="378" t="s">
        <v>21</v>
      </c>
      <c r="AL260" s="286"/>
      <c r="AM260" s="286"/>
    </row>
    <row r="261" spans="1:39" s="51" customFormat="1" ht="33.75" x14ac:dyDescent="0.25">
      <c r="A261" s="59" t="s">
        <v>2335</v>
      </c>
      <c r="B261" s="59" t="s">
        <v>86</v>
      </c>
      <c r="C261" s="59"/>
      <c r="D261" s="59">
        <v>7791</v>
      </c>
      <c r="E261" s="60" t="s">
        <v>822</v>
      </c>
      <c r="F261" s="59" t="s">
        <v>3667</v>
      </c>
      <c r="G261" s="61">
        <v>1.0249999999999999</v>
      </c>
      <c r="H261" s="62">
        <v>83.68</v>
      </c>
      <c r="I261" s="62">
        <f>IF($D261="","",G261*H261)</f>
        <v>85.772000000000006</v>
      </c>
      <c r="J261" s="62"/>
      <c r="K261" s="62">
        <v>0</v>
      </c>
      <c r="L261" s="62">
        <v>85.772000000000006</v>
      </c>
      <c r="M261" s="62">
        <v>0</v>
      </c>
      <c r="N261" s="62">
        <v>0</v>
      </c>
      <c r="O261" s="62">
        <v>0</v>
      </c>
      <c r="P261" s="298" t="s">
        <v>89</v>
      </c>
      <c r="Q261" s="60" t="s">
        <v>27</v>
      </c>
      <c r="R261" s="60" t="s">
        <v>27</v>
      </c>
      <c r="S261" s="286" t="str">
        <f t="shared" si="16"/>
        <v>SIM</v>
      </c>
      <c r="T261" s="286" t="str">
        <f>IF($C261= "", T260, IF(ISNA(VLOOKUP($C261,'ABC-S'!$A$5:$A$271,1,FALSE)), "", VLOOKUP($C261,'ABC-S'!$A$5:$A$271,1,FALSE)))</f>
        <v>CP0353</v>
      </c>
      <c r="W261" s="286" t="s">
        <v>2335</v>
      </c>
      <c r="X261" s="286" t="s">
        <v>21</v>
      </c>
      <c r="Y261" s="286" t="s">
        <v>21</v>
      </c>
      <c r="Z261" s="286" t="s">
        <v>21</v>
      </c>
      <c r="AA261" s="286" t="s">
        <v>21</v>
      </c>
      <c r="AB261" s="378"/>
      <c r="AC261" s="381" t="s">
        <v>21</v>
      </c>
      <c r="AD261" s="378" t="s">
        <v>21</v>
      </c>
      <c r="AE261" s="378" t="s">
        <v>21</v>
      </c>
      <c r="AF261" s="378" t="s">
        <v>21</v>
      </c>
      <c r="AG261" s="378"/>
      <c r="AI261" s="378" t="s">
        <v>21</v>
      </c>
      <c r="AJ261" s="378" t="s">
        <v>21</v>
      </c>
      <c r="AL261" s="286"/>
      <c r="AM261" s="286">
        <v>7781</v>
      </c>
    </row>
    <row r="262" spans="1:39" s="51" customFormat="1" x14ac:dyDescent="0.25">
      <c r="A262" s="55" t="s">
        <v>2336</v>
      </c>
      <c r="B262" s="55" t="s">
        <v>138</v>
      </c>
      <c r="C262" s="55" t="s">
        <v>2336</v>
      </c>
      <c r="D262" s="55"/>
      <c r="E262" s="56" t="s">
        <v>2354</v>
      </c>
      <c r="F262" s="55" t="s">
        <v>22</v>
      </c>
      <c r="G262" s="57"/>
      <c r="H262" s="58"/>
      <c r="I262" s="58"/>
      <c r="J262" s="58">
        <f>SUM(I262:I263)</f>
        <v>171.708</v>
      </c>
      <c r="K262" s="58">
        <v>0</v>
      </c>
      <c r="L262" s="58">
        <v>171.708</v>
      </c>
      <c r="M262" s="58">
        <v>0</v>
      </c>
      <c r="N262" s="58">
        <v>0</v>
      </c>
      <c r="O262" s="58">
        <v>0</v>
      </c>
      <c r="P262" s="58"/>
      <c r="Q262" s="56"/>
      <c r="R262" s="56" t="s">
        <v>1026</v>
      </c>
      <c r="S262" s="286" t="str">
        <f t="shared" ref="S262:S325" si="21">IF(T262 &lt;&gt; "", "SIM", "")</f>
        <v>SIM</v>
      </c>
      <c r="T262" s="286" t="str">
        <f>IF($C262= "", T261, IF(ISNA(VLOOKUP($C262,'ABC-S'!$A$5:$A$271,1,FALSE)), "", VLOOKUP($C262,'ABC-S'!$A$5:$A$271,1,FALSE)))</f>
        <v>CP0354</v>
      </c>
      <c r="W262" s="286" t="s">
        <v>2336</v>
      </c>
      <c r="X262" s="286"/>
      <c r="Y262" s="286"/>
      <c r="Z262" s="286"/>
      <c r="AA262" s="286" t="s">
        <v>21</v>
      </c>
      <c r="AB262" s="378">
        <v>0</v>
      </c>
      <c r="AC262" s="378"/>
      <c r="AD262" s="335"/>
      <c r="AE262" s="335"/>
      <c r="AF262" s="335"/>
      <c r="AG262" s="378">
        <v>0</v>
      </c>
      <c r="AI262" s="378" t="s">
        <v>21</v>
      </c>
      <c r="AJ262" s="378" t="s">
        <v>21</v>
      </c>
      <c r="AL262" s="286"/>
      <c r="AM262" s="286"/>
    </row>
    <row r="263" spans="1:39" s="51" customFormat="1" ht="33.75" x14ac:dyDescent="0.25">
      <c r="A263" s="59" t="s">
        <v>2336</v>
      </c>
      <c r="B263" s="59" t="s">
        <v>86</v>
      </c>
      <c r="C263" s="59"/>
      <c r="D263" s="59">
        <v>7725</v>
      </c>
      <c r="E263" s="60" t="s">
        <v>803</v>
      </c>
      <c r="F263" s="59" t="s">
        <v>3667</v>
      </c>
      <c r="G263" s="61">
        <v>1.0249999999999999</v>
      </c>
      <c r="H263" s="62">
        <v>167.52</v>
      </c>
      <c r="I263" s="62">
        <f>IF($D263="","",G263*H263)</f>
        <v>171.708</v>
      </c>
      <c r="J263" s="62"/>
      <c r="K263" s="62">
        <v>0</v>
      </c>
      <c r="L263" s="62">
        <v>171.708</v>
      </c>
      <c r="M263" s="62">
        <v>0</v>
      </c>
      <c r="N263" s="62">
        <v>0</v>
      </c>
      <c r="O263" s="62">
        <v>0</v>
      </c>
      <c r="P263" s="298" t="s">
        <v>89</v>
      </c>
      <c r="Q263" s="60" t="s">
        <v>27</v>
      </c>
      <c r="R263" s="60" t="s">
        <v>27</v>
      </c>
      <c r="S263" s="286" t="str">
        <f t="shared" si="21"/>
        <v>SIM</v>
      </c>
      <c r="T263" s="286" t="str">
        <f>IF($C263= "", T262, IF(ISNA(VLOOKUP($C263,'ABC-S'!$A$5:$A$271,1,FALSE)), "", VLOOKUP($C263,'ABC-S'!$A$5:$A$271,1,FALSE)))</f>
        <v>CP0354</v>
      </c>
      <c r="W263" s="286" t="s">
        <v>2336</v>
      </c>
      <c r="X263" s="286" t="s">
        <v>21</v>
      </c>
      <c r="Y263" s="286" t="s">
        <v>21</v>
      </c>
      <c r="Z263" s="286" t="s">
        <v>21</v>
      </c>
      <c r="AA263" s="286" t="s">
        <v>21</v>
      </c>
      <c r="AB263" s="378"/>
      <c r="AC263" s="381" t="s">
        <v>21</v>
      </c>
      <c r="AD263" s="378" t="s">
        <v>21</v>
      </c>
      <c r="AE263" s="378" t="s">
        <v>21</v>
      </c>
      <c r="AF263" s="378" t="s">
        <v>21</v>
      </c>
      <c r="AG263" s="378"/>
      <c r="AI263" s="378" t="s">
        <v>21</v>
      </c>
      <c r="AJ263" s="378" t="s">
        <v>21</v>
      </c>
      <c r="AL263" s="286"/>
      <c r="AM263" s="286">
        <v>7781</v>
      </c>
    </row>
    <row r="264" spans="1:39" s="51" customFormat="1" x14ac:dyDescent="0.25">
      <c r="A264" s="55" t="s">
        <v>2337</v>
      </c>
      <c r="B264" s="55" t="s">
        <v>138</v>
      </c>
      <c r="C264" s="55" t="s">
        <v>2337</v>
      </c>
      <c r="D264" s="55"/>
      <c r="E264" s="56" t="s">
        <v>2356</v>
      </c>
      <c r="F264" s="55" t="s">
        <v>22</v>
      </c>
      <c r="G264" s="57"/>
      <c r="H264" s="58"/>
      <c r="I264" s="58"/>
      <c r="J264" s="58">
        <f>SUM(I264:I265)</f>
        <v>285.69824999999997</v>
      </c>
      <c r="K264" s="58">
        <v>0</v>
      </c>
      <c r="L264" s="58">
        <v>285.69824999999997</v>
      </c>
      <c r="M264" s="58">
        <v>0</v>
      </c>
      <c r="N264" s="58">
        <v>0</v>
      </c>
      <c r="O264" s="58">
        <v>0</v>
      </c>
      <c r="P264" s="58"/>
      <c r="Q264" s="56"/>
      <c r="R264" s="56" t="s">
        <v>1026</v>
      </c>
      <c r="S264" s="286" t="str">
        <f t="shared" si="21"/>
        <v>SIM</v>
      </c>
      <c r="T264" s="286" t="str">
        <f>IF($C264= "", T263, IF(ISNA(VLOOKUP($C264,'ABC-S'!$A$5:$A$271,1,FALSE)), "", VLOOKUP($C264,'ABC-S'!$A$5:$A$271,1,FALSE)))</f>
        <v>CP0355</v>
      </c>
      <c r="W264" s="286" t="s">
        <v>2337</v>
      </c>
      <c r="X264" s="286"/>
      <c r="Y264" s="286"/>
      <c r="Z264" s="286"/>
      <c r="AA264" s="286" t="s">
        <v>21</v>
      </c>
      <c r="AB264" s="378">
        <v>0</v>
      </c>
      <c r="AC264" s="378"/>
      <c r="AD264" s="335"/>
      <c r="AE264" s="335"/>
      <c r="AF264" s="335"/>
      <c r="AG264" s="378">
        <v>0</v>
      </c>
      <c r="AI264" s="378" t="s">
        <v>21</v>
      </c>
      <c r="AJ264" s="378" t="s">
        <v>21</v>
      </c>
      <c r="AL264" s="286"/>
      <c r="AM264" s="286"/>
    </row>
    <row r="265" spans="1:39" s="51" customFormat="1" ht="33.75" x14ac:dyDescent="0.25">
      <c r="A265" s="59" t="s">
        <v>2337</v>
      </c>
      <c r="B265" s="59" t="s">
        <v>86</v>
      </c>
      <c r="C265" s="59"/>
      <c r="D265" s="59">
        <v>7750</v>
      </c>
      <c r="E265" s="60" t="s">
        <v>808</v>
      </c>
      <c r="F265" s="59" t="s">
        <v>3667</v>
      </c>
      <c r="G265" s="61">
        <v>1.0249999999999999</v>
      </c>
      <c r="H265" s="62">
        <v>278.73</v>
      </c>
      <c r="I265" s="62">
        <f>IF($D265="","",G265*H265)</f>
        <v>285.69824999999997</v>
      </c>
      <c r="J265" s="62"/>
      <c r="K265" s="62">
        <v>0</v>
      </c>
      <c r="L265" s="62">
        <v>285.69824999999997</v>
      </c>
      <c r="M265" s="62">
        <v>0</v>
      </c>
      <c r="N265" s="62">
        <v>0</v>
      </c>
      <c r="O265" s="62">
        <v>0</v>
      </c>
      <c r="P265" s="298" t="s">
        <v>89</v>
      </c>
      <c r="Q265" s="60" t="s">
        <v>27</v>
      </c>
      <c r="R265" s="60" t="s">
        <v>27</v>
      </c>
      <c r="S265" s="286" t="str">
        <f t="shared" si="21"/>
        <v>SIM</v>
      </c>
      <c r="T265" s="286" t="str">
        <f>IF($C265= "", T264, IF(ISNA(VLOOKUP($C265,'ABC-S'!$A$5:$A$271,1,FALSE)), "", VLOOKUP($C265,'ABC-S'!$A$5:$A$271,1,FALSE)))</f>
        <v>CP0355</v>
      </c>
      <c r="W265" s="286" t="s">
        <v>2337</v>
      </c>
      <c r="X265" s="286" t="s">
        <v>21</v>
      </c>
      <c r="Y265" s="286" t="s">
        <v>21</v>
      </c>
      <c r="Z265" s="286" t="s">
        <v>21</v>
      </c>
      <c r="AA265" s="286" t="s">
        <v>21</v>
      </c>
      <c r="AB265" s="378"/>
      <c r="AC265" s="381" t="s">
        <v>21</v>
      </c>
      <c r="AD265" s="378" t="s">
        <v>21</v>
      </c>
      <c r="AE265" s="378" t="s">
        <v>21</v>
      </c>
      <c r="AF265" s="378" t="s">
        <v>21</v>
      </c>
      <c r="AG265" s="378"/>
      <c r="AI265" s="378" t="s">
        <v>21</v>
      </c>
      <c r="AJ265" s="378" t="s">
        <v>21</v>
      </c>
      <c r="AL265" s="286"/>
      <c r="AM265" s="286">
        <v>7781</v>
      </c>
    </row>
    <row r="266" spans="1:39" s="51" customFormat="1" ht="22.5" x14ac:dyDescent="0.25">
      <c r="A266" s="55" t="s">
        <v>2338</v>
      </c>
      <c r="B266" s="55" t="s">
        <v>138</v>
      </c>
      <c r="C266" s="55" t="s">
        <v>2338</v>
      </c>
      <c r="D266" s="55"/>
      <c r="E266" s="56" t="s">
        <v>2361</v>
      </c>
      <c r="F266" s="55" t="s">
        <v>22</v>
      </c>
      <c r="G266" s="57"/>
      <c r="H266" s="58"/>
      <c r="I266" s="58"/>
      <c r="J266" s="58">
        <f>SUM(I266:I267)</f>
        <v>334.75474999999994</v>
      </c>
      <c r="K266" s="58">
        <v>0</v>
      </c>
      <c r="L266" s="58">
        <v>334.75474999999994</v>
      </c>
      <c r="M266" s="58">
        <v>0</v>
      </c>
      <c r="N266" s="58">
        <v>0</v>
      </c>
      <c r="O266" s="58">
        <v>0</v>
      </c>
      <c r="P266" s="58"/>
      <c r="Q266" s="56"/>
      <c r="R266" s="56" t="s">
        <v>1026</v>
      </c>
      <c r="S266" s="286" t="str">
        <f t="shared" si="21"/>
        <v>SIM</v>
      </c>
      <c r="T266" s="286" t="str">
        <f>IF($C266= "", T265, IF(ISNA(VLOOKUP($C266,'ABC-S'!$A$5:$A$271,1,FALSE)), "", VLOOKUP($C266,'ABC-S'!$A$5:$A$271,1,FALSE)))</f>
        <v>CP0356</v>
      </c>
      <c r="W266" s="286" t="s">
        <v>2338</v>
      </c>
      <c r="X266" s="286"/>
      <c r="Y266" s="286"/>
      <c r="Z266" s="286"/>
      <c r="AA266" s="286" t="s">
        <v>21</v>
      </c>
      <c r="AB266" s="378">
        <v>0</v>
      </c>
      <c r="AC266" s="378"/>
      <c r="AD266" s="335"/>
      <c r="AE266" s="335"/>
      <c r="AF266" s="335"/>
      <c r="AG266" s="378">
        <v>0</v>
      </c>
      <c r="AI266" s="378" t="s">
        <v>21</v>
      </c>
      <c r="AJ266" s="378" t="s">
        <v>21</v>
      </c>
      <c r="AL266" s="286"/>
      <c r="AM266" s="286"/>
    </row>
    <row r="267" spans="1:39" s="51" customFormat="1" ht="33.75" x14ac:dyDescent="0.25">
      <c r="A267" s="59" t="s">
        <v>2338</v>
      </c>
      <c r="B267" s="59" t="s">
        <v>86</v>
      </c>
      <c r="C267" s="59"/>
      <c r="D267" s="59">
        <v>7753</v>
      </c>
      <c r="E267" s="60" t="s">
        <v>804</v>
      </c>
      <c r="F267" s="59" t="s">
        <v>3667</v>
      </c>
      <c r="G267" s="61">
        <v>1.0249999999999999</v>
      </c>
      <c r="H267" s="62">
        <v>326.58999999999997</v>
      </c>
      <c r="I267" s="62">
        <f>IF($D267="","",G267*H267)</f>
        <v>334.75474999999994</v>
      </c>
      <c r="J267" s="62"/>
      <c r="K267" s="62">
        <v>0</v>
      </c>
      <c r="L267" s="62">
        <v>334.75474999999994</v>
      </c>
      <c r="M267" s="62">
        <v>0</v>
      </c>
      <c r="N267" s="62">
        <v>0</v>
      </c>
      <c r="O267" s="62">
        <v>0</v>
      </c>
      <c r="P267" s="298" t="s">
        <v>89</v>
      </c>
      <c r="Q267" s="60" t="s">
        <v>27</v>
      </c>
      <c r="R267" s="60" t="s">
        <v>27</v>
      </c>
      <c r="S267" s="286" t="str">
        <f t="shared" si="21"/>
        <v>SIM</v>
      </c>
      <c r="T267" s="286" t="str">
        <f>IF($C267= "", T266, IF(ISNA(VLOOKUP($C267,'ABC-S'!$A$5:$A$271,1,FALSE)), "", VLOOKUP($C267,'ABC-S'!$A$5:$A$271,1,FALSE)))</f>
        <v>CP0356</v>
      </c>
      <c r="W267" s="286" t="s">
        <v>2338</v>
      </c>
      <c r="X267" s="286" t="s">
        <v>21</v>
      </c>
      <c r="Y267" s="286" t="s">
        <v>21</v>
      </c>
      <c r="Z267" s="286" t="s">
        <v>21</v>
      </c>
      <c r="AA267" s="286" t="s">
        <v>21</v>
      </c>
      <c r="AB267" s="378"/>
      <c r="AC267" s="381" t="s">
        <v>21</v>
      </c>
      <c r="AD267" s="378" t="s">
        <v>21</v>
      </c>
      <c r="AE267" s="378" t="s">
        <v>21</v>
      </c>
      <c r="AF267" s="378" t="s">
        <v>21</v>
      </c>
      <c r="AG267" s="378"/>
      <c r="AI267" s="378" t="s">
        <v>21</v>
      </c>
      <c r="AJ267" s="378" t="s">
        <v>21</v>
      </c>
      <c r="AL267" s="286"/>
      <c r="AM267" s="286">
        <v>7781</v>
      </c>
    </row>
    <row r="268" spans="1:39" s="51" customFormat="1" ht="22.5" x14ac:dyDescent="0.25">
      <c r="A268" s="55" t="s">
        <v>2339</v>
      </c>
      <c r="B268" s="55" t="s">
        <v>138</v>
      </c>
      <c r="C268" s="55" t="s">
        <v>2339</v>
      </c>
      <c r="D268" s="55"/>
      <c r="E268" s="56" t="s">
        <v>2362</v>
      </c>
      <c r="F268" s="55" t="s">
        <v>22</v>
      </c>
      <c r="G268" s="57"/>
      <c r="H268" s="58"/>
      <c r="I268" s="58"/>
      <c r="J268" s="58">
        <f>SUM(I268:I269)</f>
        <v>499.96424999999994</v>
      </c>
      <c r="K268" s="58">
        <v>0</v>
      </c>
      <c r="L268" s="58">
        <v>499.96424999999994</v>
      </c>
      <c r="M268" s="58">
        <v>0</v>
      </c>
      <c r="N268" s="58">
        <v>0</v>
      </c>
      <c r="O268" s="58">
        <v>0</v>
      </c>
      <c r="P268" s="58"/>
      <c r="Q268" s="56"/>
      <c r="R268" s="56" t="s">
        <v>1026</v>
      </c>
      <c r="S268" s="286" t="str">
        <f t="shared" si="21"/>
        <v>SIM</v>
      </c>
      <c r="T268" s="286" t="str">
        <f>IF($C268= "", T267, IF(ISNA(VLOOKUP($C268,'ABC-S'!$A$5:$A$271,1,FALSE)), "", VLOOKUP($C268,'ABC-S'!$A$5:$A$271,1,FALSE)))</f>
        <v>CP0357</v>
      </c>
      <c r="W268" s="286" t="s">
        <v>2339</v>
      </c>
      <c r="X268" s="286"/>
      <c r="Y268" s="286"/>
      <c r="Z268" s="286"/>
      <c r="AA268" s="286" t="s">
        <v>21</v>
      </c>
      <c r="AB268" s="378">
        <v>0</v>
      </c>
      <c r="AC268" s="378"/>
      <c r="AD268" s="335"/>
      <c r="AE268" s="335"/>
      <c r="AF268" s="335"/>
      <c r="AG268" s="378">
        <v>0</v>
      </c>
      <c r="AI268" s="378" t="s">
        <v>21</v>
      </c>
      <c r="AJ268" s="378" t="s">
        <v>21</v>
      </c>
      <c r="AL268" s="286"/>
      <c r="AM268" s="286"/>
    </row>
    <row r="269" spans="1:39" s="51" customFormat="1" ht="33.75" x14ac:dyDescent="0.25">
      <c r="A269" s="59" t="s">
        <v>2339</v>
      </c>
      <c r="B269" s="59" t="s">
        <v>86</v>
      </c>
      <c r="C269" s="59"/>
      <c r="D269" s="59">
        <v>7757</v>
      </c>
      <c r="E269" s="60" t="s">
        <v>805</v>
      </c>
      <c r="F269" s="59" t="s">
        <v>3667</v>
      </c>
      <c r="G269" s="61">
        <v>1.0249999999999999</v>
      </c>
      <c r="H269" s="62">
        <v>487.77</v>
      </c>
      <c r="I269" s="62">
        <f>IF($D269="","",G269*H269)</f>
        <v>499.96424999999994</v>
      </c>
      <c r="J269" s="62"/>
      <c r="K269" s="62">
        <v>0</v>
      </c>
      <c r="L269" s="62">
        <v>499.96424999999994</v>
      </c>
      <c r="M269" s="62">
        <v>0</v>
      </c>
      <c r="N269" s="62">
        <v>0</v>
      </c>
      <c r="O269" s="62">
        <v>0</v>
      </c>
      <c r="P269" s="298" t="s">
        <v>89</v>
      </c>
      <c r="Q269" s="60" t="s">
        <v>27</v>
      </c>
      <c r="R269" s="60" t="s">
        <v>27</v>
      </c>
      <c r="S269" s="286" t="str">
        <f t="shared" si="21"/>
        <v>SIM</v>
      </c>
      <c r="T269" s="286" t="str">
        <f>IF($C269= "", T268, IF(ISNA(VLOOKUP($C269,'ABC-S'!$A$5:$A$271,1,FALSE)), "", VLOOKUP($C269,'ABC-S'!$A$5:$A$271,1,FALSE)))</f>
        <v>CP0357</v>
      </c>
      <c r="W269" s="286" t="s">
        <v>2339</v>
      </c>
      <c r="X269" s="286" t="s">
        <v>21</v>
      </c>
      <c r="Y269" s="286" t="s">
        <v>21</v>
      </c>
      <c r="Z269" s="286" t="s">
        <v>21</v>
      </c>
      <c r="AA269" s="286" t="s">
        <v>21</v>
      </c>
      <c r="AB269" s="378"/>
      <c r="AC269" s="381" t="s">
        <v>21</v>
      </c>
      <c r="AD269" s="378" t="s">
        <v>21</v>
      </c>
      <c r="AE269" s="378" t="s">
        <v>21</v>
      </c>
      <c r="AF269" s="378" t="s">
        <v>21</v>
      </c>
      <c r="AG269" s="378"/>
      <c r="AI269" s="378" t="s">
        <v>21</v>
      </c>
      <c r="AJ269" s="378" t="s">
        <v>21</v>
      </c>
      <c r="AL269" s="286"/>
      <c r="AM269" s="286">
        <v>7781</v>
      </c>
    </row>
    <row r="270" spans="1:39" s="51" customFormat="1" ht="22.5" x14ac:dyDescent="0.25">
      <c r="A270" s="55" t="s">
        <v>2340</v>
      </c>
      <c r="B270" s="55" t="s">
        <v>138</v>
      </c>
      <c r="C270" s="55" t="s">
        <v>2340</v>
      </c>
      <c r="D270" s="55"/>
      <c r="E270" s="56" t="s">
        <v>2367</v>
      </c>
      <c r="F270" s="55" t="s">
        <v>22</v>
      </c>
      <c r="G270" s="57"/>
      <c r="H270" s="58"/>
      <c r="I270" s="58"/>
      <c r="J270" s="58">
        <f>SUM(I270:I271)</f>
        <v>724.34699999999987</v>
      </c>
      <c r="K270" s="58">
        <v>0</v>
      </c>
      <c r="L270" s="58">
        <v>724.34699999999987</v>
      </c>
      <c r="M270" s="58">
        <v>0</v>
      </c>
      <c r="N270" s="58">
        <v>0</v>
      </c>
      <c r="O270" s="58">
        <v>0</v>
      </c>
      <c r="P270" s="58"/>
      <c r="Q270" s="56"/>
      <c r="R270" s="56" t="s">
        <v>1026</v>
      </c>
      <c r="S270" s="286" t="str">
        <f t="shared" si="21"/>
        <v>SIM</v>
      </c>
      <c r="T270" s="286" t="str">
        <f>IF($C270= "", T269, IF(ISNA(VLOOKUP($C270,'ABC-S'!$A$5:$A$271,1,FALSE)), "", VLOOKUP($C270,'ABC-S'!$A$5:$A$271,1,FALSE)))</f>
        <v>CP0358</v>
      </c>
      <c r="W270" s="286" t="s">
        <v>2340</v>
      </c>
      <c r="X270" s="286"/>
      <c r="Y270" s="286"/>
      <c r="Z270" s="286"/>
      <c r="AA270" s="286" t="s">
        <v>21</v>
      </c>
      <c r="AB270" s="378">
        <v>0</v>
      </c>
      <c r="AC270" s="378"/>
      <c r="AD270" s="335"/>
      <c r="AE270" s="335"/>
      <c r="AF270" s="335"/>
      <c r="AG270" s="378">
        <v>0</v>
      </c>
      <c r="AI270" s="378" t="s">
        <v>21</v>
      </c>
      <c r="AJ270" s="378" t="s">
        <v>21</v>
      </c>
      <c r="AL270" s="286"/>
      <c r="AM270" s="286"/>
    </row>
    <row r="271" spans="1:39" s="51" customFormat="1" ht="33.75" x14ac:dyDescent="0.25">
      <c r="A271" s="59" t="s">
        <v>2340</v>
      </c>
      <c r="B271" s="59" t="s">
        <v>86</v>
      </c>
      <c r="C271" s="59"/>
      <c r="D271" s="59">
        <v>7758</v>
      </c>
      <c r="E271" s="60" t="s">
        <v>806</v>
      </c>
      <c r="F271" s="59" t="s">
        <v>3667</v>
      </c>
      <c r="G271" s="61">
        <v>1.0249999999999999</v>
      </c>
      <c r="H271" s="62">
        <v>706.68</v>
      </c>
      <c r="I271" s="62">
        <f>IF($D271="","",G271*H271)</f>
        <v>724.34699999999987</v>
      </c>
      <c r="J271" s="62"/>
      <c r="K271" s="62">
        <v>0</v>
      </c>
      <c r="L271" s="62">
        <v>724.34699999999987</v>
      </c>
      <c r="M271" s="62">
        <v>0</v>
      </c>
      <c r="N271" s="62">
        <v>0</v>
      </c>
      <c r="O271" s="62">
        <v>0</v>
      </c>
      <c r="P271" s="298" t="s">
        <v>89</v>
      </c>
      <c r="Q271" s="60" t="s">
        <v>27</v>
      </c>
      <c r="R271" s="60" t="s">
        <v>27</v>
      </c>
      <c r="S271" s="286" t="str">
        <f t="shared" si="21"/>
        <v>SIM</v>
      </c>
      <c r="T271" s="286" t="str">
        <f>IF($C271= "", T270, IF(ISNA(VLOOKUP($C271,'ABC-S'!$A$5:$A$271,1,FALSE)), "", VLOOKUP($C271,'ABC-S'!$A$5:$A$271,1,FALSE)))</f>
        <v>CP0358</v>
      </c>
      <c r="W271" s="286" t="s">
        <v>2340</v>
      </c>
      <c r="X271" s="286" t="s">
        <v>21</v>
      </c>
      <c r="Y271" s="286" t="s">
        <v>21</v>
      </c>
      <c r="Z271" s="286" t="s">
        <v>21</v>
      </c>
      <c r="AA271" s="286" t="s">
        <v>21</v>
      </c>
      <c r="AB271" s="378"/>
      <c r="AC271" s="381" t="s">
        <v>21</v>
      </c>
      <c r="AD271" s="378" t="s">
        <v>21</v>
      </c>
      <c r="AE271" s="378" t="s">
        <v>21</v>
      </c>
      <c r="AF271" s="378" t="s">
        <v>21</v>
      </c>
      <c r="AG271" s="378"/>
      <c r="AI271" s="378" t="s">
        <v>21</v>
      </c>
      <c r="AJ271" s="378" t="s">
        <v>21</v>
      </c>
      <c r="AL271" s="286"/>
      <c r="AM271" s="286">
        <v>7781</v>
      </c>
    </row>
    <row r="272" spans="1:39" s="51" customFormat="1" x14ac:dyDescent="0.25">
      <c r="A272" s="55" t="s">
        <v>2341</v>
      </c>
      <c r="B272" s="55" t="s">
        <v>138</v>
      </c>
      <c r="C272" s="55" t="s">
        <v>2341</v>
      </c>
      <c r="D272" s="55"/>
      <c r="E272" s="56" t="s">
        <v>2353</v>
      </c>
      <c r="F272" s="55" t="s">
        <v>22</v>
      </c>
      <c r="G272" s="57"/>
      <c r="H272" s="58"/>
      <c r="I272" s="58"/>
      <c r="J272" s="58">
        <f>SUM(I272:I273)</f>
        <v>148.9735</v>
      </c>
      <c r="K272" s="58">
        <v>0</v>
      </c>
      <c r="L272" s="58">
        <v>148.9735</v>
      </c>
      <c r="M272" s="58">
        <v>0</v>
      </c>
      <c r="N272" s="58">
        <v>0</v>
      </c>
      <c r="O272" s="58">
        <v>0</v>
      </c>
      <c r="P272" s="58"/>
      <c r="Q272" s="56"/>
      <c r="R272" s="56" t="s">
        <v>1026</v>
      </c>
      <c r="S272" s="286" t="str">
        <f t="shared" si="21"/>
        <v>SIM</v>
      </c>
      <c r="T272" s="286" t="str">
        <f>IF($C272= "", T271, IF(ISNA(VLOOKUP($C272,'ABC-S'!$A$5:$A$271,1,FALSE)), "", VLOOKUP($C272,'ABC-S'!$A$5:$A$271,1,FALSE)))</f>
        <v>CP0359</v>
      </c>
      <c r="W272" s="286" t="s">
        <v>2341</v>
      </c>
      <c r="X272" s="286"/>
      <c r="Y272" s="286"/>
      <c r="Z272" s="286"/>
      <c r="AA272" s="286" t="s">
        <v>21</v>
      </c>
      <c r="AB272" s="378">
        <v>0</v>
      </c>
      <c r="AC272" s="378"/>
      <c r="AD272" s="335"/>
      <c r="AE272" s="335"/>
      <c r="AF272" s="335"/>
      <c r="AG272" s="378">
        <v>0</v>
      </c>
      <c r="AI272" s="378" t="s">
        <v>21</v>
      </c>
      <c r="AJ272" s="378" t="s">
        <v>21</v>
      </c>
      <c r="AL272" s="286"/>
      <c r="AM272" s="286"/>
    </row>
    <row r="273" spans="1:39" s="51" customFormat="1" ht="33.75" x14ac:dyDescent="0.25">
      <c r="A273" s="59" t="s">
        <v>2341</v>
      </c>
      <c r="B273" s="59" t="s">
        <v>86</v>
      </c>
      <c r="C273" s="59"/>
      <c r="D273" s="59">
        <v>7762</v>
      </c>
      <c r="E273" s="60" t="s">
        <v>813</v>
      </c>
      <c r="F273" s="59" t="s">
        <v>3667</v>
      </c>
      <c r="G273" s="61">
        <v>1.0249999999999999</v>
      </c>
      <c r="H273" s="62">
        <v>145.34</v>
      </c>
      <c r="I273" s="62">
        <f>IF($D273="","",G273*H273)</f>
        <v>148.9735</v>
      </c>
      <c r="J273" s="62"/>
      <c r="K273" s="62">
        <v>0</v>
      </c>
      <c r="L273" s="62">
        <v>148.9735</v>
      </c>
      <c r="M273" s="62">
        <v>0</v>
      </c>
      <c r="N273" s="62">
        <v>0</v>
      </c>
      <c r="O273" s="62">
        <v>0</v>
      </c>
      <c r="P273" s="298" t="s">
        <v>89</v>
      </c>
      <c r="Q273" s="60" t="s">
        <v>27</v>
      </c>
      <c r="R273" s="60" t="s">
        <v>27</v>
      </c>
      <c r="S273" s="286" t="str">
        <f t="shared" si="21"/>
        <v>SIM</v>
      </c>
      <c r="T273" s="286" t="str">
        <f>IF($C273= "", T272, IF(ISNA(VLOOKUP($C273,'ABC-S'!$A$5:$A$271,1,FALSE)), "", VLOOKUP($C273,'ABC-S'!$A$5:$A$271,1,FALSE)))</f>
        <v>CP0359</v>
      </c>
      <c r="W273" s="286" t="s">
        <v>2341</v>
      </c>
      <c r="X273" s="286" t="s">
        <v>21</v>
      </c>
      <c r="Y273" s="286" t="s">
        <v>21</v>
      </c>
      <c r="Z273" s="286" t="s">
        <v>21</v>
      </c>
      <c r="AA273" s="286" t="s">
        <v>21</v>
      </c>
      <c r="AB273" s="378"/>
      <c r="AC273" s="381" t="s">
        <v>21</v>
      </c>
      <c r="AD273" s="378" t="s">
        <v>21</v>
      </c>
      <c r="AE273" s="378" t="s">
        <v>21</v>
      </c>
      <c r="AF273" s="378" t="s">
        <v>21</v>
      </c>
      <c r="AG273" s="378"/>
      <c r="AI273" s="378" t="s">
        <v>21</v>
      </c>
      <c r="AJ273" s="378" t="s">
        <v>21</v>
      </c>
      <c r="AL273" s="286"/>
      <c r="AM273" s="286">
        <v>7781</v>
      </c>
    </row>
    <row r="274" spans="1:39" s="51" customFormat="1" x14ac:dyDescent="0.25">
      <c r="A274" s="55" t="s">
        <v>2342</v>
      </c>
      <c r="B274" s="55" t="s">
        <v>138</v>
      </c>
      <c r="C274" s="55" t="s">
        <v>2342</v>
      </c>
      <c r="D274" s="55"/>
      <c r="E274" s="56" t="s">
        <v>2357</v>
      </c>
      <c r="F274" s="55" t="s">
        <v>22</v>
      </c>
      <c r="G274" s="57"/>
      <c r="H274" s="58"/>
      <c r="I274" s="58"/>
      <c r="J274" s="58">
        <f>SUM(I274:I275)</f>
        <v>277.75450000000001</v>
      </c>
      <c r="K274" s="58">
        <v>0</v>
      </c>
      <c r="L274" s="58">
        <v>277.75450000000001</v>
      </c>
      <c r="M274" s="58">
        <v>0</v>
      </c>
      <c r="N274" s="58">
        <v>0</v>
      </c>
      <c r="O274" s="58">
        <v>0</v>
      </c>
      <c r="P274" s="58"/>
      <c r="Q274" s="56"/>
      <c r="R274" s="56" t="s">
        <v>1026</v>
      </c>
      <c r="S274" s="286" t="str">
        <f t="shared" si="21"/>
        <v>SIM</v>
      </c>
      <c r="T274" s="286" t="str">
        <f>IF($C274= "", T273, IF(ISNA(VLOOKUP($C274,'ABC-S'!$A$5:$A$271,1,FALSE)), "", VLOOKUP($C274,'ABC-S'!$A$5:$A$271,1,FALSE)))</f>
        <v>CP0360</v>
      </c>
      <c r="W274" s="286" t="s">
        <v>2342</v>
      </c>
      <c r="X274" s="286"/>
      <c r="Y274" s="286"/>
      <c r="Z274" s="286"/>
      <c r="AA274" s="286" t="s">
        <v>21</v>
      </c>
      <c r="AB274" s="378">
        <v>0</v>
      </c>
      <c r="AC274" s="378"/>
      <c r="AD274" s="335"/>
      <c r="AE274" s="335"/>
      <c r="AF274" s="335"/>
      <c r="AG274" s="378">
        <v>0</v>
      </c>
      <c r="AI274" s="378" t="s">
        <v>21</v>
      </c>
      <c r="AJ274" s="378" t="s">
        <v>21</v>
      </c>
      <c r="AL274" s="286"/>
      <c r="AM274" s="286"/>
    </row>
    <row r="275" spans="1:39" s="51" customFormat="1" ht="33.75" x14ac:dyDescent="0.25">
      <c r="A275" s="59" t="s">
        <v>2342</v>
      </c>
      <c r="B275" s="59" t="s">
        <v>86</v>
      </c>
      <c r="C275" s="59"/>
      <c r="D275" s="59">
        <v>7763</v>
      </c>
      <c r="E275" s="60" t="s">
        <v>814</v>
      </c>
      <c r="F275" s="59" t="s">
        <v>3667</v>
      </c>
      <c r="G275" s="61">
        <v>1.0249999999999999</v>
      </c>
      <c r="H275" s="62">
        <v>270.98</v>
      </c>
      <c r="I275" s="62">
        <f>IF($D275="","",G275*H275)</f>
        <v>277.75450000000001</v>
      </c>
      <c r="J275" s="62"/>
      <c r="K275" s="62">
        <v>0</v>
      </c>
      <c r="L275" s="62">
        <v>277.75450000000001</v>
      </c>
      <c r="M275" s="62">
        <v>0</v>
      </c>
      <c r="N275" s="62">
        <v>0</v>
      </c>
      <c r="O275" s="62">
        <v>0</v>
      </c>
      <c r="P275" s="298" t="s">
        <v>89</v>
      </c>
      <c r="Q275" s="60" t="s">
        <v>27</v>
      </c>
      <c r="R275" s="60" t="s">
        <v>27</v>
      </c>
      <c r="S275" s="286" t="str">
        <f t="shared" si="21"/>
        <v>SIM</v>
      </c>
      <c r="T275" s="286" t="str">
        <f>IF($C275= "", T274, IF(ISNA(VLOOKUP($C275,'ABC-S'!$A$5:$A$271,1,FALSE)), "", VLOOKUP($C275,'ABC-S'!$A$5:$A$271,1,FALSE)))</f>
        <v>CP0360</v>
      </c>
      <c r="W275" s="286" t="s">
        <v>2342</v>
      </c>
      <c r="X275" s="286" t="s">
        <v>21</v>
      </c>
      <c r="Y275" s="286" t="s">
        <v>21</v>
      </c>
      <c r="Z275" s="286" t="s">
        <v>21</v>
      </c>
      <c r="AA275" s="286" t="s">
        <v>21</v>
      </c>
      <c r="AB275" s="378"/>
      <c r="AC275" s="381" t="s">
        <v>21</v>
      </c>
      <c r="AD275" s="378" t="s">
        <v>21</v>
      </c>
      <c r="AE275" s="378" t="s">
        <v>21</v>
      </c>
      <c r="AF275" s="378" t="s">
        <v>21</v>
      </c>
      <c r="AG275" s="378"/>
      <c r="AI275" s="378" t="s">
        <v>21</v>
      </c>
      <c r="AJ275" s="378" t="s">
        <v>21</v>
      </c>
      <c r="AL275" s="286"/>
      <c r="AM275" s="286">
        <v>7781</v>
      </c>
    </row>
    <row r="276" spans="1:39" s="51" customFormat="1" ht="22.5" x14ac:dyDescent="0.25">
      <c r="A276" s="55" t="s">
        <v>2343</v>
      </c>
      <c r="B276" s="55" t="s">
        <v>138</v>
      </c>
      <c r="C276" s="55" t="s">
        <v>2343</v>
      </c>
      <c r="D276" s="55"/>
      <c r="E276" s="56" t="s">
        <v>2360</v>
      </c>
      <c r="F276" s="55" t="s">
        <v>22</v>
      </c>
      <c r="G276" s="57"/>
      <c r="H276" s="58"/>
      <c r="I276" s="58"/>
      <c r="J276" s="58">
        <f>SUM(I276:I277)</f>
        <v>367.94425000000001</v>
      </c>
      <c r="K276" s="58">
        <v>0</v>
      </c>
      <c r="L276" s="58">
        <v>367.94425000000001</v>
      </c>
      <c r="M276" s="58">
        <v>0</v>
      </c>
      <c r="N276" s="58">
        <v>0</v>
      </c>
      <c r="O276" s="58">
        <v>0</v>
      </c>
      <c r="P276" s="58"/>
      <c r="Q276" s="56"/>
      <c r="R276" s="56" t="s">
        <v>1026</v>
      </c>
      <c r="S276" s="286" t="str">
        <f t="shared" si="21"/>
        <v>SIM</v>
      </c>
      <c r="T276" s="286" t="str">
        <f>IF($C276= "", T275, IF(ISNA(VLOOKUP($C276,'ABC-S'!$A$5:$A$271,1,FALSE)), "", VLOOKUP($C276,'ABC-S'!$A$5:$A$271,1,FALSE)))</f>
        <v>CP0361</v>
      </c>
      <c r="W276" s="286" t="s">
        <v>2343</v>
      </c>
      <c r="X276" s="286"/>
      <c r="Y276" s="286"/>
      <c r="Z276" s="286"/>
      <c r="AA276" s="286" t="s">
        <v>21</v>
      </c>
      <c r="AB276" s="378">
        <v>0</v>
      </c>
      <c r="AC276" s="378"/>
      <c r="AD276" s="335"/>
      <c r="AE276" s="335"/>
      <c r="AF276" s="335"/>
      <c r="AG276" s="378">
        <v>0</v>
      </c>
      <c r="AI276" s="378" t="s">
        <v>21</v>
      </c>
      <c r="AJ276" s="378" t="s">
        <v>21</v>
      </c>
      <c r="AL276" s="286"/>
      <c r="AM276" s="286"/>
    </row>
    <row r="277" spans="1:39" s="51" customFormat="1" ht="33.75" x14ac:dyDescent="0.25">
      <c r="A277" s="59" t="s">
        <v>2343</v>
      </c>
      <c r="B277" s="59" t="s">
        <v>86</v>
      </c>
      <c r="C277" s="59"/>
      <c r="D277" s="59">
        <v>7765</v>
      </c>
      <c r="E277" s="60" t="s">
        <v>809</v>
      </c>
      <c r="F277" s="59" t="s">
        <v>3667</v>
      </c>
      <c r="G277" s="61">
        <v>1.0249999999999999</v>
      </c>
      <c r="H277" s="62">
        <v>358.97</v>
      </c>
      <c r="I277" s="62">
        <f>IF($D277="","",G277*H277)</f>
        <v>367.94425000000001</v>
      </c>
      <c r="J277" s="62"/>
      <c r="K277" s="62">
        <v>0</v>
      </c>
      <c r="L277" s="62">
        <v>367.94425000000001</v>
      </c>
      <c r="M277" s="62">
        <v>0</v>
      </c>
      <c r="N277" s="62">
        <v>0</v>
      </c>
      <c r="O277" s="62">
        <v>0</v>
      </c>
      <c r="P277" s="298" t="s">
        <v>89</v>
      </c>
      <c r="Q277" s="60" t="s">
        <v>27</v>
      </c>
      <c r="R277" s="60" t="s">
        <v>27</v>
      </c>
      <c r="S277" s="286" t="str">
        <f t="shared" si="21"/>
        <v>SIM</v>
      </c>
      <c r="T277" s="286" t="str">
        <f>IF($C277= "", T276, IF(ISNA(VLOOKUP($C277,'ABC-S'!$A$5:$A$271,1,FALSE)), "", VLOOKUP($C277,'ABC-S'!$A$5:$A$271,1,FALSE)))</f>
        <v>CP0361</v>
      </c>
      <c r="W277" s="286" t="s">
        <v>2343</v>
      </c>
      <c r="X277" s="286" t="s">
        <v>21</v>
      </c>
      <c r="Y277" s="286" t="s">
        <v>21</v>
      </c>
      <c r="Z277" s="286" t="s">
        <v>21</v>
      </c>
      <c r="AA277" s="286" t="s">
        <v>21</v>
      </c>
      <c r="AB277" s="378"/>
      <c r="AC277" s="381" t="s">
        <v>21</v>
      </c>
      <c r="AD277" s="378" t="s">
        <v>21</v>
      </c>
      <c r="AE277" s="378" t="s">
        <v>21</v>
      </c>
      <c r="AF277" s="378" t="s">
        <v>21</v>
      </c>
      <c r="AG277" s="378"/>
      <c r="AI277" s="378" t="s">
        <v>21</v>
      </c>
      <c r="AJ277" s="378" t="s">
        <v>21</v>
      </c>
      <c r="AL277" s="286"/>
      <c r="AM277" s="286">
        <v>7781</v>
      </c>
    </row>
    <row r="278" spans="1:39" s="51" customFormat="1" ht="22.5" x14ac:dyDescent="0.25">
      <c r="A278" s="55" t="s">
        <v>2344</v>
      </c>
      <c r="B278" s="55" t="s">
        <v>138</v>
      </c>
      <c r="C278" s="55" t="s">
        <v>2344</v>
      </c>
      <c r="D278" s="55"/>
      <c r="E278" s="56" t="s">
        <v>2363</v>
      </c>
      <c r="F278" s="55" t="s">
        <v>22</v>
      </c>
      <c r="G278" s="57"/>
      <c r="H278" s="58"/>
      <c r="I278" s="58"/>
      <c r="J278" s="58">
        <f>SUM(I278:I279)</f>
        <v>539.65224999999998</v>
      </c>
      <c r="K278" s="58">
        <v>0</v>
      </c>
      <c r="L278" s="58">
        <v>539.65224999999998</v>
      </c>
      <c r="M278" s="58">
        <v>0</v>
      </c>
      <c r="N278" s="58">
        <v>0</v>
      </c>
      <c r="O278" s="58">
        <v>0</v>
      </c>
      <c r="P278" s="58"/>
      <c r="Q278" s="56"/>
      <c r="R278" s="56" t="s">
        <v>1026</v>
      </c>
      <c r="S278" s="286" t="str">
        <f t="shared" si="21"/>
        <v>SIM</v>
      </c>
      <c r="T278" s="286" t="str">
        <f>IF($C278= "", T277, IF(ISNA(VLOOKUP($C278,'ABC-S'!$A$5:$A$271,1,FALSE)), "", VLOOKUP($C278,'ABC-S'!$A$5:$A$271,1,FALSE)))</f>
        <v>CP0362</v>
      </c>
      <c r="W278" s="286" t="s">
        <v>2344</v>
      </c>
      <c r="X278" s="286"/>
      <c r="Y278" s="286"/>
      <c r="Z278" s="286"/>
      <c r="AA278" s="286" t="s">
        <v>21</v>
      </c>
      <c r="AB278" s="378">
        <v>0</v>
      </c>
      <c r="AC278" s="378"/>
      <c r="AD278" s="335"/>
      <c r="AE278" s="335"/>
      <c r="AF278" s="335"/>
      <c r="AG278" s="378">
        <v>0</v>
      </c>
      <c r="AI278" s="378" t="s">
        <v>21</v>
      </c>
      <c r="AJ278" s="378" t="s">
        <v>21</v>
      </c>
      <c r="AL278" s="286"/>
      <c r="AM278" s="286"/>
    </row>
    <row r="279" spans="1:39" s="51" customFormat="1" ht="33.75" x14ac:dyDescent="0.25">
      <c r="A279" s="59" t="s">
        <v>2344</v>
      </c>
      <c r="B279" s="59" t="s">
        <v>86</v>
      </c>
      <c r="C279" s="59"/>
      <c r="D279" s="59">
        <v>7766</v>
      </c>
      <c r="E279" s="60" t="s">
        <v>810</v>
      </c>
      <c r="F279" s="59" t="s">
        <v>3667</v>
      </c>
      <c r="G279" s="61">
        <v>1.0249999999999999</v>
      </c>
      <c r="H279" s="62">
        <v>526.49</v>
      </c>
      <c r="I279" s="62">
        <f>IF($D279="","",G279*H279)</f>
        <v>539.65224999999998</v>
      </c>
      <c r="J279" s="62"/>
      <c r="K279" s="62">
        <v>0</v>
      </c>
      <c r="L279" s="62">
        <v>539.65224999999998</v>
      </c>
      <c r="M279" s="62">
        <v>0</v>
      </c>
      <c r="N279" s="62">
        <v>0</v>
      </c>
      <c r="O279" s="62">
        <v>0</v>
      </c>
      <c r="P279" s="298" t="s">
        <v>89</v>
      </c>
      <c r="Q279" s="60" t="s">
        <v>27</v>
      </c>
      <c r="R279" s="60" t="s">
        <v>27</v>
      </c>
      <c r="S279" s="286" t="str">
        <f t="shared" si="21"/>
        <v>SIM</v>
      </c>
      <c r="T279" s="286" t="str">
        <f>IF($C279= "", T278, IF(ISNA(VLOOKUP($C279,'ABC-S'!$A$5:$A$271,1,FALSE)), "", VLOOKUP($C279,'ABC-S'!$A$5:$A$271,1,FALSE)))</f>
        <v>CP0362</v>
      </c>
      <c r="W279" s="286" t="s">
        <v>2344</v>
      </c>
      <c r="X279" s="286" t="s">
        <v>21</v>
      </c>
      <c r="Y279" s="286" t="s">
        <v>21</v>
      </c>
      <c r="Z279" s="286" t="s">
        <v>21</v>
      </c>
      <c r="AA279" s="286" t="s">
        <v>21</v>
      </c>
      <c r="AB279" s="378"/>
      <c r="AC279" s="381" t="s">
        <v>21</v>
      </c>
      <c r="AD279" s="378" t="s">
        <v>21</v>
      </c>
      <c r="AE279" s="378" t="s">
        <v>21</v>
      </c>
      <c r="AF279" s="378" t="s">
        <v>21</v>
      </c>
      <c r="AG279" s="378"/>
      <c r="AI279" s="378" t="s">
        <v>21</v>
      </c>
      <c r="AJ279" s="378" t="s">
        <v>21</v>
      </c>
      <c r="AL279" s="286"/>
      <c r="AM279" s="286">
        <v>7781</v>
      </c>
    </row>
    <row r="280" spans="1:39" s="51" customFormat="1" ht="22.5" x14ac:dyDescent="0.25">
      <c r="A280" s="55" t="s">
        <v>2345</v>
      </c>
      <c r="B280" s="55" t="s">
        <v>138</v>
      </c>
      <c r="C280" s="55" t="s">
        <v>2345</v>
      </c>
      <c r="D280" s="55"/>
      <c r="E280" s="56" t="s">
        <v>2366</v>
      </c>
      <c r="F280" s="55" t="s">
        <v>22</v>
      </c>
      <c r="G280" s="57"/>
      <c r="H280" s="58"/>
      <c r="I280" s="58"/>
      <c r="J280" s="58">
        <f>SUM(I280:I281)</f>
        <v>774.84875</v>
      </c>
      <c r="K280" s="58">
        <v>0</v>
      </c>
      <c r="L280" s="58">
        <v>774.84875</v>
      </c>
      <c r="M280" s="58">
        <v>0</v>
      </c>
      <c r="N280" s="58">
        <v>0</v>
      </c>
      <c r="O280" s="58">
        <v>0</v>
      </c>
      <c r="P280" s="58"/>
      <c r="Q280" s="56"/>
      <c r="R280" s="56" t="s">
        <v>1026</v>
      </c>
      <c r="S280" s="286" t="str">
        <f t="shared" si="21"/>
        <v>SIM</v>
      </c>
      <c r="T280" s="286" t="str">
        <f>IF($C280= "", T279, IF(ISNA(VLOOKUP($C280,'ABC-S'!$A$5:$A$271,1,FALSE)), "", VLOOKUP($C280,'ABC-S'!$A$5:$A$271,1,FALSE)))</f>
        <v>CP0363</v>
      </c>
      <c r="W280" s="286" t="s">
        <v>2345</v>
      </c>
      <c r="X280" s="286"/>
      <c r="Y280" s="286"/>
      <c r="Z280" s="286"/>
      <c r="AA280" s="286" t="s">
        <v>21</v>
      </c>
      <c r="AB280" s="378">
        <v>0</v>
      </c>
      <c r="AC280" s="378"/>
      <c r="AD280" s="335"/>
      <c r="AE280" s="335"/>
      <c r="AF280" s="335"/>
      <c r="AG280" s="378">
        <v>0</v>
      </c>
      <c r="AI280" s="378" t="s">
        <v>21</v>
      </c>
      <c r="AJ280" s="378" t="s">
        <v>21</v>
      </c>
      <c r="AL280" s="286"/>
      <c r="AM280" s="286"/>
    </row>
    <row r="281" spans="1:39" s="51" customFormat="1" ht="33.75" x14ac:dyDescent="0.25">
      <c r="A281" s="59" t="s">
        <v>2345</v>
      </c>
      <c r="B281" s="59" t="s">
        <v>86</v>
      </c>
      <c r="C281" s="59"/>
      <c r="D281" s="59">
        <v>7767</v>
      </c>
      <c r="E281" s="60" t="s">
        <v>811</v>
      </c>
      <c r="F281" s="59" t="s">
        <v>3667</v>
      </c>
      <c r="G281" s="61">
        <v>1.0249999999999999</v>
      </c>
      <c r="H281" s="62">
        <v>755.95</v>
      </c>
      <c r="I281" s="62">
        <f>IF($D281="","",G281*H281)</f>
        <v>774.84875</v>
      </c>
      <c r="J281" s="62"/>
      <c r="K281" s="62">
        <v>0</v>
      </c>
      <c r="L281" s="62">
        <v>774.84875</v>
      </c>
      <c r="M281" s="62">
        <v>0</v>
      </c>
      <c r="N281" s="62">
        <v>0</v>
      </c>
      <c r="O281" s="62">
        <v>0</v>
      </c>
      <c r="P281" s="298" t="s">
        <v>89</v>
      </c>
      <c r="Q281" s="60" t="s">
        <v>27</v>
      </c>
      <c r="R281" s="60" t="s">
        <v>27</v>
      </c>
      <c r="S281" s="286" t="str">
        <f t="shared" si="21"/>
        <v>SIM</v>
      </c>
      <c r="T281" s="286" t="str">
        <f>IF($C281= "", T280, IF(ISNA(VLOOKUP($C281,'ABC-S'!$A$5:$A$271,1,FALSE)), "", VLOOKUP($C281,'ABC-S'!$A$5:$A$271,1,FALSE)))</f>
        <v>CP0363</v>
      </c>
      <c r="W281" s="286" t="s">
        <v>2345</v>
      </c>
      <c r="X281" s="286" t="s">
        <v>21</v>
      </c>
      <c r="Y281" s="286" t="s">
        <v>21</v>
      </c>
      <c r="Z281" s="286" t="s">
        <v>21</v>
      </c>
      <c r="AA281" s="286" t="s">
        <v>21</v>
      </c>
      <c r="AB281" s="378"/>
      <c r="AC281" s="381" t="s">
        <v>21</v>
      </c>
      <c r="AD281" s="378" t="s">
        <v>21</v>
      </c>
      <c r="AE281" s="378" t="s">
        <v>21</v>
      </c>
      <c r="AF281" s="378" t="s">
        <v>21</v>
      </c>
      <c r="AG281" s="378"/>
      <c r="AI281" s="378" t="s">
        <v>21</v>
      </c>
      <c r="AJ281" s="378" t="s">
        <v>21</v>
      </c>
      <c r="AL281" s="286"/>
      <c r="AM281" s="286">
        <v>7781</v>
      </c>
    </row>
    <row r="282" spans="1:39" s="51" customFormat="1" x14ac:dyDescent="0.25">
      <c r="A282" s="55" t="s">
        <v>2346</v>
      </c>
      <c r="B282" s="55" t="s">
        <v>138</v>
      </c>
      <c r="C282" s="55" t="s">
        <v>2346</v>
      </c>
      <c r="D282" s="55"/>
      <c r="E282" s="56" t="s">
        <v>2352</v>
      </c>
      <c r="F282" s="55" t="s">
        <v>22</v>
      </c>
      <c r="G282" s="57"/>
      <c r="H282" s="58"/>
      <c r="I282" s="58"/>
      <c r="J282" s="58">
        <f>SUM(I282:I283)</f>
        <v>223.64474999999999</v>
      </c>
      <c r="K282" s="58">
        <v>0</v>
      </c>
      <c r="L282" s="58">
        <v>223.64474999999999</v>
      </c>
      <c r="M282" s="58">
        <v>0</v>
      </c>
      <c r="N282" s="58">
        <v>0</v>
      </c>
      <c r="O282" s="58">
        <v>0</v>
      </c>
      <c r="P282" s="58"/>
      <c r="Q282" s="56"/>
      <c r="R282" s="56" t="s">
        <v>1026</v>
      </c>
      <c r="S282" s="286" t="str">
        <f t="shared" si="21"/>
        <v>SIM</v>
      </c>
      <c r="T282" s="286" t="str">
        <f>IF($C282= "", T281, IF(ISNA(VLOOKUP($C282,'ABC-S'!$A$5:$A$271,1,FALSE)), "", VLOOKUP($C282,'ABC-S'!$A$5:$A$271,1,FALSE)))</f>
        <v>CP0364</v>
      </c>
      <c r="W282" s="286" t="s">
        <v>2346</v>
      </c>
      <c r="X282" s="286"/>
      <c r="Y282" s="286"/>
      <c r="Z282" s="286"/>
      <c r="AA282" s="286" t="s">
        <v>21</v>
      </c>
      <c r="AB282" s="378">
        <v>0</v>
      </c>
      <c r="AC282" s="378"/>
      <c r="AD282" s="335"/>
      <c r="AE282" s="335"/>
      <c r="AF282" s="335"/>
      <c r="AG282" s="378">
        <v>0</v>
      </c>
      <c r="AI282" s="378" t="s">
        <v>21</v>
      </c>
      <c r="AJ282" s="378" t="s">
        <v>21</v>
      </c>
      <c r="AL282" s="286"/>
      <c r="AM282" s="286"/>
    </row>
    <row r="283" spans="1:39" s="51" customFormat="1" ht="33.75" x14ac:dyDescent="0.25">
      <c r="A283" s="59" t="s">
        <v>2346</v>
      </c>
      <c r="B283" s="59" t="s">
        <v>86</v>
      </c>
      <c r="C283" s="59"/>
      <c r="D283" s="59">
        <v>12578</v>
      </c>
      <c r="E283" s="60" t="s">
        <v>818</v>
      </c>
      <c r="F283" s="59" t="s">
        <v>3667</v>
      </c>
      <c r="G283" s="61">
        <v>1.0249999999999999</v>
      </c>
      <c r="H283" s="62">
        <v>218.19</v>
      </c>
      <c r="I283" s="62">
        <f>IF($D283="","",G283*H283)</f>
        <v>223.64474999999999</v>
      </c>
      <c r="J283" s="62"/>
      <c r="K283" s="62">
        <v>0</v>
      </c>
      <c r="L283" s="62">
        <v>223.64474999999999</v>
      </c>
      <c r="M283" s="62">
        <v>0</v>
      </c>
      <c r="N283" s="62">
        <v>0</v>
      </c>
      <c r="O283" s="62">
        <v>0</v>
      </c>
      <c r="P283" s="298" t="s">
        <v>89</v>
      </c>
      <c r="Q283" s="60" t="s">
        <v>27</v>
      </c>
      <c r="R283" s="60" t="s">
        <v>27</v>
      </c>
      <c r="S283" s="286" t="str">
        <f t="shared" si="21"/>
        <v>SIM</v>
      </c>
      <c r="T283" s="286" t="str">
        <f>IF($C283= "", T282, IF(ISNA(VLOOKUP($C283,'ABC-S'!$A$5:$A$271,1,FALSE)), "", VLOOKUP($C283,'ABC-S'!$A$5:$A$271,1,FALSE)))</f>
        <v>CP0364</v>
      </c>
      <c r="W283" s="286" t="s">
        <v>2346</v>
      </c>
      <c r="X283" s="286" t="s">
        <v>21</v>
      </c>
      <c r="Y283" s="286" t="s">
        <v>21</v>
      </c>
      <c r="Z283" s="286" t="s">
        <v>21</v>
      </c>
      <c r="AA283" s="286" t="s">
        <v>21</v>
      </c>
      <c r="AB283" s="378"/>
      <c r="AC283" s="381" t="s">
        <v>21</v>
      </c>
      <c r="AD283" s="378" t="s">
        <v>21</v>
      </c>
      <c r="AE283" s="378" t="s">
        <v>21</v>
      </c>
      <c r="AF283" s="378" t="s">
        <v>21</v>
      </c>
      <c r="AG283" s="378"/>
      <c r="AI283" s="378" t="s">
        <v>21</v>
      </c>
      <c r="AJ283" s="378" t="s">
        <v>21</v>
      </c>
      <c r="AL283" s="286"/>
      <c r="AM283" s="286">
        <v>7781</v>
      </c>
    </row>
    <row r="284" spans="1:39" s="51" customFormat="1" x14ac:dyDescent="0.25">
      <c r="A284" s="55" t="s">
        <v>2347</v>
      </c>
      <c r="B284" s="55" t="s">
        <v>138</v>
      </c>
      <c r="C284" s="55" t="s">
        <v>2347</v>
      </c>
      <c r="D284" s="55"/>
      <c r="E284" s="56" t="s">
        <v>2358</v>
      </c>
      <c r="F284" s="55" t="s">
        <v>22</v>
      </c>
      <c r="G284" s="57"/>
      <c r="H284" s="58"/>
      <c r="I284" s="58"/>
      <c r="J284" s="58">
        <f>SUM(I284:I285)</f>
        <v>401.42074999999994</v>
      </c>
      <c r="K284" s="58">
        <v>0</v>
      </c>
      <c r="L284" s="58">
        <v>401.42074999999994</v>
      </c>
      <c r="M284" s="58">
        <v>0</v>
      </c>
      <c r="N284" s="58">
        <v>0</v>
      </c>
      <c r="O284" s="58">
        <v>0</v>
      </c>
      <c r="P284" s="58"/>
      <c r="Q284" s="56"/>
      <c r="R284" s="56" t="s">
        <v>1026</v>
      </c>
      <c r="S284" s="286" t="str">
        <f t="shared" si="21"/>
        <v>SIM</v>
      </c>
      <c r="T284" s="286" t="str">
        <f>IF($C284= "", T283, IF(ISNA(VLOOKUP($C284,'ABC-S'!$A$5:$A$271,1,FALSE)), "", VLOOKUP($C284,'ABC-S'!$A$5:$A$271,1,FALSE)))</f>
        <v>CP0365</v>
      </c>
      <c r="W284" s="286" t="s">
        <v>2347</v>
      </c>
      <c r="X284" s="286"/>
      <c r="Y284" s="286"/>
      <c r="Z284" s="286"/>
      <c r="AA284" s="286" t="s">
        <v>21</v>
      </c>
      <c r="AB284" s="378">
        <v>0</v>
      </c>
      <c r="AC284" s="378"/>
      <c r="AD284" s="335"/>
      <c r="AE284" s="335"/>
      <c r="AF284" s="335"/>
      <c r="AG284" s="378">
        <v>0</v>
      </c>
      <c r="AI284" s="378" t="s">
        <v>21</v>
      </c>
      <c r="AJ284" s="378" t="s">
        <v>21</v>
      </c>
      <c r="AL284" s="286"/>
      <c r="AM284" s="286"/>
    </row>
    <row r="285" spans="1:39" s="51" customFormat="1" ht="33.75" x14ac:dyDescent="0.25">
      <c r="A285" s="59" t="s">
        <v>2347</v>
      </c>
      <c r="B285" s="59" t="s">
        <v>86</v>
      </c>
      <c r="C285" s="59"/>
      <c r="D285" s="59">
        <v>12580</v>
      </c>
      <c r="E285" s="60" t="s">
        <v>819</v>
      </c>
      <c r="F285" s="59" t="s">
        <v>3667</v>
      </c>
      <c r="G285" s="61">
        <v>1.0249999999999999</v>
      </c>
      <c r="H285" s="62">
        <v>391.63</v>
      </c>
      <c r="I285" s="62">
        <f>IF($D285="","",G285*H285)</f>
        <v>401.42074999999994</v>
      </c>
      <c r="J285" s="62"/>
      <c r="K285" s="62">
        <v>0</v>
      </c>
      <c r="L285" s="62">
        <v>401.42074999999994</v>
      </c>
      <c r="M285" s="62">
        <v>0</v>
      </c>
      <c r="N285" s="62">
        <v>0</v>
      </c>
      <c r="O285" s="62">
        <v>0</v>
      </c>
      <c r="P285" s="298" t="s">
        <v>89</v>
      </c>
      <c r="Q285" s="60" t="s">
        <v>27</v>
      </c>
      <c r="R285" s="60" t="s">
        <v>27</v>
      </c>
      <c r="S285" s="286" t="str">
        <f t="shared" si="21"/>
        <v>SIM</v>
      </c>
      <c r="T285" s="286" t="str">
        <f>IF($C285= "", T284, IF(ISNA(VLOOKUP($C285,'ABC-S'!$A$5:$A$271,1,FALSE)), "", VLOOKUP($C285,'ABC-S'!$A$5:$A$271,1,FALSE)))</f>
        <v>CP0365</v>
      </c>
      <c r="W285" s="286" t="s">
        <v>2347</v>
      </c>
      <c r="X285" s="286" t="s">
        <v>21</v>
      </c>
      <c r="Y285" s="286" t="s">
        <v>21</v>
      </c>
      <c r="Z285" s="286" t="s">
        <v>21</v>
      </c>
      <c r="AA285" s="286" t="s">
        <v>21</v>
      </c>
      <c r="AB285" s="378"/>
      <c r="AC285" s="381" t="s">
        <v>21</v>
      </c>
      <c r="AD285" s="378" t="s">
        <v>21</v>
      </c>
      <c r="AE285" s="378" t="s">
        <v>21</v>
      </c>
      <c r="AF285" s="378" t="s">
        <v>21</v>
      </c>
      <c r="AG285" s="378"/>
      <c r="AI285" s="378" t="s">
        <v>21</v>
      </c>
      <c r="AJ285" s="378" t="s">
        <v>21</v>
      </c>
      <c r="AL285" s="286"/>
      <c r="AM285" s="286">
        <v>7781</v>
      </c>
    </row>
    <row r="286" spans="1:39" s="51" customFormat="1" ht="22.5" x14ac:dyDescent="0.25">
      <c r="A286" s="55" t="s">
        <v>2348</v>
      </c>
      <c r="B286" s="55" t="s">
        <v>138</v>
      </c>
      <c r="C286" s="55" t="s">
        <v>2348</v>
      </c>
      <c r="D286" s="55"/>
      <c r="E286" s="56" t="s">
        <v>2359</v>
      </c>
      <c r="F286" s="55" t="s">
        <v>22</v>
      </c>
      <c r="G286" s="57"/>
      <c r="H286" s="58"/>
      <c r="I286" s="58"/>
      <c r="J286" s="58">
        <f>SUM(I286:I287)</f>
        <v>468.94774999999993</v>
      </c>
      <c r="K286" s="58">
        <v>0</v>
      </c>
      <c r="L286" s="58">
        <v>468.94774999999993</v>
      </c>
      <c r="M286" s="58">
        <v>0</v>
      </c>
      <c r="N286" s="58">
        <v>0</v>
      </c>
      <c r="O286" s="58">
        <v>0</v>
      </c>
      <c r="P286" s="58"/>
      <c r="Q286" s="56"/>
      <c r="R286" s="56" t="s">
        <v>1026</v>
      </c>
      <c r="S286" s="286" t="str">
        <f t="shared" si="21"/>
        <v>SIM</v>
      </c>
      <c r="T286" s="286" t="str">
        <f>IF($C286= "", T285, IF(ISNA(VLOOKUP($C286,'ABC-S'!$A$5:$A$271,1,FALSE)), "", VLOOKUP($C286,'ABC-S'!$A$5:$A$271,1,FALSE)))</f>
        <v>CP0366</v>
      </c>
      <c r="W286" s="286" t="s">
        <v>2348</v>
      </c>
      <c r="X286" s="286"/>
      <c r="Y286" s="286"/>
      <c r="Z286" s="286"/>
      <c r="AA286" s="286" t="s">
        <v>21</v>
      </c>
      <c r="AB286" s="378">
        <v>0</v>
      </c>
      <c r="AC286" s="378"/>
      <c r="AD286" s="335"/>
      <c r="AE286" s="335"/>
      <c r="AF286" s="335"/>
      <c r="AG286" s="378">
        <v>0</v>
      </c>
      <c r="AI286" s="378" t="s">
        <v>21</v>
      </c>
      <c r="AJ286" s="378" t="s">
        <v>21</v>
      </c>
      <c r="AL286" s="286"/>
      <c r="AM286" s="286"/>
    </row>
    <row r="287" spans="1:39" s="51" customFormat="1" ht="33.75" x14ac:dyDescent="0.25">
      <c r="A287" s="59" t="s">
        <v>2348</v>
      </c>
      <c r="B287" s="59" t="s">
        <v>86</v>
      </c>
      <c r="C287" s="59"/>
      <c r="D287" s="59">
        <v>12572</v>
      </c>
      <c r="E287" s="60" t="s">
        <v>815</v>
      </c>
      <c r="F287" s="59" t="s">
        <v>3667</v>
      </c>
      <c r="G287" s="61">
        <v>1.0249999999999999</v>
      </c>
      <c r="H287" s="62">
        <v>457.51</v>
      </c>
      <c r="I287" s="62">
        <f>IF($D287="","",G287*H287)</f>
        <v>468.94774999999993</v>
      </c>
      <c r="J287" s="62"/>
      <c r="K287" s="62">
        <v>0</v>
      </c>
      <c r="L287" s="62">
        <v>468.94774999999993</v>
      </c>
      <c r="M287" s="62">
        <v>0</v>
      </c>
      <c r="N287" s="62">
        <v>0</v>
      </c>
      <c r="O287" s="62">
        <v>0</v>
      </c>
      <c r="P287" s="298" t="s">
        <v>89</v>
      </c>
      <c r="Q287" s="60" t="s">
        <v>27</v>
      </c>
      <c r="R287" s="60" t="s">
        <v>27</v>
      </c>
      <c r="S287" s="286" t="str">
        <f t="shared" si="21"/>
        <v>SIM</v>
      </c>
      <c r="T287" s="286" t="str">
        <f>IF($C287= "", T286, IF(ISNA(VLOOKUP($C287,'ABC-S'!$A$5:$A$271,1,FALSE)), "", VLOOKUP($C287,'ABC-S'!$A$5:$A$271,1,FALSE)))</f>
        <v>CP0366</v>
      </c>
      <c r="W287" s="286" t="s">
        <v>2348</v>
      </c>
      <c r="X287" s="286" t="s">
        <v>21</v>
      </c>
      <c r="Y287" s="286" t="s">
        <v>21</v>
      </c>
      <c r="Z287" s="286" t="s">
        <v>21</v>
      </c>
      <c r="AA287" s="286" t="s">
        <v>21</v>
      </c>
      <c r="AB287" s="378"/>
      <c r="AC287" s="381" t="s">
        <v>21</v>
      </c>
      <c r="AD287" s="378" t="s">
        <v>21</v>
      </c>
      <c r="AE287" s="378" t="s">
        <v>21</v>
      </c>
      <c r="AF287" s="378" t="s">
        <v>21</v>
      </c>
      <c r="AG287" s="378"/>
      <c r="AI287" s="378" t="s">
        <v>21</v>
      </c>
      <c r="AJ287" s="378" t="s">
        <v>21</v>
      </c>
      <c r="AL287" s="286"/>
      <c r="AM287" s="286">
        <v>7781</v>
      </c>
    </row>
    <row r="288" spans="1:39" s="51" customFormat="1" ht="22.5" x14ac:dyDescent="0.25">
      <c r="A288" s="55" t="s">
        <v>2349</v>
      </c>
      <c r="B288" s="55" t="s">
        <v>138</v>
      </c>
      <c r="C288" s="55" t="s">
        <v>2349</v>
      </c>
      <c r="D288" s="55"/>
      <c r="E288" s="56" t="s">
        <v>2364</v>
      </c>
      <c r="F288" s="55" t="s">
        <v>22</v>
      </c>
      <c r="G288" s="57"/>
      <c r="H288" s="58"/>
      <c r="I288" s="58"/>
      <c r="J288" s="58">
        <f>SUM(I288:I289)</f>
        <v>745.84124999999995</v>
      </c>
      <c r="K288" s="58">
        <v>0</v>
      </c>
      <c r="L288" s="58">
        <v>745.84124999999995</v>
      </c>
      <c r="M288" s="58">
        <v>0</v>
      </c>
      <c r="N288" s="58">
        <v>0</v>
      </c>
      <c r="O288" s="58">
        <v>0</v>
      </c>
      <c r="P288" s="58"/>
      <c r="Q288" s="56"/>
      <c r="R288" s="56" t="s">
        <v>1026</v>
      </c>
      <c r="S288" s="286" t="str">
        <f t="shared" si="21"/>
        <v>SIM</v>
      </c>
      <c r="T288" s="286" t="str">
        <f>IF($C288= "", T287, IF(ISNA(VLOOKUP($C288,'ABC-S'!$A$5:$A$271,1,FALSE)), "", VLOOKUP($C288,'ABC-S'!$A$5:$A$271,1,FALSE)))</f>
        <v>CP0367</v>
      </c>
      <c r="W288" s="286" t="s">
        <v>2349</v>
      </c>
      <c r="X288" s="286"/>
      <c r="Y288" s="286"/>
      <c r="Z288" s="286"/>
      <c r="AA288" s="286" t="s">
        <v>21</v>
      </c>
      <c r="AB288" s="378">
        <v>0</v>
      </c>
      <c r="AC288" s="378"/>
      <c r="AD288" s="335"/>
      <c r="AE288" s="335"/>
      <c r="AF288" s="335"/>
      <c r="AG288" s="378">
        <v>0</v>
      </c>
      <c r="AI288" s="378" t="s">
        <v>21</v>
      </c>
      <c r="AJ288" s="378" t="s">
        <v>21</v>
      </c>
      <c r="AL288" s="286"/>
      <c r="AM288" s="286"/>
    </row>
    <row r="289" spans="1:39" s="51" customFormat="1" ht="33.75" x14ac:dyDescent="0.25">
      <c r="A289" s="59" t="s">
        <v>2349</v>
      </c>
      <c r="B289" s="59" t="s">
        <v>86</v>
      </c>
      <c r="C289" s="59"/>
      <c r="D289" s="59">
        <v>12574</v>
      </c>
      <c r="E289" s="60" t="s">
        <v>816</v>
      </c>
      <c r="F289" s="59" t="s">
        <v>3667</v>
      </c>
      <c r="G289" s="61">
        <v>1.0249999999999999</v>
      </c>
      <c r="H289" s="62">
        <v>727.65</v>
      </c>
      <c r="I289" s="62">
        <f>IF($D289="","",G289*H289)</f>
        <v>745.84124999999995</v>
      </c>
      <c r="J289" s="62"/>
      <c r="K289" s="62">
        <v>0</v>
      </c>
      <c r="L289" s="62">
        <v>745.84124999999995</v>
      </c>
      <c r="M289" s="62">
        <v>0</v>
      </c>
      <c r="N289" s="62">
        <v>0</v>
      </c>
      <c r="O289" s="62">
        <v>0</v>
      </c>
      <c r="P289" s="298" t="s">
        <v>89</v>
      </c>
      <c r="Q289" s="60" t="s">
        <v>27</v>
      </c>
      <c r="R289" s="60" t="s">
        <v>27</v>
      </c>
      <c r="S289" s="286" t="str">
        <f t="shared" si="21"/>
        <v>SIM</v>
      </c>
      <c r="T289" s="286" t="str">
        <f>IF($C289= "", T288, IF(ISNA(VLOOKUP($C289,'ABC-S'!$A$5:$A$271,1,FALSE)), "", VLOOKUP($C289,'ABC-S'!$A$5:$A$271,1,FALSE)))</f>
        <v>CP0367</v>
      </c>
      <c r="W289" s="286" t="s">
        <v>2349</v>
      </c>
      <c r="X289" s="286" t="s">
        <v>21</v>
      </c>
      <c r="Y289" s="286" t="s">
        <v>21</v>
      </c>
      <c r="Z289" s="286" t="s">
        <v>21</v>
      </c>
      <c r="AA289" s="286" t="s">
        <v>21</v>
      </c>
      <c r="AB289" s="378"/>
      <c r="AC289" s="381" t="s">
        <v>21</v>
      </c>
      <c r="AD289" s="378" t="s">
        <v>21</v>
      </c>
      <c r="AE289" s="378" t="s">
        <v>21</v>
      </c>
      <c r="AF289" s="378" t="s">
        <v>21</v>
      </c>
      <c r="AG289" s="378"/>
      <c r="AI289" s="378" t="s">
        <v>21</v>
      </c>
      <c r="AJ289" s="378" t="s">
        <v>21</v>
      </c>
      <c r="AL289" s="286"/>
      <c r="AM289" s="286">
        <v>7781</v>
      </c>
    </row>
    <row r="290" spans="1:39" s="51" customFormat="1" ht="22.5" x14ac:dyDescent="0.25">
      <c r="A290" s="55" t="s">
        <v>2350</v>
      </c>
      <c r="B290" s="55" t="s">
        <v>138</v>
      </c>
      <c r="C290" s="55" t="s">
        <v>2350</v>
      </c>
      <c r="D290" s="55"/>
      <c r="E290" s="56" t="s">
        <v>2365</v>
      </c>
      <c r="F290" s="55" t="s">
        <v>22</v>
      </c>
      <c r="G290" s="57"/>
      <c r="H290" s="58"/>
      <c r="I290" s="58"/>
      <c r="J290" s="58">
        <f>SUM(I290:I291)</f>
        <v>1132.6864999999998</v>
      </c>
      <c r="K290" s="58">
        <v>0</v>
      </c>
      <c r="L290" s="58">
        <v>1132.6864999999998</v>
      </c>
      <c r="M290" s="58">
        <v>0</v>
      </c>
      <c r="N290" s="58">
        <v>0</v>
      </c>
      <c r="O290" s="58">
        <v>0</v>
      </c>
      <c r="P290" s="58"/>
      <c r="Q290" s="56"/>
      <c r="R290" s="56" t="s">
        <v>1026</v>
      </c>
      <c r="S290" s="286" t="str">
        <f t="shared" si="21"/>
        <v>SIM</v>
      </c>
      <c r="T290" s="286" t="str">
        <f>IF($C290= "", T289, IF(ISNA(VLOOKUP($C290,'ABC-S'!$A$5:$A$271,1,FALSE)), "", VLOOKUP($C290,'ABC-S'!$A$5:$A$271,1,FALSE)))</f>
        <v>CP0368</v>
      </c>
      <c r="W290" s="286" t="s">
        <v>2350</v>
      </c>
      <c r="X290" s="286"/>
      <c r="Y290" s="286"/>
      <c r="Z290" s="286"/>
      <c r="AA290" s="286" t="s">
        <v>21</v>
      </c>
      <c r="AB290" s="378">
        <v>0</v>
      </c>
      <c r="AC290" s="378"/>
      <c r="AD290" s="335"/>
      <c r="AE290" s="335"/>
      <c r="AF290" s="335"/>
      <c r="AG290" s="378">
        <v>0</v>
      </c>
      <c r="AI290" s="378" t="s">
        <v>21</v>
      </c>
      <c r="AJ290" s="378" t="s">
        <v>21</v>
      </c>
      <c r="AL290" s="286"/>
      <c r="AM290" s="286"/>
    </row>
    <row r="291" spans="1:39" s="51" customFormat="1" ht="33.75" x14ac:dyDescent="0.25">
      <c r="A291" s="59" t="s">
        <v>2350</v>
      </c>
      <c r="B291" s="59" t="s">
        <v>86</v>
      </c>
      <c r="C291" s="59"/>
      <c r="D291" s="59">
        <v>12575</v>
      </c>
      <c r="E291" s="60" t="s">
        <v>817</v>
      </c>
      <c r="F291" s="59" t="s">
        <v>3667</v>
      </c>
      <c r="G291" s="61">
        <v>1.0249999999999999</v>
      </c>
      <c r="H291" s="62">
        <v>1105.06</v>
      </c>
      <c r="I291" s="62">
        <f>IF($D291="","",G291*H291)</f>
        <v>1132.6864999999998</v>
      </c>
      <c r="J291" s="62"/>
      <c r="K291" s="62">
        <v>0</v>
      </c>
      <c r="L291" s="62">
        <v>1132.6864999999998</v>
      </c>
      <c r="M291" s="62">
        <v>0</v>
      </c>
      <c r="N291" s="62">
        <v>0</v>
      </c>
      <c r="O291" s="62">
        <v>0</v>
      </c>
      <c r="P291" s="298" t="s">
        <v>89</v>
      </c>
      <c r="Q291" s="60" t="s">
        <v>27</v>
      </c>
      <c r="R291" s="60" t="s">
        <v>27</v>
      </c>
      <c r="S291" s="286" t="str">
        <f t="shared" si="21"/>
        <v>SIM</v>
      </c>
      <c r="T291" s="286" t="str">
        <f>IF($C291= "", T290, IF(ISNA(VLOOKUP($C291,'ABC-S'!$A$5:$A$271,1,FALSE)), "", VLOOKUP($C291,'ABC-S'!$A$5:$A$271,1,FALSE)))</f>
        <v>CP0368</v>
      </c>
      <c r="W291" s="286" t="s">
        <v>2350</v>
      </c>
      <c r="X291" s="286" t="s">
        <v>21</v>
      </c>
      <c r="Y291" s="286" t="s">
        <v>21</v>
      </c>
      <c r="Z291" s="286" t="s">
        <v>21</v>
      </c>
      <c r="AA291" s="286" t="s">
        <v>21</v>
      </c>
      <c r="AB291" s="378"/>
      <c r="AC291" s="381" t="s">
        <v>21</v>
      </c>
      <c r="AD291" s="378" t="s">
        <v>21</v>
      </c>
      <c r="AE291" s="378" t="s">
        <v>21</v>
      </c>
      <c r="AF291" s="378" t="s">
        <v>21</v>
      </c>
      <c r="AG291" s="378"/>
      <c r="AI291" s="378" t="s">
        <v>21</v>
      </c>
      <c r="AJ291" s="378" t="s">
        <v>21</v>
      </c>
      <c r="AL291" s="286"/>
      <c r="AM291" s="286">
        <v>7781</v>
      </c>
    </row>
    <row r="292" spans="1:39" s="51" customFormat="1" ht="45" x14ac:dyDescent="0.25">
      <c r="A292" s="55" t="s">
        <v>2387</v>
      </c>
      <c r="B292" s="55" t="s">
        <v>138</v>
      </c>
      <c r="C292" s="55" t="s">
        <v>2387</v>
      </c>
      <c r="D292" s="55"/>
      <c r="E292" s="56" t="s">
        <v>2412</v>
      </c>
      <c r="F292" s="55" t="s">
        <v>41</v>
      </c>
      <c r="G292" s="57"/>
      <c r="H292" s="58"/>
      <c r="I292" s="58"/>
      <c r="J292" s="58">
        <f>SUM(I292:I302)</f>
        <v>1183.4178576702777</v>
      </c>
      <c r="K292" s="58">
        <v>326.90384923053188</v>
      </c>
      <c r="L292" s="58">
        <v>849.56169670185693</v>
      </c>
      <c r="M292" s="58">
        <v>6.3702676570173935</v>
      </c>
      <c r="N292" s="58">
        <v>0</v>
      </c>
      <c r="O292" s="58">
        <v>0.58204408087172821</v>
      </c>
      <c r="P292" s="58"/>
      <c r="Q292" s="56"/>
      <c r="R292" s="56" t="s">
        <v>2388</v>
      </c>
      <c r="S292" s="286" t="str">
        <f t="shared" si="21"/>
        <v>SIM</v>
      </c>
      <c r="T292" s="286" t="str">
        <f>IF($C292= "", T291, IF(ISNA(VLOOKUP($C292,'ABC-S'!$A$5:$A$271,1,FALSE)), "", VLOOKUP($C292,'ABC-S'!$A$5:$A$271,1,FALSE)))</f>
        <v>CP0381</v>
      </c>
      <c r="W292" s="286" t="s">
        <v>2387</v>
      </c>
      <c r="X292" s="286"/>
      <c r="Y292" s="286"/>
      <c r="Z292" s="286"/>
      <c r="AA292" s="286" t="s">
        <v>21</v>
      </c>
      <c r="AB292" s="378">
        <v>0</v>
      </c>
      <c r="AC292" s="378"/>
      <c r="AD292" s="335"/>
      <c r="AE292" s="335"/>
      <c r="AF292" s="335"/>
      <c r="AG292" s="378">
        <v>21.085120768608931</v>
      </c>
      <c r="AI292" s="378" t="s">
        <v>21</v>
      </c>
      <c r="AJ292" s="378" t="s">
        <v>21</v>
      </c>
      <c r="AL292" s="286"/>
      <c r="AM292" s="286"/>
    </row>
    <row r="293" spans="1:39" s="51" customFormat="1" ht="22.5" x14ac:dyDescent="0.25">
      <c r="A293" s="59" t="s">
        <v>2387</v>
      </c>
      <c r="B293" s="59" t="s">
        <v>87</v>
      </c>
      <c r="C293" s="59"/>
      <c r="D293" s="59">
        <v>93382</v>
      </c>
      <c r="E293" s="60" t="s">
        <v>40</v>
      </c>
      <c r="F293" s="59" t="s">
        <v>44</v>
      </c>
      <c r="G293" s="61">
        <f>((0.2 * 2 + 0.1 * 2 + 0.9) ^ 2) * 0.1</f>
        <v>0.22500000000000001</v>
      </c>
      <c r="H293" s="62">
        <v>25.09</v>
      </c>
      <c r="I293" s="62">
        <f>IF($D293="","",G293*H293)</f>
        <v>5.6452499999999999</v>
      </c>
      <c r="J293" s="62"/>
      <c r="K293" s="62">
        <v>3.3660000000000001</v>
      </c>
      <c r="L293" s="62">
        <v>2.0677499999999998</v>
      </c>
      <c r="M293" s="62">
        <v>0.21149999999999999</v>
      </c>
      <c r="N293" s="62">
        <v>0</v>
      </c>
      <c r="O293" s="62">
        <v>0</v>
      </c>
      <c r="P293" s="298" t="s">
        <v>4160</v>
      </c>
      <c r="Q293" s="60" t="s">
        <v>27</v>
      </c>
      <c r="R293" s="60" t="s">
        <v>1051</v>
      </c>
      <c r="S293" s="286" t="str">
        <f t="shared" si="21"/>
        <v>SIM</v>
      </c>
      <c r="T293" s="286" t="str">
        <f>IF($C293= "", T292, IF(ISNA(VLOOKUP($C293,'ABC-S'!$A$5:$A$271,1,FALSE)), "", VLOOKUP($C293,'ABC-S'!$A$5:$A$271,1,FALSE)))</f>
        <v>CP0381</v>
      </c>
      <c r="W293" s="286" t="s">
        <v>2387</v>
      </c>
      <c r="X293" s="286" t="s">
        <v>21</v>
      </c>
      <c r="Y293" s="286" t="s">
        <v>1513</v>
      </c>
      <c r="Z293" s="286" t="s">
        <v>21</v>
      </c>
      <c r="AA293" s="286" t="s">
        <v>21</v>
      </c>
      <c r="AB293" s="378"/>
      <c r="AC293" s="381">
        <v>93382</v>
      </c>
      <c r="AD293" s="378">
        <v>0.22500000000000001</v>
      </c>
      <c r="AE293" s="378">
        <v>1.1870000000000001</v>
      </c>
      <c r="AF293" s="378">
        <v>0.26707500000000001</v>
      </c>
      <c r="AG293" s="378"/>
      <c r="AI293" s="378">
        <v>0</v>
      </c>
      <c r="AJ293" s="378">
        <v>0</v>
      </c>
      <c r="AL293" s="286"/>
      <c r="AM293" s="286">
        <v>7781</v>
      </c>
    </row>
    <row r="294" spans="1:39" s="51" customFormat="1" ht="45" x14ac:dyDescent="0.25">
      <c r="A294" s="59" t="s">
        <v>2387</v>
      </c>
      <c r="B294" s="59" t="s">
        <v>87</v>
      </c>
      <c r="C294" s="59"/>
      <c r="D294" s="59" t="s">
        <v>2389</v>
      </c>
      <c r="E294" s="60" t="s">
        <v>2405</v>
      </c>
      <c r="F294" s="59" t="s">
        <v>41</v>
      </c>
      <c r="G294" s="61">
        <v>1</v>
      </c>
      <c r="H294" s="62">
        <v>359.44057340000001</v>
      </c>
      <c r="I294" s="62">
        <f>IF($D294="","",G294*H294)</f>
        <v>359.44057340000001</v>
      </c>
      <c r="J294" s="62"/>
      <c r="K294" s="62">
        <v>81.569436200000013</v>
      </c>
      <c r="L294" s="62">
        <v>277.1372106</v>
      </c>
      <c r="M294" s="62">
        <v>0.47719980000000006</v>
      </c>
      <c r="N294" s="62">
        <v>0</v>
      </c>
      <c r="O294" s="62">
        <v>0.25672679999996717</v>
      </c>
      <c r="P294" s="298" t="s">
        <v>4160</v>
      </c>
      <c r="Q294" s="60" t="s">
        <v>27</v>
      </c>
      <c r="R294" s="60" t="s">
        <v>1051</v>
      </c>
      <c r="S294" s="286" t="str">
        <f t="shared" si="21"/>
        <v>SIM</v>
      </c>
      <c r="T294" s="286" t="str">
        <f>IF($C294= "", T293, IF(ISNA(VLOOKUP($C294,'ABC-S'!$A$5:$A$271,1,FALSE)), "", VLOOKUP($C294,'ABC-S'!$A$5:$A$271,1,FALSE)))</f>
        <v>CP0381</v>
      </c>
      <c r="W294" s="286" t="s">
        <v>2387</v>
      </c>
      <c r="X294" s="286" t="s">
        <v>21</v>
      </c>
      <c r="Y294" s="286" t="s">
        <v>1513</v>
      </c>
      <c r="Z294" s="286" t="s">
        <v>21</v>
      </c>
      <c r="AA294" s="286" t="s">
        <v>21</v>
      </c>
      <c r="AB294" s="378"/>
      <c r="AC294" s="381" t="s">
        <v>2389</v>
      </c>
      <c r="AD294" s="378">
        <v>1</v>
      </c>
      <c r="AE294" s="378">
        <v>5.2487873080000007</v>
      </c>
      <c r="AF294" s="378">
        <v>5.2487873080000007</v>
      </c>
      <c r="AG294" s="378"/>
      <c r="AI294" s="378" t="s">
        <v>21</v>
      </c>
      <c r="AJ294" s="378" t="s">
        <v>21</v>
      </c>
      <c r="AL294" s="286"/>
      <c r="AM294" s="286">
        <v>7781</v>
      </c>
    </row>
    <row r="295" spans="1:39" s="51" customFormat="1" ht="56.25" x14ac:dyDescent="0.25">
      <c r="A295" s="59" t="s">
        <v>2387</v>
      </c>
      <c r="B295" s="59" t="s">
        <v>87</v>
      </c>
      <c r="C295" s="59"/>
      <c r="D295" s="59">
        <v>87447</v>
      </c>
      <c r="E295" s="60" t="s">
        <v>486</v>
      </c>
      <c r="F295" s="59" t="s">
        <v>51</v>
      </c>
      <c r="G295" s="61">
        <f>((0.9 * 2) + ((0.9 + 0.1 * 2) * 2)) * 1.3</f>
        <v>5.2</v>
      </c>
      <c r="H295" s="62">
        <v>62.08</v>
      </c>
      <c r="I295" s="62">
        <f t="shared" ref="I295:I302" si="22">IF($D295="","",G295*H295)</f>
        <v>322.81599999999997</v>
      </c>
      <c r="J295" s="62"/>
      <c r="K295" s="62">
        <v>90.896000000000001</v>
      </c>
      <c r="L295" s="62">
        <v>231.92000000000002</v>
      </c>
      <c r="M295" s="62">
        <v>0</v>
      </c>
      <c r="N295" s="62">
        <v>0</v>
      </c>
      <c r="O295" s="62">
        <v>-5.6843418860808015E-14</v>
      </c>
      <c r="P295" s="298" t="s">
        <v>4160</v>
      </c>
      <c r="Q295" s="60" t="s">
        <v>27</v>
      </c>
      <c r="R295" s="60" t="s">
        <v>1051</v>
      </c>
      <c r="S295" s="286" t="str">
        <f t="shared" si="21"/>
        <v>SIM</v>
      </c>
      <c r="T295" s="286" t="str">
        <f>IF($C295= "", T294, IF(ISNA(VLOOKUP($C295,'ABC-S'!$A$5:$A$271,1,FALSE)), "", VLOOKUP($C295,'ABC-S'!$A$5:$A$271,1,FALSE)))</f>
        <v>CP0381</v>
      </c>
      <c r="W295" s="286" t="s">
        <v>2387</v>
      </c>
      <c r="X295" s="286" t="s">
        <v>21</v>
      </c>
      <c r="Y295" s="286" t="s">
        <v>1513</v>
      </c>
      <c r="Z295" s="286" t="s">
        <v>21</v>
      </c>
      <c r="AA295" s="286" t="s">
        <v>21</v>
      </c>
      <c r="AB295" s="378"/>
      <c r="AC295" s="381">
        <v>87447</v>
      </c>
      <c r="AD295" s="378">
        <v>5.2</v>
      </c>
      <c r="AE295" s="378">
        <v>1.1196000000000002</v>
      </c>
      <c r="AF295" s="378">
        <v>5.8219200000000013</v>
      </c>
      <c r="AG295" s="378"/>
      <c r="AI295" s="378">
        <v>8.8000000000000005E-3</v>
      </c>
      <c r="AJ295" s="378">
        <v>4.5760000000000002E-2</v>
      </c>
      <c r="AL295" s="286"/>
      <c r="AM295" s="286">
        <v>7781</v>
      </c>
    </row>
    <row r="296" spans="1:39" s="51" customFormat="1" ht="45" x14ac:dyDescent="0.25">
      <c r="A296" s="59" t="s">
        <v>2387</v>
      </c>
      <c r="B296" s="59" t="s">
        <v>87</v>
      </c>
      <c r="C296" s="59"/>
      <c r="D296" s="59">
        <v>87879</v>
      </c>
      <c r="E296" s="60" t="s">
        <v>536</v>
      </c>
      <c r="F296" s="59" t="s">
        <v>51</v>
      </c>
      <c r="G296" s="61">
        <f>0.9 * 4 * 1.3</f>
        <v>4.6800000000000006</v>
      </c>
      <c r="H296" s="62">
        <v>3.63</v>
      </c>
      <c r="I296" s="62">
        <f t="shared" si="22"/>
        <v>16.988400000000002</v>
      </c>
      <c r="J296" s="62"/>
      <c r="K296" s="62">
        <v>7.394400000000001</v>
      </c>
      <c r="L296" s="62">
        <v>9.5940000000000012</v>
      </c>
      <c r="M296" s="62">
        <v>0</v>
      </c>
      <c r="N296" s="62">
        <v>0</v>
      </c>
      <c r="O296" s="62">
        <v>0</v>
      </c>
      <c r="P296" s="298" t="s">
        <v>4160</v>
      </c>
      <c r="Q296" s="60" t="s">
        <v>27</v>
      </c>
      <c r="R296" s="60" t="s">
        <v>1051</v>
      </c>
      <c r="S296" s="286" t="str">
        <f t="shared" si="21"/>
        <v>SIM</v>
      </c>
      <c r="T296" s="286" t="str">
        <f>IF($C296= "", T295, IF(ISNA(VLOOKUP($C296,'ABC-S'!$A$5:$A$271,1,FALSE)), "", VLOOKUP($C296,'ABC-S'!$A$5:$A$271,1,FALSE)))</f>
        <v>CP0381</v>
      </c>
      <c r="W296" s="286" t="s">
        <v>2387</v>
      </c>
      <c r="X296" s="286" t="s">
        <v>21</v>
      </c>
      <c r="Y296" s="286" t="s">
        <v>1513</v>
      </c>
      <c r="Z296" s="286" t="s">
        <v>21</v>
      </c>
      <c r="AA296" s="286" t="s">
        <v>21</v>
      </c>
      <c r="AB296" s="378"/>
      <c r="AC296" s="381">
        <v>87879</v>
      </c>
      <c r="AD296" s="378">
        <v>4.6800000000000006</v>
      </c>
      <c r="AE296" s="378">
        <v>9.5144000000000006E-2</v>
      </c>
      <c r="AF296" s="378">
        <v>0.4452739200000001</v>
      </c>
      <c r="AG296" s="378"/>
      <c r="AI296" s="378">
        <v>4.1999999999999997E-3</v>
      </c>
      <c r="AJ296" s="378">
        <v>1.9656E-2</v>
      </c>
      <c r="AL296" s="286"/>
      <c r="AM296" s="286">
        <v>7781</v>
      </c>
    </row>
    <row r="297" spans="1:39" s="51" customFormat="1" ht="56.25" x14ac:dyDescent="0.25">
      <c r="A297" s="59" t="s">
        <v>2387</v>
      </c>
      <c r="B297" s="59" t="s">
        <v>87</v>
      </c>
      <c r="C297" s="59"/>
      <c r="D297" s="59">
        <v>87547</v>
      </c>
      <c r="E297" s="60" t="s">
        <v>599</v>
      </c>
      <c r="F297" s="59" t="s">
        <v>51</v>
      </c>
      <c r="G297" s="61">
        <f>G296</f>
        <v>4.6800000000000006</v>
      </c>
      <c r="H297" s="62">
        <v>20.3</v>
      </c>
      <c r="I297" s="62">
        <f t="shared" si="22"/>
        <v>95.004000000000019</v>
      </c>
      <c r="J297" s="62"/>
      <c r="K297" s="62">
        <v>41.839200000000005</v>
      </c>
      <c r="L297" s="62">
        <v>53.071200000000005</v>
      </c>
      <c r="M297" s="62">
        <v>4.6800000000000008E-2</v>
      </c>
      <c r="N297" s="62">
        <v>0</v>
      </c>
      <c r="O297" s="62">
        <v>4.6800000000004616E-2</v>
      </c>
      <c r="P297" s="298" t="s">
        <v>4160</v>
      </c>
      <c r="Q297" s="60" t="s">
        <v>27</v>
      </c>
      <c r="R297" s="60" t="s">
        <v>1051</v>
      </c>
      <c r="S297" s="286" t="str">
        <f t="shared" si="21"/>
        <v>SIM</v>
      </c>
      <c r="T297" s="286" t="str">
        <f>IF($C297= "", T296, IF(ISNA(VLOOKUP($C297,'ABC-S'!$A$5:$A$271,1,FALSE)), "", VLOOKUP($C297,'ABC-S'!$A$5:$A$271,1,FALSE)))</f>
        <v>CP0381</v>
      </c>
      <c r="W297" s="286" t="s">
        <v>2387</v>
      </c>
      <c r="X297" s="286" t="s">
        <v>21</v>
      </c>
      <c r="Y297" s="286" t="s">
        <v>1513</v>
      </c>
      <c r="Z297" s="286" t="s">
        <v>21</v>
      </c>
      <c r="AA297" s="286" t="s">
        <v>21</v>
      </c>
      <c r="AB297" s="378"/>
      <c r="AC297" s="381">
        <v>87547</v>
      </c>
      <c r="AD297" s="378">
        <v>4.6800000000000006</v>
      </c>
      <c r="AE297" s="378">
        <v>0.57384999999999997</v>
      </c>
      <c r="AF297" s="378">
        <v>2.6856180000000003</v>
      </c>
      <c r="AG297" s="378"/>
      <c r="AI297" s="378">
        <v>2.1299999999999999E-2</v>
      </c>
      <c r="AJ297" s="378">
        <v>9.9684000000000009E-2</v>
      </c>
      <c r="AL297" s="286"/>
      <c r="AM297" s="286">
        <v>7781</v>
      </c>
    </row>
    <row r="298" spans="1:39" s="51" customFormat="1" ht="45" x14ac:dyDescent="0.25">
      <c r="A298" s="59" t="s">
        <v>2387</v>
      </c>
      <c r="B298" s="59" t="s">
        <v>87</v>
      </c>
      <c r="C298" s="59"/>
      <c r="D298" s="59">
        <v>87630</v>
      </c>
      <c r="E298" s="60" t="s">
        <v>544</v>
      </c>
      <c r="F298" s="59" t="s">
        <v>51</v>
      </c>
      <c r="G298" s="61">
        <f>0.9 ^ 2</f>
        <v>0.81</v>
      </c>
      <c r="H298" s="62">
        <v>36.57</v>
      </c>
      <c r="I298" s="62">
        <f t="shared" si="22"/>
        <v>29.621700000000001</v>
      </c>
      <c r="J298" s="62"/>
      <c r="K298" s="62">
        <v>8.4321000000000002</v>
      </c>
      <c r="L298" s="62">
        <v>21.116700000000002</v>
      </c>
      <c r="M298" s="62">
        <v>4.8600000000000004E-2</v>
      </c>
      <c r="N298" s="62">
        <v>0</v>
      </c>
      <c r="O298" s="62">
        <v>2.430000000000021E-2</v>
      </c>
      <c r="P298" s="298" t="s">
        <v>4160</v>
      </c>
      <c r="Q298" s="60" t="s">
        <v>27</v>
      </c>
      <c r="R298" s="60" t="s">
        <v>1051</v>
      </c>
      <c r="S298" s="286" t="str">
        <f t="shared" si="21"/>
        <v>SIM</v>
      </c>
      <c r="T298" s="286" t="str">
        <f>IF($C298= "", T297, IF(ISNA(VLOOKUP($C298,'ABC-S'!$A$5:$A$271,1,FALSE)), "", VLOOKUP($C298,'ABC-S'!$A$5:$A$271,1,FALSE)))</f>
        <v>CP0381</v>
      </c>
      <c r="W298" s="286" t="s">
        <v>2387</v>
      </c>
      <c r="X298" s="286" t="s">
        <v>21</v>
      </c>
      <c r="Y298" s="286" t="s">
        <v>1513</v>
      </c>
      <c r="Z298" s="286" t="s">
        <v>21</v>
      </c>
      <c r="AA298" s="286" t="s">
        <v>21</v>
      </c>
      <c r="AB298" s="378"/>
      <c r="AC298" s="381">
        <v>87630</v>
      </c>
      <c r="AD298" s="378">
        <v>0.81</v>
      </c>
      <c r="AE298" s="378">
        <v>0.70403499999999997</v>
      </c>
      <c r="AF298" s="378">
        <v>0.57026834999999998</v>
      </c>
      <c r="AG298" s="378"/>
      <c r="AI298" s="378">
        <v>4.3099999999999999E-2</v>
      </c>
      <c r="AJ298" s="378">
        <v>3.4911000000000005E-2</v>
      </c>
      <c r="AL298" s="286"/>
      <c r="AM298" s="286">
        <v>7781</v>
      </c>
    </row>
    <row r="299" spans="1:39" s="51" customFormat="1" ht="45" x14ac:dyDescent="0.25">
      <c r="A299" s="59" t="s">
        <v>2387</v>
      </c>
      <c r="B299" s="59" t="s">
        <v>87</v>
      </c>
      <c r="C299" s="59"/>
      <c r="D299" s="59" t="s">
        <v>2143</v>
      </c>
      <c r="E299" s="60" t="s">
        <v>2403</v>
      </c>
      <c r="F299" s="59" t="s">
        <v>41</v>
      </c>
      <c r="G299" s="61">
        <v>1</v>
      </c>
      <c r="H299" s="62">
        <v>254.75861530203116</v>
      </c>
      <c r="I299" s="62">
        <f t="shared" si="22"/>
        <v>254.75861530203116</v>
      </c>
      <c r="J299" s="62"/>
      <c r="K299" s="62">
        <v>69.775503489637032</v>
      </c>
      <c r="L299" s="62">
        <v>184.36585144561769</v>
      </c>
      <c r="M299" s="62">
        <v>0.39766650000000009</v>
      </c>
      <c r="N299" s="62">
        <v>0</v>
      </c>
      <c r="O299" s="62">
        <v>0.21959386677642101</v>
      </c>
      <c r="P299" s="298" t="s">
        <v>4160</v>
      </c>
      <c r="Q299" s="60" t="s">
        <v>27</v>
      </c>
      <c r="R299" s="60" t="s">
        <v>1051</v>
      </c>
      <c r="S299" s="286" t="str">
        <f t="shared" si="21"/>
        <v>SIM</v>
      </c>
      <c r="T299" s="286" t="str">
        <f>IF($C299= "", T298, IF(ISNA(VLOOKUP($C299,'ABC-S'!$A$5:$A$271,1,FALSE)), "", VLOOKUP($C299,'ABC-S'!$A$5:$A$271,1,FALSE)))</f>
        <v>CP0381</v>
      </c>
      <c r="W299" s="286" t="s">
        <v>2387</v>
      </c>
      <c r="X299" s="286" t="s">
        <v>21</v>
      </c>
      <c r="Y299" s="286" t="s">
        <v>1513</v>
      </c>
      <c r="Z299" s="286" t="s">
        <v>21</v>
      </c>
      <c r="AA299" s="286" t="s">
        <v>21</v>
      </c>
      <c r="AB299" s="378"/>
      <c r="AC299" s="381" t="s">
        <v>2143</v>
      </c>
      <c r="AD299" s="378">
        <v>1</v>
      </c>
      <c r="AE299" s="378">
        <v>4.4773192594440987</v>
      </c>
      <c r="AF299" s="378">
        <v>4.4773192594440987</v>
      </c>
      <c r="AG299" s="378"/>
      <c r="AI299" s="378" t="s">
        <v>21</v>
      </c>
      <c r="AJ299" s="378" t="s">
        <v>21</v>
      </c>
      <c r="AL299" s="286"/>
      <c r="AM299" s="286">
        <v>7781</v>
      </c>
    </row>
    <row r="300" spans="1:39" s="51" customFormat="1" ht="45" x14ac:dyDescent="0.25">
      <c r="A300" s="59" t="s">
        <v>2387</v>
      </c>
      <c r="B300" s="59" t="s">
        <v>87</v>
      </c>
      <c r="C300" s="59"/>
      <c r="D300" s="59" t="s">
        <v>2148</v>
      </c>
      <c r="E300" s="60" t="s">
        <v>2401</v>
      </c>
      <c r="F300" s="59" t="s">
        <v>41</v>
      </c>
      <c r="G300" s="61">
        <v>1</v>
      </c>
      <c r="H300" s="62">
        <v>73.12145096824689</v>
      </c>
      <c r="I300" s="62">
        <f t="shared" si="22"/>
        <v>73.12145096824689</v>
      </c>
      <c r="J300" s="62"/>
      <c r="K300" s="62">
        <v>18.474733540894885</v>
      </c>
      <c r="L300" s="62">
        <v>54.550132656239221</v>
      </c>
      <c r="M300" s="62">
        <v>6.1961357017394303E-2</v>
      </c>
      <c r="N300" s="62">
        <v>0</v>
      </c>
      <c r="O300" s="62">
        <v>3.4623414095392491E-2</v>
      </c>
      <c r="P300" s="298" t="s">
        <v>4160</v>
      </c>
      <c r="Q300" s="60" t="s">
        <v>27</v>
      </c>
      <c r="R300" s="60" t="s">
        <v>1051</v>
      </c>
      <c r="S300" s="286" t="str">
        <f t="shared" si="21"/>
        <v>SIM</v>
      </c>
      <c r="T300" s="286" t="str">
        <f>IF($C300= "", T299, IF(ISNA(VLOOKUP($C300,'ABC-S'!$A$5:$A$271,1,FALSE)), "", VLOOKUP($C300,'ABC-S'!$A$5:$A$271,1,FALSE)))</f>
        <v>CP0381</v>
      </c>
      <c r="W300" s="286" t="s">
        <v>2387</v>
      </c>
      <c r="X300" s="286" t="s">
        <v>21</v>
      </c>
      <c r="Y300" s="286" t="s">
        <v>1513</v>
      </c>
      <c r="Z300" s="286" t="s">
        <v>21</v>
      </c>
      <c r="AA300" s="286" t="s">
        <v>21</v>
      </c>
      <c r="AB300" s="378"/>
      <c r="AC300" s="381" t="s">
        <v>2148</v>
      </c>
      <c r="AD300" s="378">
        <v>1</v>
      </c>
      <c r="AE300" s="378">
        <v>1.1484826511648301</v>
      </c>
      <c r="AF300" s="378">
        <v>1.1484826511648301</v>
      </c>
      <c r="AG300" s="378"/>
      <c r="AI300" s="378" t="s">
        <v>21</v>
      </c>
      <c r="AJ300" s="378" t="s">
        <v>21</v>
      </c>
      <c r="AL300" s="286"/>
      <c r="AM300" s="286">
        <v>7781</v>
      </c>
    </row>
    <row r="301" spans="1:39" s="51" customFormat="1" ht="33.75" x14ac:dyDescent="0.25">
      <c r="A301" s="59" t="s">
        <v>2387</v>
      </c>
      <c r="B301" s="59" t="s">
        <v>87</v>
      </c>
      <c r="C301" s="59"/>
      <c r="D301" s="59">
        <v>101463</v>
      </c>
      <c r="E301" s="60" t="s">
        <v>780</v>
      </c>
      <c r="F301" s="59" t="s">
        <v>55</v>
      </c>
      <c r="G301" s="280">
        <f>(G294 * 0.3812)
+(G299 * 0.3177)
+(G300 * 0.0495)</f>
        <v>0.74839999999999995</v>
      </c>
      <c r="H301" s="62">
        <v>30.23</v>
      </c>
      <c r="I301" s="62">
        <f t="shared" si="22"/>
        <v>22.624131999999999</v>
      </c>
      <c r="J301" s="62"/>
      <c r="K301" s="62">
        <v>4.8271800000000002</v>
      </c>
      <c r="L301" s="62">
        <v>13.418811999999999</v>
      </c>
      <c r="M301" s="62">
        <v>4.3781399999999993</v>
      </c>
      <c r="N301" s="62">
        <v>0</v>
      </c>
      <c r="O301" s="62">
        <v>0</v>
      </c>
      <c r="P301" s="298" t="s">
        <v>4160</v>
      </c>
      <c r="Q301" s="60" t="s">
        <v>27</v>
      </c>
      <c r="R301" s="60" t="s">
        <v>1051</v>
      </c>
      <c r="S301" s="286" t="str">
        <f t="shared" si="21"/>
        <v>SIM</v>
      </c>
      <c r="T301" s="286" t="str">
        <f>IF($C301= "", T300, IF(ISNA(VLOOKUP($C301,'ABC-S'!$A$5:$A$271,1,FALSE)), "", VLOOKUP($C301,'ABC-S'!$A$5:$A$271,1,FALSE)))</f>
        <v>CP0381</v>
      </c>
      <c r="W301" s="286" t="s">
        <v>2387</v>
      </c>
      <c r="X301" s="286" t="s">
        <v>21</v>
      </c>
      <c r="Y301" s="286" t="s">
        <v>1513</v>
      </c>
      <c r="Z301" s="286" t="s">
        <v>21</v>
      </c>
      <c r="AA301" s="286" t="s">
        <v>21</v>
      </c>
      <c r="AB301" s="378"/>
      <c r="AC301" s="381">
        <v>101463</v>
      </c>
      <c r="AD301" s="378">
        <v>0.74839999999999995</v>
      </c>
      <c r="AE301" s="378">
        <v>0.52829999999999999</v>
      </c>
      <c r="AF301" s="378">
        <v>0.39537971999999999</v>
      </c>
      <c r="AG301" s="378"/>
      <c r="AI301" s="378">
        <v>0</v>
      </c>
      <c r="AJ301" s="378">
        <v>0</v>
      </c>
      <c r="AL301" s="286"/>
      <c r="AM301" s="286">
        <v>7781</v>
      </c>
    </row>
    <row r="302" spans="1:39" s="51" customFormat="1" ht="45" x14ac:dyDescent="0.25">
      <c r="A302" s="59" t="s">
        <v>2387</v>
      </c>
      <c r="B302" s="59" t="s">
        <v>87</v>
      </c>
      <c r="C302" s="59"/>
      <c r="D302" s="59">
        <v>100950</v>
      </c>
      <c r="E302" s="60" t="s">
        <v>795</v>
      </c>
      <c r="F302" s="59" t="s">
        <v>42</v>
      </c>
      <c r="G302" s="61">
        <f>G301 * 2</f>
        <v>1.4967999999999999</v>
      </c>
      <c r="H302" s="62">
        <v>2.27</v>
      </c>
      <c r="I302" s="62">
        <f t="shared" si="22"/>
        <v>3.3977359999999996</v>
      </c>
      <c r="J302" s="62"/>
      <c r="K302" s="62">
        <v>0.32929599999999998</v>
      </c>
      <c r="L302" s="62">
        <v>2.3200400000000001</v>
      </c>
      <c r="M302" s="62">
        <v>0.74839999999999995</v>
      </c>
      <c r="N302" s="62">
        <v>0</v>
      </c>
      <c r="O302" s="62">
        <v>-4.4408920985006262E-16</v>
      </c>
      <c r="P302" s="298" t="s">
        <v>4160</v>
      </c>
      <c r="Q302" s="60" t="s">
        <v>27</v>
      </c>
      <c r="R302" s="60" t="s">
        <v>2390</v>
      </c>
      <c r="S302" s="286" t="str">
        <f t="shared" si="21"/>
        <v>SIM</v>
      </c>
      <c r="T302" s="286" t="str">
        <f>IF($C302= "", T301, IF(ISNA(VLOOKUP($C302,'ABC-S'!$A$5:$A$271,1,FALSE)), "", VLOOKUP($C302,'ABC-S'!$A$5:$A$271,1,FALSE)))</f>
        <v>CP0381</v>
      </c>
      <c r="W302" s="286" t="s">
        <v>2387</v>
      </c>
      <c r="X302" s="286" t="s">
        <v>21</v>
      </c>
      <c r="Y302" s="286" t="s">
        <v>1098</v>
      </c>
      <c r="Z302" s="286" t="s">
        <v>21</v>
      </c>
      <c r="AA302" s="286" t="s">
        <v>21</v>
      </c>
      <c r="AB302" s="378"/>
      <c r="AC302" s="381">
        <v>100950</v>
      </c>
      <c r="AD302" s="378">
        <v>1.4967999999999999</v>
      </c>
      <c r="AE302" s="378">
        <v>1.67E-2</v>
      </c>
      <c r="AF302" s="378">
        <v>2.4996559999999998E-2</v>
      </c>
      <c r="AG302" s="378"/>
      <c r="AI302" s="378">
        <v>0</v>
      </c>
      <c r="AJ302" s="378">
        <v>0</v>
      </c>
      <c r="AL302" s="286"/>
      <c r="AM302" s="286">
        <v>7781</v>
      </c>
    </row>
    <row r="303" spans="1:39" s="51" customFormat="1" ht="45" x14ac:dyDescent="0.25">
      <c r="A303" s="55" t="s">
        <v>2392</v>
      </c>
      <c r="B303" s="55" t="s">
        <v>138</v>
      </c>
      <c r="C303" s="55" t="s">
        <v>2392</v>
      </c>
      <c r="D303" s="55"/>
      <c r="E303" s="56" t="s">
        <v>2413</v>
      </c>
      <c r="F303" s="55" t="s">
        <v>41</v>
      </c>
      <c r="G303" s="57"/>
      <c r="H303" s="58"/>
      <c r="I303" s="58"/>
      <c r="J303" s="58">
        <f>SUM(I303:I313)</f>
        <v>1803.8161404202781</v>
      </c>
      <c r="K303" s="58">
        <v>494.90141088053196</v>
      </c>
      <c r="L303" s="58">
        <v>1294.9597361518565</v>
      </c>
      <c r="M303" s="58">
        <v>12.838627607017397</v>
      </c>
      <c r="N303" s="58">
        <v>0</v>
      </c>
      <c r="O303" s="58">
        <v>1.116365780871849</v>
      </c>
      <c r="P303" s="58"/>
      <c r="Q303" s="56"/>
      <c r="R303" s="56" t="s">
        <v>2393</v>
      </c>
      <c r="S303" s="286" t="str">
        <f t="shared" si="21"/>
        <v>SIM</v>
      </c>
      <c r="T303" s="286" t="str">
        <f>IF($C303= "", T302, IF(ISNA(VLOOKUP($C303,'ABC-S'!$A$5:$A$271,1,FALSE)), "", VLOOKUP($C303,'ABC-S'!$A$5:$A$271,1,FALSE)))</f>
        <v>CP0382</v>
      </c>
      <c r="W303" s="286" t="s">
        <v>2392</v>
      </c>
      <c r="X303" s="286"/>
      <c r="Y303" s="286"/>
      <c r="Z303" s="286"/>
      <c r="AA303" s="286" t="s">
        <v>21</v>
      </c>
      <c r="AB303" s="378">
        <v>0</v>
      </c>
      <c r="AC303" s="378"/>
      <c r="AD303" s="335"/>
      <c r="AE303" s="335"/>
      <c r="AF303" s="335"/>
      <c r="AG303" s="378">
        <v>32.279192236608928</v>
      </c>
      <c r="AI303" s="378" t="s">
        <v>21</v>
      </c>
      <c r="AJ303" s="378" t="s">
        <v>21</v>
      </c>
      <c r="AL303" s="286"/>
      <c r="AM303" s="286"/>
    </row>
    <row r="304" spans="1:39" s="51" customFormat="1" ht="22.5" x14ac:dyDescent="0.25">
      <c r="A304" s="59" t="s">
        <v>2392</v>
      </c>
      <c r="B304" s="59" t="s">
        <v>87</v>
      </c>
      <c r="C304" s="59"/>
      <c r="D304" s="59">
        <v>93382</v>
      </c>
      <c r="E304" s="60" t="s">
        <v>40</v>
      </c>
      <c r="F304" s="59" t="s">
        <v>44</v>
      </c>
      <c r="G304" s="61">
        <f>((0.2 * 4 + 1.1) ^ 2) * 0.1</f>
        <v>0.36100000000000004</v>
      </c>
      <c r="H304" s="62">
        <v>25.09</v>
      </c>
      <c r="I304" s="62">
        <f>IF($D304="","",G304*H304)</f>
        <v>9.0574900000000014</v>
      </c>
      <c r="J304" s="62"/>
      <c r="K304" s="62">
        <v>5.4005600000000014</v>
      </c>
      <c r="L304" s="62">
        <v>3.31759</v>
      </c>
      <c r="M304" s="62">
        <v>0.33934000000000003</v>
      </c>
      <c r="N304" s="62">
        <v>0</v>
      </c>
      <c r="O304" s="62">
        <v>0</v>
      </c>
      <c r="P304" s="298" t="s">
        <v>4160</v>
      </c>
      <c r="Q304" s="60" t="s">
        <v>27</v>
      </c>
      <c r="R304" s="60" t="s">
        <v>1051</v>
      </c>
      <c r="S304" s="286" t="str">
        <f t="shared" si="21"/>
        <v>SIM</v>
      </c>
      <c r="T304" s="286" t="str">
        <f>IF($C304= "", T303, IF(ISNA(VLOOKUP($C304,'ABC-S'!$A$5:$A$271,1,FALSE)), "", VLOOKUP($C304,'ABC-S'!$A$5:$A$271,1,FALSE)))</f>
        <v>CP0382</v>
      </c>
      <c r="W304" s="286" t="s">
        <v>2392</v>
      </c>
      <c r="X304" s="286" t="s">
        <v>21</v>
      </c>
      <c r="Y304" s="286" t="s">
        <v>1513</v>
      </c>
      <c r="Z304" s="286" t="s">
        <v>21</v>
      </c>
      <c r="AA304" s="286" t="s">
        <v>21</v>
      </c>
      <c r="AB304" s="378"/>
      <c r="AC304" s="381">
        <v>93382</v>
      </c>
      <c r="AD304" s="378">
        <v>0.36100000000000004</v>
      </c>
      <c r="AE304" s="378">
        <v>1.1870000000000001</v>
      </c>
      <c r="AF304" s="378">
        <v>0.42850700000000008</v>
      </c>
      <c r="AG304" s="378"/>
      <c r="AI304" s="378">
        <v>0</v>
      </c>
      <c r="AJ304" s="378">
        <v>0</v>
      </c>
      <c r="AL304" s="286"/>
      <c r="AM304" s="286">
        <v>7781</v>
      </c>
    </row>
    <row r="305" spans="1:39" s="51" customFormat="1" ht="45" x14ac:dyDescent="0.25">
      <c r="A305" s="59" t="s">
        <v>2392</v>
      </c>
      <c r="B305" s="59" t="s">
        <v>87</v>
      </c>
      <c r="C305" s="59"/>
      <c r="D305" s="59" t="s">
        <v>1025</v>
      </c>
      <c r="E305" s="60" t="s">
        <v>2404</v>
      </c>
      <c r="F305" s="59" t="s">
        <v>41</v>
      </c>
      <c r="G305" s="61">
        <v>1</v>
      </c>
      <c r="H305" s="62">
        <v>638.89315575000001</v>
      </c>
      <c r="I305" s="62">
        <f t="shared" ref="I305:I313" si="23">IF($D305="","",G305*H305)</f>
        <v>638.89315575000001</v>
      </c>
      <c r="J305" s="62"/>
      <c r="K305" s="62">
        <v>150.87361425</v>
      </c>
      <c r="L305" s="62">
        <v>486.32343524999993</v>
      </c>
      <c r="M305" s="62">
        <v>1.10919375</v>
      </c>
      <c r="N305" s="62">
        <v>0</v>
      </c>
      <c r="O305" s="62">
        <v>0.58691250000003947</v>
      </c>
      <c r="P305" s="298" t="s">
        <v>4160</v>
      </c>
      <c r="Q305" s="60" t="s">
        <v>27</v>
      </c>
      <c r="R305" s="60" t="s">
        <v>1051</v>
      </c>
      <c r="S305" s="286" t="str">
        <f t="shared" si="21"/>
        <v>SIM</v>
      </c>
      <c r="T305" s="286" t="str">
        <f>IF($C305= "", T304, IF(ISNA(VLOOKUP($C305,'ABC-S'!$A$5:$A$271,1,FALSE)), "", VLOOKUP($C305,'ABC-S'!$A$5:$A$271,1,FALSE)))</f>
        <v>CP0382</v>
      </c>
      <c r="W305" s="286" t="s">
        <v>2392</v>
      </c>
      <c r="X305" s="286" t="s">
        <v>21</v>
      </c>
      <c r="Y305" s="286" t="s">
        <v>1513</v>
      </c>
      <c r="Z305" s="286" t="s">
        <v>21</v>
      </c>
      <c r="AA305" s="286" t="s">
        <v>21</v>
      </c>
      <c r="AB305" s="378"/>
      <c r="AC305" s="381" t="s">
        <v>1025</v>
      </c>
      <c r="AD305" s="378">
        <v>1</v>
      </c>
      <c r="AE305" s="378">
        <v>9.8797209800000001</v>
      </c>
      <c r="AF305" s="378">
        <v>9.8797209800000001</v>
      </c>
      <c r="AG305" s="378"/>
      <c r="AI305" s="378" t="s">
        <v>21</v>
      </c>
      <c r="AJ305" s="378" t="s">
        <v>21</v>
      </c>
      <c r="AL305" s="286"/>
      <c r="AM305" s="286">
        <v>7781</v>
      </c>
    </row>
    <row r="306" spans="1:39" s="51" customFormat="1" ht="56.25" x14ac:dyDescent="0.25">
      <c r="A306" s="59" t="s">
        <v>2392</v>
      </c>
      <c r="B306" s="59" t="s">
        <v>87</v>
      </c>
      <c r="C306" s="59"/>
      <c r="D306" s="59">
        <v>87447</v>
      </c>
      <c r="E306" s="60" t="s">
        <v>486</v>
      </c>
      <c r="F306" s="59" t="s">
        <v>51</v>
      </c>
      <c r="G306" s="61">
        <f>((1.1 * 2) + ((1.1 + 0.2 * 2) * 2)) * 1.4</f>
        <v>7.2799999999999994</v>
      </c>
      <c r="H306" s="62">
        <v>62.08</v>
      </c>
      <c r="I306" s="62">
        <f t="shared" si="23"/>
        <v>451.94239999999996</v>
      </c>
      <c r="J306" s="62"/>
      <c r="K306" s="62">
        <v>127.25439999999999</v>
      </c>
      <c r="L306" s="62">
        <v>324.68799999999999</v>
      </c>
      <c r="M306" s="62">
        <v>0</v>
      </c>
      <c r="N306" s="62">
        <v>0</v>
      </c>
      <c r="O306" s="62">
        <v>0</v>
      </c>
      <c r="P306" s="298" t="s">
        <v>4160</v>
      </c>
      <c r="Q306" s="60" t="s">
        <v>27</v>
      </c>
      <c r="R306" s="60" t="s">
        <v>1051</v>
      </c>
      <c r="S306" s="286" t="str">
        <f t="shared" si="21"/>
        <v>SIM</v>
      </c>
      <c r="T306" s="286" t="str">
        <f>IF($C306= "", T305, IF(ISNA(VLOOKUP($C306,'ABC-S'!$A$5:$A$271,1,FALSE)), "", VLOOKUP($C306,'ABC-S'!$A$5:$A$271,1,FALSE)))</f>
        <v>CP0382</v>
      </c>
      <c r="W306" s="286" t="s">
        <v>2392</v>
      </c>
      <c r="X306" s="286" t="s">
        <v>21</v>
      </c>
      <c r="Y306" s="286" t="s">
        <v>1513</v>
      </c>
      <c r="Z306" s="286" t="s">
        <v>21</v>
      </c>
      <c r="AA306" s="286" t="s">
        <v>21</v>
      </c>
      <c r="AB306" s="378"/>
      <c r="AC306" s="381">
        <v>87447</v>
      </c>
      <c r="AD306" s="378">
        <v>7.2799999999999994</v>
      </c>
      <c r="AE306" s="378">
        <v>1.1196000000000002</v>
      </c>
      <c r="AF306" s="378">
        <v>8.1506880000000006</v>
      </c>
      <c r="AG306" s="378"/>
      <c r="AI306" s="378">
        <v>8.8000000000000005E-3</v>
      </c>
      <c r="AJ306" s="378">
        <v>6.4063999999999996E-2</v>
      </c>
      <c r="AL306" s="286"/>
      <c r="AM306" s="286">
        <v>7781</v>
      </c>
    </row>
    <row r="307" spans="1:39" s="51" customFormat="1" ht="45" x14ac:dyDescent="0.25">
      <c r="A307" s="59" t="s">
        <v>2392</v>
      </c>
      <c r="B307" s="59" t="s">
        <v>87</v>
      </c>
      <c r="C307" s="59"/>
      <c r="D307" s="59">
        <v>87879</v>
      </c>
      <c r="E307" s="60" t="s">
        <v>536</v>
      </c>
      <c r="F307" s="59" t="s">
        <v>51</v>
      </c>
      <c r="G307" s="61">
        <f>1.1 * 4 * 1.4</f>
        <v>6.16</v>
      </c>
      <c r="H307" s="62">
        <v>3.63</v>
      </c>
      <c r="I307" s="62">
        <f t="shared" si="23"/>
        <v>22.360800000000001</v>
      </c>
      <c r="J307" s="62"/>
      <c r="K307" s="62">
        <v>9.732800000000001</v>
      </c>
      <c r="L307" s="62">
        <v>12.627999999999998</v>
      </c>
      <c r="M307" s="62">
        <v>0</v>
      </c>
      <c r="N307" s="62">
        <v>0</v>
      </c>
      <c r="O307" s="62">
        <v>3.5527136788005009E-15</v>
      </c>
      <c r="P307" s="298" t="s">
        <v>4160</v>
      </c>
      <c r="Q307" s="60" t="s">
        <v>27</v>
      </c>
      <c r="R307" s="60" t="s">
        <v>1051</v>
      </c>
      <c r="S307" s="286" t="str">
        <f t="shared" si="21"/>
        <v>SIM</v>
      </c>
      <c r="T307" s="286" t="str">
        <f>IF($C307= "", T306, IF(ISNA(VLOOKUP($C307,'ABC-S'!$A$5:$A$271,1,FALSE)), "", VLOOKUP($C307,'ABC-S'!$A$5:$A$271,1,FALSE)))</f>
        <v>CP0382</v>
      </c>
      <c r="W307" s="286" t="s">
        <v>2392</v>
      </c>
      <c r="X307" s="286" t="s">
        <v>21</v>
      </c>
      <c r="Y307" s="286" t="s">
        <v>1513</v>
      </c>
      <c r="Z307" s="286" t="s">
        <v>21</v>
      </c>
      <c r="AA307" s="286" t="s">
        <v>21</v>
      </c>
      <c r="AB307" s="378"/>
      <c r="AC307" s="381">
        <v>87879</v>
      </c>
      <c r="AD307" s="378">
        <v>6.16</v>
      </c>
      <c r="AE307" s="378">
        <v>9.5144000000000006E-2</v>
      </c>
      <c r="AF307" s="378">
        <v>0.58608704</v>
      </c>
      <c r="AG307" s="378"/>
      <c r="AI307" s="378">
        <v>4.1999999999999997E-3</v>
      </c>
      <c r="AJ307" s="378">
        <v>2.5871999999999999E-2</v>
      </c>
      <c r="AL307" s="286"/>
      <c r="AM307" s="286">
        <v>7781</v>
      </c>
    </row>
    <row r="308" spans="1:39" s="51" customFormat="1" ht="56.25" x14ac:dyDescent="0.25">
      <c r="A308" s="59" t="s">
        <v>2392</v>
      </c>
      <c r="B308" s="59" t="s">
        <v>87</v>
      </c>
      <c r="C308" s="59"/>
      <c r="D308" s="59">
        <v>87547</v>
      </c>
      <c r="E308" s="60" t="s">
        <v>599</v>
      </c>
      <c r="F308" s="59" t="s">
        <v>51</v>
      </c>
      <c r="G308" s="61">
        <f>G307</f>
        <v>6.16</v>
      </c>
      <c r="H308" s="62">
        <v>20.3</v>
      </c>
      <c r="I308" s="62">
        <f t="shared" si="23"/>
        <v>125.048</v>
      </c>
      <c r="J308" s="62"/>
      <c r="K308" s="62">
        <v>55.070399999999999</v>
      </c>
      <c r="L308" s="62">
        <v>69.854399999999998</v>
      </c>
      <c r="M308" s="62">
        <v>6.1600000000000002E-2</v>
      </c>
      <c r="N308" s="62">
        <v>0</v>
      </c>
      <c r="O308" s="62">
        <v>6.1599999999998545E-2</v>
      </c>
      <c r="P308" s="298" t="s">
        <v>4160</v>
      </c>
      <c r="Q308" s="60" t="s">
        <v>27</v>
      </c>
      <c r="R308" s="60" t="s">
        <v>1051</v>
      </c>
      <c r="S308" s="286" t="str">
        <f t="shared" si="21"/>
        <v>SIM</v>
      </c>
      <c r="T308" s="286" t="str">
        <f>IF($C308= "", T307, IF(ISNA(VLOOKUP($C308,'ABC-S'!$A$5:$A$271,1,FALSE)), "", VLOOKUP($C308,'ABC-S'!$A$5:$A$271,1,FALSE)))</f>
        <v>CP0382</v>
      </c>
      <c r="W308" s="286" t="s">
        <v>2392</v>
      </c>
      <c r="X308" s="286" t="s">
        <v>21</v>
      </c>
      <c r="Y308" s="286" t="s">
        <v>1513</v>
      </c>
      <c r="Z308" s="286" t="s">
        <v>21</v>
      </c>
      <c r="AA308" s="286" t="s">
        <v>21</v>
      </c>
      <c r="AB308" s="378"/>
      <c r="AC308" s="381">
        <v>87547</v>
      </c>
      <c r="AD308" s="378">
        <v>6.16</v>
      </c>
      <c r="AE308" s="378">
        <v>0.57384999999999997</v>
      </c>
      <c r="AF308" s="378">
        <v>3.5349159999999999</v>
      </c>
      <c r="AG308" s="378"/>
      <c r="AI308" s="378">
        <v>2.1299999999999999E-2</v>
      </c>
      <c r="AJ308" s="378">
        <v>0.13120799999999999</v>
      </c>
      <c r="AL308" s="286"/>
      <c r="AM308" s="286">
        <v>7781</v>
      </c>
    </row>
    <row r="309" spans="1:39" s="51" customFormat="1" ht="45" x14ac:dyDescent="0.25">
      <c r="A309" s="59" t="s">
        <v>2392</v>
      </c>
      <c r="B309" s="59" t="s">
        <v>87</v>
      </c>
      <c r="C309" s="59"/>
      <c r="D309" s="59">
        <v>87630</v>
      </c>
      <c r="E309" s="60" t="s">
        <v>544</v>
      </c>
      <c r="F309" s="59" t="s">
        <v>51</v>
      </c>
      <c r="G309" s="61">
        <f>1.1 ^ 2</f>
        <v>1.2100000000000002</v>
      </c>
      <c r="H309" s="62">
        <v>36.57</v>
      </c>
      <c r="I309" s="62">
        <f t="shared" si="23"/>
        <v>44.249700000000004</v>
      </c>
      <c r="J309" s="62"/>
      <c r="K309" s="62">
        <v>12.596100000000002</v>
      </c>
      <c r="L309" s="62">
        <v>31.544700000000006</v>
      </c>
      <c r="M309" s="62">
        <v>7.2600000000000012E-2</v>
      </c>
      <c r="N309" s="62">
        <v>0</v>
      </c>
      <c r="O309" s="62">
        <v>3.6299999999997112E-2</v>
      </c>
      <c r="P309" s="298" t="s">
        <v>4160</v>
      </c>
      <c r="Q309" s="60" t="s">
        <v>27</v>
      </c>
      <c r="R309" s="60" t="s">
        <v>1051</v>
      </c>
      <c r="S309" s="286" t="str">
        <f t="shared" si="21"/>
        <v>SIM</v>
      </c>
      <c r="T309" s="286" t="str">
        <f>IF($C309= "", T308, IF(ISNA(VLOOKUP($C309,'ABC-S'!$A$5:$A$271,1,FALSE)), "", VLOOKUP($C309,'ABC-S'!$A$5:$A$271,1,FALSE)))</f>
        <v>CP0382</v>
      </c>
      <c r="W309" s="286" t="s">
        <v>2392</v>
      </c>
      <c r="X309" s="286" t="s">
        <v>21</v>
      </c>
      <c r="Y309" s="286" t="s">
        <v>1513</v>
      </c>
      <c r="Z309" s="286" t="s">
        <v>21</v>
      </c>
      <c r="AA309" s="286" t="s">
        <v>21</v>
      </c>
      <c r="AB309" s="378"/>
      <c r="AC309" s="381">
        <v>87630</v>
      </c>
      <c r="AD309" s="378">
        <v>1.2100000000000002</v>
      </c>
      <c r="AE309" s="378">
        <v>0.70403499999999997</v>
      </c>
      <c r="AF309" s="378">
        <v>0.85188235000000012</v>
      </c>
      <c r="AG309" s="378"/>
      <c r="AI309" s="378">
        <v>4.3099999999999999E-2</v>
      </c>
      <c r="AJ309" s="378">
        <v>5.215100000000001E-2</v>
      </c>
      <c r="AL309" s="286"/>
      <c r="AM309" s="286">
        <v>7781</v>
      </c>
    </row>
    <row r="310" spans="1:39" s="51" customFormat="1" ht="45" x14ac:dyDescent="0.25">
      <c r="A310" s="59" t="s">
        <v>2392</v>
      </c>
      <c r="B310" s="59" t="s">
        <v>87</v>
      </c>
      <c r="C310" s="59"/>
      <c r="D310" s="248" t="s">
        <v>2144</v>
      </c>
      <c r="E310" s="60" t="s">
        <v>2402</v>
      </c>
      <c r="F310" s="59" t="s">
        <v>41</v>
      </c>
      <c r="G310" s="61">
        <v>1</v>
      </c>
      <c r="H310" s="62">
        <v>386.07716970203114</v>
      </c>
      <c r="I310" s="62">
        <f t="shared" si="23"/>
        <v>386.07716970203114</v>
      </c>
      <c r="J310" s="62"/>
      <c r="K310" s="62">
        <v>104.98328508963704</v>
      </c>
      <c r="L310" s="62">
        <v>279.95749224561769</v>
      </c>
      <c r="M310" s="62">
        <v>0.73946250000000002</v>
      </c>
      <c r="N310" s="62">
        <v>0</v>
      </c>
      <c r="O310" s="62">
        <v>0.39692986677641784</v>
      </c>
      <c r="P310" s="298" t="s">
        <v>4160</v>
      </c>
      <c r="Q310" s="60" t="s">
        <v>27</v>
      </c>
      <c r="R310" s="60" t="s">
        <v>1051</v>
      </c>
      <c r="S310" s="286" t="str">
        <f t="shared" si="21"/>
        <v>SIM</v>
      </c>
      <c r="T310" s="286" t="str">
        <f>IF($C310= "", T309, IF(ISNA(VLOOKUP($C310,'ABC-S'!$A$5:$A$271,1,FALSE)), "", VLOOKUP($C310,'ABC-S'!$A$5:$A$271,1,FALSE)))</f>
        <v>CP0382</v>
      </c>
      <c r="W310" s="286" t="s">
        <v>2392</v>
      </c>
      <c r="X310" s="286" t="s">
        <v>21</v>
      </c>
      <c r="Y310" s="286" t="s">
        <v>1513</v>
      </c>
      <c r="Z310" s="286" t="s">
        <v>21</v>
      </c>
      <c r="AA310" s="286" t="s">
        <v>21</v>
      </c>
      <c r="AB310" s="378"/>
      <c r="AC310" s="381" t="s">
        <v>2144</v>
      </c>
      <c r="AD310" s="378">
        <v>1</v>
      </c>
      <c r="AE310" s="378">
        <v>6.8416416754440981</v>
      </c>
      <c r="AF310" s="378">
        <v>6.8416416754440981</v>
      </c>
      <c r="AG310" s="378"/>
      <c r="AI310" s="378" t="s">
        <v>21</v>
      </c>
      <c r="AJ310" s="378" t="s">
        <v>21</v>
      </c>
      <c r="AL310" s="286"/>
      <c r="AM310" s="286">
        <v>7781</v>
      </c>
    </row>
    <row r="311" spans="1:39" s="51" customFormat="1" ht="45" x14ac:dyDescent="0.25">
      <c r="A311" s="59" t="s">
        <v>2392</v>
      </c>
      <c r="B311" s="59" t="s">
        <v>87</v>
      </c>
      <c r="C311" s="59"/>
      <c r="D311" s="59" t="s">
        <v>2148</v>
      </c>
      <c r="E311" s="60" t="s">
        <v>2401</v>
      </c>
      <c r="F311" s="59" t="s">
        <v>41</v>
      </c>
      <c r="G311" s="61">
        <v>1</v>
      </c>
      <c r="H311" s="62">
        <v>73.12145096824689</v>
      </c>
      <c r="I311" s="62">
        <f t="shared" si="23"/>
        <v>73.12145096824689</v>
      </c>
      <c r="J311" s="62"/>
      <c r="K311" s="62">
        <v>18.474733540894885</v>
      </c>
      <c r="L311" s="62">
        <v>54.550132656239221</v>
      </c>
      <c r="M311" s="62">
        <v>6.1961357017394303E-2</v>
      </c>
      <c r="N311" s="62">
        <v>0</v>
      </c>
      <c r="O311" s="62">
        <v>3.4623414095392491E-2</v>
      </c>
      <c r="P311" s="298" t="s">
        <v>4160</v>
      </c>
      <c r="Q311" s="60" t="s">
        <v>27</v>
      </c>
      <c r="R311" s="60" t="s">
        <v>1051</v>
      </c>
      <c r="S311" s="286" t="str">
        <f t="shared" si="21"/>
        <v>SIM</v>
      </c>
      <c r="T311" s="286" t="str">
        <f>IF($C311= "", T310, IF(ISNA(VLOOKUP($C311,'ABC-S'!$A$5:$A$271,1,FALSE)), "", VLOOKUP($C311,'ABC-S'!$A$5:$A$271,1,FALSE)))</f>
        <v>CP0382</v>
      </c>
      <c r="W311" s="286" t="s">
        <v>2392</v>
      </c>
      <c r="X311" s="286" t="s">
        <v>21</v>
      </c>
      <c r="Y311" s="286" t="s">
        <v>1513</v>
      </c>
      <c r="Z311" s="286" t="s">
        <v>21</v>
      </c>
      <c r="AA311" s="286" t="s">
        <v>21</v>
      </c>
      <c r="AB311" s="378"/>
      <c r="AC311" s="381" t="s">
        <v>2148</v>
      </c>
      <c r="AD311" s="378">
        <v>1</v>
      </c>
      <c r="AE311" s="378">
        <v>1.1484826511648301</v>
      </c>
      <c r="AF311" s="378">
        <v>1.1484826511648301</v>
      </c>
      <c r="AG311" s="378"/>
      <c r="AI311" s="378" t="s">
        <v>21</v>
      </c>
      <c r="AJ311" s="378" t="s">
        <v>21</v>
      </c>
      <c r="AL311" s="286"/>
      <c r="AM311" s="286">
        <v>7781</v>
      </c>
    </row>
    <row r="312" spans="1:39" s="51" customFormat="1" ht="33.75" x14ac:dyDescent="0.25">
      <c r="A312" s="59" t="s">
        <v>2392</v>
      </c>
      <c r="B312" s="59" t="s">
        <v>87</v>
      </c>
      <c r="C312" s="59"/>
      <c r="D312" s="59">
        <v>101463</v>
      </c>
      <c r="E312" s="60" t="s">
        <v>780</v>
      </c>
      <c r="F312" s="59" t="s">
        <v>55</v>
      </c>
      <c r="G312" s="280">
        <f>(G305 * 0.886)
+(G310 * 0.5907)
+(G311 * 0.0495)</f>
        <v>1.5262000000000002</v>
      </c>
      <c r="H312" s="62">
        <v>30.23</v>
      </c>
      <c r="I312" s="62">
        <f t="shared" si="23"/>
        <v>46.137026000000006</v>
      </c>
      <c r="J312" s="62"/>
      <c r="K312" s="62">
        <v>9.8439900000000016</v>
      </c>
      <c r="L312" s="62">
        <v>27.364766000000003</v>
      </c>
      <c r="M312" s="62">
        <v>8.9282700000000013</v>
      </c>
      <c r="N312" s="62">
        <v>0</v>
      </c>
      <c r="O312" s="62">
        <v>0</v>
      </c>
      <c r="P312" s="298" t="s">
        <v>4160</v>
      </c>
      <c r="Q312" s="60" t="s">
        <v>27</v>
      </c>
      <c r="R312" s="60" t="s">
        <v>1051</v>
      </c>
      <c r="S312" s="286" t="str">
        <f t="shared" si="21"/>
        <v>SIM</v>
      </c>
      <c r="T312" s="286" t="str">
        <f>IF($C312= "", T311, IF(ISNA(VLOOKUP($C312,'ABC-S'!$A$5:$A$271,1,FALSE)), "", VLOOKUP($C312,'ABC-S'!$A$5:$A$271,1,FALSE)))</f>
        <v>CP0382</v>
      </c>
      <c r="W312" s="286" t="s">
        <v>2392</v>
      </c>
      <c r="X312" s="286" t="s">
        <v>21</v>
      </c>
      <c r="Y312" s="286" t="s">
        <v>1513</v>
      </c>
      <c r="Z312" s="286" t="s">
        <v>21</v>
      </c>
      <c r="AA312" s="286" t="s">
        <v>21</v>
      </c>
      <c r="AB312" s="378"/>
      <c r="AC312" s="381">
        <v>101463</v>
      </c>
      <c r="AD312" s="378">
        <v>1.5262000000000002</v>
      </c>
      <c r="AE312" s="378">
        <v>0.52829999999999999</v>
      </c>
      <c r="AF312" s="378">
        <v>0.80629146000000007</v>
      </c>
      <c r="AG312" s="378"/>
      <c r="AI312" s="378">
        <v>0</v>
      </c>
      <c r="AJ312" s="378">
        <v>0</v>
      </c>
      <c r="AL312" s="286"/>
      <c r="AM312" s="286">
        <v>7781</v>
      </c>
    </row>
    <row r="313" spans="1:39" s="51" customFormat="1" ht="45" x14ac:dyDescent="0.25">
      <c r="A313" s="59" t="s">
        <v>2392</v>
      </c>
      <c r="B313" s="59" t="s">
        <v>87</v>
      </c>
      <c r="C313" s="59"/>
      <c r="D313" s="59">
        <v>100950</v>
      </c>
      <c r="E313" s="60" t="s">
        <v>795</v>
      </c>
      <c r="F313" s="59" t="s">
        <v>42</v>
      </c>
      <c r="G313" s="61">
        <f>G312 * 2</f>
        <v>3.0524000000000004</v>
      </c>
      <c r="H313" s="62">
        <v>2.27</v>
      </c>
      <c r="I313" s="62">
        <f t="shared" si="23"/>
        <v>6.928948000000001</v>
      </c>
      <c r="J313" s="62"/>
      <c r="K313" s="62">
        <v>0.67152800000000012</v>
      </c>
      <c r="L313" s="62">
        <v>4.7312200000000004</v>
      </c>
      <c r="M313" s="62">
        <v>1.5262000000000002</v>
      </c>
      <c r="N313" s="62">
        <v>0</v>
      </c>
      <c r="O313" s="62">
        <v>0</v>
      </c>
      <c r="P313" s="298" t="s">
        <v>4160</v>
      </c>
      <c r="Q313" s="60" t="s">
        <v>27</v>
      </c>
      <c r="R313" s="60" t="s">
        <v>2390</v>
      </c>
      <c r="S313" s="286" t="str">
        <f t="shared" si="21"/>
        <v>SIM</v>
      </c>
      <c r="T313" s="286" t="str">
        <f>IF($C313= "", T312, IF(ISNA(VLOOKUP($C313,'ABC-S'!$A$5:$A$271,1,FALSE)), "", VLOOKUP($C313,'ABC-S'!$A$5:$A$271,1,FALSE)))</f>
        <v>CP0382</v>
      </c>
      <c r="W313" s="286" t="s">
        <v>2392</v>
      </c>
      <c r="X313" s="286" t="s">
        <v>21</v>
      </c>
      <c r="Y313" s="286" t="s">
        <v>1098</v>
      </c>
      <c r="Z313" s="286" t="s">
        <v>21</v>
      </c>
      <c r="AA313" s="286" t="s">
        <v>21</v>
      </c>
      <c r="AB313" s="378"/>
      <c r="AC313" s="381">
        <v>100950</v>
      </c>
      <c r="AD313" s="378">
        <v>3.0524000000000004</v>
      </c>
      <c r="AE313" s="378">
        <v>1.67E-2</v>
      </c>
      <c r="AF313" s="378">
        <v>5.0975080000000006E-2</v>
      </c>
      <c r="AG313" s="378"/>
      <c r="AI313" s="378">
        <v>0</v>
      </c>
      <c r="AJ313" s="378">
        <v>0</v>
      </c>
      <c r="AL313" s="286"/>
      <c r="AM313" s="286">
        <v>7781</v>
      </c>
    </row>
    <row r="314" spans="1:39" s="51" customFormat="1" ht="45" x14ac:dyDescent="0.25">
      <c r="A314" s="55" t="s">
        <v>2394</v>
      </c>
      <c r="B314" s="55" t="s">
        <v>138</v>
      </c>
      <c r="C314" s="55" t="s">
        <v>2394</v>
      </c>
      <c r="D314" s="55"/>
      <c r="E314" s="56" t="s">
        <v>2414</v>
      </c>
      <c r="F314" s="55" t="s">
        <v>41</v>
      </c>
      <c r="G314" s="57"/>
      <c r="H314" s="58"/>
      <c r="I314" s="58"/>
      <c r="J314" s="58">
        <f>SUM(I314:I325)</f>
        <v>3497.5044211993795</v>
      </c>
      <c r="K314" s="58">
        <v>859.83173682508095</v>
      </c>
      <c r="L314" s="58">
        <v>2525.952762569852</v>
      </c>
      <c r="M314" s="58">
        <v>111.45334822704568</v>
      </c>
      <c r="N314" s="58">
        <v>0</v>
      </c>
      <c r="O314" s="58">
        <v>0.26657357740128873</v>
      </c>
      <c r="P314" s="58"/>
      <c r="Q314" s="56"/>
      <c r="R314" s="56" t="s">
        <v>2395</v>
      </c>
      <c r="S314" s="286" t="str">
        <f t="shared" si="21"/>
        <v>SIM</v>
      </c>
      <c r="T314" s="286" t="str">
        <f>IF($C314= "", T313, IF(ISNA(VLOOKUP($C314,'ABC-S'!$A$5:$A$271,1,FALSE)), "", VLOOKUP($C314,'ABC-S'!$A$5:$A$271,1,FALSE)))</f>
        <v>CP0383</v>
      </c>
      <c r="W314" s="286" t="s">
        <v>2394</v>
      </c>
      <c r="X314" s="286"/>
      <c r="Y314" s="286"/>
      <c r="Z314" s="286"/>
      <c r="AA314" s="286" t="s">
        <v>21</v>
      </c>
      <c r="AB314" s="378">
        <v>0</v>
      </c>
      <c r="AC314" s="378"/>
      <c r="AD314" s="335"/>
      <c r="AE314" s="335"/>
      <c r="AF314" s="335"/>
      <c r="AG314" s="378">
        <v>51.193398683111404</v>
      </c>
      <c r="AI314" s="378" t="s">
        <v>21</v>
      </c>
      <c r="AJ314" s="378" t="s">
        <v>21</v>
      </c>
      <c r="AL314" s="286"/>
      <c r="AM314" s="286"/>
    </row>
    <row r="315" spans="1:39" s="51" customFormat="1" ht="22.5" x14ac:dyDescent="0.25">
      <c r="A315" s="59" t="s">
        <v>2394</v>
      </c>
      <c r="B315" s="59" t="s">
        <v>87</v>
      </c>
      <c r="C315" s="59"/>
      <c r="D315" s="59">
        <v>93382</v>
      </c>
      <c r="E315" s="60" t="s">
        <v>40</v>
      </c>
      <c r="F315" s="59" t="s">
        <v>44</v>
      </c>
      <c r="G315" s="61">
        <f>((0.2 * 2 + 0.12 * 2 + 1.5) ^ 2) * 0.1</f>
        <v>0.45796000000000003</v>
      </c>
      <c r="H315" s="62">
        <v>25.09</v>
      </c>
      <c r="I315" s="62">
        <f>IF($D315="","",G315*H315)</f>
        <v>11.490216400000001</v>
      </c>
      <c r="J315" s="62"/>
      <c r="K315" s="62">
        <v>6.8510816000000005</v>
      </c>
      <c r="L315" s="62">
        <v>4.2086524000000001</v>
      </c>
      <c r="M315" s="62">
        <v>0.43048239999999999</v>
      </c>
      <c r="N315" s="62">
        <v>0</v>
      </c>
      <c r="O315" s="62">
        <v>0</v>
      </c>
      <c r="P315" s="298" t="s">
        <v>4160</v>
      </c>
      <c r="Q315" s="60" t="s">
        <v>27</v>
      </c>
      <c r="R315" s="60" t="s">
        <v>1051</v>
      </c>
      <c r="S315" s="286" t="str">
        <f t="shared" si="21"/>
        <v>SIM</v>
      </c>
      <c r="T315" s="286" t="str">
        <f>IF($C315= "", T314, IF(ISNA(VLOOKUP($C315,'ABC-S'!$A$5:$A$271,1,FALSE)), "", VLOOKUP($C315,'ABC-S'!$A$5:$A$271,1,FALSE)))</f>
        <v>CP0383</v>
      </c>
      <c r="W315" s="286" t="s">
        <v>2394</v>
      </c>
      <c r="X315" s="286" t="s">
        <v>21</v>
      </c>
      <c r="Y315" s="286" t="s">
        <v>1513</v>
      </c>
      <c r="Z315" s="286" t="s">
        <v>21</v>
      </c>
      <c r="AA315" s="286" t="s">
        <v>21</v>
      </c>
      <c r="AB315" s="378"/>
      <c r="AC315" s="381">
        <v>93382</v>
      </c>
      <c r="AD315" s="378">
        <v>0.45796000000000003</v>
      </c>
      <c r="AE315" s="378">
        <v>1.1870000000000001</v>
      </c>
      <c r="AF315" s="378">
        <v>0.54359852000000008</v>
      </c>
      <c r="AG315" s="378"/>
      <c r="AI315" s="378">
        <v>0</v>
      </c>
      <c r="AJ315" s="378">
        <v>0</v>
      </c>
      <c r="AL315" s="286"/>
      <c r="AM315" s="286">
        <v>7781</v>
      </c>
    </row>
    <row r="316" spans="1:39" s="51" customFormat="1" ht="33.75" x14ac:dyDescent="0.25">
      <c r="A316" s="59" t="s">
        <v>2394</v>
      </c>
      <c r="B316" s="59" t="s">
        <v>87</v>
      </c>
      <c r="C316" s="59"/>
      <c r="D316" s="59">
        <v>94968</v>
      </c>
      <c r="E316" s="60" t="s">
        <v>3660</v>
      </c>
      <c r="F316" s="59" t="s">
        <v>44</v>
      </c>
      <c r="G316" s="61">
        <f>(1.5 + 0.12 * 2 + 0.1 * 2) ^ 2 * 0.03</f>
        <v>0.11290799999999999</v>
      </c>
      <c r="H316" s="62">
        <v>326.63</v>
      </c>
      <c r="I316" s="62">
        <f t="shared" ref="I316:I325" si="24">IF($D316="","",G316*H316)</f>
        <v>36.879140039999996</v>
      </c>
      <c r="J316" s="62"/>
      <c r="K316" s="62">
        <v>4.6495514399999998</v>
      </c>
      <c r="L316" s="62">
        <v>31.846830479999998</v>
      </c>
      <c r="M316" s="62">
        <v>0.25743023999999998</v>
      </c>
      <c r="N316" s="62">
        <v>0</v>
      </c>
      <c r="O316" s="62">
        <v>0.12532788000000039</v>
      </c>
      <c r="P316" s="298" t="s">
        <v>4160</v>
      </c>
      <c r="Q316" s="60" t="s">
        <v>27</v>
      </c>
      <c r="R316" s="60" t="s">
        <v>1051</v>
      </c>
      <c r="S316" s="286" t="str">
        <f t="shared" si="21"/>
        <v>SIM</v>
      </c>
      <c r="T316" s="286" t="str">
        <f>IF($C316= "", T315, IF(ISNA(VLOOKUP($C316,'ABC-S'!$A$5:$A$271,1,FALSE)), "", VLOOKUP($C316,'ABC-S'!$A$5:$A$271,1,FALSE)))</f>
        <v>CP0383</v>
      </c>
      <c r="W316" s="286" t="s">
        <v>2394</v>
      </c>
      <c r="X316" s="286" t="s">
        <v>21</v>
      </c>
      <c r="Y316" s="286" t="s">
        <v>1513</v>
      </c>
      <c r="Z316" s="286" t="s">
        <v>21</v>
      </c>
      <c r="AA316" s="286" t="s">
        <v>21</v>
      </c>
      <c r="AB316" s="378"/>
      <c r="AC316" s="381">
        <v>94968</v>
      </c>
      <c r="AD316" s="378">
        <v>0.11290799999999999</v>
      </c>
      <c r="AE316" s="378">
        <v>3.4372999999999996</v>
      </c>
      <c r="AF316" s="378">
        <v>0.38809866839999996</v>
      </c>
      <c r="AG316" s="378"/>
      <c r="AI316" s="378">
        <v>2.6629999999999998</v>
      </c>
      <c r="AJ316" s="378">
        <v>0.30067400399999994</v>
      </c>
      <c r="AL316" s="286"/>
      <c r="AM316" s="286">
        <v>7781</v>
      </c>
    </row>
    <row r="317" spans="1:39" s="51" customFormat="1" ht="45" x14ac:dyDescent="0.25">
      <c r="A317" s="59" t="s">
        <v>2394</v>
      </c>
      <c r="B317" s="59" t="s">
        <v>87</v>
      </c>
      <c r="C317" s="59"/>
      <c r="D317" s="59">
        <v>100341</v>
      </c>
      <c r="E317" s="60" t="s">
        <v>582</v>
      </c>
      <c r="F317" s="59" t="s">
        <v>51</v>
      </c>
      <c r="G317" s="61">
        <f>((1.5 + 0.12 * 2) * 4 * 2.2) + (1.5 * 4 * 2)</f>
        <v>27.312000000000001</v>
      </c>
      <c r="H317" s="62">
        <v>29.98</v>
      </c>
      <c r="I317" s="62">
        <f t="shared" si="24"/>
        <v>818.81376</v>
      </c>
      <c r="J317" s="62"/>
      <c r="K317" s="62">
        <v>329.38272000000001</v>
      </c>
      <c r="L317" s="62">
        <v>385.91856000000001</v>
      </c>
      <c r="M317" s="62">
        <v>103.51248000000001</v>
      </c>
      <c r="N317" s="62">
        <v>0</v>
      </c>
      <c r="O317" s="62">
        <v>0</v>
      </c>
      <c r="P317" s="298" t="s">
        <v>4160</v>
      </c>
      <c r="Q317" s="60" t="s">
        <v>27</v>
      </c>
      <c r="R317" s="60" t="s">
        <v>1051</v>
      </c>
      <c r="S317" s="286" t="str">
        <f t="shared" si="21"/>
        <v>SIM</v>
      </c>
      <c r="T317" s="286" t="str">
        <f>IF($C317= "", T316, IF(ISNA(VLOOKUP($C317,'ABC-S'!$A$5:$A$271,1,FALSE)), "", VLOOKUP($C317,'ABC-S'!$A$5:$A$271,1,FALSE)))</f>
        <v>CP0383</v>
      </c>
      <c r="W317" s="286" t="s">
        <v>2394</v>
      </c>
      <c r="X317" s="286" t="s">
        <v>21</v>
      </c>
      <c r="Y317" s="286" t="s">
        <v>1513</v>
      </c>
      <c r="Z317" s="286" t="s">
        <v>21</v>
      </c>
      <c r="AA317" s="286" t="s">
        <v>21</v>
      </c>
      <c r="AB317" s="378"/>
      <c r="AC317" s="381">
        <v>100341</v>
      </c>
      <c r="AD317" s="378">
        <v>27.312000000000001</v>
      </c>
      <c r="AE317" s="378">
        <v>0.68709999999999993</v>
      </c>
      <c r="AF317" s="378">
        <v>18.7660752</v>
      </c>
      <c r="AG317" s="378"/>
      <c r="AI317" s="378">
        <v>0</v>
      </c>
      <c r="AJ317" s="378">
        <v>0</v>
      </c>
      <c r="AL317" s="286"/>
      <c r="AM317" s="286">
        <v>7781</v>
      </c>
    </row>
    <row r="318" spans="1:39" s="51" customFormat="1" ht="45" x14ac:dyDescent="0.25">
      <c r="A318" s="59" t="s">
        <v>2394</v>
      </c>
      <c r="B318" s="59" t="s">
        <v>87</v>
      </c>
      <c r="C318" s="59"/>
      <c r="D318" s="59">
        <v>92526</v>
      </c>
      <c r="E318" s="60" t="s">
        <v>1161</v>
      </c>
      <c r="F318" s="59" t="s">
        <v>51</v>
      </c>
      <c r="G318" s="61">
        <f>(1.5 ^ 2) + (PI() * 0.6 * 0.1)</f>
        <v>2.4384955592153874</v>
      </c>
      <c r="H318" s="62">
        <v>24.95</v>
      </c>
      <c r="I318" s="62">
        <f t="shared" si="24"/>
        <v>60.840464202423917</v>
      </c>
      <c r="J318" s="62"/>
      <c r="K318" s="62">
        <v>20.06881845234264</v>
      </c>
      <c r="L318" s="62">
        <v>34.797331630003576</v>
      </c>
      <c r="M318" s="62">
        <v>5.9743141200776995</v>
      </c>
      <c r="N318" s="62">
        <v>0</v>
      </c>
      <c r="O318" s="62">
        <v>0</v>
      </c>
      <c r="P318" s="298" t="s">
        <v>4160</v>
      </c>
      <c r="Q318" s="60" t="s">
        <v>27</v>
      </c>
      <c r="R318" s="60" t="s">
        <v>1051</v>
      </c>
      <c r="S318" s="286" t="str">
        <f t="shared" si="21"/>
        <v>SIM</v>
      </c>
      <c r="T318" s="286" t="str">
        <f>IF($C318= "", T317, IF(ISNA(VLOOKUP($C318,'ABC-S'!$A$5:$A$271,1,FALSE)), "", VLOOKUP($C318,'ABC-S'!$A$5:$A$271,1,FALSE)))</f>
        <v>CP0383</v>
      </c>
      <c r="W318" s="286" t="s">
        <v>2394</v>
      </c>
      <c r="X318" s="286" t="s">
        <v>21</v>
      </c>
      <c r="Y318" s="286" t="s">
        <v>1513</v>
      </c>
      <c r="Z318" s="286" t="s">
        <v>21</v>
      </c>
      <c r="AA318" s="286" t="s">
        <v>21</v>
      </c>
      <c r="AB318" s="378"/>
      <c r="AC318" s="381">
        <v>92526</v>
      </c>
      <c r="AD318" s="378">
        <v>2.4384955592153874</v>
      </c>
      <c r="AE318" s="378">
        <v>0.48135200000000006</v>
      </c>
      <c r="AF318" s="378">
        <v>1.1737747144194453</v>
      </c>
      <c r="AG318" s="378"/>
      <c r="AI318" s="378">
        <v>0</v>
      </c>
      <c r="AJ318" s="378">
        <v>0</v>
      </c>
      <c r="AL318" s="286"/>
      <c r="AM318" s="286">
        <v>7781</v>
      </c>
    </row>
    <row r="319" spans="1:39" s="51" customFormat="1" ht="33.75" x14ac:dyDescent="0.25">
      <c r="A319" s="59" t="s">
        <v>2394</v>
      </c>
      <c r="B319" s="59" t="s">
        <v>87</v>
      </c>
      <c r="C319" s="59"/>
      <c r="D319" s="59">
        <v>92915</v>
      </c>
      <c r="E319" s="60" t="s">
        <v>509</v>
      </c>
      <c r="F319" s="59" t="s">
        <v>54</v>
      </c>
      <c r="G319" s="61">
        <f>(15 + 41) * (1 + 10%)</f>
        <v>61.600000000000009</v>
      </c>
      <c r="H319" s="62">
        <v>17.3</v>
      </c>
      <c r="I319" s="62">
        <f t="shared" si="24"/>
        <v>1065.6800000000003</v>
      </c>
      <c r="J319" s="62"/>
      <c r="K319" s="62">
        <v>303.07200000000006</v>
      </c>
      <c r="L319" s="62">
        <v>762.60800000000017</v>
      </c>
      <c r="M319" s="62">
        <v>0</v>
      </c>
      <c r="N319" s="62">
        <v>0</v>
      </c>
      <c r="O319" s="62">
        <v>0</v>
      </c>
      <c r="P319" s="298" t="s">
        <v>4160</v>
      </c>
      <c r="Q319" s="60" t="s">
        <v>27</v>
      </c>
      <c r="R319" s="60" t="s">
        <v>2396</v>
      </c>
      <c r="S319" s="286" t="str">
        <f t="shared" si="21"/>
        <v>SIM</v>
      </c>
      <c r="T319" s="286" t="str">
        <f>IF($C319= "", T318, IF(ISNA(VLOOKUP($C319,'ABC-S'!$A$5:$A$271,1,FALSE)), "", VLOOKUP($C319,'ABC-S'!$A$5:$A$271,1,FALSE)))</f>
        <v>CP0383</v>
      </c>
      <c r="W319" s="286" t="s">
        <v>2394</v>
      </c>
      <c r="X319" s="286" t="s">
        <v>21</v>
      </c>
      <c r="Y319" s="286" t="s">
        <v>1513</v>
      </c>
      <c r="Z319" s="286" t="s">
        <v>21</v>
      </c>
      <c r="AA319" s="286" t="s">
        <v>21</v>
      </c>
      <c r="AB319" s="378"/>
      <c r="AC319" s="381">
        <v>92915</v>
      </c>
      <c r="AD319" s="378">
        <v>61.600000000000009</v>
      </c>
      <c r="AE319" s="378">
        <v>0.29049999999999998</v>
      </c>
      <c r="AF319" s="378">
        <v>17.8948</v>
      </c>
      <c r="AG319" s="378"/>
      <c r="AI319" s="378">
        <v>0</v>
      </c>
      <c r="AJ319" s="378">
        <v>0</v>
      </c>
      <c r="AL319" s="286"/>
      <c r="AM319" s="286">
        <v>7781</v>
      </c>
    </row>
    <row r="320" spans="1:39" s="51" customFormat="1" ht="33.75" x14ac:dyDescent="0.25">
      <c r="A320" s="59" t="s">
        <v>2394</v>
      </c>
      <c r="B320" s="59" t="s">
        <v>87</v>
      </c>
      <c r="C320" s="59"/>
      <c r="D320" s="59">
        <v>92916</v>
      </c>
      <c r="E320" s="60" t="s">
        <v>507</v>
      </c>
      <c r="F320" s="59" t="s">
        <v>54</v>
      </c>
      <c r="G320" s="61">
        <f>35 * (1 + 10%)</f>
        <v>38.5</v>
      </c>
      <c r="H320" s="62">
        <v>16.38</v>
      </c>
      <c r="I320" s="62">
        <f t="shared" si="24"/>
        <v>630.63</v>
      </c>
      <c r="J320" s="62"/>
      <c r="K320" s="62">
        <v>131.66999999999999</v>
      </c>
      <c r="L320" s="62">
        <v>498.96000000000004</v>
      </c>
      <c r="M320" s="62">
        <v>0</v>
      </c>
      <c r="N320" s="62">
        <v>0</v>
      </c>
      <c r="O320" s="62">
        <v>0</v>
      </c>
      <c r="P320" s="298" t="s">
        <v>4160</v>
      </c>
      <c r="Q320" s="60" t="s">
        <v>27</v>
      </c>
      <c r="R320" s="60" t="s">
        <v>2396</v>
      </c>
      <c r="S320" s="286" t="str">
        <f t="shared" si="21"/>
        <v>SIM</v>
      </c>
      <c r="T320" s="286" t="str">
        <f>IF($C320= "", T319, IF(ISNA(VLOOKUP($C320,'ABC-S'!$A$5:$A$271,1,FALSE)), "", VLOOKUP($C320,'ABC-S'!$A$5:$A$271,1,FALSE)))</f>
        <v>CP0383</v>
      </c>
      <c r="W320" s="286" t="s">
        <v>2394</v>
      </c>
      <c r="X320" s="286" t="s">
        <v>21</v>
      </c>
      <c r="Y320" s="286" t="s">
        <v>1513</v>
      </c>
      <c r="Z320" s="286" t="s">
        <v>21</v>
      </c>
      <c r="AA320" s="286" t="s">
        <v>21</v>
      </c>
      <c r="AB320" s="378"/>
      <c r="AC320" s="381">
        <v>92916</v>
      </c>
      <c r="AD320" s="378">
        <v>38.5</v>
      </c>
      <c r="AE320" s="378">
        <v>0.20269999999999999</v>
      </c>
      <c r="AF320" s="378">
        <v>7.8039499999999995</v>
      </c>
      <c r="AG320" s="378"/>
      <c r="AI320" s="378">
        <v>0</v>
      </c>
      <c r="AJ320" s="378">
        <v>0</v>
      </c>
      <c r="AL320" s="286"/>
      <c r="AM320" s="286">
        <v>7781</v>
      </c>
    </row>
    <row r="321" spans="1:39" s="51" customFormat="1" ht="33.75" x14ac:dyDescent="0.25">
      <c r="A321" s="59" t="s">
        <v>2394</v>
      </c>
      <c r="B321" s="59" t="s">
        <v>86</v>
      </c>
      <c r="C321" s="59"/>
      <c r="D321" s="248">
        <v>1525</v>
      </c>
      <c r="E321" s="60" t="s">
        <v>691</v>
      </c>
      <c r="F321" s="59" t="s">
        <v>3670</v>
      </c>
      <c r="G321" s="61">
        <f>((0.12 * 2 + 1.5) ^ 2 * 0.1) + (((1.5 * 2) + ((0.12 * 2 + 1.5) * 2)) * 0.12 * 2) + ((((0.12 * 2 + 1.5) ^ 2) - (PI() * (0.6 ^ 2) / 4)) * 0.1)</f>
        <v>2.1324456661176923</v>
      </c>
      <c r="H321" s="62">
        <v>342.14</v>
      </c>
      <c r="I321" s="62">
        <f t="shared" si="24"/>
        <v>729.59496020550716</v>
      </c>
      <c r="J321" s="62"/>
      <c r="K321" s="62">
        <v>0</v>
      </c>
      <c r="L321" s="62">
        <v>729.59496020550716</v>
      </c>
      <c r="M321" s="62">
        <v>0</v>
      </c>
      <c r="N321" s="62">
        <v>0</v>
      </c>
      <c r="O321" s="62">
        <v>0</v>
      </c>
      <c r="P321" s="298" t="s">
        <v>89</v>
      </c>
      <c r="Q321" s="60" t="s">
        <v>27</v>
      </c>
      <c r="R321" s="60" t="s">
        <v>1051</v>
      </c>
      <c r="S321" s="286" t="str">
        <f t="shared" si="21"/>
        <v>SIM</v>
      </c>
      <c r="T321" s="286" t="str">
        <f>IF($C321= "", T320, IF(ISNA(VLOOKUP($C321,'ABC-S'!$A$5:$A$271,1,FALSE)), "", VLOOKUP($C321,'ABC-S'!$A$5:$A$271,1,FALSE)))</f>
        <v>CP0383</v>
      </c>
      <c r="W321" s="286" t="s">
        <v>2394</v>
      </c>
      <c r="X321" s="286" t="s">
        <v>21</v>
      </c>
      <c r="Y321" s="286" t="s">
        <v>21</v>
      </c>
      <c r="Z321" s="286" t="s">
        <v>21</v>
      </c>
      <c r="AA321" s="286" t="s">
        <v>21</v>
      </c>
      <c r="AB321" s="378"/>
      <c r="AC321" s="381" t="s">
        <v>21</v>
      </c>
      <c r="AD321" s="378" t="s">
        <v>21</v>
      </c>
      <c r="AE321" s="378" t="s">
        <v>21</v>
      </c>
      <c r="AF321" s="378" t="s">
        <v>21</v>
      </c>
      <c r="AG321" s="378"/>
      <c r="AI321" s="378" t="s">
        <v>21</v>
      </c>
      <c r="AJ321" s="378" t="s">
        <v>21</v>
      </c>
      <c r="AL321" s="286"/>
      <c r="AM321" s="286">
        <v>7781</v>
      </c>
    </row>
    <row r="322" spans="1:39" s="51" customFormat="1" ht="22.5" x14ac:dyDescent="0.25">
      <c r="A322" s="59" t="s">
        <v>2394</v>
      </c>
      <c r="B322" s="59" t="s">
        <v>87</v>
      </c>
      <c r="C322" s="59"/>
      <c r="D322" s="248">
        <v>92874</v>
      </c>
      <c r="E322" s="60" t="s">
        <v>596</v>
      </c>
      <c r="F322" s="59" t="s">
        <v>44</v>
      </c>
      <c r="G322" s="61">
        <f>G321</f>
        <v>2.1324456661176923</v>
      </c>
      <c r="H322" s="62">
        <v>30.6</v>
      </c>
      <c r="I322" s="62">
        <f>IF($D322="","",G322*H322)</f>
        <v>65.252837383201381</v>
      </c>
      <c r="J322" s="62"/>
      <c r="K322" s="62">
        <v>44.632087791843297</v>
      </c>
      <c r="L322" s="62">
        <v>20.322207198101605</v>
      </c>
      <c r="M322" s="62">
        <v>0.1919201099505923</v>
      </c>
      <c r="N322" s="62">
        <v>0</v>
      </c>
      <c r="O322" s="62">
        <v>0.10662228330589585</v>
      </c>
      <c r="P322" s="298" t="s">
        <v>4160</v>
      </c>
      <c r="Q322" s="60" t="s">
        <v>27</v>
      </c>
      <c r="R322" s="60" t="s">
        <v>1051</v>
      </c>
      <c r="S322" s="286" t="str">
        <f t="shared" si="21"/>
        <v>SIM</v>
      </c>
      <c r="T322" s="286" t="str">
        <f>IF($C322= "", T321, IF(ISNA(VLOOKUP($C322,'ABC-S'!$A$5:$A$271,1,FALSE)), "", VLOOKUP($C322,'ABC-S'!$A$5:$A$271,1,FALSE)))</f>
        <v>CP0383</v>
      </c>
      <c r="W322" s="286" t="s">
        <v>2394</v>
      </c>
      <c r="X322" s="286" t="s">
        <v>21</v>
      </c>
      <c r="Y322" s="286" t="s">
        <v>1513</v>
      </c>
      <c r="Z322" s="286" t="s">
        <v>21</v>
      </c>
      <c r="AA322" s="286" t="s">
        <v>21</v>
      </c>
      <c r="AB322" s="378"/>
      <c r="AC322" s="381">
        <v>92874</v>
      </c>
      <c r="AD322" s="378">
        <v>2.1324456661176923</v>
      </c>
      <c r="AE322" s="378">
        <v>1.5899999999999999</v>
      </c>
      <c r="AF322" s="378">
        <v>3.3905886091271302</v>
      </c>
      <c r="AG322" s="378"/>
      <c r="AI322" s="378">
        <v>0</v>
      </c>
      <c r="AJ322" s="378">
        <v>0</v>
      </c>
      <c r="AL322" s="286"/>
      <c r="AM322" s="286">
        <v>7781</v>
      </c>
    </row>
    <row r="323" spans="1:39" s="51" customFormat="1" ht="45" x14ac:dyDescent="0.25">
      <c r="A323" s="59" t="s">
        <v>2394</v>
      </c>
      <c r="B323" s="59" t="s">
        <v>87</v>
      </c>
      <c r="C323" s="59"/>
      <c r="D323" s="59" t="s">
        <v>2148</v>
      </c>
      <c r="E323" s="60" t="s">
        <v>2401</v>
      </c>
      <c r="F323" s="59" t="s">
        <v>41</v>
      </c>
      <c r="G323" s="61">
        <v>1</v>
      </c>
      <c r="H323" s="62">
        <v>73.12145096824689</v>
      </c>
      <c r="I323" s="62">
        <f t="shared" si="24"/>
        <v>73.12145096824689</v>
      </c>
      <c r="J323" s="62"/>
      <c r="K323" s="62">
        <v>18.474733540894885</v>
      </c>
      <c r="L323" s="62">
        <v>54.550132656239221</v>
      </c>
      <c r="M323" s="62">
        <v>6.1961357017394303E-2</v>
      </c>
      <c r="N323" s="62">
        <v>0</v>
      </c>
      <c r="O323" s="62">
        <v>3.4623414095392491E-2</v>
      </c>
      <c r="P323" s="298" t="s">
        <v>4160</v>
      </c>
      <c r="Q323" s="60" t="s">
        <v>27</v>
      </c>
      <c r="R323" s="60" t="s">
        <v>1051</v>
      </c>
      <c r="S323" s="286" t="str">
        <f t="shared" si="21"/>
        <v>SIM</v>
      </c>
      <c r="T323" s="286" t="str">
        <f>IF($C323= "", T322, IF(ISNA(VLOOKUP($C323,'ABC-S'!$A$5:$A$271,1,FALSE)), "", VLOOKUP($C323,'ABC-S'!$A$5:$A$271,1,FALSE)))</f>
        <v>CP0383</v>
      </c>
      <c r="W323" s="286" t="s">
        <v>2394</v>
      </c>
      <c r="X323" s="286" t="s">
        <v>21</v>
      </c>
      <c r="Y323" s="286" t="s">
        <v>1513</v>
      </c>
      <c r="Z323" s="286" t="s">
        <v>21</v>
      </c>
      <c r="AA323" s="286" t="s">
        <v>21</v>
      </c>
      <c r="AB323" s="378"/>
      <c r="AC323" s="381" t="s">
        <v>2148</v>
      </c>
      <c r="AD323" s="378">
        <v>1</v>
      </c>
      <c r="AE323" s="378">
        <v>1.1484826511648301</v>
      </c>
      <c r="AF323" s="378">
        <v>1.1484826511648301</v>
      </c>
      <c r="AG323" s="378"/>
      <c r="AI323" s="378" t="s">
        <v>21</v>
      </c>
      <c r="AJ323" s="378" t="s">
        <v>21</v>
      </c>
      <c r="AL323" s="286"/>
      <c r="AM323" s="286">
        <v>7781</v>
      </c>
    </row>
    <row r="324" spans="1:39" s="51" customFormat="1" ht="33.75" x14ac:dyDescent="0.25">
      <c r="A324" s="59" t="s">
        <v>2394</v>
      </c>
      <c r="B324" s="59" t="s">
        <v>87</v>
      </c>
      <c r="C324" s="59"/>
      <c r="D324" s="59">
        <v>101463</v>
      </c>
      <c r="E324" s="60" t="s">
        <v>780</v>
      </c>
      <c r="F324" s="59" t="s">
        <v>55</v>
      </c>
      <c r="G324" s="280">
        <f>SUM(G319:G320) / 1000
+(G323 * 0.0495)</f>
        <v>0.14960000000000001</v>
      </c>
      <c r="H324" s="62">
        <v>30.23</v>
      </c>
      <c r="I324" s="62">
        <f t="shared" si="24"/>
        <v>4.5224080000000004</v>
      </c>
      <c r="J324" s="62"/>
      <c r="K324" s="62">
        <v>0.96492000000000011</v>
      </c>
      <c r="L324" s="62">
        <v>2.682328</v>
      </c>
      <c r="M324" s="62">
        <v>0.87516000000000005</v>
      </c>
      <c r="N324" s="62">
        <v>0</v>
      </c>
      <c r="O324" s="62">
        <v>0</v>
      </c>
      <c r="P324" s="298" t="s">
        <v>4160</v>
      </c>
      <c r="Q324" s="60" t="s">
        <v>27</v>
      </c>
      <c r="R324" s="60" t="s">
        <v>1051</v>
      </c>
      <c r="S324" s="286" t="str">
        <f t="shared" si="21"/>
        <v>SIM</v>
      </c>
      <c r="T324" s="286" t="str">
        <f>IF($C324= "", T323, IF(ISNA(VLOOKUP($C324,'ABC-S'!$A$5:$A$271,1,FALSE)), "", VLOOKUP($C324,'ABC-S'!$A$5:$A$271,1,FALSE)))</f>
        <v>CP0383</v>
      </c>
      <c r="W324" s="286" t="s">
        <v>2394</v>
      </c>
      <c r="X324" s="286" t="s">
        <v>21</v>
      </c>
      <c r="Y324" s="286" t="s">
        <v>1513</v>
      </c>
      <c r="Z324" s="286" t="s">
        <v>21</v>
      </c>
      <c r="AA324" s="286" t="s">
        <v>21</v>
      </c>
      <c r="AB324" s="378"/>
      <c r="AC324" s="381">
        <v>101463</v>
      </c>
      <c r="AD324" s="378">
        <v>0.14960000000000001</v>
      </c>
      <c r="AE324" s="378">
        <v>0.52829999999999999</v>
      </c>
      <c r="AF324" s="378">
        <v>7.9033680000000009E-2</v>
      </c>
      <c r="AG324" s="378"/>
      <c r="AI324" s="378">
        <v>0</v>
      </c>
      <c r="AJ324" s="378">
        <v>0</v>
      </c>
      <c r="AL324" s="286"/>
      <c r="AM324" s="286">
        <v>7781</v>
      </c>
    </row>
    <row r="325" spans="1:39" s="51" customFormat="1" ht="45" x14ac:dyDescent="0.25">
      <c r="A325" s="59" t="s">
        <v>2394</v>
      </c>
      <c r="B325" s="59" t="s">
        <v>87</v>
      </c>
      <c r="C325" s="59"/>
      <c r="D325" s="59">
        <v>100950</v>
      </c>
      <c r="E325" s="60" t="s">
        <v>795</v>
      </c>
      <c r="F325" s="59" t="s">
        <v>42</v>
      </c>
      <c r="G325" s="61">
        <f>G324 * 2</f>
        <v>0.29920000000000002</v>
      </c>
      <c r="H325" s="62">
        <v>2.27</v>
      </c>
      <c r="I325" s="62">
        <f t="shared" si="24"/>
        <v>0.67918400000000001</v>
      </c>
      <c r="J325" s="62"/>
      <c r="K325" s="62">
        <v>6.5824000000000008E-2</v>
      </c>
      <c r="L325" s="62">
        <v>0.46376000000000006</v>
      </c>
      <c r="M325" s="62">
        <v>0.14960000000000001</v>
      </c>
      <c r="N325" s="62">
        <v>0</v>
      </c>
      <c r="O325" s="62">
        <v>0</v>
      </c>
      <c r="P325" s="298" t="s">
        <v>4160</v>
      </c>
      <c r="Q325" s="60" t="s">
        <v>27</v>
      </c>
      <c r="R325" s="60" t="s">
        <v>2390</v>
      </c>
      <c r="S325" s="286" t="str">
        <f t="shared" si="21"/>
        <v>SIM</v>
      </c>
      <c r="T325" s="286" t="str">
        <f>IF($C325= "", T324, IF(ISNA(VLOOKUP($C325,'ABC-S'!$A$5:$A$271,1,FALSE)), "", VLOOKUP($C325,'ABC-S'!$A$5:$A$271,1,FALSE)))</f>
        <v>CP0383</v>
      </c>
      <c r="W325" s="286" t="s">
        <v>2394</v>
      </c>
      <c r="X325" s="286" t="s">
        <v>21</v>
      </c>
      <c r="Y325" s="286" t="s">
        <v>1098</v>
      </c>
      <c r="Z325" s="286" t="s">
        <v>21</v>
      </c>
      <c r="AA325" s="286" t="s">
        <v>21</v>
      </c>
      <c r="AB325" s="378"/>
      <c r="AC325" s="381">
        <v>100950</v>
      </c>
      <c r="AD325" s="378">
        <v>0.29920000000000002</v>
      </c>
      <c r="AE325" s="378">
        <v>1.67E-2</v>
      </c>
      <c r="AF325" s="378">
        <v>4.9966400000000001E-3</v>
      </c>
      <c r="AG325" s="378"/>
      <c r="AI325" s="378">
        <v>0</v>
      </c>
      <c r="AJ325" s="378">
        <v>0</v>
      </c>
      <c r="AL325" s="286"/>
      <c r="AM325" s="286">
        <v>7781</v>
      </c>
    </row>
    <row r="326" spans="1:39" s="51" customFormat="1" ht="45" x14ac:dyDescent="0.25">
      <c r="A326" s="55" t="s">
        <v>2397</v>
      </c>
      <c r="B326" s="55" t="s">
        <v>138</v>
      </c>
      <c r="C326" s="55" t="s">
        <v>2397</v>
      </c>
      <c r="D326" s="55"/>
      <c r="E326" s="56" t="s">
        <v>2415</v>
      </c>
      <c r="F326" s="55" t="s">
        <v>41</v>
      </c>
      <c r="G326" s="57"/>
      <c r="H326" s="58"/>
      <c r="I326" s="58"/>
      <c r="J326" s="58">
        <f>SUM(I326:I338)</f>
        <v>4661.48996279938</v>
      </c>
      <c r="K326" s="58">
        <v>993.73866742508108</v>
      </c>
      <c r="L326" s="58">
        <v>3533.8062987698518</v>
      </c>
      <c r="M326" s="58">
        <v>133.61092482704569</v>
      </c>
      <c r="N326" s="58">
        <v>0</v>
      </c>
      <c r="O326" s="58">
        <v>0.33407177740136973</v>
      </c>
      <c r="P326" s="58"/>
      <c r="Q326" s="56"/>
      <c r="R326" s="56" t="s">
        <v>2398</v>
      </c>
      <c r="S326" s="286" t="str">
        <f t="shared" ref="S326:S389" si="25">IF(T326 &lt;&gt; "", "SIM", "")</f>
        <v>SIM</v>
      </c>
      <c r="T326" s="286" t="str">
        <f>IF($C326= "", T325, IF(ISNA(VLOOKUP($C326,'ABC-S'!$A$5:$A$271,1,FALSE)), "", VLOOKUP($C326,'ABC-S'!$A$5:$A$271,1,FALSE)))</f>
        <v>CP0384</v>
      </c>
      <c r="W326" s="286" t="s">
        <v>2397</v>
      </c>
      <c r="X326" s="286"/>
      <c r="Y326" s="286"/>
      <c r="Z326" s="286"/>
      <c r="AA326" s="286" t="s">
        <v>21</v>
      </c>
      <c r="AB326" s="378">
        <v>0</v>
      </c>
      <c r="AC326" s="378"/>
      <c r="AD326" s="335"/>
      <c r="AE326" s="335"/>
      <c r="AF326" s="335"/>
      <c r="AG326" s="378">
        <v>59.377563819111394</v>
      </c>
      <c r="AI326" s="378" t="s">
        <v>21</v>
      </c>
      <c r="AJ326" s="378" t="s">
        <v>21</v>
      </c>
      <c r="AL326" s="286"/>
      <c r="AM326" s="286"/>
    </row>
    <row r="327" spans="1:39" s="51" customFormat="1" ht="22.5" x14ac:dyDescent="0.25">
      <c r="A327" s="59" t="s">
        <v>2397</v>
      </c>
      <c r="B327" s="59" t="s">
        <v>87</v>
      </c>
      <c r="C327" s="59"/>
      <c r="D327" s="59">
        <v>93382</v>
      </c>
      <c r="E327" s="60" t="s">
        <v>40</v>
      </c>
      <c r="F327" s="59" t="s">
        <v>44</v>
      </c>
      <c r="G327" s="61">
        <f>((0.2 * 2 + 0.12 * 2 + 1.8) ^ 2) * 0.1</f>
        <v>0.59536</v>
      </c>
      <c r="H327" s="62">
        <v>25.09</v>
      </c>
      <c r="I327" s="62">
        <f>IF($D327="","",G327*H327)</f>
        <v>14.9375824</v>
      </c>
      <c r="J327" s="62"/>
      <c r="K327" s="62">
        <v>8.9065855999999997</v>
      </c>
      <c r="L327" s="62">
        <v>5.4713583999999997</v>
      </c>
      <c r="M327" s="62">
        <v>0.55963839999999998</v>
      </c>
      <c r="N327" s="62">
        <v>0</v>
      </c>
      <c r="O327" s="62">
        <v>0</v>
      </c>
      <c r="P327" s="298" t="s">
        <v>4160</v>
      </c>
      <c r="Q327" s="60" t="s">
        <v>27</v>
      </c>
      <c r="R327" s="60" t="s">
        <v>1051</v>
      </c>
      <c r="S327" s="286" t="str">
        <f t="shared" si="25"/>
        <v>SIM</v>
      </c>
      <c r="T327" s="286" t="str">
        <f>IF($C327= "", T326, IF(ISNA(VLOOKUP($C327,'ABC-S'!$A$5:$A$271,1,FALSE)), "", VLOOKUP($C327,'ABC-S'!$A$5:$A$271,1,FALSE)))</f>
        <v>CP0384</v>
      </c>
      <c r="W327" s="286" t="s">
        <v>2397</v>
      </c>
      <c r="X327" s="286" t="s">
        <v>21</v>
      </c>
      <c r="Y327" s="286" t="s">
        <v>1513</v>
      </c>
      <c r="Z327" s="286" t="s">
        <v>21</v>
      </c>
      <c r="AA327" s="286" t="s">
        <v>21</v>
      </c>
      <c r="AB327" s="378"/>
      <c r="AC327" s="381">
        <v>93382</v>
      </c>
      <c r="AD327" s="378">
        <v>0.59536</v>
      </c>
      <c r="AE327" s="378">
        <v>1.1870000000000001</v>
      </c>
      <c r="AF327" s="378">
        <v>0.70669232000000004</v>
      </c>
      <c r="AG327" s="378"/>
      <c r="AI327" s="378">
        <v>0</v>
      </c>
      <c r="AJ327" s="378">
        <v>0</v>
      </c>
      <c r="AL327" s="286"/>
      <c r="AM327" s="286">
        <v>7781</v>
      </c>
    </row>
    <row r="328" spans="1:39" s="51" customFormat="1" ht="33.75" x14ac:dyDescent="0.25">
      <c r="A328" s="59" t="s">
        <v>2397</v>
      </c>
      <c r="B328" s="59" t="s">
        <v>87</v>
      </c>
      <c r="C328" s="59"/>
      <c r="D328" s="59">
        <v>94968</v>
      </c>
      <c r="E328" s="60" t="s">
        <v>3660</v>
      </c>
      <c r="F328" s="59" t="s">
        <v>44</v>
      </c>
      <c r="G328" s="61">
        <f>(1.8 + 0.12 * 2 + 0.1 * 2) ^ 2 * 0.03</f>
        <v>0.15052800000000002</v>
      </c>
      <c r="H328" s="62">
        <v>326.63</v>
      </c>
      <c r="I328" s="62">
        <f t="shared" ref="I328:I338" si="26">IF($D328="","",G328*H328)</f>
        <v>49.166960640000006</v>
      </c>
      <c r="J328" s="62"/>
      <c r="K328" s="62">
        <v>6.198743040000001</v>
      </c>
      <c r="L328" s="62">
        <v>42.457927680000005</v>
      </c>
      <c r="M328" s="62">
        <v>0.34320384000000004</v>
      </c>
      <c r="N328" s="62">
        <v>0</v>
      </c>
      <c r="O328" s="62">
        <v>0.16708607999999714</v>
      </c>
      <c r="P328" s="298" t="s">
        <v>4160</v>
      </c>
      <c r="Q328" s="60" t="s">
        <v>27</v>
      </c>
      <c r="R328" s="60" t="s">
        <v>1051</v>
      </c>
      <c r="S328" s="286" t="str">
        <f t="shared" si="25"/>
        <v>SIM</v>
      </c>
      <c r="T328" s="286" t="str">
        <f>IF($C328= "", T327, IF(ISNA(VLOOKUP($C328,'ABC-S'!$A$5:$A$271,1,FALSE)), "", VLOOKUP($C328,'ABC-S'!$A$5:$A$271,1,FALSE)))</f>
        <v>CP0384</v>
      </c>
      <c r="W328" s="286" t="s">
        <v>2397</v>
      </c>
      <c r="X328" s="286" t="s">
        <v>21</v>
      </c>
      <c r="Y328" s="286" t="s">
        <v>1513</v>
      </c>
      <c r="Z328" s="286" t="s">
        <v>21</v>
      </c>
      <c r="AA328" s="286" t="s">
        <v>21</v>
      </c>
      <c r="AB328" s="378"/>
      <c r="AC328" s="381">
        <v>94968</v>
      </c>
      <c r="AD328" s="378">
        <v>0.15052800000000002</v>
      </c>
      <c r="AE328" s="378">
        <v>3.4372999999999996</v>
      </c>
      <c r="AF328" s="378">
        <v>0.51740989440000007</v>
      </c>
      <c r="AG328" s="378"/>
      <c r="AI328" s="378">
        <v>2.6629999999999998</v>
      </c>
      <c r="AJ328" s="378">
        <v>0.40085606400000001</v>
      </c>
      <c r="AL328" s="286"/>
      <c r="AM328" s="286">
        <v>7781</v>
      </c>
    </row>
    <row r="329" spans="1:39" s="51" customFormat="1" ht="45" x14ac:dyDescent="0.25">
      <c r="A329" s="59" t="s">
        <v>2397</v>
      </c>
      <c r="B329" s="59" t="s">
        <v>87</v>
      </c>
      <c r="C329" s="59"/>
      <c r="D329" s="59">
        <v>100341</v>
      </c>
      <c r="E329" s="60" t="s">
        <v>582</v>
      </c>
      <c r="F329" s="59" t="s">
        <v>51</v>
      </c>
      <c r="G329" s="61">
        <f>((1.8 + 0.12 * 2) * 4 * 2.2) + (1.8 * 4 * 2)</f>
        <v>32.352000000000004</v>
      </c>
      <c r="H329" s="62">
        <v>29.98</v>
      </c>
      <c r="I329" s="62">
        <f t="shared" si="26"/>
        <v>969.91296000000011</v>
      </c>
      <c r="J329" s="62"/>
      <c r="K329" s="62">
        <v>390.16512000000006</v>
      </c>
      <c r="L329" s="62">
        <v>457.13376000000005</v>
      </c>
      <c r="M329" s="62">
        <v>122.61408000000002</v>
      </c>
      <c r="N329" s="62">
        <v>0</v>
      </c>
      <c r="O329" s="62">
        <v>0</v>
      </c>
      <c r="P329" s="298" t="s">
        <v>4160</v>
      </c>
      <c r="Q329" s="60" t="s">
        <v>27</v>
      </c>
      <c r="R329" s="60" t="s">
        <v>1051</v>
      </c>
      <c r="S329" s="286" t="str">
        <f t="shared" si="25"/>
        <v>SIM</v>
      </c>
      <c r="T329" s="286" t="str">
        <f>IF($C329= "", T328, IF(ISNA(VLOOKUP($C329,'ABC-S'!$A$5:$A$271,1,FALSE)), "", VLOOKUP($C329,'ABC-S'!$A$5:$A$271,1,FALSE)))</f>
        <v>CP0384</v>
      </c>
      <c r="W329" s="286" t="s">
        <v>2397</v>
      </c>
      <c r="X329" s="286" t="s">
        <v>21</v>
      </c>
      <c r="Y329" s="286" t="s">
        <v>1513</v>
      </c>
      <c r="Z329" s="286" t="s">
        <v>21</v>
      </c>
      <c r="AA329" s="286" t="s">
        <v>21</v>
      </c>
      <c r="AB329" s="378"/>
      <c r="AC329" s="381">
        <v>100341</v>
      </c>
      <c r="AD329" s="378">
        <v>32.352000000000004</v>
      </c>
      <c r="AE329" s="378">
        <v>0.68709999999999993</v>
      </c>
      <c r="AF329" s="378">
        <v>22.229059200000002</v>
      </c>
      <c r="AG329" s="378"/>
      <c r="AI329" s="378">
        <v>0</v>
      </c>
      <c r="AJ329" s="378">
        <v>0</v>
      </c>
      <c r="AL329" s="286"/>
      <c r="AM329" s="286">
        <v>7781</v>
      </c>
    </row>
    <row r="330" spans="1:39" s="51" customFormat="1" ht="45" x14ac:dyDescent="0.25">
      <c r="A330" s="59" t="s">
        <v>2397</v>
      </c>
      <c r="B330" s="59" t="s">
        <v>87</v>
      </c>
      <c r="C330" s="59"/>
      <c r="D330" s="59">
        <v>92526</v>
      </c>
      <c r="E330" s="60" t="s">
        <v>1161</v>
      </c>
      <c r="F330" s="59" t="s">
        <v>51</v>
      </c>
      <c r="G330" s="61">
        <f>(1.8 ^ 2) + (PI() * 0.6 * 0.1)</f>
        <v>3.4284955592153876</v>
      </c>
      <c r="H330" s="62">
        <v>24.95</v>
      </c>
      <c r="I330" s="62">
        <f t="shared" si="26"/>
        <v>85.540964202423922</v>
      </c>
      <c r="J330" s="62"/>
      <c r="K330" s="62">
        <v>28.21651845234264</v>
      </c>
      <c r="L330" s="62">
        <v>48.924631630003582</v>
      </c>
      <c r="M330" s="62">
        <v>8.3998141200776999</v>
      </c>
      <c r="N330" s="62">
        <v>0</v>
      </c>
      <c r="O330" s="62">
        <v>-1.4210854715202004E-14</v>
      </c>
      <c r="P330" s="298" t="s">
        <v>4160</v>
      </c>
      <c r="Q330" s="60" t="s">
        <v>27</v>
      </c>
      <c r="R330" s="60" t="s">
        <v>1051</v>
      </c>
      <c r="S330" s="286" t="str">
        <f t="shared" si="25"/>
        <v>SIM</v>
      </c>
      <c r="T330" s="286" t="str">
        <f>IF($C330= "", T329, IF(ISNA(VLOOKUP($C330,'ABC-S'!$A$5:$A$271,1,FALSE)), "", VLOOKUP($C330,'ABC-S'!$A$5:$A$271,1,FALSE)))</f>
        <v>CP0384</v>
      </c>
      <c r="W330" s="286" t="s">
        <v>2397</v>
      </c>
      <c r="X330" s="286" t="s">
        <v>21</v>
      </c>
      <c r="Y330" s="286" t="s">
        <v>1513</v>
      </c>
      <c r="Z330" s="286" t="s">
        <v>21</v>
      </c>
      <c r="AA330" s="286" t="s">
        <v>21</v>
      </c>
      <c r="AB330" s="378"/>
      <c r="AC330" s="381">
        <v>92526</v>
      </c>
      <c r="AD330" s="378">
        <v>3.4284955592153876</v>
      </c>
      <c r="AE330" s="378">
        <v>0.48135200000000006</v>
      </c>
      <c r="AF330" s="378">
        <v>1.6503131944194454</v>
      </c>
      <c r="AG330" s="378"/>
      <c r="AI330" s="378">
        <v>0</v>
      </c>
      <c r="AJ330" s="378">
        <v>0</v>
      </c>
      <c r="AL330" s="286"/>
      <c r="AM330" s="286">
        <v>7781</v>
      </c>
    </row>
    <row r="331" spans="1:39" s="51" customFormat="1" ht="33.75" x14ac:dyDescent="0.25">
      <c r="A331" s="59" t="s">
        <v>2397</v>
      </c>
      <c r="B331" s="59" t="s">
        <v>87</v>
      </c>
      <c r="C331" s="59"/>
      <c r="D331" s="59">
        <v>92915</v>
      </c>
      <c r="E331" s="60" t="s">
        <v>509</v>
      </c>
      <c r="F331" s="59" t="s">
        <v>54</v>
      </c>
      <c r="G331" s="61">
        <f>15 * (1 + 10%)</f>
        <v>16.5</v>
      </c>
      <c r="H331" s="62">
        <v>17.3</v>
      </c>
      <c r="I331" s="62">
        <f t="shared" si="26"/>
        <v>285.45</v>
      </c>
      <c r="J331" s="62"/>
      <c r="K331" s="62">
        <v>81.179999999999993</v>
      </c>
      <c r="L331" s="62">
        <v>204.27</v>
      </c>
      <c r="M331" s="62">
        <v>0</v>
      </c>
      <c r="N331" s="62">
        <v>0</v>
      </c>
      <c r="O331" s="62">
        <v>0</v>
      </c>
      <c r="P331" s="298" t="s">
        <v>4160</v>
      </c>
      <c r="Q331" s="60" t="s">
        <v>27</v>
      </c>
      <c r="R331" s="60" t="s">
        <v>2396</v>
      </c>
      <c r="S331" s="286" t="str">
        <f t="shared" si="25"/>
        <v>SIM</v>
      </c>
      <c r="T331" s="286" t="str">
        <f>IF($C331= "", T330, IF(ISNA(VLOOKUP($C331,'ABC-S'!$A$5:$A$271,1,FALSE)), "", VLOOKUP($C331,'ABC-S'!$A$5:$A$271,1,FALSE)))</f>
        <v>CP0384</v>
      </c>
      <c r="W331" s="286" t="s">
        <v>2397</v>
      </c>
      <c r="X331" s="286" t="s">
        <v>21</v>
      </c>
      <c r="Y331" s="286" t="s">
        <v>1513</v>
      </c>
      <c r="Z331" s="286" t="s">
        <v>21</v>
      </c>
      <c r="AA331" s="286" t="s">
        <v>21</v>
      </c>
      <c r="AB331" s="378"/>
      <c r="AC331" s="381">
        <v>92915</v>
      </c>
      <c r="AD331" s="378">
        <v>16.5</v>
      </c>
      <c r="AE331" s="378">
        <v>0.29049999999999998</v>
      </c>
      <c r="AF331" s="378">
        <v>4.7932499999999996</v>
      </c>
      <c r="AG331" s="378"/>
      <c r="AI331" s="378">
        <v>0</v>
      </c>
      <c r="AJ331" s="378">
        <v>0</v>
      </c>
      <c r="AL331" s="286"/>
      <c r="AM331" s="286">
        <v>7781</v>
      </c>
    </row>
    <row r="332" spans="1:39" s="51" customFormat="1" ht="33.75" x14ac:dyDescent="0.25">
      <c r="A332" s="59" t="s">
        <v>2397</v>
      </c>
      <c r="B332" s="59" t="s">
        <v>87</v>
      </c>
      <c r="C332" s="59"/>
      <c r="D332" s="59">
        <v>92916</v>
      </c>
      <c r="E332" s="60" t="s">
        <v>507</v>
      </c>
      <c r="F332" s="59" t="s">
        <v>54</v>
      </c>
      <c r="G332" s="61">
        <f>68 * (1 + 10%)</f>
        <v>74.800000000000011</v>
      </c>
      <c r="H332" s="62">
        <v>16.38</v>
      </c>
      <c r="I332" s="62">
        <f t="shared" si="26"/>
        <v>1225.2240000000002</v>
      </c>
      <c r="J332" s="62"/>
      <c r="K332" s="62">
        <v>255.81600000000003</v>
      </c>
      <c r="L332" s="62">
        <v>969.40800000000024</v>
      </c>
      <c r="M332" s="62">
        <v>0</v>
      </c>
      <c r="N332" s="62">
        <v>0</v>
      </c>
      <c r="O332" s="62">
        <v>0</v>
      </c>
      <c r="P332" s="298" t="s">
        <v>4160</v>
      </c>
      <c r="Q332" s="60" t="s">
        <v>27</v>
      </c>
      <c r="R332" s="60" t="s">
        <v>2396</v>
      </c>
      <c r="S332" s="286" t="str">
        <f t="shared" si="25"/>
        <v>SIM</v>
      </c>
      <c r="T332" s="286" t="str">
        <f>IF($C332= "", T331, IF(ISNA(VLOOKUP($C332,'ABC-S'!$A$5:$A$271,1,FALSE)), "", VLOOKUP($C332,'ABC-S'!$A$5:$A$271,1,FALSE)))</f>
        <v>CP0384</v>
      </c>
      <c r="W332" s="286" t="s">
        <v>2397</v>
      </c>
      <c r="X332" s="286" t="s">
        <v>21</v>
      </c>
      <c r="Y332" s="286" t="s">
        <v>1513</v>
      </c>
      <c r="Z332" s="286" t="s">
        <v>21</v>
      </c>
      <c r="AA332" s="286" t="s">
        <v>21</v>
      </c>
      <c r="AB332" s="378"/>
      <c r="AC332" s="381">
        <v>92916</v>
      </c>
      <c r="AD332" s="378">
        <v>74.800000000000011</v>
      </c>
      <c r="AE332" s="378">
        <v>0.20269999999999999</v>
      </c>
      <c r="AF332" s="378">
        <v>15.161960000000002</v>
      </c>
      <c r="AG332" s="378"/>
      <c r="AI332" s="378">
        <v>0</v>
      </c>
      <c r="AJ332" s="378">
        <v>0</v>
      </c>
      <c r="AL332" s="286"/>
      <c r="AM332" s="286">
        <v>7781</v>
      </c>
    </row>
    <row r="333" spans="1:39" s="51" customFormat="1" ht="33.75" x14ac:dyDescent="0.25">
      <c r="A333" s="59" t="s">
        <v>2397</v>
      </c>
      <c r="B333" s="59" t="s">
        <v>87</v>
      </c>
      <c r="C333" s="59"/>
      <c r="D333" s="59">
        <v>92917</v>
      </c>
      <c r="E333" s="60" t="s">
        <v>508</v>
      </c>
      <c r="F333" s="59" t="s">
        <v>54</v>
      </c>
      <c r="G333" s="61">
        <f>57 * (1 + 10%)</f>
        <v>62.7</v>
      </c>
      <c r="H333" s="62">
        <v>15.38</v>
      </c>
      <c r="I333" s="62">
        <f>IF($D333="","",G333*H333)</f>
        <v>964.32600000000014</v>
      </c>
      <c r="J333" s="62"/>
      <c r="K333" s="62">
        <v>147.97200000000001</v>
      </c>
      <c r="L333" s="62">
        <v>816.35400000000004</v>
      </c>
      <c r="M333" s="62">
        <v>0</v>
      </c>
      <c r="N333" s="62">
        <v>0</v>
      </c>
      <c r="O333" s="62">
        <v>1.1368683772161603E-13</v>
      </c>
      <c r="P333" s="298" t="s">
        <v>4160</v>
      </c>
      <c r="Q333" s="60" t="s">
        <v>27</v>
      </c>
      <c r="R333" s="60" t="s">
        <v>2396</v>
      </c>
      <c r="S333" s="286" t="str">
        <f t="shared" si="25"/>
        <v>SIM</v>
      </c>
      <c r="T333" s="286" t="str">
        <f>IF($C333= "", T332, IF(ISNA(VLOOKUP($C333,'ABC-S'!$A$5:$A$271,1,FALSE)), "", VLOOKUP($C333,'ABC-S'!$A$5:$A$271,1,FALSE)))</f>
        <v>CP0384</v>
      </c>
      <c r="W333" s="286" t="s">
        <v>2397</v>
      </c>
      <c r="X333" s="286" t="s">
        <v>21</v>
      </c>
      <c r="Y333" s="286" t="s">
        <v>1513</v>
      </c>
      <c r="Z333" s="286" t="s">
        <v>21</v>
      </c>
      <c r="AA333" s="286" t="s">
        <v>21</v>
      </c>
      <c r="AB333" s="378"/>
      <c r="AC333" s="381">
        <v>92917</v>
      </c>
      <c r="AD333" s="378">
        <v>62.7</v>
      </c>
      <c r="AE333" s="378">
        <v>0.1411</v>
      </c>
      <c r="AF333" s="378">
        <v>8.8469700000000007</v>
      </c>
      <c r="AG333" s="378"/>
      <c r="AI333" s="378">
        <v>0</v>
      </c>
      <c r="AJ333" s="378">
        <v>0</v>
      </c>
      <c r="AL333" s="286"/>
      <c r="AM333" s="286">
        <v>7781</v>
      </c>
    </row>
    <row r="334" spans="1:39" s="51" customFormat="1" ht="33.75" x14ac:dyDescent="0.25">
      <c r="A334" s="59" t="s">
        <v>2397</v>
      </c>
      <c r="B334" s="59" t="s">
        <v>86</v>
      </c>
      <c r="C334" s="59"/>
      <c r="D334" s="248">
        <v>1525</v>
      </c>
      <c r="E334" s="60" t="s">
        <v>691</v>
      </c>
      <c r="F334" s="59" t="s">
        <v>3670</v>
      </c>
      <c r="G334" s="61">
        <f>((0.12 * 2 + 1.8) ^ 2 * 0.1) + (((1.8 * 2) + ((0.12 * 2 + 1.8) * 2)) * 0.12 * 2) + ((((0.12 * 2 + 1.8) ^ 2) - (PI() * (0.6 ^ 2) / 4)) * 0.1)</f>
        <v>2.647245666117692</v>
      </c>
      <c r="H334" s="62">
        <v>342.14</v>
      </c>
      <c r="I334" s="62">
        <f t="shared" si="26"/>
        <v>905.7286322055071</v>
      </c>
      <c r="J334" s="62"/>
      <c r="K334" s="62">
        <v>0</v>
      </c>
      <c r="L334" s="62">
        <v>905.7286322055071</v>
      </c>
      <c r="M334" s="62">
        <v>0</v>
      </c>
      <c r="N334" s="62">
        <v>0</v>
      </c>
      <c r="O334" s="62">
        <v>0</v>
      </c>
      <c r="P334" s="298" t="s">
        <v>89</v>
      </c>
      <c r="Q334" s="60" t="s">
        <v>27</v>
      </c>
      <c r="R334" s="60" t="s">
        <v>1051</v>
      </c>
      <c r="S334" s="286" t="str">
        <f t="shared" si="25"/>
        <v>SIM</v>
      </c>
      <c r="T334" s="286" t="str">
        <f>IF($C334= "", T333, IF(ISNA(VLOOKUP($C334,'ABC-S'!$A$5:$A$271,1,FALSE)), "", VLOOKUP($C334,'ABC-S'!$A$5:$A$271,1,FALSE)))</f>
        <v>CP0384</v>
      </c>
      <c r="W334" s="286" t="s">
        <v>2397</v>
      </c>
      <c r="X334" s="286" t="s">
        <v>21</v>
      </c>
      <c r="Y334" s="286" t="s">
        <v>21</v>
      </c>
      <c r="Z334" s="286" t="s">
        <v>21</v>
      </c>
      <c r="AA334" s="286" t="s">
        <v>21</v>
      </c>
      <c r="AB334" s="378"/>
      <c r="AC334" s="381" t="s">
        <v>21</v>
      </c>
      <c r="AD334" s="378" t="s">
        <v>21</v>
      </c>
      <c r="AE334" s="378" t="s">
        <v>21</v>
      </c>
      <c r="AF334" s="378" t="s">
        <v>21</v>
      </c>
      <c r="AG334" s="378"/>
      <c r="AI334" s="378" t="s">
        <v>21</v>
      </c>
      <c r="AJ334" s="378" t="s">
        <v>21</v>
      </c>
      <c r="AL334" s="286"/>
      <c r="AM334" s="286">
        <v>7781</v>
      </c>
    </row>
    <row r="335" spans="1:39" s="51" customFormat="1" ht="22.5" x14ac:dyDescent="0.25">
      <c r="A335" s="59" t="s">
        <v>2397</v>
      </c>
      <c r="B335" s="59" t="s">
        <v>87</v>
      </c>
      <c r="C335" s="59"/>
      <c r="D335" s="248">
        <v>92874</v>
      </c>
      <c r="E335" s="60" t="s">
        <v>596</v>
      </c>
      <c r="F335" s="59" t="s">
        <v>44</v>
      </c>
      <c r="G335" s="61">
        <f>G334</f>
        <v>2.647245666117692</v>
      </c>
      <c r="H335" s="62">
        <v>30.6</v>
      </c>
      <c r="I335" s="62">
        <f t="shared" si="26"/>
        <v>81.005717383201372</v>
      </c>
      <c r="J335" s="62"/>
      <c r="K335" s="62">
        <v>55.406851791843295</v>
      </c>
      <c r="L335" s="62">
        <v>25.228251198101603</v>
      </c>
      <c r="M335" s="62">
        <v>0.23825210995059226</v>
      </c>
      <c r="N335" s="62">
        <v>0</v>
      </c>
      <c r="O335" s="62">
        <v>0.13236228330588062</v>
      </c>
      <c r="P335" s="298" t="s">
        <v>4160</v>
      </c>
      <c r="Q335" s="60" t="s">
        <v>27</v>
      </c>
      <c r="R335" s="60" t="s">
        <v>1051</v>
      </c>
      <c r="S335" s="286" t="str">
        <f t="shared" si="25"/>
        <v>SIM</v>
      </c>
      <c r="T335" s="286" t="str">
        <f>IF($C335= "", T334, IF(ISNA(VLOOKUP($C335,'ABC-S'!$A$5:$A$271,1,FALSE)), "", VLOOKUP($C335,'ABC-S'!$A$5:$A$271,1,FALSE)))</f>
        <v>CP0384</v>
      </c>
      <c r="W335" s="286" t="s">
        <v>2397</v>
      </c>
      <c r="X335" s="286" t="s">
        <v>21</v>
      </c>
      <c r="Y335" s="286" t="s">
        <v>1513</v>
      </c>
      <c r="Z335" s="286" t="s">
        <v>21</v>
      </c>
      <c r="AA335" s="286" t="s">
        <v>21</v>
      </c>
      <c r="AB335" s="378"/>
      <c r="AC335" s="381">
        <v>92874</v>
      </c>
      <c r="AD335" s="378">
        <v>2.647245666117692</v>
      </c>
      <c r="AE335" s="378">
        <v>1.5899999999999999</v>
      </c>
      <c r="AF335" s="378">
        <v>4.2091206091271296</v>
      </c>
      <c r="AG335" s="378"/>
      <c r="AI335" s="378">
        <v>0</v>
      </c>
      <c r="AJ335" s="378">
        <v>0</v>
      </c>
      <c r="AL335" s="286"/>
      <c r="AM335" s="286">
        <v>7781</v>
      </c>
    </row>
    <row r="336" spans="1:39" s="51" customFormat="1" ht="45" x14ac:dyDescent="0.25">
      <c r="A336" s="59" t="s">
        <v>2397</v>
      </c>
      <c r="B336" s="59" t="s">
        <v>87</v>
      </c>
      <c r="C336" s="59"/>
      <c r="D336" s="59" t="s">
        <v>2148</v>
      </c>
      <c r="E336" s="60" t="s">
        <v>2401</v>
      </c>
      <c r="F336" s="59" t="s">
        <v>41</v>
      </c>
      <c r="G336" s="61">
        <v>1</v>
      </c>
      <c r="H336" s="62">
        <v>73.12145096824689</v>
      </c>
      <c r="I336" s="62">
        <f t="shared" si="26"/>
        <v>73.12145096824689</v>
      </c>
      <c r="J336" s="62"/>
      <c r="K336" s="62">
        <v>18.474733540894885</v>
      </c>
      <c r="L336" s="62">
        <v>54.550132656239221</v>
      </c>
      <c r="M336" s="62">
        <v>6.1961357017394303E-2</v>
      </c>
      <c r="N336" s="62">
        <v>0</v>
      </c>
      <c r="O336" s="62">
        <v>3.4623414095392491E-2</v>
      </c>
      <c r="P336" s="298" t="s">
        <v>4160</v>
      </c>
      <c r="Q336" s="60" t="s">
        <v>27</v>
      </c>
      <c r="R336" s="60" t="s">
        <v>1051</v>
      </c>
      <c r="S336" s="286" t="str">
        <f t="shared" si="25"/>
        <v>SIM</v>
      </c>
      <c r="T336" s="286" t="str">
        <f>IF($C336= "", T335, IF(ISNA(VLOOKUP($C336,'ABC-S'!$A$5:$A$271,1,FALSE)), "", VLOOKUP($C336,'ABC-S'!$A$5:$A$271,1,FALSE)))</f>
        <v>CP0384</v>
      </c>
      <c r="W336" s="286" t="s">
        <v>2397</v>
      </c>
      <c r="X336" s="286" t="s">
        <v>21</v>
      </c>
      <c r="Y336" s="286" t="s">
        <v>1513</v>
      </c>
      <c r="Z336" s="286" t="s">
        <v>21</v>
      </c>
      <c r="AA336" s="286" t="s">
        <v>21</v>
      </c>
      <c r="AB336" s="378"/>
      <c r="AC336" s="381" t="s">
        <v>2148</v>
      </c>
      <c r="AD336" s="378">
        <v>1</v>
      </c>
      <c r="AE336" s="378">
        <v>1.1484826511648301</v>
      </c>
      <c r="AF336" s="378">
        <v>1.1484826511648301</v>
      </c>
      <c r="AG336" s="378"/>
      <c r="AI336" s="378" t="s">
        <v>21</v>
      </c>
      <c r="AJ336" s="378" t="s">
        <v>21</v>
      </c>
      <c r="AL336" s="286"/>
      <c r="AM336" s="286">
        <v>7781</v>
      </c>
    </row>
    <row r="337" spans="1:39" s="51" customFormat="1" ht="33.75" x14ac:dyDescent="0.25">
      <c r="A337" s="59" t="s">
        <v>2397</v>
      </c>
      <c r="B337" s="59" t="s">
        <v>87</v>
      </c>
      <c r="C337" s="59"/>
      <c r="D337" s="59">
        <v>101463</v>
      </c>
      <c r="E337" s="60" t="s">
        <v>780</v>
      </c>
      <c r="F337" s="59" t="s">
        <v>55</v>
      </c>
      <c r="G337" s="280">
        <f>SUM(G331:G333) / 1000
+(G336 * 0.0495)</f>
        <v>0.20350000000000001</v>
      </c>
      <c r="H337" s="62">
        <v>30.23</v>
      </c>
      <c r="I337" s="62">
        <f t="shared" si="26"/>
        <v>6.1518050000000004</v>
      </c>
      <c r="J337" s="62"/>
      <c r="K337" s="62">
        <v>1.312575</v>
      </c>
      <c r="L337" s="62">
        <v>3.6487550000000004</v>
      </c>
      <c r="M337" s="62">
        <v>1.1904749999999999</v>
      </c>
      <c r="N337" s="62">
        <v>0</v>
      </c>
      <c r="O337" s="62">
        <v>0</v>
      </c>
      <c r="P337" s="298" t="s">
        <v>4160</v>
      </c>
      <c r="Q337" s="60" t="s">
        <v>27</v>
      </c>
      <c r="R337" s="60" t="s">
        <v>1051</v>
      </c>
      <c r="S337" s="286" t="str">
        <f t="shared" si="25"/>
        <v>SIM</v>
      </c>
      <c r="T337" s="286" t="str">
        <f>IF($C337= "", T336, IF(ISNA(VLOOKUP($C337,'ABC-S'!$A$5:$A$271,1,FALSE)), "", VLOOKUP($C337,'ABC-S'!$A$5:$A$271,1,FALSE)))</f>
        <v>CP0384</v>
      </c>
      <c r="W337" s="286" t="s">
        <v>2397</v>
      </c>
      <c r="X337" s="286" t="s">
        <v>21</v>
      </c>
      <c r="Y337" s="286" t="s">
        <v>1513</v>
      </c>
      <c r="Z337" s="286" t="s">
        <v>21</v>
      </c>
      <c r="AA337" s="286" t="s">
        <v>21</v>
      </c>
      <c r="AB337" s="378"/>
      <c r="AC337" s="381">
        <v>101463</v>
      </c>
      <c r="AD337" s="378">
        <v>0.20350000000000001</v>
      </c>
      <c r="AE337" s="378">
        <v>0.52829999999999999</v>
      </c>
      <c r="AF337" s="378">
        <v>0.10750905000000001</v>
      </c>
      <c r="AG337" s="378"/>
      <c r="AI337" s="378">
        <v>0</v>
      </c>
      <c r="AJ337" s="378">
        <v>0</v>
      </c>
      <c r="AL337" s="286"/>
      <c r="AM337" s="286">
        <v>7781</v>
      </c>
    </row>
    <row r="338" spans="1:39" s="51" customFormat="1" ht="45" x14ac:dyDescent="0.25">
      <c r="A338" s="59" t="s">
        <v>2397</v>
      </c>
      <c r="B338" s="59" t="s">
        <v>87</v>
      </c>
      <c r="C338" s="59"/>
      <c r="D338" s="59">
        <v>100950</v>
      </c>
      <c r="E338" s="60" t="s">
        <v>795</v>
      </c>
      <c r="F338" s="59" t="s">
        <v>42</v>
      </c>
      <c r="G338" s="61">
        <f>G337 * 2</f>
        <v>0.40700000000000003</v>
      </c>
      <c r="H338" s="62">
        <v>2.27</v>
      </c>
      <c r="I338" s="62">
        <f t="shared" si="26"/>
        <v>0.9238900000000001</v>
      </c>
      <c r="J338" s="62"/>
      <c r="K338" s="62">
        <v>8.9540000000000008E-2</v>
      </c>
      <c r="L338" s="62">
        <v>0.63085000000000002</v>
      </c>
      <c r="M338" s="62">
        <v>0.20350000000000001</v>
      </c>
      <c r="N338" s="62">
        <v>0</v>
      </c>
      <c r="O338" s="62">
        <v>0</v>
      </c>
      <c r="P338" s="298" t="s">
        <v>4160</v>
      </c>
      <c r="Q338" s="60" t="s">
        <v>27</v>
      </c>
      <c r="R338" s="60" t="s">
        <v>2390</v>
      </c>
      <c r="S338" s="286" t="str">
        <f t="shared" si="25"/>
        <v>SIM</v>
      </c>
      <c r="T338" s="286" t="str">
        <f>IF($C338= "", T337, IF(ISNA(VLOOKUP($C338,'ABC-S'!$A$5:$A$271,1,FALSE)), "", VLOOKUP($C338,'ABC-S'!$A$5:$A$271,1,FALSE)))</f>
        <v>CP0384</v>
      </c>
      <c r="W338" s="286" t="s">
        <v>2397</v>
      </c>
      <c r="X338" s="286" t="s">
        <v>21</v>
      </c>
      <c r="Y338" s="286" t="s">
        <v>1098</v>
      </c>
      <c r="Z338" s="286" t="s">
        <v>21</v>
      </c>
      <c r="AA338" s="286" t="s">
        <v>21</v>
      </c>
      <c r="AB338" s="378"/>
      <c r="AC338" s="381">
        <v>100950</v>
      </c>
      <c r="AD338" s="378">
        <v>0.40700000000000003</v>
      </c>
      <c r="AE338" s="378">
        <v>1.67E-2</v>
      </c>
      <c r="AF338" s="378">
        <v>6.7969000000000007E-3</v>
      </c>
      <c r="AG338" s="378"/>
      <c r="AI338" s="378">
        <v>0</v>
      </c>
      <c r="AJ338" s="378">
        <v>0</v>
      </c>
      <c r="AL338" s="286"/>
      <c r="AM338" s="286">
        <v>7781</v>
      </c>
    </row>
    <row r="339" spans="1:39" s="51" customFormat="1" ht="45" x14ac:dyDescent="0.25">
      <c r="A339" s="55" t="s">
        <v>2399</v>
      </c>
      <c r="B339" s="55" t="s">
        <v>138</v>
      </c>
      <c r="C339" s="55" t="s">
        <v>2399</v>
      </c>
      <c r="D339" s="55"/>
      <c r="E339" s="56" t="s">
        <v>2416</v>
      </c>
      <c r="F339" s="55" t="s">
        <v>41</v>
      </c>
      <c r="G339" s="57"/>
      <c r="H339" s="58"/>
      <c r="I339" s="58"/>
      <c r="J339" s="58">
        <f>SUM(I339:I351)</f>
        <v>6357.7790761593797</v>
      </c>
      <c r="K339" s="58">
        <v>1320.4956383850811</v>
      </c>
      <c r="L339" s="58">
        <v>4873.6300170898521</v>
      </c>
      <c r="M339" s="58">
        <v>163.44931498704568</v>
      </c>
      <c r="N339" s="58">
        <v>0</v>
      </c>
      <c r="O339" s="58">
        <v>0.20410569740130313</v>
      </c>
      <c r="P339" s="58"/>
      <c r="Q339" s="56"/>
      <c r="R339" s="56" t="s">
        <v>2400</v>
      </c>
      <c r="S339" s="286" t="str">
        <f t="shared" si="25"/>
        <v>SIM</v>
      </c>
      <c r="T339" s="286" t="str">
        <f>IF($C339= "", T338, IF(ISNA(VLOOKUP($C339,'ABC-S'!$A$5:$A$271,1,FALSE)), "", VLOOKUP($C339,'ABC-S'!$A$5:$A$271,1,FALSE)))</f>
        <v>CP0385</v>
      </c>
      <c r="W339" s="286" t="s">
        <v>2399</v>
      </c>
      <c r="X339" s="286"/>
      <c r="Y339" s="286"/>
      <c r="Z339" s="286"/>
      <c r="AA339" s="286" t="s">
        <v>21</v>
      </c>
      <c r="AB339" s="378">
        <v>0</v>
      </c>
      <c r="AC339" s="378"/>
      <c r="AD339" s="335"/>
      <c r="AE339" s="335"/>
      <c r="AF339" s="335"/>
      <c r="AG339" s="378">
        <v>78.783830424711397</v>
      </c>
      <c r="AI339" s="378" t="s">
        <v>21</v>
      </c>
      <c r="AJ339" s="378" t="s">
        <v>21</v>
      </c>
      <c r="AL339" s="286"/>
      <c r="AM339" s="286"/>
    </row>
    <row r="340" spans="1:39" s="51" customFormat="1" ht="22.5" x14ac:dyDescent="0.25">
      <c r="A340" s="59" t="s">
        <v>2399</v>
      </c>
      <c r="B340" s="59" t="s">
        <v>87</v>
      </c>
      <c r="C340" s="59"/>
      <c r="D340" s="59">
        <v>93382</v>
      </c>
      <c r="E340" s="60" t="s">
        <v>40</v>
      </c>
      <c r="F340" s="59" t="s">
        <v>44</v>
      </c>
      <c r="G340" s="61">
        <f>((0.2 * 2 + 0.12 * 2 + 2.2) ^ 2) * 0.1</f>
        <v>0.80656000000000017</v>
      </c>
      <c r="H340" s="62">
        <v>25.09</v>
      </c>
      <c r="I340" s="62">
        <f>IF($D340="","",G340*H340)</f>
        <v>20.236590400000004</v>
      </c>
      <c r="J340" s="62"/>
      <c r="K340" s="62">
        <v>12.066137600000003</v>
      </c>
      <c r="L340" s="62">
        <v>7.4122864000000011</v>
      </c>
      <c r="M340" s="62">
        <v>0.75816640000000013</v>
      </c>
      <c r="N340" s="62">
        <v>0</v>
      </c>
      <c r="O340" s="62">
        <v>0</v>
      </c>
      <c r="P340" s="298" t="s">
        <v>4160</v>
      </c>
      <c r="Q340" s="60" t="s">
        <v>27</v>
      </c>
      <c r="R340" s="60" t="s">
        <v>1051</v>
      </c>
      <c r="S340" s="286" t="str">
        <f t="shared" si="25"/>
        <v>SIM</v>
      </c>
      <c r="T340" s="286" t="str">
        <f>IF($C340= "", T339, IF(ISNA(VLOOKUP($C340,'ABC-S'!$A$5:$A$271,1,FALSE)), "", VLOOKUP($C340,'ABC-S'!$A$5:$A$271,1,FALSE)))</f>
        <v>CP0385</v>
      </c>
      <c r="W340" s="286" t="s">
        <v>2399</v>
      </c>
      <c r="X340" s="286" t="s">
        <v>21</v>
      </c>
      <c r="Y340" s="286" t="s">
        <v>1513</v>
      </c>
      <c r="Z340" s="286" t="s">
        <v>21</v>
      </c>
      <c r="AA340" s="286" t="s">
        <v>21</v>
      </c>
      <c r="AB340" s="378"/>
      <c r="AC340" s="381">
        <v>93382</v>
      </c>
      <c r="AD340" s="378">
        <v>0.80656000000000017</v>
      </c>
      <c r="AE340" s="378">
        <v>1.1870000000000001</v>
      </c>
      <c r="AF340" s="378">
        <v>0.95738672000000025</v>
      </c>
      <c r="AG340" s="378"/>
      <c r="AI340" s="378">
        <v>0</v>
      </c>
      <c r="AJ340" s="378">
        <v>0</v>
      </c>
      <c r="AL340" s="286"/>
      <c r="AM340" s="286">
        <v>7781</v>
      </c>
    </row>
    <row r="341" spans="1:39" s="51" customFormat="1" ht="33.75" x14ac:dyDescent="0.25">
      <c r="A341" s="59" t="s">
        <v>2399</v>
      </c>
      <c r="B341" s="59" t="s">
        <v>87</v>
      </c>
      <c r="C341" s="59"/>
      <c r="D341" s="59">
        <v>94968</v>
      </c>
      <c r="E341" s="60" t="s">
        <v>3660</v>
      </c>
      <c r="F341" s="59" t="s">
        <v>44</v>
      </c>
      <c r="G341" s="61">
        <f>(2.2 + 0.12 * 2 + 0.1 * 2) ^ 2 * 0</f>
        <v>0</v>
      </c>
      <c r="H341" s="62">
        <v>326.63</v>
      </c>
      <c r="I341" s="62">
        <f t="shared" ref="I341:I351" si="27">IF($D341="","",G341*H341)</f>
        <v>0</v>
      </c>
      <c r="J341" s="62"/>
      <c r="K341" s="62">
        <v>0</v>
      </c>
      <c r="L341" s="62">
        <v>0</v>
      </c>
      <c r="M341" s="62">
        <v>0</v>
      </c>
      <c r="N341" s="62">
        <v>0</v>
      </c>
      <c r="O341" s="62">
        <v>0</v>
      </c>
      <c r="P341" s="298" t="s">
        <v>4160</v>
      </c>
      <c r="Q341" s="60" t="s">
        <v>27</v>
      </c>
      <c r="R341" s="60" t="s">
        <v>1051</v>
      </c>
      <c r="S341" s="286" t="str">
        <f t="shared" si="25"/>
        <v>SIM</v>
      </c>
      <c r="T341" s="286" t="str">
        <f>IF($C341= "", T340, IF(ISNA(VLOOKUP($C341,'ABC-S'!$A$5:$A$271,1,FALSE)), "", VLOOKUP($C341,'ABC-S'!$A$5:$A$271,1,FALSE)))</f>
        <v>CP0385</v>
      </c>
      <c r="W341" s="286" t="s">
        <v>2399</v>
      </c>
      <c r="X341" s="286" t="s">
        <v>21</v>
      </c>
      <c r="Y341" s="286" t="s">
        <v>1513</v>
      </c>
      <c r="Z341" s="286" t="s">
        <v>21</v>
      </c>
      <c r="AA341" s="286" t="s">
        <v>21</v>
      </c>
      <c r="AB341" s="378"/>
      <c r="AC341" s="381">
        <v>94968</v>
      </c>
      <c r="AD341" s="378">
        <v>0</v>
      </c>
      <c r="AE341" s="378">
        <v>3.4372999999999996</v>
      </c>
      <c r="AF341" s="378">
        <v>0</v>
      </c>
      <c r="AG341" s="378"/>
      <c r="AI341" s="378">
        <v>2.6629999999999998</v>
      </c>
      <c r="AJ341" s="378">
        <v>0</v>
      </c>
      <c r="AL341" s="286"/>
      <c r="AM341" s="286">
        <v>7781</v>
      </c>
    </row>
    <row r="342" spans="1:39" s="51" customFormat="1" ht="45" x14ac:dyDescent="0.25">
      <c r="A342" s="59" t="s">
        <v>2399</v>
      </c>
      <c r="B342" s="59" t="s">
        <v>87</v>
      </c>
      <c r="C342" s="59"/>
      <c r="D342" s="59">
        <v>100341</v>
      </c>
      <c r="E342" s="60" t="s">
        <v>582</v>
      </c>
      <c r="F342" s="59" t="s">
        <v>51</v>
      </c>
      <c r="G342" s="61">
        <f>((2.2 + 0.12 * 2) * 4 * 2.2) + (2.2 * 4 * 2)</f>
        <v>39.072000000000003</v>
      </c>
      <c r="H342" s="62">
        <v>29.98</v>
      </c>
      <c r="I342" s="62">
        <f t="shared" si="27"/>
        <v>1171.3785600000001</v>
      </c>
      <c r="J342" s="62"/>
      <c r="K342" s="62">
        <v>471.20832000000007</v>
      </c>
      <c r="L342" s="62">
        <v>552.0873600000001</v>
      </c>
      <c r="M342" s="62">
        <v>148.08288000000002</v>
      </c>
      <c r="N342" s="62">
        <v>0</v>
      </c>
      <c r="O342" s="62">
        <v>0</v>
      </c>
      <c r="P342" s="298" t="s">
        <v>4160</v>
      </c>
      <c r="Q342" s="60" t="s">
        <v>27</v>
      </c>
      <c r="R342" s="60" t="s">
        <v>1051</v>
      </c>
      <c r="S342" s="286" t="str">
        <f t="shared" si="25"/>
        <v>SIM</v>
      </c>
      <c r="T342" s="286" t="str">
        <f>IF($C342= "", T341, IF(ISNA(VLOOKUP($C342,'ABC-S'!$A$5:$A$271,1,FALSE)), "", VLOOKUP($C342,'ABC-S'!$A$5:$A$271,1,FALSE)))</f>
        <v>CP0385</v>
      </c>
      <c r="W342" s="286" t="s">
        <v>2399</v>
      </c>
      <c r="X342" s="286" t="s">
        <v>21</v>
      </c>
      <c r="Y342" s="286" t="s">
        <v>1513</v>
      </c>
      <c r="Z342" s="286" t="s">
        <v>21</v>
      </c>
      <c r="AA342" s="286" t="s">
        <v>21</v>
      </c>
      <c r="AB342" s="378"/>
      <c r="AC342" s="381">
        <v>100341</v>
      </c>
      <c r="AD342" s="378">
        <v>39.072000000000003</v>
      </c>
      <c r="AE342" s="378">
        <v>0.68709999999999993</v>
      </c>
      <c r="AF342" s="378">
        <v>26.8463712</v>
      </c>
      <c r="AG342" s="378"/>
      <c r="AI342" s="378">
        <v>0</v>
      </c>
      <c r="AJ342" s="378">
        <v>0</v>
      </c>
      <c r="AL342" s="286"/>
      <c r="AM342" s="286">
        <v>7781</v>
      </c>
    </row>
    <row r="343" spans="1:39" s="51" customFormat="1" ht="45" x14ac:dyDescent="0.25">
      <c r="A343" s="59" t="s">
        <v>2399</v>
      </c>
      <c r="B343" s="59" t="s">
        <v>87</v>
      </c>
      <c r="C343" s="59"/>
      <c r="D343" s="59">
        <v>92526</v>
      </c>
      <c r="E343" s="60" t="s">
        <v>1161</v>
      </c>
      <c r="F343" s="59" t="s">
        <v>51</v>
      </c>
      <c r="G343" s="61">
        <f>(2.2 ^ 2) + (PI() * 0.6 * 0.1)</f>
        <v>5.0284955592153882</v>
      </c>
      <c r="H343" s="62">
        <v>24.95</v>
      </c>
      <c r="I343" s="62">
        <f t="shared" si="27"/>
        <v>125.46096420242394</v>
      </c>
      <c r="J343" s="62"/>
      <c r="K343" s="62">
        <v>41.384518452342647</v>
      </c>
      <c r="L343" s="62">
        <v>71.756631630003582</v>
      </c>
      <c r="M343" s="62">
        <v>12.319814120077702</v>
      </c>
      <c r="N343" s="62">
        <v>0</v>
      </c>
      <c r="O343" s="62">
        <v>1.4210854715202004E-14</v>
      </c>
      <c r="P343" s="298" t="s">
        <v>4160</v>
      </c>
      <c r="Q343" s="60" t="s">
        <v>27</v>
      </c>
      <c r="R343" s="60" t="s">
        <v>1051</v>
      </c>
      <c r="S343" s="286" t="str">
        <f t="shared" si="25"/>
        <v>SIM</v>
      </c>
      <c r="T343" s="286" t="str">
        <f>IF($C343= "", T342, IF(ISNA(VLOOKUP($C343,'ABC-S'!$A$5:$A$271,1,FALSE)), "", VLOOKUP($C343,'ABC-S'!$A$5:$A$271,1,FALSE)))</f>
        <v>CP0385</v>
      </c>
      <c r="W343" s="286" t="s">
        <v>2399</v>
      </c>
      <c r="X343" s="286" t="s">
        <v>21</v>
      </c>
      <c r="Y343" s="286" t="s">
        <v>1513</v>
      </c>
      <c r="Z343" s="286" t="s">
        <v>21</v>
      </c>
      <c r="AA343" s="286" t="s">
        <v>21</v>
      </c>
      <c r="AB343" s="378"/>
      <c r="AC343" s="381">
        <v>92526</v>
      </c>
      <c r="AD343" s="378">
        <v>5.0284955592153882</v>
      </c>
      <c r="AE343" s="378">
        <v>0.48135200000000006</v>
      </c>
      <c r="AF343" s="378">
        <v>2.4204763944194458</v>
      </c>
      <c r="AG343" s="378"/>
      <c r="AI343" s="378">
        <v>0</v>
      </c>
      <c r="AJ343" s="378">
        <v>0</v>
      </c>
      <c r="AL343" s="286"/>
      <c r="AM343" s="286">
        <v>7781</v>
      </c>
    </row>
    <row r="344" spans="1:39" s="51" customFormat="1" ht="33.75" x14ac:dyDescent="0.25">
      <c r="A344" s="59" t="s">
        <v>2399</v>
      </c>
      <c r="B344" s="59" t="s">
        <v>87</v>
      </c>
      <c r="C344" s="59"/>
      <c r="D344" s="59">
        <v>92915</v>
      </c>
      <c r="E344" s="60" t="s">
        <v>509</v>
      </c>
      <c r="F344" s="59" t="s">
        <v>54</v>
      </c>
      <c r="G344" s="61">
        <f>16 * (1 + 10%)</f>
        <v>17.600000000000001</v>
      </c>
      <c r="H344" s="62">
        <v>17.3</v>
      </c>
      <c r="I344" s="62">
        <f t="shared" si="27"/>
        <v>304.48</v>
      </c>
      <c r="J344" s="62"/>
      <c r="K344" s="62">
        <v>86.591999999999999</v>
      </c>
      <c r="L344" s="62">
        <v>217.88800000000003</v>
      </c>
      <c r="M344" s="62">
        <v>0</v>
      </c>
      <c r="N344" s="62">
        <v>0</v>
      </c>
      <c r="O344" s="62">
        <v>0</v>
      </c>
      <c r="P344" s="298" t="s">
        <v>4160</v>
      </c>
      <c r="Q344" s="60" t="s">
        <v>27</v>
      </c>
      <c r="R344" s="60" t="s">
        <v>2396</v>
      </c>
      <c r="S344" s="286" t="str">
        <f t="shared" si="25"/>
        <v>SIM</v>
      </c>
      <c r="T344" s="286" t="str">
        <f>IF($C344= "", T343, IF(ISNA(VLOOKUP($C344,'ABC-S'!$A$5:$A$271,1,FALSE)), "", VLOOKUP($C344,'ABC-S'!$A$5:$A$271,1,FALSE)))</f>
        <v>CP0385</v>
      </c>
      <c r="W344" s="286" t="s">
        <v>2399</v>
      </c>
      <c r="X344" s="286" t="s">
        <v>21</v>
      </c>
      <c r="Y344" s="286" t="s">
        <v>1513</v>
      </c>
      <c r="Z344" s="286" t="s">
        <v>21</v>
      </c>
      <c r="AA344" s="286" t="s">
        <v>21</v>
      </c>
      <c r="AB344" s="378"/>
      <c r="AC344" s="381">
        <v>92915</v>
      </c>
      <c r="AD344" s="378">
        <v>17.600000000000001</v>
      </c>
      <c r="AE344" s="378">
        <v>0.29049999999999998</v>
      </c>
      <c r="AF344" s="378">
        <v>5.1128</v>
      </c>
      <c r="AG344" s="378"/>
      <c r="AI344" s="378">
        <v>0</v>
      </c>
      <c r="AJ344" s="378">
        <v>0</v>
      </c>
      <c r="AL344" s="286"/>
      <c r="AM344" s="286">
        <v>7781</v>
      </c>
    </row>
    <row r="345" spans="1:39" s="51" customFormat="1" ht="33.75" x14ac:dyDescent="0.25">
      <c r="A345" s="59" t="s">
        <v>2399</v>
      </c>
      <c r="B345" s="59" t="s">
        <v>87</v>
      </c>
      <c r="C345" s="59"/>
      <c r="D345" s="59">
        <v>92916</v>
      </c>
      <c r="E345" s="60" t="s">
        <v>507</v>
      </c>
      <c r="F345" s="59" t="s">
        <v>54</v>
      </c>
      <c r="G345" s="61">
        <f>98 * (1 + 10%)</f>
        <v>107.80000000000001</v>
      </c>
      <c r="H345" s="62">
        <v>16.38</v>
      </c>
      <c r="I345" s="62">
        <f t="shared" si="27"/>
        <v>1765.7640000000001</v>
      </c>
      <c r="J345" s="62"/>
      <c r="K345" s="62">
        <v>368.67600000000004</v>
      </c>
      <c r="L345" s="62">
        <v>1397.0880000000002</v>
      </c>
      <c r="M345" s="62">
        <v>0</v>
      </c>
      <c r="N345" s="62">
        <v>0</v>
      </c>
      <c r="O345" s="62">
        <v>0</v>
      </c>
      <c r="P345" s="298" t="s">
        <v>4160</v>
      </c>
      <c r="Q345" s="60" t="s">
        <v>27</v>
      </c>
      <c r="R345" s="60" t="s">
        <v>2396</v>
      </c>
      <c r="S345" s="286" t="str">
        <f t="shared" si="25"/>
        <v>SIM</v>
      </c>
      <c r="T345" s="286" t="str">
        <f>IF($C345= "", T344, IF(ISNA(VLOOKUP($C345,'ABC-S'!$A$5:$A$271,1,FALSE)), "", VLOOKUP($C345,'ABC-S'!$A$5:$A$271,1,FALSE)))</f>
        <v>CP0385</v>
      </c>
      <c r="W345" s="286" t="s">
        <v>2399</v>
      </c>
      <c r="X345" s="286" t="s">
        <v>21</v>
      </c>
      <c r="Y345" s="286" t="s">
        <v>1513</v>
      </c>
      <c r="Z345" s="286" t="s">
        <v>21</v>
      </c>
      <c r="AA345" s="286" t="s">
        <v>21</v>
      </c>
      <c r="AB345" s="378"/>
      <c r="AC345" s="381">
        <v>92916</v>
      </c>
      <c r="AD345" s="378">
        <v>107.80000000000001</v>
      </c>
      <c r="AE345" s="378">
        <v>0.20269999999999999</v>
      </c>
      <c r="AF345" s="378">
        <v>21.85106</v>
      </c>
      <c r="AG345" s="378"/>
      <c r="AI345" s="378">
        <v>0</v>
      </c>
      <c r="AJ345" s="378">
        <v>0</v>
      </c>
      <c r="AL345" s="286"/>
      <c r="AM345" s="286">
        <v>7781</v>
      </c>
    </row>
    <row r="346" spans="1:39" s="51" customFormat="1" ht="33.75" x14ac:dyDescent="0.25">
      <c r="A346" s="59" t="s">
        <v>2399</v>
      </c>
      <c r="B346" s="59" t="s">
        <v>87</v>
      </c>
      <c r="C346" s="59"/>
      <c r="D346" s="59">
        <v>92917</v>
      </c>
      <c r="E346" s="60" t="s">
        <v>508</v>
      </c>
      <c r="F346" s="59" t="s">
        <v>54</v>
      </c>
      <c r="G346" s="61">
        <f>96 * (1 + 10%)</f>
        <v>105.60000000000001</v>
      </c>
      <c r="H346" s="62">
        <v>15.38</v>
      </c>
      <c r="I346" s="62">
        <f t="shared" si="27"/>
        <v>1624.1280000000002</v>
      </c>
      <c r="J346" s="62"/>
      <c r="K346" s="62">
        <v>249.21600000000001</v>
      </c>
      <c r="L346" s="62">
        <v>1374.912</v>
      </c>
      <c r="M346" s="62">
        <v>0</v>
      </c>
      <c r="N346" s="62">
        <v>0</v>
      </c>
      <c r="O346" s="62">
        <v>0</v>
      </c>
      <c r="P346" s="298" t="s">
        <v>4160</v>
      </c>
      <c r="Q346" s="60" t="s">
        <v>27</v>
      </c>
      <c r="R346" s="60" t="s">
        <v>2396</v>
      </c>
      <c r="S346" s="286" t="str">
        <f t="shared" si="25"/>
        <v>SIM</v>
      </c>
      <c r="T346" s="286" t="str">
        <f>IF($C346= "", T345, IF(ISNA(VLOOKUP($C346,'ABC-S'!$A$5:$A$271,1,FALSE)), "", VLOOKUP($C346,'ABC-S'!$A$5:$A$271,1,FALSE)))</f>
        <v>CP0385</v>
      </c>
      <c r="W346" s="286" t="s">
        <v>2399</v>
      </c>
      <c r="X346" s="286" t="s">
        <v>21</v>
      </c>
      <c r="Y346" s="286" t="s">
        <v>1513</v>
      </c>
      <c r="Z346" s="286" t="s">
        <v>21</v>
      </c>
      <c r="AA346" s="286" t="s">
        <v>21</v>
      </c>
      <c r="AB346" s="378"/>
      <c r="AC346" s="381">
        <v>92917</v>
      </c>
      <c r="AD346" s="378">
        <v>105.60000000000001</v>
      </c>
      <c r="AE346" s="378">
        <v>0.1411</v>
      </c>
      <c r="AF346" s="378">
        <v>14.900160000000001</v>
      </c>
      <c r="AG346" s="378"/>
      <c r="AI346" s="378">
        <v>0</v>
      </c>
      <c r="AJ346" s="378">
        <v>0</v>
      </c>
      <c r="AL346" s="286"/>
      <c r="AM346" s="286">
        <v>7781</v>
      </c>
    </row>
    <row r="347" spans="1:39" s="51" customFormat="1" ht="33.75" x14ac:dyDescent="0.25">
      <c r="A347" s="59" t="s">
        <v>2399</v>
      </c>
      <c r="B347" s="59" t="s">
        <v>86</v>
      </c>
      <c r="C347" s="59"/>
      <c r="D347" s="248">
        <v>1525</v>
      </c>
      <c r="E347" s="60" t="s">
        <v>691</v>
      </c>
      <c r="F347" s="59" t="s">
        <v>3670</v>
      </c>
      <c r="G347" s="61">
        <f>((0.12 * 2 + 2.2) ^ 2 * 0.1) + (((2.2 * 2) + ((0.12 * 2 + 2.2) * 2)) * 0.12 * 2) + ((((0.12 * 2 + 2.2) ^ 2) - (PI() * (0.6 ^ 2) / 4)) * 0.1)</f>
        <v>3.3896456661176928</v>
      </c>
      <c r="H347" s="62">
        <v>342.14</v>
      </c>
      <c r="I347" s="62">
        <f t="shared" si="27"/>
        <v>1159.7333682055073</v>
      </c>
      <c r="J347" s="62"/>
      <c r="K347" s="62">
        <v>0</v>
      </c>
      <c r="L347" s="62">
        <v>1159.7333682055073</v>
      </c>
      <c r="M347" s="62">
        <v>0</v>
      </c>
      <c r="N347" s="62">
        <v>0</v>
      </c>
      <c r="O347" s="62">
        <v>0</v>
      </c>
      <c r="P347" s="298" t="s">
        <v>89</v>
      </c>
      <c r="Q347" s="60" t="s">
        <v>27</v>
      </c>
      <c r="R347" s="60" t="s">
        <v>1051</v>
      </c>
      <c r="S347" s="286" t="str">
        <f t="shared" si="25"/>
        <v>SIM</v>
      </c>
      <c r="T347" s="286" t="str">
        <f>IF($C347= "", T346, IF(ISNA(VLOOKUP($C347,'ABC-S'!$A$5:$A$271,1,FALSE)), "", VLOOKUP($C347,'ABC-S'!$A$5:$A$271,1,FALSE)))</f>
        <v>CP0385</v>
      </c>
      <c r="W347" s="286" t="s">
        <v>2399</v>
      </c>
      <c r="X347" s="286" t="s">
        <v>21</v>
      </c>
      <c r="Y347" s="286" t="s">
        <v>21</v>
      </c>
      <c r="Z347" s="286" t="s">
        <v>21</v>
      </c>
      <c r="AA347" s="286" t="s">
        <v>21</v>
      </c>
      <c r="AB347" s="378"/>
      <c r="AC347" s="381" t="s">
        <v>21</v>
      </c>
      <c r="AD347" s="378" t="s">
        <v>21</v>
      </c>
      <c r="AE347" s="378" t="s">
        <v>21</v>
      </c>
      <c r="AF347" s="378" t="s">
        <v>21</v>
      </c>
      <c r="AG347" s="378"/>
      <c r="AI347" s="378" t="s">
        <v>21</v>
      </c>
      <c r="AJ347" s="378" t="s">
        <v>21</v>
      </c>
      <c r="AL347" s="286"/>
      <c r="AM347" s="286">
        <v>7781</v>
      </c>
    </row>
    <row r="348" spans="1:39" s="51" customFormat="1" ht="22.5" x14ac:dyDescent="0.25">
      <c r="A348" s="59" t="s">
        <v>2399</v>
      </c>
      <c r="B348" s="59" t="s">
        <v>87</v>
      </c>
      <c r="C348" s="59"/>
      <c r="D348" s="248">
        <v>92874</v>
      </c>
      <c r="E348" s="60" t="s">
        <v>596</v>
      </c>
      <c r="F348" s="59" t="s">
        <v>44</v>
      </c>
      <c r="G348" s="61">
        <f>G347</f>
        <v>3.3896456661176928</v>
      </c>
      <c r="H348" s="62">
        <v>30.6</v>
      </c>
      <c r="I348" s="62">
        <f t="shared" si="27"/>
        <v>103.72315738320141</v>
      </c>
      <c r="J348" s="62"/>
      <c r="K348" s="62">
        <v>70.945283791843309</v>
      </c>
      <c r="L348" s="62">
        <v>32.303323198101609</v>
      </c>
      <c r="M348" s="62">
        <v>0.30506810995059236</v>
      </c>
      <c r="N348" s="62">
        <v>0</v>
      </c>
      <c r="O348" s="62">
        <v>0.16948228330589643</v>
      </c>
      <c r="P348" s="298" t="s">
        <v>4160</v>
      </c>
      <c r="Q348" s="60" t="s">
        <v>27</v>
      </c>
      <c r="R348" s="60" t="s">
        <v>1051</v>
      </c>
      <c r="S348" s="286" t="str">
        <f t="shared" si="25"/>
        <v>SIM</v>
      </c>
      <c r="T348" s="286" t="str">
        <f>IF($C348= "", T347, IF(ISNA(VLOOKUP($C348,'ABC-S'!$A$5:$A$271,1,FALSE)), "", VLOOKUP($C348,'ABC-S'!$A$5:$A$271,1,FALSE)))</f>
        <v>CP0385</v>
      </c>
      <c r="W348" s="286" t="s">
        <v>2399</v>
      </c>
      <c r="X348" s="286" t="s">
        <v>21</v>
      </c>
      <c r="Y348" s="286" t="s">
        <v>1513</v>
      </c>
      <c r="Z348" s="286" t="s">
        <v>21</v>
      </c>
      <c r="AA348" s="286" t="s">
        <v>21</v>
      </c>
      <c r="AB348" s="378"/>
      <c r="AC348" s="381">
        <v>92874</v>
      </c>
      <c r="AD348" s="378">
        <v>3.3896456661176928</v>
      </c>
      <c r="AE348" s="378">
        <v>1.5899999999999999</v>
      </c>
      <c r="AF348" s="378">
        <v>5.3895366091271315</v>
      </c>
      <c r="AG348" s="378"/>
      <c r="AI348" s="378">
        <v>0</v>
      </c>
      <c r="AJ348" s="378">
        <v>0</v>
      </c>
      <c r="AL348" s="286"/>
      <c r="AM348" s="286">
        <v>7781</v>
      </c>
    </row>
    <row r="349" spans="1:39" s="51" customFormat="1" ht="45" x14ac:dyDescent="0.25">
      <c r="A349" s="59" t="s">
        <v>2399</v>
      </c>
      <c r="B349" s="59" t="s">
        <v>87</v>
      </c>
      <c r="C349" s="59"/>
      <c r="D349" s="59" t="s">
        <v>2148</v>
      </c>
      <c r="E349" s="60" t="s">
        <v>2401</v>
      </c>
      <c r="F349" s="59" t="s">
        <v>41</v>
      </c>
      <c r="G349" s="61">
        <v>1</v>
      </c>
      <c r="H349" s="62">
        <v>73.12145096824689</v>
      </c>
      <c r="I349" s="62">
        <f t="shared" si="27"/>
        <v>73.12145096824689</v>
      </c>
      <c r="J349" s="62"/>
      <c r="K349" s="62">
        <v>18.474733540894885</v>
      </c>
      <c r="L349" s="62">
        <v>54.550132656239221</v>
      </c>
      <c r="M349" s="62">
        <v>6.1961357017394303E-2</v>
      </c>
      <c r="N349" s="62">
        <v>0</v>
      </c>
      <c r="O349" s="62">
        <v>3.4623414095392491E-2</v>
      </c>
      <c r="P349" s="298" t="s">
        <v>4160</v>
      </c>
      <c r="Q349" s="60" t="s">
        <v>27</v>
      </c>
      <c r="R349" s="60" t="s">
        <v>1051</v>
      </c>
      <c r="S349" s="286" t="str">
        <f t="shared" si="25"/>
        <v>SIM</v>
      </c>
      <c r="T349" s="286" t="str">
        <f>IF($C349= "", T348, IF(ISNA(VLOOKUP($C349,'ABC-S'!$A$5:$A$271,1,FALSE)), "", VLOOKUP($C349,'ABC-S'!$A$5:$A$271,1,FALSE)))</f>
        <v>CP0385</v>
      </c>
      <c r="W349" s="286" t="s">
        <v>2399</v>
      </c>
      <c r="X349" s="286" t="s">
        <v>21</v>
      </c>
      <c r="Y349" s="286" t="s">
        <v>1513</v>
      </c>
      <c r="Z349" s="286" t="s">
        <v>21</v>
      </c>
      <c r="AA349" s="286" t="s">
        <v>21</v>
      </c>
      <c r="AB349" s="378"/>
      <c r="AC349" s="381" t="s">
        <v>2148</v>
      </c>
      <c r="AD349" s="378">
        <v>1</v>
      </c>
      <c r="AE349" s="378">
        <v>1.1484826511648301</v>
      </c>
      <c r="AF349" s="378">
        <v>1.1484826511648301</v>
      </c>
      <c r="AG349" s="378"/>
      <c r="AI349" s="378" t="s">
        <v>21</v>
      </c>
      <c r="AJ349" s="378" t="s">
        <v>21</v>
      </c>
      <c r="AL349" s="286"/>
      <c r="AM349" s="286">
        <v>7781</v>
      </c>
    </row>
    <row r="350" spans="1:39" s="51" customFormat="1" ht="33.75" x14ac:dyDescent="0.25">
      <c r="A350" s="59" t="s">
        <v>2399</v>
      </c>
      <c r="B350" s="59" t="s">
        <v>87</v>
      </c>
      <c r="C350" s="59"/>
      <c r="D350" s="59">
        <v>101463</v>
      </c>
      <c r="E350" s="60" t="s">
        <v>780</v>
      </c>
      <c r="F350" s="59" t="s">
        <v>55</v>
      </c>
      <c r="G350" s="280">
        <f>SUM(G344:G346) / 1000
+(G349 * 0.0495)</f>
        <v>0.28050000000000003</v>
      </c>
      <c r="H350" s="62">
        <v>30.23</v>
      </c>
      <c r="I350" s="62">
        <f t="shared" si="27"/>
        <v>8.479515000000001</v>
      </c>
      <c r="J350" s="62"/>
      <c r="K350" s="62">
        <v>1.8092250000000003</v>
      </c>
      <c r="L350" s="62">
        <v>5.0293650000000003</v>
      </c>
      <c r="M350" s="62">
        <v>1.640925</v>
      </c>
      <c r="N350" s="62">
        <v>0</v>
      </c>
      <c r="O350" s="62">
        <v>0</v>
      </c>
      <c r="P350" s="298" t="s">
        <v>4160</v>
      </c>
      <c r="Q350" s="60" t="s">
        <v>27</v>
      </c>
      <c r="R350" s="60" t="s">
        <v>1051</v>
      </c>
      <c r="S350" s="286" t="str">
        <f t="shared" si="25"/>
        <v>SIM</v>
      </c>
      <c r="T350" s="286" t="str">
        <f>IF($C350= "", T349, IF(ISNA(VLOOKUP($C350,'ABC-S'!$A$5:$A$271,1,FALSE)), "", VLOOKUP($C350,'ABC-S'!$A$5:$A$271,1,FALSE)))</f>
        <v>CP0385</v>
      </c>
      <c r="W350" s="286" t="s">
        <v>2399</v>
      </c>
      <c r="X350" s="286" t="s">
        <v>21</v>
      </c>
      <c r="Y350" s="286" t="s">
        <v>1513</v>
      </c>
      <c r="Z350" s="286" t="s">
        <v>21</v>
      </c>
      <c r="AA350" s="286" t="s">
        <v>21</v>
      </c>
      <c r="AB350" s="378"/>
      <c r="AC350" s="381">
        <v>101463</v>
      </c>
      <c r="AD350" s="378">
        <v>0.28050000000000003</v>
      </c>
      <c r="AE350" s="378">
        <v>0.52829999999999999</v>
      </c>
      <c r="AF350" s="378">
        <v>0.14818815000000002</v>
      </c>
      <c r="AG350" s="378"/>
      <c r="AI350" s="378">
        <v>0</v>
      </c>
      <c r="AJ350" s="378">
        <v>0</v>
      </c>
      <c r="AL350" s="286"/>
      <c r="AM350" s="286">
        <v>7781</v>
      </c>
    </row>
    <row r="351" spans="1:39" s="51" customFormat="1" ht="45" x14ac:dyDescent="0.25">
      <c r="A351" s="59" t="s">
        <v>2399</v>
      </c>
      <c r="B351" s="59" t="s">
        <v>87</v>
      </c>
      <c r="C351" s="59"/>
      <c r="D351" s="59">
        <v>100950</v>
      </c>
      <c r="E351" s="60" t="s">
        <v>795</v>
      </c>
      <c r="F351" s="59" t="s">
        <v>42</v>
      </c>
      <c r="G351" s="61">
        <f>G350 * 2</f>
        <v>0.56100000000000005</v>
      </c>
      <c r="H351" s="62">
        <v>2.27</v>
      </c>
      <c r="I351" s="62">
        <f t="shared" si="27"/>
        <v>1.2734700000000001</v>
      </c>
      <c r="J351" s="62"/>
      <c r="K351" s="62">
        <v>0.12342000000000002</v>
      </c>
      <c r="L351" s="62">
        <v>0.86955000000000016</v>
      </c>
      <c r="M351" s="62">
        <v>0.28050000000000003</v>
      </c>
      <c r="N351" s="62">
        <v>0</v>
      </c>
      <c r="O351" s="62">
        <v>0</v>
      </c>
      <c r="P351" s="298" t="s">
        <v>4160</v>
      </c>
      <c r="Q351" s="60" t="s">
        <v>27</v>
      </c>
      <c r="R351" s="60" t="s">
        <v>2390</v>
      </c>
      <c r="S351" s="286" t="str">
        <f t="shared" si="25"/>
        <v>SIM</v>
      </c>
      <c r="T351" s="286" t="str">
        <f>IF($C351= "", T350, IF(ISNA(VLOOKUP($C351,'ABC-S'!$A$5:$A$271,1,FALSE)), "", VLOOKUP($C351,'ABC-S'!$A$5:$A$271,1,FALSE)))</f>
        <v>CP0385</v>
      </c>
      <c r="W351" s="286" t="s">
        <v>2399</v>
      </c>
      <c r="X351" s="286" t="s">
        <v>21</v>
      </c>
      <c r="Y351" s="286" t="s">
        <v>1098</v>
      </c>
      <c r="Z351" s="286" t="s">
        <v>21</v>
      </c>
      <c r="AA351" s="286" t="s">
        <v>21</v>
      </c>
      <c r="AB351" s="378"/>
      <c r="AC351" s="381">
        <v>100950</v>
      </c>
      <c r="AD351" s="378">
        <v>0.56100000000000005</v>
      </c>
      <c r="AE351" s="378">
        <v>1.67E-2</v>
      </c>
      <c r="AF351" s="378">
        <v>9.3687000000000006E-3</v>
      </c>
      <c r="AG351" s="378"/>
      <c r="AI351" s="378">
        <v>0</v>
      </c>
      <c r="AJ351" s="378">
        <v>0</v>
      </c>
      <c r="AL351" s="286"/>
      <c r="AM351" s="286">
        <v>7781</v>
      </c>
    </row>
    <row r="352" spans="1:39" s="51" customFormat="1" ht="45" hidden="1" x14ac:dyDescent="0.25">
      <c r="A352" s="55" t="s">
        <v>2389</v>
      </c>
      <c r="B352" s="55" t="s">
        <v>138</v>
      </c>
      <c r="C352" s="55" t="s">
        <v>2389</v>
      </c>
      <c r="D352" s="55"/>
      <c r="E352" s="56" t="s">
        <v>2405</v>
      </c>
      <c r="F352" s="55" t="s">
        <v>41</v>
      </c>
      <c r="G352" s="57"/>
      <c r="H352" s="58"/>
      <c r="I352" s="58"/>
      <c r="J352" s="58">
        <f>SUM(I352:I357)</f>
        <v>359.44057340000001</v>
      </c>
      <c r="K352" s="58">
        <v>81.569436200000013</v>
      </c>
      <c r="L352" s="58">
        <v>277.1372106</v>
      </c>
      <c r="M352" s="58">
        <v>0.47719980000000006</v>
      </c>
      <c r="N352" s="58">
        <v>0</v>
      </c>
      <c r="O352" s="58">
        <v>0.25672680000000625</v>
      </c>
      <c r="P352" s="58"/>
      <c r="Q352" s="56"/>
      <c r="R352" s="56" t="s">
        <v>2388</v>
      </c>
      <c r="S352" s="286" t="str">
        <f t="shared" si="25"/>
        <v/>
      </c>
      <c r="T352" s="286" t="str">
        <f>IF($C352= "", T351, IF(ISNA(VLOOKUP($C352,'ABC-S'!$A$5:$A$271,1,FALSE)), "", VLOOKUP($C352,'ABC-S'!$A$5:$A$271,1,FALSE)))</f>
        <v/>
      </c>
      <c r="W352" s="286" t="s">
        <v>2389</v>
      </c>
      <c r="X352" s="286"/>
      <c r="Y352" s="286"/>
      <c r="Z352" s="286"/>
      <c r="AA352" s="286" t="s">
        <v>21</v>
      </c>
      <c r="AB352" s="378">
        <v>0</v>
      </c>
      <c r="AC352" s="378"/>
      <c r="AD352" s="335"/>
      <c r="AE352" s="335"/>
      <c r="AF352" s="335"/>
      <c r="AG352" s="378">
        <v>5.2486805860000008</v>
      </c>
      <c r="AI352" s="378" t="s">
        <v>21</v>
      </c>
      <c r="AJ352" s="378" t="s">
        <v>21</v>
      </c>
      <c r="AL352" s="286"/>
      <c r="AM352" s="286"/>
    </row>
    <row r="353" spans="1:39" s="51" customFormat="1" ht="33.75" hidden="1" x14ac:dyDescent="0.25">
      <c r="A353" s="59" t="s">
        <v>2389</v>
      </c>
      <c r="B353" s="59" t="s">
        <v>87</v>
      </c>
      <c r="C353" s="59"/>
      <c r="D353" s="59">
        <v>96534</v>
      </c>
      <c r="E353" s="60" t="s">
        <v>581</v>
      </c>
      <c r="F353" s="59" t="s">
        <v>51</v>
      </c>
      <c r="G353" s="61">
        <f>((0.1 * 2 + 0.9) * 4) * 0.12</f>
        <v>0.52800000000000002</v>
      </c>
      <c r="H353" s="62">
        <v>79.489999999999995</v>
      </c>
      <c r="I353" s="62">
        <f>IF($D353="","",G353*H353)</f>
        <v>41.97072</v>
      </c>
      <c r="J353" s="62"/>
      <c r="K353" s="62">
        <v>17.7408</v>
      </c>
      <c r="L353" s="62">
        <v>24.214079999999999</v>
      </c>
      <c r="M353" s="62">
        <v>0</v>
      </c>
      <c r="N353" s="62">
        <v>0</v>
      </c>
      <c r="O353" s="62">
        <v>1.583999999999719E-2</v>
      </c>
      <c r="P353" s="298" t="s">
        <v>4160</v>
      </c>
      <c r="Q353" s="60" t="s">
        <v>27</v>
      </c>
      <c r="R353" s="60" t="s">
        <v>27</v>
      </c>
      <c r="S353" s="286" t="str">
        <f t="shared" si="25"/>
        <v/>
      </c>
      <c r="T353" s="286" t="str">
        <f>IF($C353= "", T352, IF(ISNA(VLOOKUP($C353,'ABC-S'!$A$5:$A$271,1,FALSE)), "", VLOOKUP($C353,'ABC-S'!$A$5:$A$271,1,FALSE)))</f>
        <v/>
      </c>
      <c r="W353" s="286" t="s">
        <v>2389</v>
      </c>
      <c r="X353" s="286" t="s">
        <v>21</v>
      </c>
      <c r="Y353" s="286" t="s">
        <v>1513</v>
      </c>
      <c r="Z353" s="286" t="s">
        <v>21</v>
      </c>
      <c r="AA353" s="286" t="s">
        <v>21</v>
      </c>
      <c r="AB353" s="378"/>
      <c r="AC353" s="381">
        <v>96534</v>
      </c>
      <c r="AD353" s="378">
        <v>0.52800000000000002</v>
      </c>
      <c r="AE353" s="378">
        <v>2.0339999999999998</v>
      </c>
      <c r="AF353" s="378">
        <v>1.073952</v>
      </c>
      <c r="AG353" s="378"/>
      <c r="AI353" s="378">
        <v>0</v>
      </c>
      <c r="AJ353" s="378">
        <v>0</v>
      </c>
      <c r="AL353" s="286"/>
      <c r="AM353" s="286">
        <v>7781</v>
      </c>
    </row>
    <row r="354" spans="1:39" s="51" customFormat="1" ht="33.75" hidden="1" x14ac:dyDescent="0.25">
      <c r="A354" s="59" t="s">
        <v>2389</v>
      </c>
      <c r="B354" s="59" t="s">
        <v>87</v>
      </c>
      <c r="C354" s="59"/>
      <c r="D354" s="59">
        <v>92916</v>
      </c>
      <c r="E354" s="60" t="s">
        <v>507</v>
      </c>
      <c r="F354" s="59" t="s">
        <v>54</v>
      </c>
      <c r="G354" s="61">
        <f>((6 * 1.06 * 2) * 0.245) * (1 + 10%)</f>
        <v>3.4280400000000002</v>
      </c>
      <c r="H354" s="62">
        <v>16.38</v>
      </c>
      <c r="I354" s="62">
        <f>IF($D354="","",G354*H354)</f>
        <v>56.1512952</v>
      </c>
      <c r="J354" s="62"/>
      <c r="K354" s="62">
        <v>11.7238968</v>
      </c>
      <c r="L354" s="62">
        <v>44.427398400000008</v>
      </c>
      <c r="M354" s="62">
        <v>0</v>
      </c>
      <c r="N354" s="62">
        <v>0</v>
      </c>
      <c r="O354" s="62">
        <v>-7.1054273576010019E-15</v>
      </c>
      <c r="P354" s="298" t="s">
        <v>4160</v>
      </c>
      <c r="Q354" s="60" t="s">
        <v>27</v>
      </c>
      <c r="R354" s="60" t="s">
        <v>27</v>
      </c>
      <c r="S354" s="286" t="str">
        <f t="shared" si="25"/>
        <v/>
      </c>
      <c r="T354" s="286" t="str">
        <f>IF($C354= "", T353, IF(ISNA(VLOOKUP($C354,'ABC-S'!$A$5:$A$271,1,FALSE)), "", VLOOKUP($C354,'ABC-S'!$A$5:$A$271,1,FALSE)))</f>
        <v/>
      </c>
      <c r="W354" s="286" t="s">
        <v>2389</v>
      </c>
      <c r="X354" s="286" t="s">
        <v>21</v>
      </c>
      <c r="Y354" s="286" t="s">
        <v>1513</v>
      </c>
      <c r="Z354" s="286" t="s">
        <v>21</v>
      </c>
      <c r="AA354" s="286" t="s">
        <v>21</v>
      </c>
      <c r="AB354" s="378"/>
      <c r="AC354" s="381">
        <v>92916</v>
      </c>
      <c r="AD354" s="378">
        <v>3.4280400000000002</v>
      </c>
      <c r="AE354" s="378">
        <v>0.20269999999999999</v>
      </c>
      <c r="AF354" s="378">
        <v>0.69486370799999997</v>
      </c>
      <c r="AG354" s="378"/>
      <c r="AI354" s="378">
        <v>0</v>
      </c>
      <c r="AJ354" s="378">
        <v>0</v>
      </c>
      <c r="AL354" s="286"/>
      <c r="AM354" s="286">
        <v>7781</v>
      </c>
    </row>
    <row r="355" spans="1:39" s="51" customFormat="1" ht="33.75" hidden="1" x14ac:dyDescent="0.25">
      <c r="A355" s="59" t="s">
        <v>2389</v>
      </c>
      <c r="B355" s="59" t="s">
        <v>87</v>
      </c>
      <c r="C355" s="59"/>
      <c r="D355" s="59">
        <v>92917</v>
      </c>
      <c r="E355" s="60" t="s">
        <v>508</v>
      </c>
      <c r="F355" s="59" t="s">
        <v>54</v>
      </c>
      <c r="G355" s="61">
        <v>11.2</v>
      </c>
      <c r="H355" s="62">
        <v>15.38</v>
      </c>
      <c r="I355" s="62">
        <f>IF($D355="","",G355*H355)</f>
        <v>172.256</v>
      </c>
      <c r="J355" s="62"/>
      <c r="K355" s="62">
        <v>26.431999999999999</v>
      </c>
      <c r="L355" s="62">
        <v>145.82399999999998</v>
      </c>
      <c r="M355" s="62">
        <v>0</v>
      </c>
      <c r="N355" s="62">
        <v>0</v>
      </c>
      <c r="O355" s="62">
        <v>2.8421709430404007E-14</v>
      </c>
      <c r="P355" s="298" t="s">
        <v>4160</v>
      </c>
      <c r="Q355" s="60" t="s">
        <v>27</v>
      </c>
      <c r="R355" s="60" t="s">
        <v>27</v>
      </c>
      <c r="S355" s="286" t="str">
        <f t="shared" si="25"/>
        <v/>
      </c>
      <c r="T355" s="286" t="str">
        <f>IF($C355= "", T354, IF(ISNA(VLOOKUP($C355,'ABC-S'!$A$5:$A$271,1,FALSE)), "", VLOOKUP($C355,'ABC-S'!$A$5:$A$271,1,FALSE)))</f>
        <v/>
      </c>
      <c r="W355" s="286" t="s">
        <v>2389</v>
      </c>
      <c r="X355" s="286" t="s">
        <v>21</v>
      </c>
      <c r="Y355" s="286" t="s">
        <v>1513</v>
      </c>
      <c r="Z355" s="286" t="s">
        <v>21</v>
      </c>
      <c r="AA355" s="286" t="s">
        <v>21</v>
      </c>
      <c r="AB355" s="378"/>
      <c r="AC355" s="381">
        <v>92917</v>
      </c>
      <c r="AD355" s="378">
        <v>11.2</v>
      </c>
      <c r="AE355" s="378">
        <v>0.1411</v>
      </c>
      <c r="AF355" s="378">
        <v>1.5803199999999999</v>
      </c>
      <c r="AG355" s="378"/>
      <c r="AI355" s="378">
        <v>0</v>
      </c>
      <c r="AJ355" s="378">
        <v>0</v>
      </c>
      <c r="AL355" s="286"/>
      <c r="AM355" s="286">
        <v>7781</v>
      </c>
    </row>
    <row r="356" spans="1:39" s="51" customFormat="1" ht="33.75" hidden="1" x14ac:dyDescent="0.25">
      <c r="A356" s="59" t="s">
        <v>2389</v>
      </c>
      <c r="B356" s="59" t="s">
        <v>87</v>
      </c>
      <c r="C356" s="59"/>
      <c r="D356" s="59">
        <v>94971</v>
      </c>
      <c r="E356" s="60" t="s">
        <v>3662</v>
      </c>
      <c r="F356" s="59" t="s">
        <v>44</v>
      </c>
      <c r="G356" s="61">
        <f>(((0.1 * 2 + 0.9) ^ 2) * 0.12) * (1 + 5%)</f>
        <v>0.15246000000000004</v>
      </c>
      <c r="H356" s="62">
        <v>397.28</v>
      </c>
      <c r="I356" s="62">
        <f>IF($D356="","",G356*H356)</f>
        <v>60.569308800000009</v>
      </c>
      <c r="J356" s="62"/>
      <c r="K356" s="62">
        <v>5.8971528000000015</v>
      </c>
      <c r="L356" s="62">
        <v>54.185808600000016</v>
      </c>
      <c r="M356" s="62">
        <v>0.32778900000000005</v>
      </c>
      <c r="N356" s="62">
        <v>0</v>
      </c>
      <c r="O356" s="62">
        <v>0.15855839999998977</v>
      </c>
      <c r="P356" s="298" t="s">
        <v>4160</v>
      </c>
      <c r="Q356" s="60" t="s">
        <v>27</v>
      </c>
      <c r="R356" s="60" t="s">
        <v>27</v>
      </c>
      <c r="S356" s="286" t="str">
        <f t="shared" si="25"/>
        <v/>
      </c>
      <c r="T356" s="286" t="str">
        <f>IF($C356= "", T355, IF(ISNA(VLOOKUP($C356,'ABC-S'!$A$5:$A$271,1,FALSE)), "", VLOOKUP($C356,'ABC-S'!$A$5:$A$271,1,FALSE)))</f>
        <v/>
      </c>
      <c r="W356" s="286" t="s">
        <v>2389</v>
      </c>
      <c r="X356" s="286" t="s">
        <v>21</v>
      </c>
      <c r="Y356" s="286" t="s">
        <v>1513</v>
      </c>
      <c r="Z356" s="286" t="s">
        <v>21</v>
      </c>
      <c r="AA356" s="286" t="s">
        <v>21</v>
      </c>
      <c r="AB356" s="378"/>
      <c r="AC356" s="381">
        <v>94971</v>
      </c>
      <c r="AD356" s="378">
        <v>0.15246000000000004</v>
      </c>
      <c r="AE356" s="378">
        <v>3.2293000000000003</v>
      </c>
      <c r="AF356" s="378">
        <v>0.49233907800000015</v>
      </c>
      <c r="AG356" s="378"/>
      <c r="AI356" s="378">
        <v>2.5002</v>
      </c>
      <c r="AJ356" s="378">
        <v>0.38118049200000009</v>
      </c>
      <c r="AL356" s="286"/>
      <c r="AM356" s="286">
        <v>7781</v>
      </c>
    </row>
    <row r="357" spans="1:39" s="51" customFormat="1" ht="22.5" hidden="1" x14ac:dyDescent="0.25">
      <c r="A357" s="59" t="s">
        <v>2389</v>
      </c>
      <c r="B357" s="59" t="s">
        <v>87</v>
      </c>
      <c r="C357" s="59"/>
      <c r="D357" s="59">
        <v>92873</v>
      </c>
      <c r="E357" s="60" t="s">
        <v>595</v>
      </c>
      <c r="F357" s="59" t="s">
        <v>44</v>
      </c>
      <c r="G357" s="61">
        <f>G356</f>
        <v>0.15246000000000004</v>
      </c>
      <c r="H357" s="62">
        <v>186.89</v>
      </c>
      <c r="I357" s="62">
        <f>IF($D357="","",G357*H357)</f>
        <v>28.493249400000007</v>
      </c>
      <c r="J357" s="62"/>
      <c r="K357" s="62">
        <v>19.775586600000008</v>
      </c>
      <c r="L357" s="62">
        <v>8.4859236000000013</v>
      </c>
      <c r="M357" s="62">
        <v>0.14941080000000004</v>
      </c>
      <c r="N357" s="62">
        <v>0</v>
      </c>
      <c r="O357" s="62">
        <v>8.232839999999797E-2</v>
      </c>
      <c r="P357" s="298" t="s">
        <v>4160</v>
      </c>
      <c r="Q357" s="60" t="s">
        <v>27</v>
      </c>
      <c r="R357" s="60" t="s">
        <v>27</v>
      </c>
      <c r="S357" s="286" t="str">
        <f t="shared" si="25"/>
        <v/>
      </c>
      <c r="T357" s="286" t="str">
        <f>IF($C357= "", T356, IF(ISNA(VLOOKUP($C357,'ABC-S'!$A$5:$A$271,1,FALSE)), "", VLOOKUP($C357,'ABC-S'!$A$5:$A$271,1,FALSE)))</f>
        <v/>
      </c>
      <c r="W357" s="286" t="s">
        <v>2389</v>
      </c>
      <c r="X357" s="286" t="s">
        <v>21</v>
      </c>
      <c r="Y357" s="286" t="s">
        <v>1513</v>
      </c>
      <c r="Z357" s="286" t="s">
        <v>21</v>
      </c>
      <c r="AA357" s="286" t="s">
        <v>21</v>
      </c>
      <c r="AB357" s="378"/>
      <c r="AC357" s="381">
        <v>92873</v>
      </c>
      <c r="AD357" s="378">
        <v>0.15246000000000004</v>
      </c>
      <c r="AE357" s="378">
        <v>9.23</v>
      </c>
      <c r="AF357" s="378">
        <v>1.4072058000000005</v>
      </c>
      <c r="AG357" s="378"/>
      <c r="AI357" s="378">
        <v>0</v>
      </c>
      <c r="AJ357" s="378">
        <v>0</v>
      </c>
      <c r="AL357" s="286"/>
      <c r="AM357" s="286">
        <v>7781</v>
      </c>
    </row>
    <row r="358" spans="1:39" s="51" customFormat="1" ht="45" hidden="1" x14ac:dyDescent="0.25">
      <c r="A358" s="55" t="s">
        <v>1025</v>
      </c>
      <c r="B358" s="55" t="s">
        <v>138</v>
      </c>
      <c r="C358" s="55" t="s">
        <v>1025</v>
      </c>
      <c r="D358" s="55"/>
      <c r="E358" s="56" t="s">
        <v>2404</v>
      </c>
      <c r="F358" s="55" t="s">
        <v>41</v>
      </c>
      <c r="G358" s="57"/>
      <c r="H358" s="58"/>
      <c r="I358" s="58"/>
      <c r="J358" s="58">
        <f>SUM(I358:I363)</f>
        <v>638.89315575000001</v>
      </c>
      <c r="K358" s="58">
        <v>150.87361425</v>
      </c>
      <c r="L358" s="58">
        <v>486.32343524999993</v>
      </c>
      <c r="M358" s="58">
        <v>1.10919375</v>
      </c>
      <c r="N358" s="58">
        <v>0</v>
      </c>
      <c r="O358" s="58">
        <v>0.58691249999994</v>
      </c>
      <c r="P358" s="58"/>
      <c r="Q358" s="56"/>
      <c r="R358" s="56" t="s">
        <v>2393</v>
      </c>
      <c r="S358" s="286" t="str">
        <f t="shared" si="25"/>
        <v/>
      </c>
      <c r="T358" s="286" t="str">
        <f>IF($C358= "", T357, IF(ISNA(VLOOKUP($C358,'ABC-S'!$A$5:$A$271,1,FALSE)), "", VLOOKUP($C358,'ABC-S'!$A$5:$A$271,1,FALSE)))</f>
        <v/>
      </c>
      <c r="W358" s="286" t="s">
        <v>1025</v>
      </c>
      <c r="X358" s="286"/>
      <c r="Y358" s="286"/>
      <c r="Z358" s="286"/>
      <c r="AA358" s="286" t="s">
        <v>21</v>
      </c>
      <c r="AB358" s="378">
        <v>0</v>
      </c>
      <c r="AC358" s="378"/>
      <c r="AD358" s="335"/>
      <c r="AE358" s="335"/>
      <c r="AF358" s="335"/>
      <c r="AG358" s="378">
        <v>9.8794729174999993</v>
      </c>
      <c r="AI358" s="378" t="s">
        <v>21</v>
      </c>
      <c r="AJ358" s="378" t="s">
        <v>21</v>
      </c>
      <c r="AL358" s="286"/>
      <c r="AM358" s="286"/>
    </row>
    <row r="359" spans="1:39" s="51" customFormat="1" ht="33.75" hidden="1" x14ac:dyDescent="0.25">
      <c r="A359" s="59" t="s">
        <v>1025</v>
      </c>
      <c r="B359" s="59" t="s">
        <v>87</v>
      </c>
      <c r="C359" s="59"/>
      <c r="D359" s="59">
        <v>96534</v>
      </c>
      <c r="E359" s="60" t="s">
        <v>581</v>
      </c>
      <c r="F359" s="59" t="s">
        <v>51</v>
      </c>
      <c r="G359" s="61">
        <f>((0.2 * 2 + 1.1) * 4) * 0.15</f>
        <v>0.89999999999999991</v>
      </c>
      <c r="H359" s="62">
        <v>79.489999999999995</v>
      </c>
      <c r="I359" s="62">
        <f>IF($D359="","",G359*H359)</f>
        <v>71.540999999999983</v>
      </c>
      <c r="J359" s="62"/>
      <c r="K359" s="62">
        <v>30.24</v>
      </c>
      <c r="L359" s="62">
        <v>41.273999999999994</v>
      </c>
      <c r="M359" s="62">
        <v>0</v>
      </c>
      <c r="N359" s="62">
        <v>0</v>
      </c>
      <c r="O359" s="62">
        <v>2.6999999999986812E-2</v>
      </c>
      <c r="P359" s="298" t="s">
        <v>4160</v>
      </c>
      <c r="Q359" s="60" t="s">
        <v>27</v>
      </c>
      <c r="R359" s="60" t="s">
        <v>27</v>
      </c>
      <c r="S359" s="286" t="str">
        <f t="shared" si="25"/>
        <v/>
      </c>
      <c r="T359" s="286" t="str">
        <f>IF($C359= "", T358, IF(ISNA(VLOOKUP($C359,'ABC-S'!$A$5:$A$271,1,FALSE)), "", VLOOKUP($C359,'ABC-S'!$A$5:$A$271,1,FALSE)))</f>
        <v/>
      </c>
      <c r="W359" s="286" t="s">
        <v>1025</v>
      </c>
      <c r="X359" s="286" t="s">
        <v>21</v>
      </c>
      <c r="Y359" s="286" t="s">
        <v>1513</v>
      </c>
      <c r="Z359" s="286" t="s">
        <v>21</v>
      </c>
      <c r="AA359" s="286" t="s">
        <v>21</v>
      </c>
      <c r="AB359" s="378"/>
      <c r="AC359" s="381">
        <v>96534</v>
      </c>
      <c r="AD359" s="378">
        <v>0.89999999999999991</v>
      </c>
      <c r="AE359" s="378">
        <v>2.0339999999999998</v>
      </c>
      <c r="AF359" s="378">
        <v>1.8305999999999996</v>
      </c>
      <c r="AG359" s="378"/>
      <c r="AI359" s="378">
        <v>0</v>
      </c>
      <c r="AJ359" s="378">
        <v>0</v>
      </c>
      <c r="AL359" s="286"/>
      <c r="AM359" s="286">
        <v>7781</v>
      </c>
    </row>
    <row r="360" spans="1:39" s="51" customFormat="1" ht="33.75" hidden="1" x14ac:dyDescent="0.25">
      <c r="A360" s="59" t="s">
        <v>1025</v>
      </c>
      <c r="B360" s="59" t="s">
        <v>87</v>
      </c>
      <c r="C360" s="59"/>
      <c r="D360" s="59">
        <v>92916</v>
      </c>
      <c r="E360" s="60" t="s">
        <v>507</v>
      </c>
      <c r="F360" s="59" t="s">
        <v>54</v>
      </c>
      <c r="G360" s="61">
        <f>((8 * 1.45 * 2) * 0.245) * (1 + 10%)</f>
        <v>6.2524000000000006</v>
      </c>
      <c r="H360" s="62">
        <v>16.38</v>
      </c>
      <c r="I360" s="62">
        <f>IF($D360="","",G360*H360)</f>
        <v>102.41431200000001</v>
      </c>
      <c r="J360" s="62"/>
      <c r="K360" s="62">
        <v>21.383208000000003</v>
      </c>
      <c r="L360" s="62">
        <v>81.031104000000013</v>
      </c>
      <c r="M360" s="62">
        <v>0</v>
      </c>
      <c r="N360" s="62">
        <v>0</v>
      </c>
      <c r="O360" s="62">
        <v>-1.4210854715202004E-14</v>
      </c>
      <c r="P360" s="298" t="s">
        <v>4160</v>
      </c>
      <c r="Q360" s="60" t="s">
        <v>27</v>
      </c>
      <c r="R360" s="60" t="s">
        <v>27</v>
      </c>
      <c r="S360" s="286" t="str">
        <f t="shared" si="25"/>
        <v/>
      </c>
      <c r="T360" s="286" t="str">
        <f>IF($C360= "", T359, IF(ISNA(VLOOKUP($C360,'ABC-S'!$A$5:$A$271,1,FALSE)), "", VLOOKUP($C360,'ABC-S'!$A$5:$A$271,1,FALSE)))</f>
        <v/>
      </c>
      <c r="W360" s="286" t="s">
        <v>1025</v>
      </c>
      <c r="X360" s="286" t="s">
        <v>21</v>
      </c>
      <c r="Y360" s="286" t="s">
        <v>1513</v>
      </c>
      <c r="Z360" s="286" t="s">
        <v>21</v>
      </c>
      <c r="AA360" s="286" t="s">
        <v>21</v>
      </c>
      <c r="AB360" s="378"/>
      <c r="AC360" s="381">
        <v>92916</v>
      </c>
      <c r="AD360" s="378">
        <v>6.2524000000000006</v>
      </c>
      <c r="AE360" s="378">
        <v>0.20269999999999999</v>
      </c>
      <c r="AF360" s="378">
        <v>1.2673614800000002</v>
      </c>
      <c r="AG360" s="378"/>
      <c r="AI360" s="378">
        <v>0</v>
      </c>
      <c r="AJ360" s="378">
        <v>0</v>
      </c>
      <c r="AL360" s="286"/>
      <c r="AM360" s="286">
        <v>7781</v>
      </c>
    </row>
    <row r="361" spans="1:39" s="51" customFormat="1" ht="33.75" hidden="1" x14ac:dyDescent="0.25">
      <c r="A361" s="59" t="s">
        <v>1025</v>
      </c>
      <c r="B361" s="59" t="s">
        <v>87</v>
      </c>
      <c r="C361" s="59"/>
      <c r="D361" s="59">
        <v>92917</v>
      </c>
      <c r="E361" s="60" t="s">
        <v>508</v>
      </c>
      <c r="F361" s="59" t="s">
        <v>54</v>
      </c>
      <c r="G361" s="61">
        <v>16.77</v>
      </c>
      <c r="H361" s="62">
        <v>15.38</v>
      </c>
      <c r="I361" s="62">
        <f>IF($D361="","",G361*H361)</f>
        <v>257.92259999999999</v>
      </c>
      <c r="J361" s="62"/>
      <c r="K361" s="62">
        <v>39.577199999999998</v>
      </c>
      <c r="L361" s="62">
        <v>218.34539999999998</v>
      </c>
      <c r="M361" s="62">
        <v>0</v>
      </c>
      <c r="N361" s="62">
        <v>0</v>
      </c>
      <c r="O361" s="62">
        <v>0</v>
      </c>
      <c r="P361" s="298" t="s">
        <v>4160</v>
      </c>
      <c r="Q361" s="60" t="s">
        <v>27</v>
      </c>
      <c r="R361" s="60" t="s">
        <v>27</v>
      </c>
      <c r="S361" s="286" t="str">
        <f t="shared" si="25"/>
        <v/>
      </c>
      <c r="T361" s="286" t="str">
        <f>IF($C361= "", T360, IF(ISNA(VLOOKUP($C361,'ABC-S'!$A$5:$A$271,1,FALSE)), "", VLOOKUP($C361,'ABC-S'!$A$5:$A$271,1,FALSE)))</f>
        <v/>
      </c>
      <c r="W361" s="286" t="s">
        <v>1025</v>
      </c>
      <c r="X361" s="286" t="s">
        <v>21</v>
      </c>
      <c r="Y361" s="286" t="s">
        <v>1513</v>
      </c>
      <c r="Z361" s="286" t="s">
        <v>21</v>
      </c>
      <c r="AA361" s="286" t="s">
        <v>21</v>
      </c>
      <c r="AB361" s="378"/>
      <c r="AC361" s="381">
        <v>92917</v>
      </c>
      <c r="AD361" s="378">
        <v>16.77</v>
      </c>
      <c r="AE361" s="378">
        <v>0.1411</v>
      </c>
      <c r="AF361" s="378">
        <v>2.366247</v>
      </c>
      <c r="AG361" s="378"/>
      <c r="AI361" s="378">
        <v>0</v>
      </c>
      <c r="AJ361" s="378">
        <v>0</v>
      </c>
      <c r="AL361" s="286"/>
      <c r="AM361" s="286">
        <v>7781</v>
      </c>
    </row>
    <row r="362" spans="1:39" s="51" customFormat="1" ht="33.75" hidden="1" x14ac:dyDescent="0.25">
      <c r="A362" s="59" t="s">
        <v>1025</v>
      </c>
      <c r="B362" s="59" t="s">
        <v>87</v>
      </c>
      <c r="C362" s="59"/>
      <c r="D362" s="59">
        <v>94971</v>
      </c>
      <c r="E362" s="60" t="s">
        <v>3662</v>
      </c>
      <c r="F362" s="59" t="s">
        <v>44</v>
      </c>
      <c r="G362" s="61">
        <f>(((0.2 * 2 + 1.1) ^ 2) * 0.15) * (1 + 5%)</f>
        <v>0.354375</v>
      </c>
      <c r="H362" s="62">
        <v>397.28</v>
      </c>
      <c r="I362" s="62">
        <f>IF($D362="","",G362*H362)</f>
        <v>140.78609999999998</v>
      </c>
      <c r="J362" s="62"/>
      <c r="K362" s="62">
        <v>13.707224999999999</v>
      </c>
      <c r="L362" s="62">
        <v>125.94841875</v>
      </c>
      <c r="M362" s="62">
        <v>0.76190625000000001</v>
      </c>
      <c r="N362" s="62">
        <v>0</v>
      </c>
      <c r="O362" s="62">
        <v>0.36854999999997062</v>
      </c>
      <c r="P362" s="298" t="s">
        <v>4160</v>
      </c>
      <c r="Q362" s="60" t="s">
        <v>27</v>
      </c>
      <c r="R362" s="60" t="s">
        <v>27</v>
      </c>
      <c r="S362" s="286" t="str">
        <f t="shared" si="25"/>
        <v/>
      </c>
      <c r="T362" s="286" t="str">
        <f>IF($C362= "", T361, IF(ISNA(VLOOKUP($C362,'ABC-S'!$A$5:$A$271,1,FALSE)), "", VLOOKUP($C362,'ABC-S'!$A$5:$A$271,1,FALSE)))</f>
        <v/>
      </c>
      <c r="W362" s="286" t="s">
        <v>1025</v>
      </c>
      <c r="X362" s="286" t="s">
        <v>21</v>
      </c>
      <c r="Y362" s="286" t="s">
        <v>1513</v>
      </c>
      <c r="Z362" s="286" t="s">
        <v>21</v>
      </c>
      <c r="AA362" s="286" t="s">
        <v>21</v>
      </c>
      <c r="AB362" s="378"/>
      <c r="AC362" s="381">
        <v>94971</v>
      </c>
      <c r="AD362" s="378">
        <v>0.354375</v>
      </c>
      <c r="AE362" s="378">
        <v>3.2293000000000003</v>
      </c>
      <c r="AF362" s="378">
        <v>1.1443831875000001</v>
      </c>
      <c r="AG362" s="378"/>
      <c r="AI362" s="378">
        <v>2.5002</v>
      </c>
      <c r="AJ362" s="378">
        <v>0.88600837499999996</v>
      </c>
      <c r="AL362" s="286"/>
      <c r="AM362" s="286">
        <v>7781</v>
      </c>
    </row>
    <row r="363" spans="1:39" s="51" customFormat="1" ht="22.5" hidden="1" x14ac:dyDescent="0.25">
      <c r="A363" s="59" t="s">
        <v>1025</v>
      </c>
      <c r="B363" s="59" t="s">
        <v>87</v>
      </c>
      <c r="C363" s="59"/>
      <c r="D363" s="59">
        <v>92873</v>
      </c>
      <c r="E363" s="60" t="s">
        <v>595</v>
      </c>
      <c r="F363" s="59" t="s">
        <v>44</v>
      </c>
      <c r="G363" s="61">
        <f>G362</f>
        <v>0.354375</v>
      </c>
      <c r="H363" s="62">
        <v>186.89</v>
      </c>
      <c r="I363" s="62">
        <f>IF($D363="","",G363*H363)</f>
        <v>66.229143749999992</v>
      </c>
      <c r="J363" s="62"/>
      <c r="K363" s="62">
        <v>45.965981250000006</v>
      </c>
      <c r="L363" s="62">
        <v>19.724512499999999</v>
      </c>
      <c r="M363" s="62">
        <v>0.34728749999999997</v>
      </c>
      <c r="N363" s="62">
        <v>0</v>
      </c>
      <c r="O363" s="62">
        <v>0.19136249999999677</v>
      </c>
      <c r="P363" s="298" t="s">
        <v>4160</v>
      </c>
      <c r="Q363" s="60" t="s">
        <v>27</v>
      </c>
      <c r="R363" s="60" t="s">
        <v>27</v>
      </c>
      <c r="S363" s="286" t="str">
        <f t="shared" si="25"/>
        <v/>
      </c>
      <c r="T363" s="286" t="str">
        <f>IF($C363= "", T362, IF(ISNA(VLOOKUP($C363,'ABC-S'!$A$5:$A$271,1,FALSE)), "", VLOOKUP($C363,'ABC-S'!$A$5:$A$271,1,FALSE)))</f>
        <v/>
      </c>
      <c r="W363" s="286" t="s">
        <v>1025</v>
      </c>
      <c r="X363" s="286" t="s">
        <v>21</v>
      </c>
      <c r="Y363" s="286" t="s">
        <v>1513</v>
      </c>
      <c r="Z363" s="286" t="s">
        <v>21</v>
      </c>
      <c r="AA363" s="286" t="s">
        <v>21</v>
      </c>
      <c r="AB363" s="378"/>
      <c r="AC363" s="381">
        <v>92873</v>
      </c>
      <c r="AD363" s="378">
        <v>0.354375</v>
      </c>
      <c r="AE363" s="378">
        <v>9.23</v>
      </c>
      <c r="AF363" s="378">
        <v>3.27088125</v>
      </c>
      <c r="AG363" s="378"/>
      <c r="AI363" s="378">
        <v>0</v>
      </c>
      <c r="AJ363" s="378">
        <v>0</v>
      </c>
      <c r="AL363" s="286"/>
      <c r="AM363" s="286">
        <v>7781</v>
      </c>
    </row>
    <row r="364" spans="1:39" s="51" customFormat="1" ht="45" hidden="1" x14ac:dyDescent="0.25">
      <c r="A364" s="55" t="s">
        <v>2143</v>
      </c>
      <c r="B364" s="55" t="s">
        <v>138</v>
      </c>
      <c r="C364" s="55" t="s">
        <v>2143</v>
      </c>
      <c r="D364" s="55"/>
      <c r="E364" s="56" t="s">
        <v>2403</v>
      </c>
      <c r="F364" s="55" t="s">
        <v>41</v>
      </c>
      <c r="G364" s="57"/>
      <c r="H364" s="58"/>
      <c r="I364" s="58"/>
      <c r="J364" s="58">
        <f>SUM(I364:I369)</f>
        <v>254.75861530203116</v>
      </c>
      <c r="K364" s="58">
        <v>69.775503489637032</v>
      </c>
      <c r="L364" s="58">
        <v>184.36585144561769</v>
      </c>
      <c r="M364" s="58">
        <v>0.39766650000000009</v>
      </c>
      <c r="N364" s="58">
        <v>0</v>
      </c>
      <c r="O364" s="58">
        <v>0.21959386677644943</v>
      </c>
      <c r="P364" s="58"/>
      <c r="Q364" s="56"/>
      <c r="R364" s="56" t="s">
        <v>2388</v>
      </c>
      <c r="S364" s="286" t="str">
        <f t="shared" si="25"/>
        <v/>
      </c>
      <c r="T364" s="286" t="str">
        <f>IF($C364= "", T363, IF(ISNA(VLOOKUP($C364,'ABC-S'!$A$5:$A$271,1,FALSE)), "", VLOOKUP($C364,'ABC-S'!$A$5:$A$271,1,FALSE)))</f>
        <v/>
      </c>
      <c r="W364" s="286" t="s">
        <v>2143</v>
      </c>
      <c r="X364" s="286"/>
      <c r="Y364" s="286"/>
      <c r="Z364" s="286"/>
      <c r="AA364" s="286" t="s">
        <v>21</v>
      </c>
      <c r="AB364" s="378">
        <v>0</v>
      </c>
      <c r="AC364" s="378"/>
      <c r="AD364" s="335"/>
      <c r="AE364" s="335"/>
      <c r="AF364" s="335"/>
      <c r="AG364" s="378">
        <v>4.4772303244440987</v>
      </c>
      <c r="AI364" s="378" t="s">
        <v>21</v>
      </c>
      <c r="AJ364" s="378" t="s">
        <v>21</v>
      </c>
      <c r="AL364" s="286"/>
      <c r="AM364" s="286"/>
    </row>
    <row r="365" spans="1:39" s="51" customFormat="1" ht="33.75" hidden="1" x14ac:dyDescent="0.25">
      <c r="A365" s="59" t="s">
        <v>2143</v>
      </c>
      <c r="B365" s="59" t="s">
        <v>87</v>
      </c>
      <c r="C365" s="59"/>
      <c r="D365" s="59">
        <v>96534</v>
      </c>
      <c r="E365" s="60" t="s">
        <v>581</v>
      </c>
      <c r="F365" s="59" t="s">
        <v>51</v>
      </c>
      <c r="G365" s="61">
        <f>(((0.1 * 2 + 0.9) * 4) + (PI() * 0.6)) * 0.1</f>
        <v>0.62849555921538769</v>
      </c>
      <c r="H365" s="62">
        <v>79.489999999999995</v>
      </c>
      <c r="I365" s="62">
        <f>IF($D365="","",G365*H365)</f>
        <v>49.959112002031162</v>
      </c>
      <c r="J365" s="62"/>
      <c r="K365" s="62">
        <v>21.117450789637026</v>
      </c>
      <c r="L365" s="62">
        <v>28.822806345617678</v>
      </c>
      <c r="M365" s="62">
        <v>0</v>
      </c>
      <c r="N365" s="62">
        <v>0</v>
      </c>
      <c r="O365" s="62">
        <v>1.8854866776457868E-2</v>
      </c>
      <c r="P365" s="298" t="s">
        <v>4160</v>
      </c>
      <c r="Q365" s="60" t="s">
        <v>27</v>
      </c>
      <c r="R365" s="60" t="s">
        <v>27</v>
      </c>
      <c r="S365" s="286" t="str">
        <f t="shared" si="25"/>
        <v/>
      </c>
      <c r="T365" s="286" t="str">
        <f>IF($C365= "", T364, IF(ISNA(VLOOKUP($C365,'ABC-S'!$A$5:$A$271,1,FALSE)), "", VLOOKUP($C365,'ABC-S'!$A$5:$A$271,1,FALSE)))</f>
        <v/>
      </c>
      <c r="W365" s="286" t="s">
        <v>2143</v>
      </c>
      <c r="X365" s="286" t="s">
        <v>21</v>
      </c>
      <c r="Y365" s="286" t="s">
        <v>1513</v>
      </c>
      <c r="Z365" s="286" t="s">
        <v>21</v>
      </c>
      <c r="AA365" s="286" t="s">
        <v>21</v>
      </c>
      <c r="AB365" s="378"/>
      <c r="AC365" s="381">
        <v>96534</v>
      </c>
      <c r="AD365" s="378">
        <v>0.62849555921538769</v>
      </c>
      <c r="AE365" s="378">
        <v>2.0339999999999998</v>
      </c>
      <c r="AF365" s="378">
        <v>1.2783599674440984</v>
      </c>
      <c r="AG365" s="378"/>
      <c r="AI365" s="378">
        <v>0</v>
      </c>
      <c r="AJ365" s="378">
        <v>0</v>
      </c>
      <c r="AL365" s="286"/>
      <c r="AM365" s="286">
        <v>7781</v>
      </c>
    </row>
    <row r="366" spans="1:39" s="51" customFormat="1" ht="33.75" hidden="1" x14ac:dyDescent="0.25">
      <c r="A366" s="59" t="s">
        <v>2143</v>
      </c>
      <c r="B366" s="59" t="s">
        <v>87</v>
      </c>
      <c r="C366" s="59"/>
      <c r="D366" s="59">
        <v>92916</v>
      </c>
      <c r="E366" s="60" t="s">
        <v>507</v>
      </c>
      <c r="F366" s="59" t="s">
        <v>54</v>
      </c>
      <c r="G366" s="61">
        <f>11.4 - 3.42804</f>
        <v>7.9719600000000002</v>
      </c>
      <c r="H366" s="62">
        <v>16.38</v>
      </c>
      <c r="I366" s="62">
        <f>IF($D366="","",G366*H366)</f>
        <v>130.58070480000001</v>
      </c>
      <c r="J366" s="62"/>
      <c r="K366" s="62">
        <v>27.264103200000001</v>
      </c>
      <c r="L366" s="62">
        <v>103.31660160000001</v>
      </c>
      <c r="M366" s="62">
        <v>0</v>
      </c>
      <c r="N366" s="62">
        <v>0</v>
      </c>
      <c r="O366" s="62">
        <v>0</v>
      </c>
      <c r="P366" s="298" t="s">
        <v>4160</v>
      </c>
      <c r="Q366" s="60" t="s">
        <v>27</v>
      </c>
      <c r="R366" s="60" t="s">
        <v>2391</v>
      </c>
      <c r="S366" s="286" t="str">
        <f t="shared" si="25"/>
        <v/>
      </c>
      <c r="T366" s="286" t="str">
        <f>IF($C366= "", T365, IF(ISNA(VLOOKUP($C366,'ABC-S'!$A$5:$A$271,1,FALSE)), "", VLOOKUP($C366,'ABC-S'!$A$5:$A$271,1,FALSE)))</f>
        <v/>
      </c>
      <c r="W366" s="286" t="s">
        <v>2143</v>
      </c>
      <c r="X366" s="286" t="s">
        <v>21</v>
      </c>
      <c r="Y366" s="286" t="s">
        <v>1513</v>
      </c>
      <c r="Z366" s="286" t="s">
        <v>21</v>
      </c>
      <c r="AA366" s="286" t="s">
        <v>21</v>
      </c>
      <c r="AB366" s="378"/>
      <c r="AC366" s="381">
        <v>92916</v>
      </c>
      <c r="AD366" s="378">
        <v>7.9719600000000002</v>
      </c>
      <c r="AE366" s="378">
        <v>0.20269999999999999</v>
      </c>
      <c r="AF366" s="378">
        <v>1.6159162919999999</v>
      </c>
      <c r="AG366" s="378"/>
      <c r="AI366" s="378">
        <v>0</v>
      </c>
      <c r="AJ366" s="378">
        <v>0</v>
      </c>
      <c r="AL366" s="286"/>
      <c r="AM366" s="286">
        <v>7781</v>
      </c>
    </row>
    <row r="367" spans="1:39" s="51" customFormat="1" ht="33.75" hidden="1" x14ac:dyDescent="0.25">
      <c r="A367" s="59" t="s">
        <v>2143</v>
      </c>
      <c r="B367" s="59" t="s">
        <v>87</v>
      </c>
      <c r="C367" s="59"/>
      <c r="D367" s="59">
        <v>92917</v>
      </c>
      <c r="E367" s="60" t="s">
        <v>508</v>
      </c>
      <c r="F367" s="59" t="s">
        <v>54</v>
      </c>
      <c r="G367" s="61">
        <v>0</v>
      </c>
      <c r="H367" s="62">
        <v>15.38</v>
      </c>
      <c r="I367" s="62">
        <f>IF($D367="","",G367*H367)</f>
        <v>0</v>
      </c>
      <c r="J367" s="62"/>
      <c r="K367" s="62">
        <v>0</v>
      </c>
      <c r="L367" s="62">
        <v>0</v>
      </c>
      <c r="M367" s="62">
        <v>0</v>
      </c>
      <c r="N367" s="62">
        <v>0</v>
      </c>
      <c r="O367" s="62">
        <v>0</v>
      </c>
      <c r="P367" s="298" t="s">
        <v>4160</v>
      </c>
      <c r="Q367" s="60" t="s">
        <v>27</v>
      </c>
      <c r="R367" s="60" t="s">
        <v>27</v>
      </c>
      <c r="S367" s="286" t="str">
        <f t="shared" si="25"/>
        <v/>
      </c>
      <c r="T367" s="286" t="str">
        <f>IF($C367= "", T366, IF(ISNA(VLOOKUP($C367,'ABC-S'!$A$5:$A$271,1,FALSE)), "", VLOOKUP($C367,'ABC-S'!$A$5:$A$271,1,FALSE)))</f>
        <v/>
      </c>
      <c r="W367" s="286" t="s">
        <v>2143</v>
      </c>
      <c r="X367" s="286" t="s">
        <v>21</v>
      </c>
      <c r="Y367" s="286" t="s">
        <v>1513</v>
      </c>
      <c r="Z367" s="286" t="s">
        <v>21</v>
      </c>
      <c r="AA367" s="286" t="s">
        <v>21</v>
      </c>
      <c r="AB367" s="378"/>
      <c r="AC367" s="381">
        <v>92917</v>
      </c>
      <c r="AD367" s="378">
        <v>0</v>
      </c>
      <c r="AE367" s="378">
        <v>0.1411</v>
      </c>
      <c r="AF367" s="378">
        <v>0</v>
      </c>
      <c r="AG367" s="378"/>
      <c r="AI367" s="378">
        <v>0</v>
      </c>
      <c r="AJ367" s="378">
        <v>0</v>
      </c>
      <c r="AL367" s="286"/>
      <c r="AM367" s="286">
        <v>7781</v>
      </c>
    </row>
    <row r="368" spans="1:39" s="51" customFormat="1" ht="33.75" hidden="1" x14ac:dyDescent="0.25">
      <c r="A368" s="59" t="s">
        <v>2143</v>
      </c>
      <c r="B368" s="59" t="s">
        <v>87</v>
      </c>
      <c r="C368" s="59"/>
      <c r="D368" s="59">
        <v>94971</v>
      </c>
      <c r="E368" s="60" t="s">
        <v>3662</v>
      </c>
      <c r="F368" s="59" t="s">
        <v>44</v>
      </c>
      <c r="G368" s="61">
        <f>(((0.1 * 2 + 0.9) ^ 2) * 0.1) * (1 + 5%)</f>
        <v>0.12705000000000002</v>
      </c>
      <c r="H368" s="62">
        <v>397.28</v>
      </c>
      <c r="I368" s="62">
        <f>IF($D368="","",G368*H368)</f>
        <v>50.474424000000006</v>
      </c>
      <c r="J368" s="62"/>
      <c r="K368" s="62">
        <v>4.9142940000000008</v>
      </c>
      <c r="L368" s="62">
        <v>45.154840500000013</v>
      </c>
      <c r="M368" s="62">
        <v>0.27315750000000005</v>
      </c>
      <c r="N368" s="62">
        <v>0</v>
      </c>
      <c r="O368" s="62">
        <v>0.13213199999999148</v>
      </c>
      <c r="P368" s="298" t="s">
        <v>4160</v>
      </c>
      <c r="Q368" s="60" t="s">
        <v>27</v>
      </c>
      <c r="R368" s="60" t="s">
        <v>27</v>
      </c>
      <c r="S368" s="286" t="str">
        <f t="shared" si="25"/>
        <v/>
      </c>
      <c r="T368" s="286" t="str">
        <f>IF($C368= "", T367, IF(ISNA(VLOOKUP($C368,'ABC-S'!$A$5:$A$271,1,FALSE)), "", VLOOKUP($C368,'ABC-S'!$A$5:$A$271,1,FALSE)))</f>
        <v/>
      </c>
      <c r="W368" s="286" t="s">
        <v>2143</v>
      </c>
      <c r="X368" s="286" t="s">
        <v>21</v>
      </c>
      <c r="Y368" s="286" t="s">
        <v>1513</v>
      </c>
      <c r="Z368" s="286" t="s">
        <v>21</v>
      </c>
      <c r="AA368" s="286" t="s">
        <v>21</v>
      </c>
      <c r="AB368" s="378"/>
      <c r="AC368" s="381">
        <v>94971</v>
      </c>
      <c r="AD368" s="378">
        <v>0.12705000000000002</v>
      </c>
      <c r="AE368" s="378">
        <v>3.2293000000000003</v>
      </c>
      <c r="AF368" s="378">
        <v>0.4102825650000001</v>
      </c>
      <c r="AG368" s="378"/>
      <c r="AI368" s="378">
        <v>2.5002</v>
      </c>
      <c r="AJ368" s="378">
        <v>0.31765041000000005</v>
      </c>
      <c r="AL368" s="286"/>
      <c r="AM368" s="286">
        <v>7781</v>
      </c>
    </row>
    <row r="369" spans="1:39" s="51" customFormat="1" ht="22.5" hidden="1" x14ac:dyDescent="0.25">
      <c r="A369" s="59" t="s">
        <v>2143</v>
      </c>
      <c r="B369" s="59" t="s">
        <v>87</v>
      </c>
      <c r="C369" s="59"/>
      <c r="D369" s="59">
        <v>92873</v>
      </c>
      <c r="E369" s="60" t="s">
        <v>595</v>
      </c>
      <c r="F369" s="59" t="s">
        <v>44</v>
      </c>
      <c r="G369" s="61">
        <f>G368</f>
        <v>0.12705000000000002</v>
      </c>
      <c r="H369" s="62">
        <v>186.89</v>
      </c>
      <c r="I369" s="62">
        <f>IF($D369="","",G369*H369)</f>
        <v>23.744374500000003</v>
      </c>
      <c r="J369" s="62"/>
      <c r="K369" s="62">
        <v>16.479655500000003</v>
      </c>
      <c r="L369" s="62">
        <v>7.0716030000000005</v>
      </c>
      <c r="M369" s="62">
        <v>0.12450900000000002</v>
      </c>
      <c r="N369" s="62">
        <v>0</v>
      </c>
      <c r="O369" s="62">
        <v>6.8607000000000085E-2</v>
      </c>
      <c r="P369" s="298" t="s">
        <v>4160</v>
      </c>
      <c r="Q369" s="60" t="s">
        <v>27</v>
      </c>
      <c r="R369" s="60" t="s">
        <v>27</v>
      </c>
      <c r="S369" s="286" t="str">
        <f t="shared" si="25"/>
        <v/>
      </c>
      <c r="T369" s="286" t="str">
        <f>IF($C369= "", T368, IF(ISNA(VLOOKUP($C369,'ABC-S'!$A$5:$A$271,1,FALSE)), "", VLOOKUP($C369,'ABC-S'!$A$5:$A$271,1,FALSE)))</f>
        <v/>
      </c>
      <c r="W369" s="286" t="s">
        <v>2143</v>
      </c>
      <c r="X369" s="286" t="s">
        <v>21</v>
      </c>
      <c r="Y369" s="286" t="s">
        <v>1513</v>
      </c>
      <c r="Z369" s="286" t="s">
        <v>21</v>
      </c>
      <c r="AA369" s="286" t="s">
        <v>21</v>
      </c>
      <c r="AB369" s="378"/>
      <c r="AC369" s="381">
        <v>92873</v>
      </c>
      <c r="AD369" s="378">
        <v>0.12705000000000002</v>
      </c>
      <c r="AE369" s="378">
        <v>9.23</v>
      </c>
      <c r="AF369" s="378">
        <v>1.1726715000000003</v>
      </c>
      <c r="AG369" s="378"/>
      <c r="AI369" s="378">
        <v>0</v>
      </c>
      <c r="AJ369" s="378">
        <v>0</v>
      </c>
      <c r="AL369" s="286"/>
      <c r="AM369" s="286">
        <v>7781</v>
      </c>
    </row>
    <row r="370" spans="1:39" s="51" customFormat="1" ht="45" hidden="1" x14ac:dyDescent="0.25">
      <c r="A370" s="55" t="s">
        <v>2144</v>
      </c>
      <c r="B370" s="55" t="s">
        <v>138</v>
      </c>
      <c r="C370" s="55" t="s">
        <v>2144</v>
      </c>
      <c r="D370" s="55"/>
      <c r="E370" s="56" t="s">
        <v>2402</v>
      </c>
      <c r="F370" s="55" t="s">
        <v>41</v>
      </c>
      <c r="G370" s="57"/>
      <c r="H370" s="58"/>
      <c r="I370" s="58"/>
      <c r="J370" s="58">
        <f>SUM(I370:I375)</f>
        <v>386.07716970203114</v>
      </c>
      <c r="K370" s="58">
        <v>104.98328508963704</v>
      </c>
      <c r="L370" s="58">
        <v>279.95749224561769</v>
      </c>
      <c r="M370" s="58">
        <v>0.73946250000000002</v>
      </c>
      <c r="N370" s="58">
        <v>0</v>
      </c>
      <c r="O370" s="58">
        <v>0.39692986677643205</v>
      </c>
      <c r="P370" s="58"/>
      <c r="Q370" s="56"/>
      <c r="R370" s="56" t="s">
        <v>2393</v>
      </c>
      <c r="S370" s="286" t="str">
        <f t="shared" si="25"/>
        <v/>
      </c>
      <c r="T370" s="286" t="str">
        <f>IF($C370= "", T369, IF(ISNA(VLOOKUP($C370,'ABC-S'!$A$5:$A$271,1,FALSE)), "", VLOOKUP($C370,'ABC-S'!$A$5:$A$271,1,FALSE)))</f>
        <v/>
      </c>
      <c r="W370" s="286" t="s">
        <v>2144</v>
      </c>
      <c r="X370" s="286"/>
      <c r="Y370" s="286"/>
      <c r="Z370" s="286"/>
      <c r="AA370" s="286" t="s">
        <v>21</v>
      </c>
      <c r="AB370" s="378">
        <v>0</v>
      </c>
      <c r="AC370" s="378"/>
      <c r="AD370" s="335"/>
      <c r="AE370" s="335"/>
      <c r="AF370" s="335"/>
      <c r="AG370" s="378">
        <v>6.8414763004440982</v>
      </c>
      <c r="AI370" s="378" t="s">
        <v>21</v>
      </c>
      <c r="AJ370" s="378" t="s">
        <v>21</v>
      </c>
      <c r="AL370" s="286"/>
      <c r="AM370" s="286"/>
    </row>
    <row r="371" spans="1:39" s="51" customFormat="1" ht="33.75" hidden="1" x14ac:dyDescent="0.25">
      <c r="A371" s="59" t="s">
        <v>2144</v>
      </c>
      <c r="B371" s="59" t="s">
        <v>87</v>
      </c>
      <c r="C371" s="59"/>
      <c r="D371" s="59">
        <v>96534</v>
      </c>
      <c r="E371" s="60" t="s">
        <v>581</v>
      </c>
      <c r="F371" s="59" t="s">
        <v>51</v>
      </c>
      <c r="G371" s="61">
        <f>(((0.2 * 2 + 1.1) * 4) + (PI() * 0.6)) * 0.1</f>
        <v>0.78849555921538761</v>
      </c>
      <c r="H371" s="62">
        <v>79.489999999999995</v>
      </c>
      <c r="I371" s="62">
        <f>IF($D371="","",G371*H371)</f>
        <v>62.677512002031158</v>
      </c>
      <c r="J371" s="62"/>
      <c r="K371" s="62">
        <v>26.493450789637023</v>
      </c>
      <c r="L371" s="62">
        <v>36.160406345617673</v>
      </c>
      <c r="M371" s="62">
        <v>0</v>
      </c>
      <c r="N371" s="62">
        <v>0</v>
      </c>
      <c r="O371" s="62">
        <v>2.3654866776460892E-2</v>
      </c>
      <c r="P371" s="298" t="s">
        <v>4160</v>
      </c>
      <c r="Q371" s="60" t="s">
        <v>27</v>
      </c>
      <c r="R371" s="60" t="s">
        <v>27</v>
      </c>
      <c r="S371" s="286" t="str">
        <f t="shared" si="25"/>
        <v/>
      </c>
      <c r="T371" s="286" t="str">
        <f>IF($C371= "", T370, IF(ISNA(VLOOKUP($C371,'ABC-S'!$A$5:$A$271,1,FALSE)), "", VLOOKUP($C371,'ABC-S'!$A$5:$A$271,1,FALSE)))</f>
        <v/>
      </c>
      <c r="W371" s="286" t="s">
        <v>2144</v>
      </c>
      <c r="X371" s="286" t="s">
        <v>21</v>
      </c>
      <c r="Y371" s="286" t="s">
        <v>1513</v>
      </c>
      <c r="Z371" s="286" t="s">
        <v>21</v>
      </c>
      <c r="AA371" s="286" t="s">
        <v>21</v>
      </c>
      <c r="AB371" s="378"/>
      <c r="AC371" s="381">
        <v>96534</v>
      </c>
      <c r="AD371" s="378">
        <v>0.78849555921538761</v>
      </c>
      <c r="AE371" s="378">
        <v>2.0339999999999998</v>
      </c>
      <c r="AF371" s="378">
        <v>1.6037999674440981</v>
      </c>
      <c r="AG371" s="378"/>
      <c r="AI371" s="378">
        <v>0</v>
      </c>
      <c r="AJ371" s="378">
        <v>0</v>
      </c>
      <c r="AL371" s="286"/>
      <c r="AM371" s="286">
        <v>7781</v>
      </c>
    </row>
    <row r="372" spans="1:39" s="51" customFormat="1" ht="33.75" hidden="1" x14ac:dyDescent="0.25">
      <c r="A372" s="59" t="s">
        <v>2144</v>
      </c>
      <c r="B372" s="59" t="s">
        <v>87</v>
      </c>
      <c r="C372" s="59"/>
      <c r="D372" s="59">
        <v>92916</v>
      </c>
      <c r="E372" s="60" t="s">
        <v>507</v>
      </c>
      <c r="F372" s="59" t="s">
        <v>54</v>
      </c>
      <c r="G372" s="61">
        <f>19.29 - 7.97196</f>
        <v>11.31804</v>
      </c>
      <c r="H372" s="62">
        <v>16.38</v>
      </c>
      <c r="I372" s="62">
        <f>IF($D372="","",G372*H372)</f>
        <v>185.3894952</v>
      </c>
      <c r="J372" s="62"/>
      <c r="K372" s="62">
        <v>38.707696800000001</v>
      </c>
      <c r="L372" s="62">
        <v>146.68179840000002</v>
      </c>
      <c r="M372" s="62">
        <v>0</v>
      </c>
      <c r="N372" s="62">
        <v>0</v>
      </c>
      <c r="O372" s="62">
        <v>-2.8421709430404007E-14</v>
      </c>
      <c r="P372" s="298" t="s">
        <v>4160</v>
      </c>
      <c r="Q372" s="60" t="s">
        <v>27</v>
      </c>
      <c r="R372" s="60" t="s">
        <v>2391</v>
      </c>
      <c r="S372" s="286" t="str">
        <f t="shared" si="25"/>
        <v/>
      </c>
      <c r="T372" s="286" t="str">
        <f>IF($C372= "", T371, IF(ISNA(VLOOKUP($C372,'ABC-S'!$A$5:$A$271,1,FALSE)), "", VLOOKUP($C372,'ABC-S'!$A$5:$A$271,1,FALSE)))</f>
        <v/>
      </c>
      <c r="W372" s="286" t="s">
        <v>2144</v>
      </c>
      <c r="X372" s="286" t="s">
        <v>21</v>
      </c>
      <c r="Y372" s="286" t="s">
        <v>1513</v>
      </c>
      <c r="Z372" s="286" t="s">
        <v>21</v>
      </c>
      <c r="AA372" s="286" t="s">
        <v>21</v>
      </c>
      <c r="AB372" s="378"/>
      <c r="AC372" s="381">
        <v>92916</v>
      </c>
      <c r="AD372" s="378">
        <v>11.31804</v>
      </c>
      <c r="AE372" s="378">
        <v>0.20269999999999999</v>
      </c>
      <c r="AF372" s="378">
        <v>2.2941667079999997</v>
      </c>
      <c r="AG372" s="378"/>
      <c r="AI372" s="378">
        <v>0</v>
      </c>
      <c r="AJ372" s="378">
        <v>0</v>
      </c>
      <c r="AL372" s="286"/>
      <c r="AM372" s="286">
        <v>7781</v>
      </c>
    </row>
    <row r="373" spans="1:39" s="51" customFormat="1" ht="33.75" hidden="1" x14ac:dyDescent="0.25">
      <c r="A373" s="59" t="s">
        <v>2144</v>
      </c>
      <c r="B373" s="59" t="s">
        <v>87</v>
      </c>
      <c r="C373" s="59"/>
      <c r="D373" s="59">
        <v>92917</v>
      </c>
      <c r="E373" s="60" t="s">
        <v>508</v>
      </c>
      <c r="F373" s="59" t="s">
        <v>54</v>
      </c>
      <c r="G373" s="61">
        <v>0</v>
      </c>
      <c r="H373" s="62">
        <v>15.38</v>
      </c>
      <c r="I373" s="62">
        <f>IF($D373="","",G373*H373)</f>
        <v>0</v>
      </c>
      <c r="J373" s="62"/>
      <c r="K373" s="62">
        <v>0</v>
      </c>
      <c r="L373" s="62">
        <v>0</v>
      </c>
      <c r="M373" s="62">
        <v>0</v>
      </c>
      <c r="N373" s="62">
        <v>0</v>
      </c>
      <c r="O373" s="62">
        <v>0</v>
      </c>
      <c r="P373" s="298" t="s">
        <v>4160</v>
      </c>
      <c r="Q373" s="60" t="s">
        <v>27</v>
      </c>
      <c r="R373" s="60" t="s">
        <v>27</v>
      </c>
      <c r="S373" s="286" t="str">
        <f t="shared" si="25"/>
        <v/>
      </c>
      <c r="T373" s="286" t="str">
        <f>IF($C373= "", T372, IF(ISNA(VLOOKUP($C373,'ABC-S'!$A$5:$A$271,1,FALSE)), "", VLOOKUP($C373,'ABC-S'!$A$5:$A$271,1,FALSE)))</f>
        <v/>
      </c>
      <c r="W373" s="286" t="s">
        <v>2144</v>
      </c>
      <c r="X373" s="286" t="s">
        <v>21</v>
      </c>
      <c r="Y373" s="286" t="s">
        <v>1513</v>
      </c>
      <c r="Z373" s="286" t="s">
        <v>21</v>
      </c>
      <c r="AA373" s="286" t="s">
        <v>21</v>
      </c>
      <c r="AB373" s="378"/>
      <c r="AC373" s="381">
        <v>92917</v>
      </c>
      <c r="AD373" s="378">
        <v>0</v>
      </c>
      <c r="AE373" s="378">
        <v>0.1411</v>
      </c>
      <c r="AF373" s="378">
        <v>0</v>
      </c>
      <c r="AG373" s="378"/>
      <c r="AI373" s="378">
        <v>0</v>
      </c>
      <c r="AJ373" s="378">
        <v>0</v>
      </c>
      <c r="AL373" s="286"/>
      <c r="AM373" s="286">
        <v>7781</v>
      </c>
    </row>
    <row r="374" spans="1:39" s="51" customFormat="1" ht="33.75" hidden="1" x14ac:dyDescent="0.25">
      <c r="A374" s="59" t="s">
        <v>2144</v>
      </c>
      <c r="B374" s="59" t="s">
        <v>87</v>
      </c>
      <c r="C374" s="59"/>
      <c r="D374" s="59">
        <v>94971</v>
      </c>
      <c r="E374" s="60" t="s">
        <v>3662</v>
      </c>
      <c r="F374" s="59" t="s">
        <v>44</v>
      </c>
      <c r="G374" s="61">
        <f>(((0.2 * 2 + 1.1) ^ 2) * 0.1) * (1 + 5%)</f>
        <v>0.23625000000000002</v>
      </c>
      <c r="H374" s="62">
        <v>397.28</v>
      </c>
      <c r="I374" s="62">
        <f>IF($D374="","",G374*H374)</f>
        <v>93.857399999999998</v>
      </c>
      <c r="J374" s="62"/>
      <c r="K374" s="62">
        <v>9.1381500000000013</v>
      </c>
      <c r="L374" s="62">
        <v>83.965612500000006</v>
      </c>
      <c r="M374" s="62">
        <v>0.50793750000000004</v>
      </c>
      <c r="N374" s="62">
        <v>0</v>
      </c>
      <c r="O374" s="62">
        <v>0.24569999999999936</v>
      </c>
      <c r="P374" s="298" t="s">
        <v>4160</v>
      </c>
      <c r="Q374" s="60" t="s">
        <v>27</v>
      </c>
      <c r="R374" s="60" t="s">
        <v>27</v>
      </c>
      <c r="S374" s="286" t="str">
        <f t="shared" si="25"/>
        <v/>
      </c>
      <c r="T374" s="286" t="str">
        <f>IF($C374= "", T373, IF(ISNA(VLOOKUP($C374,'ABC-S'!$A$5:$A$271,1,FALSE)), "", VLOOKUP($C374,'ABC-S'!$A$5:$A$271,1,FALSE)))</f>
        <v/>
      </c>
      <c r="W374" s="286" t="s">
        <v>2144</v>
      </c>
      <c r="X374" s="286" t="s">
        <v>21</v>
      </c>
      <c r="Y374" s="286" t="s">
        <v>1513</v>
      </c>
      <c r="Z374" s="286" t="s">
        <v>21</v>
      </c>
      <c r="AA374" s="286" t="s">
        <v>21</v>
      </c>
      <c r="AB374" s="378"/>
      <c r="AC374" s="381">
        <v>94971</v>
      </c>
      <c r="AD374" s="378">
        <v>0.23625000000000002</v>
      </c>
      <c r="AE374" s="378">
        <v>3.2293000000000003</v>
      </c>
      <c r="AF374" s="378">
        <v>0.76292212500000012</v>
      </c>
      <c r="AG374" s="378"/>
      <c r="AI374" s="378">
        <v>2.5002</v>
      </c>
      <c r="AJ374" s="378">
        <v>0.59067225000000001</v>
      </c>
      <c r="AL374" s="286"/>
      <c r="AM374" s="286">
        <v>7781</v>
      </c>
    </row>
    <row r="375" spans="1:39" s="51" customFormat="1" ht="22.5" hidden="1" x14ac:dyDescent="0.25">
      <c r="A375" s="59" t="s">
        <v>2144</v>
      </c>
      <c r="B375" s="59" t="s">
        <v>87</v>
      </c>
      <c r="C375" s="59"/>
      <c r="D375" s="59">
        <v>92873</v>
      </c>
      <c r="E375" s="60" t="s">
        <v>595</v>
      </c>
      <c r="F375" s="59" t="s">
        <v>44</v>
      </c>
      <c r="G375" s="61">
        <f>G374</f>
        <v>0.23625000000000002</v>
      </c>
      <c r="H375" s="62">
        <v>186.89</v>
      </c>
      <c r="I375" s="62">
        <f>IF($D375="","",G375*H375)</f>
        <v>44.152762500000001</v>
      </c>
      <c r="J375" s="62"/>
      <c r="K375" s="62">
        <v>30.643987500000005</v>
      </c>
      <c r="L375" s="62">
        <v>13.149675</v>
      </c>
      <c r="M375" s="62">
        <v>0.23152500000000001</v>
      </c>
      <c r="N375" s="62">
        <v>0</v>
      </c>
      <c r="O375" s="62">
        <v>0.12757500000000022</v>
      </c>
      <c r="P375" s="298" t="s">
        <v>4160</v>
      </c>
      <c r="Q375" s="60" t="s">
        <v>27</v>
      </c>
      <c r="R375" s="60" t="s">
        <v>27</v>
      </c>
      <c r="S375" s="286" t="str">
        <f t="shared" si="25"/>
        <v/>
      </c>
      <c r="T375" s="286" t="str">
        <f>IF($C375= "", T374, IF(ISNA(VLOOKUP($C375,'ABC-S'!$A$5:$A$271,1,FALSE)), "", VLOOKUP($C375,'ABC-S'!$A$5:$A$271,1,FALSE)))</f>
        <v/>
      </c>
      <c r="W375" s="286" t="s">
        <v>2144</v>
      </c>
      <c r="X375" s="286" t="s">
        <v>21</v>
      </c>
      <c r="Y375" s="286" t="s">
        <v>1513</v>
      </c>
      <c r="Z375" s="286" t="s">
        <v>21</v>
      </c>
      <c r="AA375" s="286" t="s">
        <v>21</v>
      </c>
      <c r="AB375" s="378"/>
      <c r="AC375" s="381">
        <v>92873</v>
      </c>
      <c r="AD375" s="378">
        <v>0.23625000000000002</v>
      </c>
      <c r="AE375" s="378">
        <v>9.23</v>
      </c>
      <c r="AF375" s="378">
        <v>2.1805875000000001</v>
      </c>
      <c r="AG375" s="378"/>
      <c r="AI375" s="378">
        <v>0</v>
      </c>
      <c r="AJ375" s="378">
        <v>0</v>
      </c>
      <c r="AL375" s="286"/>
      <c r="AM375" s="286">
        <v>7781</v>
      </c>
    </row>
    <row r="376" spans="1:39" s="51" customFormat="1" ht="45" hidden="1" x14ac:dyDescent="0.25">
      <c r="A376" s="55" t="s">
        <v>2148</v>
      </c>
      <c r="B376" s="55" t="s">
        <v>138</v>
      </c>
      <c r="C376" s="55" t="s">
        <v>2148</v>
      </c>
      <c r="D376" s="55"/>
      <c r="E376" s="56" t="s">
        <v>2401</v>
      </c>
      <c r="F376" s="55" t="s">
        <v>41</v>
      </c>
      <c r="G376" s="57"/>
      <c r="H376" s="58"/>
      <c r="I376" s="58"/>
      <c r="J376" s="58">
        <f>SUM(I376:I381)</f>
        <v>73.12145096824689</v>
      </c>
      <c r="K376" s="58">
        <v>18.474733540894885</v>
      </c>
      <c r="L376" s="58">
        <v>54.550132656239221</v>
      </c>
      <c r="M376" s="58">
        <v>6.1961357017394303E-2</v>
      </c>
      <c r="N376" s="58">
        <v>0</v>
      </c>
      <c r="O376" s="58">
        <v>3.462341409538805E-2</v>
      </c>
      <c r="P376" s="58"/>
      <c r="Q376" s="56"/>
      <c r="R376" s="56" t="s">
        <v>1026</v>
      </c>
      <c r="S376" s="286" t="str">
        <f t="shared" si="25"/>
        <v/>
      </c>
      <c r="T376" s="286" t="str">
        <f>IF($C376= "", T375, IF(ISNA(VLOOKUP($C376,'ABC-S'!$A$5:$A$271,1,FALSE)), "", VLOOKUP($C376,'ABC-S'!$A$5:$A$271,1,FALSE)))</f>
        <v/>
      </c>
      <c r="W376" s="286" t="s">
        <v>2148</v>
      </c>
      <c r="X376" s="286"/>
      <c r="Y376" s="286"/>
      <c r="Z376" s="286"/>
      <c r="AA376" s="286" t="s">
        <v>21</v>
      </c>
      <c r="AB376" s="378">
        <v>0</v>
      </c>
      <c r="AC376" s="378"/>
      <c r="AD376" s="335"/>
      <c r="AE376" s="335"/>
      <c r="AF376" s="335"/>
      <c r="AG376" s="378">
        <v>1.1484687939923335</v>
      </c>
      <c r="AI376" s="378" t="s">
        <v>21</v>
      </c>
      <c r="AJ376" s="378" t="s">
        <v>21</v>
      </c>
      <c r="AL376" s="286"/>
      <c r="AM376" s="286"/>
    </row>
    <row r="377" spans="1:39" s="51" customFormat="1" ht="33.75" hidden="1" x14ac:dyDescent="0.25">
      <c r="A377" s="59" t="s">
        <v>2148</v>
      </c>
      <c r="B377" s="59" t="s">
        <v>87</v>
      </c>
      <c r="C377" s="59"/>
      <c r="D377" s="59">
        <v>96534</v>
      </c>
      <c r="E377" s="60" t="s">
        <v>581</v>
      </c>
      <c r="F377" s="59" t="s">
        <v>51</v>
      </c>
      <c r="G377" s="61">
        <f>PI() * 0.71 * 0.05</f>
        <v>0.11152653920243766</v>
      </c>
      <c r="H377" s="62">
        <v>79.489999999999995</v>
      </c>
      <c r="I377" s="62">
        <f>IF($D377="","",G377*H377)</f>
        <v>8.865244601201768</v>
      </c>
      <c r="J377" s="62"/>
      <c r="K377" s="62">
        <v>3.7472917172019056</v>
      </c>
      <c r="L377" s="62">
        <v>5.1146070878237913</v>
      </c>
      <c r="M377" s="62">
        <v>0</v>
      </c>
      <c r="N377" s="62">
        <v>0</v>
      </c>
      <c r="O377" s="62">
        <v>3.3457961760721133E-3</v>
      </c>
      <c r="P377" s="298" t="s">
        <v>4160</v>
      </c>
      <c r="Q377" s="60" t="s">
        <v>27</v>
      </c>
      <c r="R377" s="60" t="s">
        <v>27</v>
      </c>
      <c r="S377" s="286" t="str">
        <f t="shared" si="25"/>
        <v/>
      </c>
      <c r="T377" s="286" t="str">
        <f>IF($C377= "", T376, IF(ISNA(VLOOKUP($C377,'ABC-S'!$A$5:$A$271,1,FALSE)), "", VLOOKUP($C377,'ABC-S'!$A$5:$A$271,1,FALSE)))</f>
        <v/>
      </c>
      <c r="W377" s="286" t="s">
        <v>2148</v>
      </c>
      <c r="X377" s="286" t="s">
        <v>21</v>
      </c>
      <c r="Y377" s="286" t="s">
        <v>1513</v>
      </c>
      <c r="Z377" s="286" t="s">
        <v>21</v>
      </c>
      <c r="AA377" s="286" t="s">
        <v>21</v>
      </c>
      <c r="AB377" s="378"/>
      <c r="AC377" s="381">
        <v>96534</v>
      </c>
      <c r="AD377" s="378">
        <v>0.11152653920243766</v>
      </c>
      <c r="AE377" s="378">
        <v>2.0339999999999998</v>
      </c>
      <c r="AF377" s="378">
        <v>0.22684498073775816</v>
      </c>
      <c r="AG377" s="378"/>
      <c r="AI377" s="378">
        <v>0</v>
      </c>
      <c r="AJ377" s="378">
        <v>0</v>
      </c>
      <c r="AL377" s="286"/>
      <c r="AM377" s="286">
        <v>7781</v>
      </c>
    </row>
    <row r="378" spans="1:39" s="51" customFormat="1" ht="33.75" hidden="1" x14ac:dyDescent="0.25">
      <c r="A378" s="59" t="s">
        <v>2148</v>
      </c>
      <c r="B378" s="59" t="s">
        <v>87</v>
      </c>
      <c r="C378" s="59"/>
      <c r="D378" s="59">
        <v>92915</v>
      </c>
      <c r="E378" s="60" t="s">
        <v>509</v>
      </c>
      <c r="F378" s="59" t="s">
        <v>54</v>
      </c>
      <c r="G378" s="61">
        <v>0.3</v>
      </c>
      <c r="H378" s="62">
        <v>17.3</v>
      </c>
      <c r="I378" s="62">
        <f>IF($D378="","",G378*H378)</f>
        <v>5.19</v>
      </c>
      <c r="J378" s="62"/>
      <c r="K378" s="62">
        <v>1.476</v>
      </c>
      <c r="L378" s="62">
        <v>3.714</v>
      </c>
      <c r="M378" s="62">
        <v>0</v>
      </c>
      <c r="N378" s="62">
        <v>0</v>
      </c>
      <c r="O378" s="62">
        <v>8.8817841970012523E-16</v>
      </c>
      <c r="P378" s="298" t="s">
        <v>4160</v>
      </c>
      <c r="Q378" s="60" t="s">
        <v>27</v>
      </c>
      <c r="R378" s="60" t="s">
        <v>27</v>
      </c>
      <c r="S378" s="286" t="str">
        <f t="shared" si="25"/>
        <v/>
      </c>
      <c r="T378" s="286" t="str">
        <f>IF($C378= "", T377, IF(ISNA(VLOOKUP($C378,'ABC-S'!$A$5:$A$271,1,FALSE)), "", VLOOKUP($C378,'ABC-S'!$A$5:$A$271,1,FALSE)))</f>
        <v/>
      </c>
      <c r="W378" s="286" t="s">
        <v>2148</v>
      </c>
      <c r="X378" s="286" t="s">
        <v>21</v>
      </c>
      <c r="Y378" s="286" t="s">
        <v>1513</v>
      </c>
      <c r="Z378" s="286" t="s">
        <v>21</v>
      </c>
      <c r="AA378" s="286" t="s">
        <v>21</v>
      </c>
      <c r="AB378" s="378"/>
      <c r="AC378" s="381">
        <v>92915</v>
      </c>
      <c r="AD378" s="378">
        <v>0.3</v>
      </c>
      <c r="AE378" s="378">
        <v>0.29049999999999998</v>
      </c>
      <c r="AF378" s="378">
        <v>8.7149999999999991E-2</v>
      </c>
      <c r="AG378" s="378"/>
      <c r="AI378" s="378">
        <v>0</v>
      </c>
      <c r="AJ378" s="378">
        <v>0</v>
      </c>
      <c r="AL378" s="286"/>
      <c r="AM378" s="286">
        <v>7781</v>
      </c>
    </row>
    <row r="379" spans="1:39" s="51" customFormat="1" ht="33.75" hidden="1" x14ac:dyDescent="0.25">
      <c r="A379" s="59" t="s">
        <v>2148</v>
      </c>
      <c r="B379" s="59" t="s">
        <v>87</v>
      </c>
      <c r="C379" s="59"/>
      <c r="D379" s="59">
        <v>92916</v>
      </c>
      <c r="E379" s="60" t="s">
        <v>507</v>
      </c>
      <c r="F379" s="59" t="s">
        <v>54</v>
      </c>
      <c r="G379" s="61">
        <v>2.9</v>
      </c>
      <c r="H379" s="62">
        <v>16.38</v>
      </c>
      <c r="I379" s="62">
        <f>IF($D379="","",G379*H379)</f>
        <v>47.501999999999995</v>
      </c>
      <c r="J379" s="62"/>
      <c r="K379" s="62">
        <v>9.9179999999999993</v>
      </c>
      <c r="L379" s="62">
        <v>37.584000000000003</v>
      </c>
      <c r="M379" s="62">
        <v>0</v>
      </c>
      <c r="N379" s="62">
        <v>0</v>
      </c>
      <c r="O379" s="62">
        <v>-7.1054273576010019E-15</v>
      </c>
      <c r="P379" s="298" t="s">
        <v>4160</v>
      </c>
      <c r="Q379" s="60" t="s">
        <v>27</v>
      </c>
      <c r="R379" s="60" t="s">
        <v>27</v>
      </c>
      <c r="S379" s="286" t="str">
        <f t="shared" si="25"/>
        <v/>
      </c>
      <c r="T379" s="286" t="str">
        <f>IF($C379= "", T378, IF(ISNA(VLOOKUP($C379,'ABC-S'!$A$5:$A$271,1,FALSE)), "", VLOOKUP($C379,'ABC-S'!$A$5:$A$271,1,FALSE)))</f>
        <v/>
      </c>
      <c r="W379" s="286" t="s">
        <v>2148</v>
      </c>
      <c r="X379" s="286" t="s">
        <v>21</v>
      </c>
      <c r="Y379" s="286" t="s">
        <v>1513</v>
      </c>
      <c r="Z379" s="286" t="s">
        <v>21</v>
      </c>
      <c r="AA379" s="286" t="s">
        <v>21</v>
      </c>
      <c r="AB379" s="378"/>
      <c r="AC379" s="381">
        <v>92916</v>
      </c>
      <c r="AD379" s="378">
        <v>2.9</v>
      </c>
      <c r="AE379" s="378">
        <v>0.20269999999999999</v>
      </c>
      <c r="AF379" s="378">
        <v>0.58782999999999996</v>
      </c>
      <c r="AG379" s="378"/>
      <c r="AI379" s="378">
        <v>0</v>
      </c>
      <c r="AJ379" s="378">
        <v>0</v>
      </c>
      <c r="AL379" s="286"/>
      <c r="AM379" s="286">
        <v>7781</v>
      </c>
    </row>
    <row r="380" spans="1:39" s="51" customFormat="1" ht="33.75" hidden="1" x14ac:dyDescent="0.25">
      <c r="A380" s="59" t="s">
        <v>2148</v>
      </c>
      <c r="B380" s="59" t="s">
        <v>87</v>
      </c>
      <c r="C380" s="59"/>
      <c r="D380" s="59">
        <v>94971</v>
      </c>
      <c r="E380" s="60" t="s">
        <v>3662</v>
      </c>
      <c r="F380" s="59" t="s">
        <v>44</v>
      </c>
      <c r="G380" s="61">
        <f>(PI() * (0.71 ^ 2) / 4) * 0.05</f>
        <v>1.9795960708432685E-2</v>
      </c>
      <c r="H380" s="62">
        <v>397.28</v>
      </c>
      <c r="I380" s="62">
        <f>IF($D380="","",G380*H380)</f>
        <v>7.8645392702461363</v>
      </c>
      <c r="J380" s="62"/>
      <c r="K380" s="62">
        <v>0.76570776020217624</v>
      </c>
      <c r="L380" s="62">
        <v>7.035682395384061</v>
      </c>
      <c r="M380" s="62">
        <v>4.2561315523130271E-2</v>
      </c>
      <c r="N380" s="62">
        <v>0</v>
      </c>
      <c r="O380" s="62">
        <v>2.0587799136769114E-2</v>
      </c>
      <c r="P380" s="298" t="s">
        <v>4160</v>
      </c>
      <c r="Q380" s="60" t="s">
        <v>27</v>
      </c>
      <c r="R380" s="60" t="s">
        <v>27</v>
      </c>
      <c r="S380" s="286" t="str">
        <f t="shared" si="25"/>
        <v/>
      </c>
      <c r="T380" s="286" t="str">
        <f>IF($C380= "", T379, IF(ISNA(VLOOKUP($C380,'ABC-S'!$A$5:$A$271,1,FALSE)), "", VLOOKUP($C380,'ABC-S'!$A$5:$A$271,1,FALSE)))</f>
        <v/>
      </c>
      <c r="W380" s="286" t="s">
        <v>2148</v>
      </c>
      <c r="X380" s="286" t="s">
        <v>21</v>
      </c>
      <c r="Y380" s="286" t="s">
        <v>1513</v>
      </c>
      <c r="Z380" s="286" t="s">
        <v>21</v>
      </c>
      <c r="AA380" s="286" t="s">
        <v>21</v>
      </c>
      <c r="AB380" s="378"/>
      <c r="AC380" s="381">
        <v>94971</v>
      </c>
      <c r="AD380" s="378">
        <v>1.9795960708432685E-2</v>
      </c>
      <c r="AE380" s="378">
        <v>3.2293000000000003</v>
      </c>
      <c r="AF380" s="378">
        <v>6.392709591574168E-2</v>
      </c>
      <c r="AG380" s="378"/>
      <c r="AI380" s="378">
        <v>2.5002</v>
      </c>
      <c r="AJ380" s="378">
        <v>4.9493860963223398E-2</v>
      </c>
      <c r="AL380" s="286"/>
      <c r="AM380" s="286">
        <v>7781</v>
      </c>
    </row>
    <row r="381" spans="1:39" s="51" customFormat="1" ht="22.5" hidden="1" x14ac:dyDescent="0.25">
      <c r="A381" s="59" t="s">
        <v>2148</v>
      </c>
      <c r="B381" s="59" t="s">
        <v>87</v>
      </c>
      <c r="C381" s="59"/>
      <c r="D381" s="59">
        <v>92873</v>
      </c>
      <c r="E381" s="60" t="s">
        <v>595</v>
      </c>
      <c r="F381" s="59" t="s">
        <v>44</v>
      </c>
      <c r="G381" s="61">
        <f>G380</f>
        <v>1.9795960708432685E-2</v>
      </c>
      <c r="H381" s="62">
        <v>186.89</v>
      </c>
      <c r="I381" s="62">
        <f>IF($D381="","",G381*H381)</f>
        <v>3.6996670967989842</v>
      </c>
      <c r="J381" s="62"/>
      <c r="K381" s="62">
        <v>2.5677340634908039</v>
      </c>
      <c r="L381" s="62">
        <v>1.1018431730313631</v>
      </c>
      <c r="M381" s="62">
        <v>1.9400041494264032E-2</v>
      </c>
      <c r="N381" s="62">
        <v>0</v>
      </c>
      <c r="O381" s="62">
        <v>1.068981878255304E-2</v>
      </c>
      <c r="P381" s="298" t="s">
        <v>4160</v>
      </c>
      <c r="Q381" s="60" t="s">
        <v>27</v>
      </c>
      <c r="R381" s="60" t="s">
        <v>27</v>
      </c>
      <c r="S381" s="286" t="str">
        <f t="shared" si="25"/>
        <v/>
      </c>
      <c r="T381" s="286" t="str">
        <f>IF($C381= "", T380, IF(ISNA(VLOOKUP($C381,'ABC-S'!$A$5:$A$271,1,FALSE)), "", VLOOKUP($C381,'ABC-S'!$A$5:$A$271,1,FALSE)))</f>
        <v/>
      </c>
      <c r="W381" s="286" t="s">
        <v>2148</v>
      </c>
      <c r="X381" s="286" t="s">
        <v>21</v>
      </c>
      <c r="Y381" s="286" t="s">
        <v>1513</v>
      </c>
      <c r="Z381" s="286" t="s">
        <v>21</v>
      </c>
      <c r="AA381" s="286" t="s">
        <v>21</v>
      </c>
      <c r="AB381" s="378"/>
      <c r="AC381" s="381">
        <v>92873</v>
      </c>
      <c r="AD381" s="378">
        <v>1.9795960708432685E-2</v>
      </c>
      <c r="AE381" s="378">
        <v>9.23</v>
      </c>
      <c r="AF381" s="378">
        <v>0.18271671733883368</v>
      </c>
      <c r="AG381" s="378"/>
      <c r="AI381" s="378">
        <v>0</v>
      </c>
      <c r="AJ381" s="378">
        <v>0</v>
      </c>
      <c r="AL381" s="286"/>
      <c r="AM381" s="286">
        <v>7781</v>
      </c>
    </row>
    <row r="382" spans="1:39" s="51" customFormat="1" ht="22.5" x14ac:dyDescent="0.25">
      <c r="A382" s="55" t="s">
        <v>949</v>
      </c>
      <c r="B382" s="55" t="s">
        <v>138</v>
      </c>
      <c r="C382" s="55" t="s">
        <v>949</v>
      </c>
      <c r="D382" s="55"/>
      <c r="E382" s="56" t="s">
        <v>3346</v>
      </c>
      <c r="F382" s="55" t="s">
        <v>51</v>
      </c>
      <c r="G382" s="57"/>
      <c r="H382" s="58"/>
      <c r="I382" s="58"/>
      <c r="J382" s="58">
        <f>SUM(I382:I390)</f>
        <v>0.95611000000000002</v>
      </c>
      <c r="K382" s="58">
        <v>0.23664000000000002</v>
      </c>
      <c r="L382" s="58">
        <v>0.44495999999999997</v>
      </c>
      <c r="M382" s="58">
        <v>0.27451000000000003</v>
      </c>
      <c r="N382" s="58">
        <v>0</v>
      </c>
      <c r="O382" s="58">
        <v>2.7755575615628914E-17</v>
      </c>
      <c r="P382" s="58"/>
      <c r="Q382" s="56"/>
      <c r="R382" s="56" t="s">
        <v>979</v>
      </c>
      <c r="S382" s="286" t="str">
        <f t="shared" si="25"/>
        <v>SIM</v>
      </c>
      <c r="T382" s="286" t="str">
        <f>IF($C382= "", T381, IF(ISNA(VLOOKUP($C382,'ABC-S'!$A$5:$A$271,1,FALSE)), "", VLOOKUP($C382,'ABC-S'!$A$5:$A$271,1,FALSE)))</f>
        <v>CP0401</v>
      </c>
      <c r="W382" s="286" t="s">
        <v>949</v>
      </c>
      <c r="X382" s="286"/>
      <c r="Y382" s="286"/>
      <c r="Z382" s="286"/>
      <c r="AA382" s="286" t="s">
        <v>21</v>
      </c>
      <c r="AB382" s="378">
        <v>6.0000000000000001E-3</v>
      </c>
      <c r="AC382" s="378"/>
      <c r="AD382" s="335"/>
      <c r="AE382" s="335"/>
      <c r="AF382" s="335"/>
      <c r="AG382" s="378">
        <v>1.8000000000000002E-2</v>
      </c>
      <c r="AI382" s="378" t="s">
        <v>21</v>
      </c>
      <c r="AJ382" s="378" t="s">
        <v>21</v>
      </c>
      <c r="AL382" s="286"/>
      <c r="AM382" s="286"/>
    </row>
    <row r="383" spans="1:39" s="51" customFormat="1" ht="33.75" x14ac:dyDescent="0.25">
      <c r="A383" s="59" t="s">
        <v>949</v>
      </c>
      <c r="B383" s="59" t="s">
        <v>87</v>
      </c>
      <c r="C383" s="59"/>
      <c r="D383" s="59">
        <v>5839</v>
      </c>
      <c r="E383" s="60" t="s">
        <v>670</v>
      </c>
      <c r="F383" s="59" t="s">
        <v>76</v>
      </c>
      <c r="G383" s="61">
        <v>2E-3</v>
      </c>
      <c r="H383" s="62">
        <v>8.6199999999999992</v>
      </c>
      <c r="I383" s="62">
        <f>IF($D383="","",G383*H383)</f>
        <v>1.7239999999999998E-2</v>
      </c>
      <c r="J383" s="62"/>
      <c r="K383" s="62">
        <v>0</v>
      </c>
      <c r="L383" s="62">
        <v>0</v>
      </c>
      <c r="M383" s="62">
        <v>1.7239999999999998E-2</v>
      </c>
      <c r="N383" s="62">
        <v>0</v>
      </c>
      <c r="O383" s="62">
        <v>0</v>
      </c>
      <c r="P383" s="298" t="s">
        <v>4160</v>
      </c>
      <c r="Q383" s="60" t="s">
        <v>27</v>
      </c>
      <c r="R383" s="60" t="s">
        <v>27</v>
      </c>
      <c r="S383" s="286" t="str">
        <f t="shared" si="25"/>
        <v>SIM</v>
      </c>
      <c r="T383" s="286" t="str">
        <f>IF($C383= "", T382, IF(ISNA(VLOOKUP($C383,'ABC-S'!$A$5:$A$271,1,FALSE)), "", VLOOKUP($C383,'ABC-S'!$A$5:$A$271,1,FALSE)))</f>
        <v>CP0401</v>
      </c>
      <c r="W383" s="286" t="s">
        <v>949</v>
      </c>
      <c r="X383" s="286" t="s">
        <v>21</v>
      </c>
      <c r="Y383" s="286" t="s">
        <v>423</v>
      </c>
      <c r="Z383" s="335" t="s">
        <v>21</v>
      </c>
      <c r="AA383" s="286" t="s">
        <v>21</v>
      </c>
      <c r="AB383" s="378"/>
      <c r="AC383" s="381">
        <v>5839</v>
      </c>
      <c r="AD383" s="378">
        <v>2E-3</v>
      </c>
      <c r="AE383" s="378">
        <v>0</v>
      </c>
      <c r="AF383" s="378">
        <v>0</v>
      </c>
      <c r="AG383" s="378"/>
      <c r="AI383" s="378">
        <v>0</v>
      </c>
      <c r="AJ383" s="378">
        <v>0</v>
      </c>
      <c r="AL383" s="286">
        <v>5839</v>
      </c>
      <c r="AM383" s="286"/>
    </row>
    <row r="384" spans="1:39" s="51" customFormat="1" ht="33.75" x14ac:dyDescent="0.25">
      <c r="A384" s="59" t="s">
        <v>949</v>
      </c>
      <c r="B384" s="59" t="s">
        <v>87</v>
      </c>
      <c r="C384" s="59"/>
      <c r="D384" s="59">
        <v>5841</v>
      </c>
      <c r="E384" s="60" t="s">
        <v>669</v>
      </c>
      <c r="F384" s="59" t="s">
        <v>75</v>
      </c>
      <c r="G384" s="61">
        <v>4.0000000000000001E-3</v>
      </c>
      <c r="H384" s="62">
        <v>4.0999999999999996</v>
      </c>
      <c r="I384" s="62">
        <f t="shared" ref="I384:I390" si="28">IF($D384="","",G384*H384)</f>
        <v>1.6399999999999998E-2</v>
      </c>
      <c r="J384" s="62"/>
      <c r="K384" s="62">
        <v>0</v>
      </c>
      <c r="L384" s="62">
        <v>0</v>
      </c>
      <c r="M384" s="62">
        <v>1.6399999999999998E-2</v>
      </c>
      <c r="N384" s="62">
        <v>0</v>
      </c>
      <c r="O384" s="62">
        <v>0</v>
      </c>
      <c r="P384" s="298" t="s">
        <v>4160</v>
      </c>
      <c r="Q384" s="60" t="s">
        <v>27</v>
      </c>
      <c r="R384" s="60" t="s">
        <v>27</v>
      </c>
      <c r="S384" s="286" t="str">
        <f t="shared" si="25"/>
        <v>SIM</v>
      </c>
      <c r="T384" s="286" t="str">
        <f>IF($C384= "", T383, IF(ISNA(VLOOKUP($C384,'ABC-S'!$A$5:$A$271,1,FALSE)), "", VLOOKUP($C384,'ABC-S'!$A$5:$A$271,1,FALSE)))</f>
        <v>CP0401</v>
      </c>
      <c r="W384" s="286" t="s">
        <v>949</v>
      </c>
      <c r="X384" s="286" t="s">
        <v>21</v>
      </c>
      <c r="Y384" s="286" t="s">
        <v>423</v>
      </c>
      <c r="Z384" s="335" t="s">
        <v>21</v>
      </c>
      <c r="AA384" s="286" t="s">
        <v>21</v>
      </c>
      <c r="AB384" s="378"/>
      <c r="AC384" s="381">
        <v>5841</v>
      </c>
      <c r="AD384" s="378">
        <v>4.0000000000000001E-3</v>
      </c>
      <c r="AE384" s="378">
        <v>0</v>
      </c>
      <c r="AF384" s="378">
        <v>0</v>
      </c>
      <c r="AG384" s="378"/>
      <c r="AI384" s="378">
        <v>0</v>
      </c>
      <c r="AJ384" s="378">
        <v>0</v>
      </c>
      <c r="AL384" s="286">
        <v>5841</v>
      </c>
      <c r="AM384" s="286"/>
    </row>
    <row r="385" spans="1:39" s="51" customFormat="1" ht="22.5" x14ac:dyDescent="0.25">
      <c r="A385" s="59" t="s">
        <v>949</v>
      </c>
      <c r="B385" s="59" t="s">
        <v>86</v>
      </c>
      <c r="C385" s="59"/>
      <c r="D385" s="59">
        <v>41901</v>
      </c>
      <c r="E385" s="60" t="s">
        <v>686</v>
      </c>
      <c r="F385" s="59" t="s">
        <v>54</v>
      </c>
      <c r="G385" s="61">
        <v>0</v>
      </c>
      <c r="H385" s="62">
        <v>4.87</v>
      </c>
      <c r="I385" s="62">
        <f t="shared" si="28"/>
        <v>0</v>
      </c>
      <c r="J385" s="62"/>
      <c r="K385" s="62">
        <v>0</v>
      </c>
      <c r="L385" s="62">
        <v>0</v>
      </c>
      <c r="M385" s="62">
        <v>0</v>
      </c>
      <c r="N385" s="62">
        <v>0</v>
      </c>
      <c r="O385" s="62">
        <v>0</v>
      </c>
      <c r="P385" s="298" t="s">
        <v>89</v>
      </c>
      <c r="Q385" s="60" t="s">
        <v>27</v>
      </c>
      <c r="R385" s="60" t="s">
        <v>980</v>
      </c>
      <c r="S385" s="286" t="str">
        <f t="shared" si="25"/>
        <v>SIM</v>
      </c>
      <c r="T385" s="286" t="str">
        <f>IF($C385= "", T384, IF(ISNA(VLOOKUP($C385,'ABC-S'!$A$5:$A$271,1,FALSE)), "", VLOOKUP($C385,'ABC-S'!$A$5:$A$271,1,FALSE)))</f>
        <v>CP0401</v>
      </c>
      <c r="W385" s="286" t="s">
        <v>949</v>
      </c>
      <c r="X385" s="286" t="s">
        <v>21</v>
      </c>
      <c r="Y385" s="286" t="s">
        <v>21</v>
      </c>
      <c r="Z385" s="286" t="s">
        <v>21</v>
      </c>
      <c r="AA385" s="286" t="s">
        <v>21</v>
      </c>
      <c r="AB385" s="378"/>
      <c r="AC385" s="381" t="s">
        <v>21</v>
      </c>
      <c r="AD385" s="378" t="s">
        <v>21</v>
      </c>
      <c r="AE385" s="378" t="s">
        <v>21</v>
      </c>
      <c r="AF385" s="378" t="s">
        <v>21</v>
      </c>
      <c r="AG385" s="378"/>
      <c r="AI385" s="378" t="s">
        <v>21</v>
      </c>
      <c r="AJ385" s="378" t="s">
        <v>21</v>
      </c>
      <c r="AL385" s="286"/>
      <c r="AM385" s="286">
        <v>41901</v>
      </c>
    </row>
    <row r="386" spans="1:39" s="51" customFormat="1" ht="56.25" x14ac:dyDescent="0.25">
      <c r="A386" s="59" t="s">
        <v>949</v>
      </c>
      <c r="B386" s="59" t="s">
        <v>87</v>
      </c>
      <c r="C386" s="59"/>
      <c r="D386" s="59">
        <v>83362</v>
      </c>
      <c r="E386" s="60" t="s">
        <v>565</v>
      </c>
      <c r="F386" s="59" t="s">
        <v>76</v>
      </c>
      <c r="G386" s="61">
        <v>1E-3</v>
      </c>
      <c r="H386" s="62">
        <v>219.65</v>
      </c>
      <c r="I386" s="62">
        <f t="shared" si="28"/>
        <v>0.21965000000000001</v>
      </c>
      <c r="J386" s="62"/>
      <c r="K386" s="62">
        <v>1.4449999999999999E-2</v>
      </c>
      <c r="L386" s="62">
        <v>0.16879</v>
      </c>
      <c r="M386" s="62">
        <v>3.6409999999999998E-2</v>
      </c>
      <c r="N386" s="62">
        <v>0</v>
      </c>
      <c r="O386" s="62">
        <v>2.7755575615628914E-17</v>
      </c>
      <c r="P386" s="298" t="s">
        <v>4160</v>
      </c>
      <c r="Q386" s="60" t="s">
        <v>27</v>
      </c>
      <c r="R386" s="60" t="s">
        <v>27</v>
      </c>
      <c r="S386" s="286" t="str">
        <f t="shared" si="25"/>
        <v>SIM</v>
      </c>
      <c r="T386" s="286" t="str">
        <f>IF($C386= "", T385, IF(ISNA(VLOOKUP($C386,'ABC-S'!$A$5:$A$271,1,FALSE)), "", VLOOKUP($C386,'ABC-S'!$A$5:$A$271,1,FALSE)))</f>
        <v>CP0401</v>
      </c>
      <c r="W386" s="286" t="s">
        <v>949</v>
      </c>
      <c r="X386" s="286" t="s">
        <v>21</v>
      </c>
      <c r="Y386" s="286" t="s">
        <v>423</v>
      </c>
      <c r="Z386" s="335" t="s">
        <v>21</v>
      </c>
      <c r="AA386" s="286" t="s">
        <v>21</v>
      </c>
      <c r="AB386" s="378"/>
      <c r="AC386" s="381">
        <v>83362</v>
      </c>
      <c r="AD386" s="378">
        <v>1E-3</v>
      </c>
      <c r="AE386" s="378">
        <v>1</v>
      </c>
      <c r="AF386" s="378">
        <v>1E-3</v>
      </c>
      <c r="AG386" s="378"/>
      <c r="AI386" s="378">
        <v>0</v>
      </c>
      <c r="AJ386" s="378">
        <v>0</v>
      </c>
      <c r="AL386" s="286">
        <v>83362</v>
      </c>
      <c r="AM386" s="286"/>
    </row>
    <row r="387" spans="1:39" s="51" customFormat="1" x14ac:dyDescent="0.25">
      <c r="A387" s="59" t="s">
        <v>949</v>
      </c>
      <c r="B387" s="59" t="s">
        <v>87</v>
      </c>
      <c r="C387" s="248"/>
      <c r="D387" s="59">
        <v>88316</v>
      </c>
      <c r="E387" s="60" t="s">
        <v>649</v>
      </c>
      <c r="F387" s="59" t="s">
        <v>46</v>
      </c>
      <c r="G387" s="61">
        <v>6.0000000000000001E-3</v>
      </c>
      <c r="H387" s="62">
        <v>17.61</v>
      </c>
      <c r="I387" s="62">
        <f t="shared" si="28"/>
        <v>0.10566</v>
      </c>
      <c r="J387" s="62"/>
      <c r="K387" s="62">
        <v>6.9599999999999995E-2</v>
      </c>
      <c r="L387" s="62">
        <v>3.6060000000000002E-2</v>
      </c>
      <c r="M387" s="62">
        <v>0</v>
      </c>
      <c r="N387" s="62">
        <v>0</v>
      </c>
      <c r="O387" s="62">
        <v>0</v>
      </c>
      <c r="P387" s="298" t="s">
        <v>4160</v>
      </c>
      <c r="Q387" s="60" t="s">
        <v>27</v>
      </c>
      <c r="R387" s="60" t="s">
        <v>27</v>
      </c>
      <c r="S387" s="286" t="str">
        <f t="shared" si="25"/>
        <v>SIM</v>
      </c>
      <c r="T387" s="286" t="str">
        <f>IF($C387= "", T386, IF(ISNA(VLOOKUP($C387,'ABC-S'!$A$5:$A$271,1,FALSE)), "", VLOOKUP($C387,'ABC-S'!$A$5:$A$271,1,FALSE)))</f>
        <v>CP0401</v>
      </c>
      <c r="W387" s="286" t="s">
        <v>949</v>
      </c>
      <c r="X387" s="286">
        <v>88316</v>
      </c>
      <c r="Y387" s="286" t="s">
        <v>424</v>
      </c>
      <c r="Z387" s="335">
        <v>27132.182000000004</v>
      </c>
      <c r="AA387" s="286">
        <v>6.0000000000000001E-3</v>
      </c>
      <c r="AB387" s="378"/>
      <c r="AC387" s="381" t="s">
        <v>21</v>
      </c>
      <c r="AD387" s="378" t="s">
        <v>21</v>
      </c>
      <c r="AE387" s="378" t="s">
        <v>21</v>
      </c>
      <c r="AF387" s="378" t="s">
        <v>21</v>
      </c>
      <c r="AG387" s="378"/>
      <c r="AI387" s="378">
        <v>0</v>
      </c>
      <c r="AJ387" s="378">
        <v>0</v>
      </c>
      <c r="AL387" s="286">
        <v>88316</v>
      </c>
      <c r="AM387" s="286"/>
    </row>
    <row r="388" spans="1:39" s="51" customFormat="1" ht="33.75" x14ac:dyDescent="0.25">
      <c r="A388" s="59" t="s">
        <v>949</v>
      </c>
      <c r="B388" s="59" t="s">
        <v>87</v>
      </c>
      <c r="C388" s="59"/>
      <c r="D388" s="59">
        <v>89035</v>
      </c>
      <c r="E388" s="60" t="s">
        <v>664</v>
      </c>
      <c r="F388" s="59" t="s">
        <v>76</v>
      </c>
      <c r="G388" s="61">
        <v>2E-3</v>
      </c>
      <c r="H388" s="62">
        <v>132.5</v>
      </c>
      <c r="I388" s="62">
        <f t="shared" si="28"/>
        <v>0.26500000000000001</v>
      </c>
      <c r="J388" s="62"/>
      <c r="K388" s="62">
        <v>2.6780000000000002E-2</v>
      </c>
      <c r="L388" s="62">
        <v>0.19303999999999999</v>
      </c>
      <c r="M388" s="62">
        <v>4.5179999999999998E-2</v>
      </c>
      <c r="N388" s="62">
        <v>0</v>
      </c>
      <c r="O388" s="62">
        <v>0</v>
      </c>
      <c r="P388" s="298" t="s">
        <v>4160</v>
      </c>
      <c r="Q388" s="60" t="s">
        <v>27</v>
      </c>
      <c r="R388" s="60" t="s">
        <v>27</v>
      </c>
      <c r="S388" s="286" t="str">
        <f t="shared" si="25"/>
        <v>SIM</v>
      </c>
      <c r="T388" s="286" t="str">
        <f>IF($C388= "", T387, IF(ISNA(VLOOKUP($C388,'ABC-S'!$A$5:$A$271,1,FALSE)), "", VLOOKUP($C388,'ABC-S'!$A$5:$A$271,1,FALSE)))</f>
        <v>CP0401</v>
      </c>
      <c r="W388" s="286" t="s">
        <v>949</v>
      </c>
      <c r="X388" s="286" t="s">
        <v>21</v>
      </c>
      <c r="Y388" s="286" t="s">
        <v>423</v>
      </c>
      <c r="Z388" s="335" t="s">
        <v>21</v>
      </c>
      <c r="AA388" s="286" t="s">
        <v>21</v>
      </c>
      <c r="AB388" s="378"/>
      <c r="AC388" s="381">
        <v>89035</v>
      </c>
      <c r="AD388" s="378">
        <v>2E-3</v>
      </c>
      <c r="AE388" s="378">
        <v>1</v>
      </c>
      <c r="AF388" s="378">
        <v>2E-3</v>
      </c>
      <c r="AG388" s="378"/>
      <c r="AI388" s="378">
        <v>0</v>
      </c>
      <c r="AJ388" s="378">
        <v>0</v>
      </c>
      <c r="AL388" s="286">
        <v>89035</v>
      </c>
      <c r="AM388" s="286"/>
    </row>
    <row r="389" spans="1:39" s="51" customFormat="1" ht="33.75" x14ac:dyDescent="0.25">
      <c r="A389" s="59" t="s">
        <v>949</v>
      </c>
      <c r="B389" s="59" t="s">
        <v>87</v>
      </c>
      <c r="C389" s="59"/>
      <c r="D389" s="59">
        <v>89036</v>
      </c>
      <c r="E389" s="60" t="s">
        <v>663</v>
      </c>
      <c r="F389" s="59" t="s">
        <v>75</v>
      </c>
      <c r="G389" s="61">
        <v>4.0000000000000001E-3</v>
      </c>
      <c r="H389" s="62">
        <v>30.14</v>
      </c>
      <c r="I389" s="62">
        <f t="shared" si="28"/>
        <v>0.12056</v>
      </c>
      <c r="J389" s="62"/>
      <c r="K389" s="62">
        <v>5.3560000000000003E-2</v>
      </c>
      <c r="L389" s="62">
        <v>2.0920000000000001E-2</v>
      </c>
      <c r="M389" s="62">
        <v>4.6079999999999996E-2</v>
      </c>
      <c r="N389" s="62">
        <v>0</v>
      </c>
      <c r="O389" s="62">
        <v>0</v>
      </c>
      <c r="P389" s="298" t="s">
        <v>4160</v>
      </c>
      <c r="Q389" s="60" t="s">
        <v>27</v>
      </c>
      <c r="R389" s="60" t="s">
        <v>27</v>
      </c>
      <c r="S389" s="286" t="str">
        <f t="shared" si="25"/>
        <v>SIM</v>
      </c>
      <c r="T389" s="286" t="str">
        <f>IF($C389= "", T388, IF(ISNA(VLOOKUP($C389,'ABC-S'!$A$5:$A$271,1,FALSE)), "", VLOOKUP($C389,'ABC-S'!$A$5:$A$271,1,FALSE)))</f>
        <v>CP0401</v>
      </c>
      <c r="W389" s="286" t="s">
        <v>949</v>
      </c>
      <c r="X389" s="286" t="s">
        <v>21</v>
      </c>
      <c r="Y389" s="286" t="s">
        <v>423</v>
      </c>
      <c r="Z389" s="335" t="s">
        <v>21</v>
      </c>
      <c r="AA389" s="286" t="s">
        <v>21</v>
      </c>
      <c r="AB389" s="378"/>
      <c r="AC389" s="381">
        <v>89036</v>
      </c>
      <c r="AD389" s="378">
        <v>4.0000000000000001E-3</v>
      </c>
      <c r="AE389" s="378">
        <v>1</v>
      </c>
      <c r="AF389" s="378">
        <v>4.0000000000000001E-3</v>
      </c>
      <c r="AG389" s="378"/>
      <c r="AI389" s="378">
        <v>0</v>
      </c>
      <c r="AJ389" s="378">
        <v>0</v>
      </c>
      <c r="AL389" s="286">
        <v>89036</v>
      </c>
      <c r="AM389" s="286"/>
    </row>
    <row r="390" spans="1:39" s="51" customFormat="1" ht="56.25" x14ac:dyDescent="0.25">
      <c r="A390" s="59" t="s">
        <v>949</v>
      </c>
      <c r="B390" s="59" t="s">
        <v>87</v>
      </c>
      <c r="C390" s="59"/>
      <c r="D390" s="59">
        <v>91486</v>
      </c>
      <c r="E390" s="60" t="s">
        <v>564</v>
      </c>
      <c r="F390" s="59" t="s">
        <v>75</v>
      </c>
      <c r="G390" s="61">
        <v>5.0000000000000001E-3</v>
      </c>
      <c r="H390" s="62">
        <v>42.32</v>
      </c>
      <c r="I390" s="62">
        <f t="shared" si="28"/>
        <v>0.21160000000000001</v>
      </c>
      <c r="J390" s="62"/>
      <c r="K390" s="62">
        <v>7.2249999999999995E-2</v>
      </c>
      <c r="L390" s="62">
        <v>2.6150000000000003E-2</v>
      </c>
      <c r="M390" s="62">
        <v>0.11320000000000001</v>
      </c>
      <c r="N390" s="62">
        <v>0</v>
      </c>
      <c r="O390" s="62">
        <v>0</v>
      </c>
      <c r="P390" s="298" t="s">
        <v>4160</v>
      </c>
      <c r="Q390" s="60" t="s">
        <v>27</v>
      </c>
      <c r="R390" s="60" t="s">
        <v>27</v>
      </c>
      <c r="S390" s="286" t="str">
        <f t="shared" ref="S390:S453" si="29">IF(T390 &lt;&gt; "", "SIM", "")</f>
        <v>SIM</v>
      </c>
      <c r="T390" s="286" t="str">
        <f>IF($C390= "", T389, IF(ISNA(VLOOKUP($C390,'ABC-S'!$A$5:$A$271,1,FALSE)), "", VLOOKUP($C390,'ABC-S'!$A$5:$A$271,1,FALSE)))</f>
        <v>CP0401</v>
      </c>
      <c r="W390" s="286" t="s">
        <v>949</v>
      </c>
      <c r="X390" s="286" t="s">
        <v>21</v>
      </c>
      <c r="Y390" s="286" t="s">
        <v>423</v>
      </c>
      <c r="Z390" s="335" t="s">
        <v>21</v>
      </c>
      <c r="AA390" s="286" t="s">
        <v>21</v>
      </c>
      <c r="AB390" s="378"/>
      <c r="AC390" s="381">
        <v>91486</v>
      </c>
      <c r="AD390" s="378">
        <v>5.0000000000000001E-3</v>
      </c>
      <c r="AE390" s="378">
        <v>1</v>
      </c>
      <c r="AF390" s="378">
        <v>5.0000000000000001E-3</v>
      </c>
      <c r="AG390" s="378"/>
      <c r="AI390" s="378">
        <v>0</v>
      </c>
      <c r="AJ390" s="378">
        <v>0</v>
      </c>
      <c r="AL390" s="286">
        <v>91486</v>
      </c>
      <c r="AM390" s="286"/>
    </row>
    <row r="391" spans="1:39" s="51" customFormat="1" ht="22.5" x14ac:dyDescent="0.25">
      <c r="A391" s="55" t="s">
        <v>978</v>
      </c>
      <c r="B391" s="55" t="s">
        <v>138</v>
      </c>
      <c r="C391" s="55" t="s">
        <v>978</v>
      </c>
      <c r="D391" s="55"/>
      <c r="E391" s="56" t="s">
        <v>981</v>
      </c>
      <c r="F391" s="55" t="s">
        <v>51</v>
      </c>
      <c r="G391" s="57"/>
      <c r="H391" s="58"/>
      <c r="I391" s="58"/>
      <c r="J391" s="58">
        <f>SUM(I391:I399)</f>
        <v>0.75842500000000002</v>
      </c>
      <c r="K391" s="58">
        <v>0.22363499999999997</v>
      </c>
      <c r="L391" s="58">
        <v>0.293049</v>
      </c>
      <c r="M391" s="58">
        <v>0.24174099999999998</v>
      </c>
      <c r="N391" s="58">
        <v>0</v>
      </c>
      <c r="O391" s="58">
        <v>3.4694469519536142E-18</v>
      </c>
      <c r="P391" s="58"/>
      <c r="Q391" s="56"/>
      <c r="R391" s="56" t="s">
        <v>3341</v>
      </c>
      <c r="S391" s="286" t="str">
        <f t="shared" si="29"/>
        <v>SIM</v>
      </c>
      <c r="T391" s="286" t="str">
        <f>IF($C391= "", T390, IF(ISNA(VLOOKUP($C391,'ABC-S'!$A$5:$A$271,1,FALSE)), "", VLOOKUP($C391,'ABC-S'!$A$5:$A$271,1,FALSE)))</f>
        <v>CP0402</v>
      </c>
      <c r="W391" s="286" t="s">
        <v>978</v>
      </c>
      <c r="X391" s="286"/>
      <c r="Y391" s="286"/>
      <c r="Z391" s="286"/>
      <c r="AA391" s="286" t="s">
        <v>21</v>
      </c>
      <c r="AB391" s="378">
        <v>6.0000000000000001E-3</v>
      </c>
      <c r="AC391" s="378"/>
      <c r="AD391" s="335"/>
      <c r="AE391" s="335"/>
      <c r="AF391" s="335"/>
      <c r="AG391" s="378">
        <v>1.7099999999999997E-2</v>
      </c>
      <c r="AI391" s="378" t="s">
        <v>21</v>
      </c>
      <c r="AJ391" s="378" t="s">
        <v>21</v>
      </c>
      <c r="AL391" s="286"/>
      <c r="AM391" s="286"/>
    </row>
    <row r="392" spans="1:39" s="51" customFormat="1" ht="33.75" x14ac:dyDescent="0.25">
      <c r="A392" s="59" t="s">
        <v>978</v>
      </c>
      <c r="B392" s="59" t="s">
        <v>87</v>
      </c>
      <c r="C392" s="59"/>
      <c r="D392" s="59">
        <v>5839</v>
      </c>
      <c r="E392" s="60" t="s">
        <v>670</v>
      </c>
      <c r="F392" s="59" t="s">
        <v>76</v>
      </c>
      <c r="G392" s="61">
        <v>2E-3</v>
      </c>
      <c r="H392" s="62">
        <v>8.6199999999999992</v>
      </c>
      <c r="I392" s="62">
        <f>IF($D392="","",G392*H392)</f>
        <v>1.7239999999999998E-2</v>
      </c>
      <c r="J392" s="62"/>
      <c r="K392" s="62">
        <v>0</v>
      </c>
      <c r="L392" s="62">
        <v>0</v>
      </c>
      <c r="M392" s="62">
        <v>1.7239999999999998E-2</v>
      </c>
      <c r="N392" s="62">
        <v>0</v>
      </c>
      <c r="O392" s="62">
        <v>0</v>
      </c>
      <c r="P392" s="298" t="s">
        <v>4160</v>
      </c>
      <c r="Q392" s="60" t="s">
        <v>27</v>
      </c>
      <c r="R392" s="60" t="s">
        <v>27</v>
      </c>
      <c r="S392" s="286" t="str">
        <f t="shared" si="29"/>
        <v>SIM</v>
      </c>
      <c r="T392" s="286" t="str">
        <f>IF($C392= "", T391, IF(ISNA(VLOOKUP($C392,'ABC-S'!$A$5:$A$271,1,FALSE)), "", VLOOKUP($C392,'ABC-S'!$A$5:$A$271,1,FALSE)))</f>
        <v>CP0402</v>
      </c>
      <c r="W392" s="286" t="s">
        <v>978</v>
      </c>
      <c r="X392" s="286" t="s">
        <v>21</v>
      </c>
      <c r="Y392" s="286" t="s">
        <v>423</v>
      </c>
      <c r="Z392" s="335" t="s">
        <v>21</v>
      </c>
      <c r="AA392" s="286" t="s">
        <v>21</v>
      </c>
      <c r="AB392" s="378"/>
      <c r="AC392" s="381">
        <v>5839</v>
      </c>
      <c r="AD392" s="378">
        <v>2E-3</v>
      </c>
      <c r="AE392" s="378">
        <v>0</v>
      </c>
      <c r="AF392" s="378">
        <v>0</v>
      </c>
      <c r="AG392" s="378"/>
      <c r="AI392" s="378">
        <v>0</v>
      </c>
      <c r="AJ392" s="378">
        <v>0</v>
      </c>
      <c r="AL392" s="286">
        <v>5839</v>
      </c>
      <c r="AM392" s="286"/>
    </row>
    <row r="393" spans="1:39" s="51" customFormat="1" ht="33.75" x14ac:dyDescent="0.25">
      <c r="A393" s="59" t="s">
        <v>978</v>
      </c>
      <c r="B393" s="59" t="s">
        <v>87</v>
      </c>
      <c r="C393" s="59"/>
      <c r="D393" s="59">
        <v>5841</v>
      </c>
      <c r="E393" s="60" t="s">
        <v>669</v>
      </c>
      <c r="F393" s="59" t="s">
        <v>75</v>
      </c>
      <c r="G393" s="61">
        <v>4.0000000000000001E-3</v>
      </c>
      <c r="H393" s="62">
        <v>4.0999999999999996</v>
      </c>
      <c r="I393" s="62">
        <f t="shared" ref="I393:I399" si="30">IF($D393="","",G393*H393)</f>
        <v>1.6399999999999998E-2</v>
      </c>
      <c r="J393" s="62"/>
      <c r="K393" s="62">
        <v>0</v>
      </c>
      <c r="L393" s="62">
        <v>0</v>
      </c>
      <c r="M393" s="62">
        <v>1.6399999999999998E-2</v>
      </c>
      <c r="N393" s="62">
        <v>0</v>
      </c>
      <c r="O393" s="62">
        <v>0</v>
      </c>
      <c r="P393" s="298" t="s">
        <v>4160</v>
      </c>
      <c r="Q393" s="60" t="s">
        <v>27</v>
      </c>
      <c r="R393" s="60" t="s">
        <v>27</v>
      </c>
      <c r="S393" s="286" t="str">
        <f t="shared" si="29"/>
        <v>SIM</v>
      </c>
      <c r="T393" s="286" t="str">
        <f>IF($C393= "", T392, IF(ISNA(VLOOKUP($C393,'ABC-S'!$A$5:$A$271,1,FALSE)), "", VLOOKUP($C393,'ABC-S'!$A$5:$A$271,1,FALSE)))</f>
        <v>CP0402</v>
      </c>
      <c r="W393" s="286" t="s">
        <v>978</v>
      </c>
      <c r="X393" s="286" t="s">
        <v>21</v>
      </c>
      <c r="Y393" s="286" t="s">
        <v>423</v>
      </c>
      <c r="Z393" s="335" t="s">
        <v>21</v>
      </c>
      <c r="AA393" s="286" t="s">
        <v>21</v>
      </c>
      <c r="AB393" s="378"/>
      <c r="AC393" s="381">
        <v>5841</v>
      </c>
      <c r="AD393" s="378">
        <v>4.0000000000000001E-3</v>
      </c>
      <c r="AE393" s="378">
        <v>0</v>
      </c>
      <c r="AF393" s="378">
        <v>0</v>
      </c>
      <c r="AG393" s="378"/>
      <c r="AI393" s="378">
        <v>0</v>
      </c>
      <c r="AJ393" s="378">
        <v>0</v>
      </c>
      <c r="AL393" s="286">
        <v>5841</v>
      </c>
      <c r="AM393" s="286"/>
    </row>
    <row r="394" spans="1:39" s="51" customFormat="1" ht="33.75" x14ac:dyDescent="0.25">
      <c r="A394" s="59" t="s">
        <v>978</v>
      </c>
      <c r="B394" s="59" t="s">
        <v>86</v>
      </c>
      <c r="C394" s="59"/>
      <c r="D394" s="59">
        <v>41903</v>
      </c>
      <c r="E394" s="60" t="s">
        <v>694</v>
      </c>
      <c r="F394" s="59" t="s">
        <v>3669</v>
      </c>
      <c r="G394" s="61">
        <v>0</v>
      </c>
      <c r="H394" s="62">
        <v>3.34</v>
      </c>
      <c r="I394" s="62">
        <f t="shared" si="30"/>
        <v>0</v>
      </c>
      <c r="J394" s="62"/>
      <c r="K394" s="62">
        <v>0</v>
      </c>
      <c r="L394" s="62">
        <v>0</v>
      </c>
      <c r="M394" s="62">
        <v>0</v>
      </c>
      <c r="N394" s="62">
        <v>0</v>
      </c>
      <c r="O394" s="62">
        <v>0</v>
      </c>
      <c r="P394" s="298" t="s">
        <v>89</v>
      </c>
      <c r="Q394" s="60" t="s">
        <v>27</v>
      </c>
      <c r="R394" s="60" t="s">
        <v>980</v>
      </c>
      <c r="S394" s="286" t="str">
        <f t="shared" si="29"/>
        <v>SIM</v>
      </c>
      <c r="T394" s="286" t="str">
        <f>IF($C394= "", T393, IF(ISNA(VLOOKUP($C394,'ABC-S'!$A$5:$A$271,1,FALSE)), "", VLOOKUP($C394,'ABC-S'!$A$5:$A$271,1,FALSE)))</f>
        <v>CP0402</v>
      </c>
      <c r="W394" s="286" t="s">
        <v>978</v>
      </c>
      <c r="X394" s="286" t="s">
        <v>21</v>
      </c>
      <c r="Y394" s="286" t="s">
        <v>21</v>
      </c>
      <c r="Z394" s="286" t="s">
        <v>21</v>
      </c>
      <c r="AA394" s="286" t="s">
        <v>21</v>
      </c>
      <c r="AB394" s="378"/>
      <c r="AC394" s="381" t="s">
        <v>21</v>
      </c>
      <c r="AD394" s="378" t="s">
        <v>21</v>
      </c>
      <c r="AE394" s="378" t="s">
        <v>21</v>
      </c>
      <c r="AF394" s="378" t="s">
        <v>21</v>
      </c>
      <c r="AG394" s="378"/>
      <c r="AI394" s="378" t="s">
        <v>21</v>
      </c>
      <c r="AJ394" s="378" t="s">
        <v>21</v>
      </c>
      <c r="AL394" s="286"/>
      <c r="AM394" s="286">
        <v>41903</v>
      </c>
    </row>
    <row r="395" spans="1:39" s="51" customFormat="1" ht="56.25" x14ac:dyDescent="0.25">
      <c r="A395" s="59" t="s">
        <v>978</v>
      </c>
      <c r="B395" s="59" t="s">
        <v>87</v>
      </c>
      <c r="C395" s="59"/>
      <c r="D395" s="59">
        <v>83362</v>
      </c>
      <c r="E395" s="60" t="s">
        <v>565</v>
      </c>
      <c r="F395" s="59" t="s">
        <v>76</v>
      </c>
      <c r="G395" s="61">
        <v>1E-4</v>
      </c>
      <c r="H395" s="62">
        <v>219.65</v>
      </c>
      <c r="I395" s="62">
        <f t="shared" si="30"/>
        <v>2.1965000000000002E-2</v>
      </c>
      <c r="J395" s="62"/>
      <c r="K395" s="62">
        <v>1.4450000000000001E-3</v>
      </c>
      <c r="L395" s="62">
        <v>1.6879000000000002E-2</v>
      </c>
      <c r="M395" s="62">
        <v>3.6409999999999997E-3</v>
      </c>
      <c r="N395" s="62">
        <v>0</v>
      </c>
      <c r="O395" s="62">
        <v>3.4694469519536142E-18</v>
      </c>
      <c r="P395" s="298" t="s">
        <v>4160</v>
      </c>
      <c r="Q395" s="60" t="s">
        <v>27</v>
      </c>
      <c r="R395" s="60" t="s">
        <v>27</v>
      </c>
      <c r="S395" s="286" t="str">
        <f t="shared" si="29"/>
        <v>SIM</v>
      </c>
      <c r="T395" s="286" t="str">
        <f>IF($C395= "", T394, IF(ISNA(VLOOKUP($C395,'ABC-S'!$A$5:$A$271,1,FALSE)), "", VLOOKUP($C395,'ABC-S'!$A$5:$A$271,1,FALSE)))</f>
        <v>CP0402</v>
      </c>
      <c r="W395" s="286" t="s">
        <v>978</v>
      </c>
      <c r="X395" s="286" t="s">
        <v>21</v>
      </c>
      <c r="Y395" s="286" t="s">
        <v>423</v>
      </c>
      <c r="Z395" s="335" t="s">
        <v>21</v>
      </c>
      <c r="AA395" s="286" t="s">
        <v>21</v>
      </c>
      <c r="AB395" s="378"/>
      <c r="AC395" s="381">
        <v>83362</v>
      </c>
      <c r="AD395" s="378">
        <v>1E-4</v>
      </c>
      <c r="AE395" s="378">
        <v>1</v>
      </c>
      <c r="AF395" s="378">
        <v>1E-4</v>
      </c>
      <c r="AG395" s="378"/>
      <c r="AI395" s="378">
        <v>0</v>
      </c>
      <c r="AJ395" s="378">
        <v>0</v>
      </c>
      <c r="AL395" s="286">
        <v>83362</v>
      </c>
      <c r="AM395" s="286"/>
    </row>
    <row r="396" spans="1:39" s="51" customFormat="1" x14ac:dyDescent="0.25">
      <c r="A396" s="59" t="s">
        <v>978</v>
      </c>
      <c r="B396" s="59" t="s">
        <v>87</v>
      </c>
      <c r="C396" s="248"/>
      <c r="D396" s="59">
        <v>88316</v>
      </c>
      <c r="E396" s="60" t="s">
        <v>649</v>
      </c>
      <c r="F396" s="59" t="s">
        <v>46</v>
      </c>
      <c r="G396" s="61">
        <v>6.0000000000000001E-3</v>
      </c>
      <c r="H396" s="62">
        <v>17.61</v>
      </c>
      <c r="I396" s="62">
        <f t="shared" si="30"/>
        <v>0.10566</v>
      </c>
      <c r="J396" s="62"/>
      <c r="K396" s="62">
        <v>6.9599999999999995E-2</v>
      </c>
      <c r="L396" s="62">
        <v>3.6060000000000002E-2</v>
      </c>
      <c r="M396" s="62">
        <v>0</v>
      </c>
      <c r="N396" s="62">
        <v>0</v>
      </c>
      <c r="O396" s="62">
        <v>0</v>
      </c>
      <c r="P396" s="298" t="s">
        <v>4160</v>
      </c>
      <c r="Q396" s="60" t="s">
        <v>27</v>
      </c>
      <c r="R396" s="60" t="s">
        <v>27</v>
      </c>
      <c r="S396" s="286" t="str">
        <f t="shared" si="29"/>
        <v>SIM</v>
      </c>
      <c r="T396" s="286" t="str">
        <f>IF($C396= "", T395, IF(ISNA(VLOOKUP($C396,'ABC-S'!$A$5:$A$271,1,FALSE)), "", VLOOKUP($C396,'ABC-S'!$A$5:$A$271,1,FALSE)))</f>
        <v>CP0402</v>
      </c>
      <c r="W396" s="286" t="s">
        <v>978</v>
      </c>
      <c r="X396" s="286">
        <v>88316</v>
      </c>
      <c r="Y396" s="286" t="s">
        <v>424</v>
      </c>
      <c r="Z396" s="335">
        <v>5997.95</v>
      </c>
      <c r="AA396" s="286">
        <v>6.0000000000000001E-3</v>
      </c>
      <c r="AB396" s="378"/>
      <c r="AC396" s="381" t="s">
        <v>21</v>
      </c>
      <c r="AD396" s="378" t="s">
        <v>21</v>
      </c>
      <c r="AE396" s="378" t="s">
        <v>21</v>
      </c>
      <c r="AF396" s="378" t="s">
        <v>21</v>
      </c>
      <c r="AG396" s="378"/>
      <c r="AI396" s="378">
        <v>0</v>
      </c>
      <c r="AJ396" s="378">
        <v>0</v>
      </c>
      <c r="AL396" s="286">
        <v>88316</v>
      </c>
      <c r="AM396" s="286"/>
    </row>
    <row r="397" spans="1:39" s="51" customFormat="1" ht="33.75" x14ac:dyDescent="0.25">
      <c r="A397" s="59" t="s">
        <v>978</v>
      </c>
      <c r="B397" s="59" t="s">
        <v>87</v>
      </c>
      <c r="C397" s="59"/>
      <c r="D397" s="59">
        <v>89035</v>
      </c>
      <c r="E397" s="60" t="s">
        <v>664</v>
      </c>
      <c r="F397" s="59" t="s">
        <v>76</v>
      </c>
      <c r="G397" s="61">
        <v>2E-3</v>
      </c>
      <c r="H397" s="62">
        <v>132.5</v>
      </c>
      <c r="I397" s="62">
        <f t="shared" si="30"/>
        <v>0.26500000000000001</v>
      </c>
      <c r="J397" s="62"/>
      <c r="K397" s="62">
        <v>2.6780000000000002E-2</v>
      </c>
      <c r="L397" s="62">
        <v>0.19303999999999999</v>
      </c>
      <c r="M397" s="62">
        <v>4.5179999999999998E-2</v>
      </c>
      <c r="N397" s="62">
        <v>0</v>
      </c>
      <c r="O397" s="62">
        <v>0</v>
      </c>
      <c r="P397" s="298" t="s">
        <v>4160</v>
      </c>
      <c r="Q397" s="60" t="s">
        <v>27</v>
      </c>
      <c r="R397" s="60" t="s">
        <v>27</v>
      </c>
      <c r="S397" s="286" t="str">
        <f t="shared" si="29"/>
        <v>SIM</v>
      </c>
      <c r="T397" s="286" t="str">
        <f>IF($C397= "", T396, IF(ISNA(VLOOKUP($C397,'ABC-S'!$A$5:$A$271,1,FALSE)), "", VLOOKUP($C397,'ABC-S'!$A$5:$A$271,1,FALSE)))</f>
        <v>CP0402</v>
      </c>
      <c r="W397" s="286" t="s">
        <v>978</v>
      </c>
      <c r="X397" s="286" t="s">
        <v>21</v>
      </c>
      <c r="Y397" s="286" t="s">
        <v>423</v>
      </c>
      <c r="Z397" s="335" t="s">
        <v>21</v>
      </c>
      <c r="AA397" s="286" t="s">
        <v>21</v>
      </c>
      <c r="AB397" s="378"/>
      <c r="AC397" s="381">
        <v>89035</v>
      </c>
      <c r="AD397" s="378">
        <v>2E-3</v>
      </c>
      <c r="AE397" s="378">
        <v>1</v>
      </c>
      <c r="AF397" s="378">
        <v>2E-3</v>
      </c>
      <c r="AG397" s="378"/>
      <c r="AI397" s="378">
        <v>0</v>
      </c>
      <c r="AJ397" s="378">
        <v>0</v>
      </c>
      <c r="AL397" s="286">
        <v>89035</v>
      </c>
      <c r="AM397" s="286"/>
    </row>
    <row r="398" spans="1:39" s="51" customFormat="1" ht="33.75" x14ac:dyDescent="0.25">
      <c r="A398" s="59" t="s">
        <v>978</v>
      </c>
      <c r="B398" s="59" t="s">
        <v>87</v>
      </c>
      <c r="C398" s="59"/>
      <c r="D398" s="59">
        <v>89036</v>
      </c>
      <c r="E398" s="60" t="s">
        <v>663</v>
      </c>
      <c r="F398" s="59" t="s">
        <v>75</v>
      </c>
      <c r="G398" s="61">
        <v>4.0000000000000001E-3</v>
      </c>
      <c r="H398" s="62">
        <v>30.14</v>
      </c>
      <c r="I398" s="62">
        <f t="shared" si="30"/>
        <v>0.12056</v>
      </c>
      <c r="J398" s="62"/>
      <c r="K398" s="62">
        <v>5.3560000000000003E-2</v>
      </c>
      <c r="L398" s="62">
        <v>2.0920000000000001E-2</v>
      </c>
      <c r="M398" s="62">
        <v>4.6079999999999996E-2</v>
      </c>
      <c r="N398" s="62">
        <v>0</v>
      </c>
      <c r="O398" s="62">
        <v>0</v>
      </c>
      <c r="P398" s="298" t="s">
        <v>4160</v>
      </c>
      <c r="Q398" s="60" t="s">
        <v>27</v>
      </c>
      <c r="R398" s="60" t="s">
        <v>27</v>
      </c>
      <c r="S398" s="286" t="str">
        <f t="shared" si="29"/>
        <v>SIM</v>
      </c>
      <c r="T398" s="286" t="str">
        <f>IF($C398= "", T397, IF(ISNA(VLOOKUP($C398,'ABC-S'!$A$5:$A$271,1,FALSE)), "", VLOOKUP($C398,'ABC-S'!$A$5:$A$271,1,FALSE)))</f>
        <v>CP0402</v>
      </c>
      <c r="W398" s="286" t="s">
        <v>978</v>
      </c>
      <c r="X398" s="286" t="s">
        <v>21</v>
      </c>
      <c r="Y398" s="286" t="s">
        <v>423</v>
      </c>
      <c r="Z398" s="335" t="s">
        <v>21</v>
      </c>
      <c r="AA398" s="286" t="s">
        <v>21</v>
      </c>
      <c r="AB398" s="378"/>
      <c r="AC398" s="381">
        <v>89036</v>
      </c>
      <c r="AD398" s="378">
        <v>4.0000000000000001E-3</v>
      </c>
      <c r="AE398" s="378">
        <v>1</v>
      </c>
      <c r="AF398" s="378">
        <v>4.0000000000000001E-3</v>
      </c>
      <c r="AG398" s="378"/>
      <c r="AI398" s="378">
        <v>0</v>
      </c>
      <c r="AJ398" s="378">
        <v>0</v>
      </c>
      <c r="AL398" s="286">
        <v>89036</v>
      </c>
      <c r="AM398" s="286"/>
    </row>
    <row r="399" spans="1:39" s="51" customFormat="1" ht="56.25" x14ac:dyDescent="0.25">
      <c r="A399" s="59" t="s">
        <v>978</v>
      </c>
      <c r="B399" s="59" t="s">
        <v>87</v>
      </c>
      <c r="C399" s="59"/>
      <c r="D399" s="59">
        <v>91486</v>
      </c>
      <c r="E399" s="60" t="s">
        <v>564</v>
      </c>
      <c r="F399" s="59" t="s">
        <v>75</v>
      </c>
      <c r="G399" s="61">
        <v>5.0000000000000001E-3</v>
      </c>
      <c r="H399" s="62">
        <v>42.32</v>
      </c>
      <c r="I399" s="62">
        <f t="shared" si="30"/>
        <v>0.21160000000000001</v>
      </c>
      <c r="J399" s="62"/>
      <c r="K399" s="62">
        <v>7.2249999999999995E-2</v>
      </c>
      <c r="L399" s="62">
        <v>2.6150000000000003E-2</v>
      </c>
      <c r="M399" s="62">
        <v>0.11320000000000001</v>
      </c>
      <c r="N399" s="62">
        <v>0</v>
      </c>
      <c r="O399" s="62">
        <v>0</v>
      </c>
      <c r="P399" s="298" t="s">
        <v>4160</v>
      </c>
      <c r="Q399" s="60" t="s">
        <v>27</v>
      </c>
      <c r="R399" s="60" t="s">
        <v>27</v>
      </c>
      <c r="S399" s="286" t="str">
        <f t="shared" si="29"/>
        <v>SIM</v>
      </c>
      <c r="T399" s="286" t="str">
        <f>IF($C399= "", T398, IF(ISNA(VLOOKUP($C399,'ABC-S'!$A$5:$A$271,1,FALSE)), "", VLOOKUP($C399,'ABC-S'!$A$5:$A$271,1,FALSE)))</f>
        <v>CP0402</v>
      </c>
      <c r="W399" s="286" t="s">
        <v>978</v>
      </c>
      <c r="X399" s="286" t="s">
        <v>21</v>
      </c>
      <c r="Y399" s="286" t="s">
        <v>423</v>
      </c>
      <c r="Z399" s="335" t="s">
        <v>21</v>
      </c>
      <c r="AA399" s="286" t="s">
        <v>21</v>
      </c>
      <c r="AB399" s="378"/>
      <c r="AC399" s="381">
        <v>91486</v>
      </c>
      <c r="AD399" s="378">
        <v>5.0000000000000001E-3</v>
      </c>
      <c r="AE399" s="378">
        <v>1</v>
      </c>
      <c r="AF399" s="378">
        <v>5.0000000000000001E-3</v>
      </c>
      <c r="AG399" s="378"/>
      <c r="AI399" s="378">
        <v>0</v>
      </c>
      <c r="AJ399" s="378">
        <v>0</v>
      </c>
      <c r="AL399" s="286">
        <v>91486</v>
      </c>
      <c r="AM399" s="286"/>
    </row>
    <row r="400" spans="1:39" s="51" customFormat="1" ht="33.75" x14ac:dyDescent="0.25">
      <c r="A400" s="55" t="s">
        <v>977</v>
      </c>
      <c r="B400" s="55" t="s">
        <v>138</v>
      </c>
      <c r="C400" s="55" t="s">
        <v>977</v>
      </c>
      <c r="D400" s="55"/>
      <c r="E400" s="56" t="s">
        <v>3339</v>
      </c>
      <c r="F400" s="55" t="s">
        <v>44</v>
      </c>
      <c r="G400" s="57"/>
      <c r="H400" s="58"/>
      <c r="I400" s="58"/>
      <c r="J400" s="58">
        <f>SUM(I400:I411)</f>
        <v>439.87080806479992</v>
      </c>
      <c r="K400" s="58">
        <v>23.76757424880001</v>
      </c>
      <c r="L400" s="58">
        <v>276.64386154639993</v>
      </c>
      <c r="M400" s="58">
        <v>134.0955696696</v>
      </c>
      <c r="N400" s="58">
        <v>0</v>
      </c>
      <c r="O400" s="58">
        <v>5.363802599999925</v>
      </c>
      <c r="P400" s="58"/>
      <c r="Q400" s="56"/>
      <c r="R400" s="56" t="s">
        <v>950</v>
      </c>
      <c r="S400" s="286" t="str">
        <f t="shared" si="29"/>
        <v>SIM</v>
      </c>
      <c r="T400" s="286" t="str">
        <f>IF($C400= "", T399, IF(ISNA(VLOOKUP($C400,'ABC-S'!$A$5:$A$271,1,FALSE)), "", VLOOKUP($C400,'ABC-S'!$A$5:$A$271,1,FALSE)))</f>
        <v>CP0403</v>
      </c>
      <c r="W400" s="286" t="s">
        <v>977</v>
      </c>
      <c r="X400" s="286"/>
      <c r="Y400" s="286"/>
      <c r="Z400" s="286"/>
      <c r="AA400" s="286" t="s">
        <v>21</v>
      </c>
      <c r="AB400" s="378">
        <v>1.1516000000000002</v>
      </c>
      <c r="AC400" s="378"/>
      <c r="AD400" s="335"/>
      <c r="AE400" s="335"/>
      <c r="AF400" s="335"/>
      <c r="AG400" s="378">
        <v>1.9270428000000002</v>
      </c>
      <c r="AI400" s="378" t="s">
        <v>21</v>
      </c>
      <c r="AJ400" s="378" t="s">
        <v>21</v>
      </c>
      <c r="AL400" s="286"/>
      <c r="AM400" s="286"/>
    </row>
    <row r="401" spans="1:39" s="51" customFormat="1" ht="33.75" x14ac:dyDescent="0.25">
      <c r="A401" s="59" t="s">
        <v>977</v>
      </c>
      <c r="B401" s="59" t="s">
        <v>87</v>
      </c>
      <c r="C401" s="59"/>
      <c r="D401" s="59" t="s">
        <v>951</v>
      </c>
      <c r="E401" s="60" t="s">
        <v>3338</v>
      </c>
      <c r="F401" s="59" t="s">
        <v>55</v>
      </c>
      <c r="G401" s="61">
        <v>2.5548000000000002</v>
      </c>
      <c r="H401" s="62">
        <v>136.62932599999999</v>
      </c>
      <c r="I401" s="62">
        <f>IF($D401="","",G401*H401)</f>
        <v>349.06060206479998</v>
      </c>
      <c r="J401" s="62"/>
      <c r="K401" s="62">
        <v>2.2045522488000002</v>
      </c>
      <c r="L401" s="62">
        <v>248.74738154640002</v>
      </c>
      <c r="M401" s="62">
        <v>92.744865669600003</v>
      </c>
      <c r="N401" s="62">
        <v>0</v>
      </c>
      <c r="O401" s="62">
        <v>5.3638025999999286</v>
      </c>
      <c r="P401" s="298" t="s">
        <v>4160</v>
      </c>
      <c r="Q401" s="60" t="s">
        <v>27</v>
      </c>
      <c r="R401" s="60" t="s">
        <v>27</v>
      </c>
      <c r="S401" s="286" t="str">
        <f t="shared" si="29"/>
        <v>SIM</v>
      </c>
      <c r="T401" s="286" t="str">
        <f>IF($C401= "", T400, IF(ISNA(VLOOKUP($C401,'ABC-S'!$A$5:$A$271,1,FALSE)), "", VLOOKUP($C401,'ABC-S'!$A$5:$A$271,1,FALSE)))</f>
        <v>CP0403</v>
      </c>
      <c r="W401" s="286" t="s">
        <v>977</v>
      </c>
      <c r="X401" s="286" t="s">
        <v>21</v>
      </c>
      <c r="Y401" s="286" t="s">
        <v>1513</v>
      </c>
      <c r="Z401" s="335" t="s">
        <v>21</v>
      </c>
      <c r="AA401" s="286" t="s">
        <v>21</v>
      </c>
      <c r="AB401" s="378"/>
      <c r="AC401" s="381" t="s">
        <v>951</v>
      </c>
      <c r="AD401" s="378">
        <v>2.5548000000000002</v>
      </c>
      <c r="AE401" s="378">
        <v>6.0999999999999999E-2</v>
      </c>
      <c r="AF401" s="378">
        <v>0.1558428</v>
      </c>
      <c r="AG401" s="378"/>
      <c r="AI401" s="378" t="s">
        <v>21</v>
      </c>
      <c r="AJ401" s="378" t="s">
        <v>21</v>
      </c>
      <c r="AL401" s="286" t="s">
        <v>951</v>
      </c>
      <c r="AM401" s="286"/>
    </row>
    <row r="402" spans="1:39" s="51" customFormat="1" ht="45" x14ac:dyDescent="0.25">
      <c r="A402" s="59" t="s">
        <v>977</v>
      </c>
      <c r="B402" s="59" t="s">
        <v>87</v>
      </c>
      <c r="C402" s="59"/>
      <c r="D402" s="59">
        <v>5835</v>
      </c>
      <c r="E402" s="60" t="s">
        <v>674</v>
      </c>
      <c r="F402" s="59" t="s">
        <v>76</v>
      </c>
      <c r="G402" s="61">
        <v>4.6399999999999997E-2</v>
      </c>
      <c r="H402" s="62">
        <v>333.93</v>
      </c>
      <c r="I402" s="62">
        <f t="shared" ref="I402:I411" si="31">IF($D402="","",G402*H402)</f>
        <v>15.494351999999999</v>
      </c>
      <c r="J402" s="62"/>
      <c r="K402" s="62">
        <v>0.78230399999999989</v>
      </c>
      <c r="L402" s="62">
        <v>3.3909119999999997</v>
      </c>
      <c r="M402" s="62">
        <v>11.321135999999999</v>
      </c>
      <c r="N402" s="62">
        <v>0</v>
      </c>
      <c r="O402" s="62">
        <v>0</v>
      </c>
      <c r="P402" s="298" t="s">
        <v>4160</v>
      </c>
      <c r="Q402" s="60" t="s">
        <v>27</v>
      </c>
      <c r="R402" s="60" t="s">
        <v>27</v>
      </c>
      <c r="S402" s="286" t="str">
        <f t="shared" si="29"/>
        <v>SIM</v>
      </c>
      <c r="T402" s="286" t="str">
        <f>IF($C402= "", T401, IF(ISNA(VLOOKUP($C402,'ABC-S'!$A$5:$A$271,1,FALSE)), "", VLOOKUP($C402,'ABC-S'!$A$5:$A$271,1,FALSE)))</f>
        <v>CP0403</v>
      </c>
      <c r="W402" s="286" t="s">
        <v>977</v>
      </c>
      <c r="X402" s="286" t="s">
        <v>21</v>
      </c>
      <c r="Y402" s="286" t="s">
        <v>423</v>
      </c>
      <c r="Z402" s="335" t="s">
        <v>21</v>
      </c>
      <c r="AA402" s="286" t="s">
        <v>21</v>
      </c>
      <c r="AB402" s="378"/>
      <c r="AC402" s="381">
        <v>5835</v>
      </c>
      <c r="AD402" s="378">
        <v>4.6399999999999997E-2</v>
      </c>
      <c r="AE402" s="378">
        <v>1</v>
      </c>
      <c r="AF402" s="378">
        <v>4.6399999999999997E-2</v>
      </c>
      <c r="AG402" s="378"/>
      <c r="AI402" s="378">
        <v>0</v>
      </c>
      <c r="AJ402" s="378">
        <v>0</v>
      </c>
      <c r="AL402" s="286">
        <v>5835</v>
      </c>
      <c r="AM402" s="286"/>
    </row>
    <row r="403" spans="1:39" s="51" customFormat="1" ht="45" x14ac:dyDescent="0.25">
      <c r="A403" s="59" t="s">
        <v>977</v>
      </c>
      <c r="B403" s="59" t="s">
        <v>87</v>
      </c>
      <c r="C403" s="59"/>
      <c r="D403" s="59">
        <v>5837</v>
      </c>
      <c r="E403" s="60" t="s">
        <v>673</v>
      </c>
      <c r="F403" s="59" t="s">
        <v>75</v>
      </c>
      <c r="G403" s="61">
        <v>9.4899999999999998E-2</v>
      </c>
      <c r="H403" s="62">
        <v>125.37</v>
      </c>
      <c r="I403" s="62">
        <f t="shared" si="31"/>
        <v>11.897613</v>
      </c>
      <c r="J403" s="62"/>
      <c r="K403" s="62">
        <v>1.6000139999999998</v>
      </c>
      <c r="L403" s="62">
        <v>0.49632700000000002</v>
      </c>
      <c r="M403" s="62">
        <v>9.8012719999999991</v>
      </c>
      <c r="N403" s="62">
        <v>0</v>
      </c>
      <c r="O403" s="62">
        <v>0</v>
      </c>
      <c r="P403" s="298" t="s">
        <v>4160</v>
      </c>
      <c r="Q403" s="60" t="s">
        <v>27</v>
      </c>
      <c r="R403" s="60" t="s">
        <v>27</v>
      </c>
      <c r="S403" s="286" t="str">
        <f t="shared" si="29"/>
        <v>SIM</v>
      </c>
      <c r="T403" s="286" t="str">
        <f>IF($C403= "", T402, IF(ISNA(VLOOKUP($C403,'ABC-S'!$A$5:$A$271,1,FALSE)), "", VLOOKUP($C403,'ABC-S'!$A$5:$A$271,1,FALSE)))</f>
        <v>CP0403</v>
      </c>
      <c r="W403" s="286" t="s">
        <v>977</v>
      </c>
      <c r="X403" s="286" t="s">
        <v>21</v>
      </c>
      <c r="Y403" s="286" t="s">
        <v>423</v>
      </c>
      <c r="Z403" s="335" t="s">
        <v>21</v>
      </c>
      <c r="AA403" s="286" t="s">
        <v>21</v>
      </c>
      <c r="AB403" s="378"/>
      <c r="AC403" s="381">
        <v>5837</v>
      </c>
      <c r="AD403" s="378">
        <v>9.4899999999999998E-2</v>
      </c>
      <c r="AE403" s="378">
        <v>1</v>
      </c>
      <c r="AF403" s="378">
        <v>9.4899999999999998E-2</v>
      </c>
      <c r="AG403" s="378"/>
      <c r="AI403" s="378">
        <v>0</v>
      </c>
      <c r="AJ403" s="378">
        <v>0</v>
      </c>
      <c r="AL403" s="286">
        <v>5837</v>
      </c>
      <c r="AM403" s="286"/>
    </row>
    <row r="404" spans="1:39" s="51" customFormat="1" x14ac:dyDescent="0.25">
      <c r="A404" s="59" t="s">
        <v>977</v>
      </c>
      <c r="B404" s="59" t="s">
        <v>87</v>
      </c>
      <c r="C404" s="248"/>
      <c r="D404" s="59">
        <v>88314</v>
      </c>
      <c r="E404" s="60" t="s">
        <v>630</v>
      </c>
      <c r="F404" s="59" t="s">
        <v>46</v>
      </c>
      <c r="G404" s="61">
        <v>1.1301000000000001</v>
      </c>
      <c r="H404" s="62">
        <v>16.61</v>
      </c>
      <c r="I404" s="62">
        <f t="shared" si="31"/>
        <v>18.770961</v>
      </c>
      <c r="J404" s="62"/>
      <c r="K404" s="62">
        <v>12.860538000000002</v>
      </c>
      <c r="L404" s="62">
        <v>5.9104230000000006</v>
      </c>
      <c r="M404" s="62">
        <v>0</v>
      </c>
      <c r="N404" s="62">
        <v>0</v>
      </c>
      <c r="O404" s="62">
        <v>-3.5527136788005009E-15</v>
      </c>
      <c r="P404" s="298" t="s">
        <v>4160</v>
      </c>
      <c r="Q404" s="60" t="s">
        <v>27</v>
      </c>
      <c r="R404" s="60" t="s">
        <v>27</v>
      </c>
      <c r="S404" s="286" t="str">
        <f t="shared" si="29"/>
        <v>SIM</v>
      </c>
      <c r="T404" s="286" t="str">
        <f>IF($C404= "", T403, IF(ISNA(VLOOKUP($C404,'ABC-S'!$A$5:$A$271,1,FALSE)), "", VLOOKUP($C404,'ABC-S'!$A$5:$A$271,1,FALSE)))</f>
        <v>CP0403</v>
      </c>
      <c r="W404" s="286" t="s">
        <v>977</v>
      </c>
      <c r="X404" s="286">
        <v>88314</v>
      </c>
      <c r="Y404" s="286" t="s">
        <v>424</v>
      </c>
      <c r="Z404" s="335">
        <v>1642.21876</v>
      </c>
      <c r="AA404" s="286">
        <v>1.1301000000000001</v>
      </c>
      <c r="AB404" s="378"/>
      <c r="AC404" s="381" t="s">
        <v>21</v>
      </c>
      <c r="AD404" s="378" t="s">
        <v>21</v>
      </c>
      <c r="AE404" s="378" t="s">
        <v>21</v>
      </c>
      <c r="AF404" s="378" t="s">
        <v>21</v>
      </c>
      <c r="AG404" s="378"/>
      <c r="AI404" s="378">
        <v>0</v>
      </c>
      <c r="AJ404" s="378">
        <v>0</v>
      </c>
      <c r="AL404" s="286">
        <v>88314</v>
      </c>
      <c r="AM404" s="286"/>
    </row>
    <row r="405" spans="1:39" s="51" customFormat="1" ht="56.25" x14ac:dyDescent="0.25">
      <c r="A405" s="59" t="s">
        <v>977</v>
      </c>
      <c r="B405" s="59" t="s">
        <v>87</v>
      </c>
      <c r="C405" s="59"/>
      <c r="D405" s="59">
        <v>91386</v>
      </c>
      <c r="E405" s="60" t="s">
        <v>527</v>
      </c>
      <c r="F405" s="59" t="s">
        <v>76</v>
      </c>
      <c r="G405" s="61">
        <v>4.6399999999999997E-2</v>
      </c>
      <c r="H405" s="62">
        <v>185.03</v>
      </c>
      <c r="I405" s="62">
        <f t="shared" si="31"/>
        <v>8.5853919999999988</v>
      </c>
      <c r="J405" s="62"/>
      <c r="K405" s="62">
        <v>0.63243199999999999</v>
      </c>
      <c r="L405" s="62">
        <v>5.2571199999999996</v>
      </c>
      <c r="M405" s="62">
        <v>2.69584</v>
      </c>
      <c r="N405" s="62">
        <v>0</v>
      </c>
      <c r="O405" s="62">
        <v>0</v>
      </c>
      <c r="P405" s="298" t="s">
        <v>4160</v>
      </c>
      <c r="Q405" s="60" t="s">
        <v>27</v>
      </c>
      <c r="R405" s="60" t="s">
        <v>27</v>
      </c>
      <c r="S405" s="286" t="str">
        <f t="shared" si="29"/>
        <v>SIM</v>
      </c>
      <c r="T405" s="286" t="str">
        <f>IF($C405= "", T404, IF(ISNA(VLOOKUP($C405,'ABC-S'!$A$5:$A$271,1,FALSE)), "", VLOOKUP($C405,'ABC-S'!$A$5:$A$271,1,FALSE)))</f>
        <v>CP0403</v>
      </c>
      <c r="W405" s="286" t="s">
        <v>977</v>
      </c>
      <c r="X405" s="286" t="s">
        <v>21</v>
      </c>
      <c r="Y405" s="286" t="s">
        <v>423</v>
      </c>
      <c r="Z405" s="335" t="s">
        <v>21</v>
      </c>
      <c r="AA405" s="286" t="s">
        <v>21</v>
      </c>
      <c r="AB405" s="378"/>
      <c r="AC405" s="381">
        <v>91386</v>
      </c>
      <c r="AD405" s="378">
        <v>4.6399999999999997E-2</v>
      </c>
      <c r="AE405" s="378">
        <v>1</v>
      </c>
      <c r="AF405" s="378">
        <v>4.6399999999999997E-2</v>
      </c>
      <c r="AG405" s="378"/>
      <c r="AI405" s="378">
        <v>0</v>
      </c>
      <c r="AJ405" s="378">
        <v>0</v>
      </c>
      <c r="AL405" s="286">
        <v>91386</v>
      </c>
      <c r="AM405" s="286"/>
    </row>
    <row r="406" spans="1:39" s="51" customFormat="1" ht="45" x14ac:dyDescent="0.25">
      <c r="A406" s="59" t="s">
        <v>977</v>
      </c>
      <c r="B406" s="59" t="s">
        <v>87</v>
      </c>
      <c r="C406" s="59"/>
      <c r="D406" s="59">
        <v>95631</v>
      </c>
      <c r="E406" s="60" t="s">
        <v>647</v>
      </c>
      <c r="F406" s="59" t="s">
        <v>76</v>
      </c>
      <c r="G406" s="61">
        <v>8.0500000000000002E-2</v>
      </c>
      <c r="H406" s="62">
        <v>158.04</v>
      </c>
      <c r="I406" s="62">
        <f t="shared" si="31"/>
        <v>12.72222</v>
      </c>
      <c r="J406" s="62"/>
      <c r="K406" s="62">
        <v>1.0835300000000001</v>
      </c>
      <c r="L406" s="62">
        <v>5.8974300000000008</v>
      </c>
      <c r="M406" s="62">
        <v>5.7412599999999996</v>
      </c>
      <c r="N406" s="62">
        <v>0</v>
      </c>
      <c r="O406" s="62">
        <v>0</v>
      </c>
      <c r="P406" s="298" t="s">
        <v>4160</v>
      </c>
      <c r="Q406" s="60" t="s">
        <v>27</v>
      </c>
      <c r="R406" s="60" t="s">
        <v>27</v>
      </c>
      <c r="S406" s="286" t="str">
        <f t="shared" si="29"/>
        <v>SIM</v>
      </c>
      <c r="T406" s="286" t="str">
        <f>IF($C406= "", T405, IF(ISNA(VLOOKUP($C406,'ABC-S'!$A$5:$A$271,1,FALSE)), "", VLOOKUP($C406,'ABC-S'!$A$5:$A$271,1,FALSE)))</f>
        <v>CP0403</v>
      </c>
      <c r="W406" s="286" t="s">
        <v>977</v>
      </c>
      <c r="X406" s="286" t="s">
        <v>21</v>
      </c>
      <c r="Y406" s="286" t="s">
        <v>423</v>
      </c>
      <c r="Z406" s="335" t="s">
        <v>21</v>
      </c>
      <c r="AA406" s="286" t="s">
        <v>21</v>
      </c>
      <c r="AB406" s="378"/>
      <c r="AC406" s="381">
        <v>95631</v>
      </c>
      <c r="AD406" s="378">
        <v>8.0500000000000002E-2</v>
      </c>
      <c r="AE406" s="378">
        <v>1</v>
      </c>
      <c r="AF406" s="378">
        <v>8.0500000000000002E-2</v>
      </c>
      <c r="AG406" s="378"/>
      <c r="AI406" s="378">
        <v>0</v>
      </c>
      <c r="AJ406" s="378">
        <v>0</v>
      </c>
      <c r="AL406" s="286">
        <v>95631</v>
      </c>
      <c r="AM406" s="286"/>
    </row>
    <row r="407" spans="1:39" s="51" customFormat="1" ht="45" x14ac:dyDescent="0.25">
      <c r="A407" s="59" t="s">
        <v>977</v>
      </c>
      <c r="B407" s="59" t="s">
        <v>87</v>
      </c>
      <c r="C407" s="59"/>
      <c r="D407" s="59">
        <v>95632</v>
      </c>
      <c r="E407" s="60" t="s">
        <v>646</v>
      </c>
      <c r="F407" s="59" t="s">
        <v>75</v>
      </c>
      <c r="G407" s="61">
        <v>6.0699999999999997E-2</v>
      </c>
      <c r="H407" s="62">
        <v>52.67</v>
      </c>
      <c r="I407" s="62">
        <f t="shared" si="31"/>
        <v>3.1970689999999999</v>
      </c>
      <c r="J407" s="62"/>
      <c r="K407" s="62">
        <v>0.81702200000000003</v>
      </c>
      <c r="L407" s="62">
        <v>0.31746099999999999</v>
      </c>
      <c r="M407" s="62">
        <v>2.0625859999999996</v>
      </c>
      <c r="N407" s="62">
        <v>0</v>
      </c>
      <c r="O407" s="62">
        <v>4.4408920985006262E-16</v>
      </c>
      <c r="P407" s="298" t="s">
        <v>4160</v>
      </c>
      <c r="Q407" s="60" t="s">
        <v>27</v>
      </c>
      <c r="R407" s="60" t="s">
        <v>27</v>
      </c>
      <c r="S407" s="286" t="str">
        <f t="shared" si="29"/>
        <v>SIM</v>
      </c>
      <c r="T407" s="286" t="str">
        <f>IF($C407= "", T406, IF(ISNA(VLOOKUP($C407,'ABC-S'!$A$5:$A$271,1,FALSE)), "", VLOOKUP($C407,'ABC-S'!$A$5:$A$271,1,FALSE)))</f>
        <v>CP0403</v>
      </c>
      <c r="W407" s="286" t="s">
        <v>977</v>
      </c>
      <c r="X407" s="286" t="s">
        <v>21</v>
      </c>
      <c r="Y407" s="286" t="s">
        <v>423</v>
      </c>
      <c r="Z407" s="335" t="s">
        <v>21</v>
      </c>
      <c r="AA407" s="286" t="s">
        <v>21</v>
      </c>
      <c r="AB407" s="378"/>
      <c r="AC407" s="381">
        <v>95632</v>
      </c>
      <c r="AD407" s="378">
        <v>6.0699999999999997E-2</v>
      </c>
      <c r="AE407" s="378">
        <v>1</v>
      </c>
      <c r="AF407" s="378">
        <v>6.0699999999999997E-2</v>
      </c>
      <c r="AG407" s="378"/>
      <c r="AI407" s="378">
        <v>0</v>
      </c>
      <c r="AJ407" s="378">
        <v>0</v>
      </c>
      <c r="AL407" s="286">
        <v>95632</v>
      </c>
      <c r="AM407" s="286"/>
    </row>
    <row r="408" spans="1:39" s="51" customFormat="1" ht="33.75" x14ac:dyDescent="0.25">
      <c r="A408" s="59" t="s">
        <v>977</v>
      </c>
      <c r="B408" s="59" t="s">
        <v>87</v>
      </c>
      <c r="C408" s="59"/>
      <c r="D408" s="59">
        <v>96155</v>
      </c>
      <c r="E408" s="60" t="s">
        <v>661</v>
      </c>
      <c r="F408" s="59" t="s">
        <v>75</v>
      </c>
      <c r="G408" s="61">
        <v>0.1071</v>
      </c>
      <c r="H408" s="62">
        <v>34.049999999999997</v>
      </c>
      <c r="I408" s="62">
        <f t="shared" si="31"/>
        <v>3.6467549999999997</v>
      </c>
      <c r="J408" s="62"/>
      <c r="K408" s="62">
        <v>1.434069</v>
      </c>
      <c r="L408" s="62">
        <v>0.5601330000000001</v>
      </c>
      <c r="M408" s="62">
        <v>1.6525529999999999</v>
      </c>
      <c r="N408" s="62">
        <v>0</v>
      </c>
      <c r="O408" s="62">
        <v>0</v>
      </c>
      <c r="P408" s="298" t="s">
        <v>4160</v>
      </c>
      <c r="Q408" s="60" t="s">
        <v>27</v>
      </c>
      <c r="R408" s="60" t="s">
        <v>27</v>
      </c>
      <c r="S408" s="286" t="str">
        <f t="shared" si="29"/>
        <v>SIM</v>
      </c>
      <c r="T408" s="286" t="str">
        <f>IF($C408= "", T407, IF(ISNA(VLOOKUP($C408,'ABC-S'!$A$5:$A$271,1,FALSE)), "", VLOOKUP($C408,'ABC-S'!$A$5:$A$271,1,FALSE)))</f>
        <v>CP0403</v>
      </c>
      <c r="W408" s="286" t="s">
        <v>977</v>
      </c>
      <c r="X408" s="286" t="s">
        <v>21</v>
      </c>
      <c r="Y408" s="286" t="s">
        <v>423</v>
      </c>
      <c r="Z408" s="335" t="s">
        <v>21</v>
      </c>
      <c r="AA408" s="286" t="s">
        <v>21</v>
      </c>
      <c r="AB408" s="378"/>
      <c r="AC408" s="381">
        <v>96155</v>
      </c>
      <c r="AD408" s="378">
        <v>0.1071</v>
      </c>
      <c r="AE408" s="378">
        <v>1</v>
      </c>
      <c r="AF408" s="378">
        <v>0.1071</v>
      </c>
      <c r="AG408" s="378"/>
      <c r="AI408" s="378">
        <v>0</v>
      </c>
      <c r="AJ408" s="378">
        <v>0</v>
      </c>
      <c r="AL408" s="286">
        <v>96155</v>
      </c>
      <c r="AM408" s="286"/>
    </row>
    <row r="409" spans="1:39" s="51" customFormat="1" ht="33.75" x14ac:dyDescent="0.25">
      <c r="A409" s="59" t="s">
        <v>977</v>
      </c>
      <c r="B409" s="59" t="s">
        <v>87</v>
      </c>
      <c r="C409" s="59"/>
      <c r="D409" s="59">
        <v>96157</v>
      </c>
      <c r="E409" s="60" t="s">
        <v>662</v>
      </c>
      <c r="F409" s="59" t="s">
        <v>76</v>
      </c>
      <c r="G409" s="61">
        <v>3.4099999999999998E-2</v>
      </c>
      <c r="H409" s="62">
        <v>140.16999999999999</v>
      </c>
      <c r="I409" s="62">
        <f t="shared" si="31"/>
        <v>4.7797969999999994</v>
      </c>
      <c r="J409" s="62"/>
      <c r="K409" s="62">
        <v>0.45659899999999998</v>
      </c>
      <c r="L409" s="62">
        <v>3.2913319999999997</v>
      </c>
      <c r="M409" s="62">
        <v>1.0318659999999999</v>
      </c>
      <c r="N409" s="62">
        <v>0</v>
      </c>
      <c r="O409" s="62">
        <v>0</v>
      </c>
      <c r="P409" s="298" t="s">
        <v>4160</v>
      </c>
      <c r="Q409" s="60" t="s">
        <v>27</v>
      </c>
      <c r="R409" s="60" t="s">
        <v>27</v>
      </c>
      <c r="S409" s="286" t="str">
        <f t="shared" si="29"/>
        <v>SIM</v>
      </c>
      <c r="T409" s="286" t="str">
        <f>IF($C409= "", T408, IF(ISNA(VLOOKUP($C409,'ABC-S'!$A$5:$A$271,1,FALSE)), "", VLOOKUP($C409,'ABC-S'!$A$5:$A$271,1,FALSE)))</f>
        <v>CP0403</v>
      </c>
      <c r="W409" s="286" t="s">
        <v>977</v>
      </c>
      <c r="X409" s="286" t="s">
        <v>21</v>
      </c>
      <c r="Y409" s="286" t="s">
        <v>423</v>
      </c>
      <c r="Z409" s="335" t="s">
        <v>21</v>
      </c>
      <c r="AA409" s="286" t="s">
        <v>21</v>
      </c>
      <c r="AB409" s="378"/>
      <c r="AC409" s="381">
        <v>96157</v>
      </c>
      <c r="AD409" s="378">
        <v>3.4099999999999998E-2</v>
      </c>
      <c r="AE409" s="378">
        <v>1</v>
      </c>
      <c r="AF409" s="378">
        <v>3.4099999999999998E-2</v>
      </c>
      <c r="AG409" s="378"/>
      <c r="AI409" s="378">
        <v>0</v>
      </c>
      <c r="AJ409" s="378">
        <v>0</v>
      </c>
      <c r="AL409" s="286">
        <v>96157</v>
      </c>
      <c r="AM409" s="286"/>
    </row>
    <row r="410" spans="1:39" s="51" customFormat="1" ht="45" x14ac:dyDescent="0.25">
      <c r="A410" s="59" t="s">
        <v>977</v>
      </c>
      <c r="B410" s="59" t="s">
        <v>87</v>
      </c>
      <c r="C410" s="59"/>
      <c r="D410" s="59">
        <v>96463</v>
      </c>
      <c r="E410" s="60" t="s">
        <v>641</v>
      </c>
      <c r="F410" s="59" t="s">
        <v>76</v>
      </c>
      <c r="G410" s="61">
        <v>4.19E-2</v>
      </c>
      <c r="H410" s="62">
        <v>146.43</v>
      </c>
      <c r="I410" s="62">
        <f t="shared" si="31"/>
        <v>6.1354170000000003</v>
      </c>
      <c r="J410" s="62"/>
      <c r="K410" s="62">
        <v>0.56397400000000009</v>
      </c>
      <c r="L410" s="62">
        <v>2.2575720000000001</v>
      </c>
      <c r="M410" s="62">
        <v>3.3138710000000002</v>
      </c>
      <c r="N410" s="62">
        <v>0</v>
      </c>
      <c r="O410" s="62">
        <v>0</v>
      </c>
      <c r="P410" s="298" t="s">
        <v>4160</v>
      </c>
      <c r="Q410" s="60" t="s">
        <v>27</v>
      </c>
      <c r="R410" s="60" t="s">
        <v>27</v>
      </c>
      <c r="S410" s="286" t="str">
        <f t="shared" si="29"/>
        <v>SIM</v>
      </c>
      <c r="T410" s="286" t="str">
        <f>IF($C410= "", T409, IF(ISNA(VLOOKUP($C410,'ABC-S'!$A$5:$A$271,1,FALSE)), "", VLOOKUP($C410,'ABC-S'!$A$5:$A$271,1,FALSE)))</f>
        <v>CP0403</v>
      </c>
      <c r="W410" s="286" t="s">
        <v>977</v>
      </c>
      <c r="X410" s="286" t="s">
        <v>21</v>
      </c>
      <c r="Y410" s="286" t="s">
        <v>423</v>
      </c>
      <c r="Z410" s="335" t="s">
        <v>21</v>
      </c>
      <c r="AA410" s="286" t="s">
        <v>21</v>
      </c>
      <c r="AB410" s="378"/>
      <c r="AC410" s="381">
        <v>96463</v>
      </c>
      <c r="AD410" s="378">
        <v>4.19E-2</v>
      </c>
      <c r="AE410" s="378">
        <v>1</v>
      </c>
      <c r="AF410" s="378">
        <v>4.19E-2</v>
      </c>
      <c r="AG410" s="378"/>
      <c r="AI410" s="378">
        <v>0</v>
      </c>
      <c r="AJ410" s="378">
        <v>0</v>
      </c>
      <c r="AL410" s="286">
        <v>96463</v>
      </c>
      <c r="AM410" s="286"/>
    </row>
    <row r="411" spans="1:39" s="51" customFormat="1" ht="45" x14ac:dyDescent="0.25">
      <c r="A411" s="59" t="s">
        <v>977</v>
      </c>
      <c r="B411" s="59" t="s">
        <v>87</v>
      </c>
      <c r="C411" s="59"/>
      <c r="D411" s="59">
        <v>96464</v>
      </c>
      <c r="E411" s="60" t="s">
        <v>640</v>
      </c>
      <c r="F411" s="59" t="s">
        <v>75</v>
      </c>
      <c r="G411" s="61">
        <v>9.9000000000000005E-2</v>
      </c>
      <c r="H411" s="62">
        <v>56.37</v>
      </c>
      <c r="I411" s="62">
        <f t="shared" si="31"/>
        <v>5.5806300000000002</v>
      </c>
      <c r="J411" s="62"/>
      <c r="K411" s="62">
        <v>1.3325400000000001</v>
      </c>
      <c r="L411" s="62">
        <v>0.51777000000000006</v>
      </c>
      <c r="M411" s="62">
        <v>3.7303200000000003</v>
      </c>
      <c r="N411" s="62">
        <v>0</v>
      </c>
      <c r="O411" s="62">
        <v>0</v>
      </c>
      <c r="P411" s="298" t="s">
        <v>4160</v>
      </c>
      <c r="Q411" s="60" t="s">
        <v>27</v>
      </c>
      <c r="R411" s="60" t="s">
        <v>27</v>
      </c>
      <c r="S411" s="286" t="str">
        <f t="shared" si="29"/>
        <v>SIM</v>
      </c>
      <c r="T411" s="286" t="str">
        <f>IF($C411= "", T410, IF(ISNA(VLOOKUP($C411,'ABC-S'!$A$5:$A$271,1,FALSE)), "", VLOOKUP($C411,'ABC-S'!$A$5:$A$271,1,FALSE)))</f>
        <v>CP0403</v>
      </c>
      <c r="W411" s="286" t="s">
        <v>977</v>
      </c>
      <c r="X411" s="286" t="s">
        <v>21</v>
      </c>
      <c r="Y411" s="286" t="s">
        <v>423</v>
      </c>
      <c r="Z411" s="335" t="s">
        <v>21</v>
      </c>
      <c r="AA411" s="286" t="s">
        <v>21</v>
      </c>
      <c r="AB411" s="378"/>
      <c r="AC411" s="381">
        <v>96464</v>
      </c>
      <c r="AD411" s="378">
        <v>9.9000000000000005E-2</v>
      </c>
      <c r="AE411" s="378">
        <v>1</v>
      </c>
      <c r="AF411" s="378">
        <v>9.9000000000000005E-2</v>
      </c>
      <c r="AG411" s="378"/>
      <c r="AI411" s="378">
        <v>0</v>
      </c>
      <c r="AJ411" s="378">
        <v>0</v>
      </c>
      <c r="AL411" s="286">
        <v>96464</v>
      </c>
      <c r="AM411" s="286"/>
    </row>
    <row r="412" spans="1:39" s="51" customFormat="1" ht="33.75" hidden="1" x14ac:dyDescent="0.25">
      <c r="A412" s="55" t="s">
        <v>988</v>
      </c>
      <c r="B412" s="55" t="s">
        <v>138</v>
      </c>
      <c r="C412" s="55" t="s">
        <v>988</v>
      </c>
      <c r="D412" s="55"/>
      <c r="E412" s="56" t="s">
        <v>989</v>
      </c>
      <c r="F412" s="55" t="s">
        <v>22</v>
      </c>
      <c r="G412" s="57"/>
      <c r="H412" s="58"/>
      <c r="I412" s="58"/>
      <c r="J412" s="58">
        <f>SUM(I412:I420)</f>
        <v>61.304989250000006</v>
      </c>
      <c r="K412" s="58">
        <v>16.929328000000002</v>
      </c>
      <c r="L412" s="58">
        <v>42.760817500000002</v>
      </c>
      <c r="M412" s="58">
        <v>1.5848437500000001</v>
      </c>
      <c r="N412" s="58">
        <v>0</v>
      </c>
      <c r="O412" s="58">
        <v>3.0000000000001081E-2</v>
      </c>
      <c r="P412" s="58"/>
      <c r="Q412" s="56"/>
      <c r="R412" s="56" t="s">
        <v>990</v>
      </c>
      <c r="S412" s="286" t="str">
        <f t="shared" si="29"/>
        <v/>
      </c>
      <c r="T412" s="286" t="str">
        <f>IF($C412= "", T411, IF(ISNA(VLOOKUP($C412,'ABC-S'!$A$5:$A$271,1,FALSE)), "", VLOOKUP($C412,'ABC-S'!$A$5:$A$271,1,FALSE)))</f>
        <v/>
      </c>
      <c r="W412" s="286" t="s">
        <v>988</v>
      </c>
      <c r="X412" s="286"/>
      <c r="Y412" s="286"/>
      <c r="Z412" s="286"/>
      <c r="AA412" s="286" t="s">
        <v>21</v>
      </c>
      <c r="AB412" s="378">
        <v>0.12</v>
      </c>
      <c r="AC412" s="378"/>
      <c r="AD412" s="335"/>
      <c r="AE412" s="335"/>
      <c r="AF412" s="335"/>
      <c r="AG412" s="378">
        <v>1.051132</v>
      </c>
      <c r="AI412" s="378" t="s">
        <v>21</v>
      </c>
      <c r="AJ412" s="378" t="s">
        <v>21</v>
      </c>
      <c r="AL412" s="286"/>
      <c r="AM412" s="286"/>
    </row>
    <row r="413" spans="1:39" s="51" customFormat="1" hidden="1" x14ac:dyDescent="0.25">
      <c r="A413" s="59" t="s">
        <v>988</v>
      </c>
      <c r="B413" s="59" t="s">
        <v>87</v>
      </c>
      <c r="C413" s="248"/>
      <c r="D413" s="59">
        <v>88309</v>
      </c>
      <c r="E413" s="60" t="s">
        <v>617</v>
      </c>
      <c r="F413" s="59" t="s">
        <v>46</v>
      </c>
      <c r="G413" s="61">
        <v>0.03</v>
      </c>
      <c r="H413" s="62">
        <v>23.9</v>
      </c>
      <c r="I413" s="62">
        <f>IF($D413="","",G413*H413)</f>
        <v>0.71699999999999997</v>
      </c>
      <c r="J413" s="62"/>
      <c r="K413" s="62">
        <v>0.53339999999999999</v>
      </c>
      <c r="L413" s="62">
        <v>0.18359999999999999</v>
      </c>
      <c r="M413" s="62">
        <v>0</v>
      </c>
      <c r="N413" s="62">
        <v>0</v>
      </c>
      <c r="O413" s="62">
        <v>0</v>
      </c>
      <c r="P413" s="298" t="s">
        <v>4160</v>
      </c>
      <c r="Q413" s="60" t="s">
        <v>27</v>
      </c>
      <c r="R413" s="60" t="s">
        <v>312</v>
      </c>
      <c r="S413" s="286" t="str">
        <f t="shared" si="29"/>
        <v/>
      </c>
      <c r="T413" s="286" t="str">
        <f>IF($C413= "", T412, IF(ISNA(VLOOKUP($C413,'ABC-S'!$A$5:$A$271,1,FALSE)), "", VLOOKUP($C413,'ABC-S'!$A$5:$A$271,1,FALSE)))</f>
        <v/>
      </c>
      <c r="W413" s="286" t="s">
        <v>988</v>
      </c>
      <c r="X413" s="286">
        <v>88309</v>
      </c>
      <c r="Y413" s="286" t="s">
        <v>424</v>
      </c>
      <c r="Z413" s="335">
        <v>0</v>
      </c>
      <c r="AA413" s="286">
        <v>0.03</v>
      </c>
      <c r="AB413" s="378"/>
      <c r="AC413" s="381" t="s">
        <v>21</v>
      </c>
      <c r="AD413" s="378" t="s">
        <v>21</v>
      </c>
      <c r="AE413" s="378" t="s">
        <v>21</v>
      </c>
      <c r="AF413" s="378" t="s">
        <v>21</v>
      </c>
      <c r="AG413" s="378"/>
      <c r="AI413" s="378">
        <v>0</v>
      </c>
      <c r="AJ413" s="378">
        <v>0</v>
      </c>
      <c r="AL413" s="286">
        <v>88309</v>
      </c>
      <c r="AM413" s="286"/>
    </row>
    <row r="414" spans="1:39" s="51" customFormat="1" hidden="1" x14ac:dyDescent="0.25">
      <c r="A414" s="59" t="s">
        <v>988</v>
      </c>
      <c r="B414" s="59" t="s">
        <v>87</v>
      </c>
      <c r="C414" s="248"/>
      <c r="D414" s="59">
        <v>88316</v>
      </c>
      <c r="E414" s="60" t="s">
        <v>649</v>
      </c>
      <c r="F414" s="59" t="s">
        <v>46</v>
      </c>
      <c r="G414" s="61">
        <v>0.09</v>
      </c>
      <c r="H414" s="62">
        <v>17.61</v>
      </c>
      <c r="I414" s="62">
        <f t="shared" ref="I414:I420" si="32">IF($D414="","",G414*H414)</f>
        <v>1.5849</v>
      </c>
      <c r="J414" s="62"/>
      <c r="K414" s="62">
        <v>1.044</v>
      </c>
      <c r="L414" s="62">
        <v>0.54089999999999994</v>
      </c>
      <c r="M414" s="62">
        <v>0</v>
      </c>
      <c r="N414" s="62">
        <v>0</v>
      </c>
      <c r="O414" s="62">
        <v>0</v>
      </c>
      <c r="P414" s="298" t="s">
        <v>4160</v>
      </c>
      <c r="Q414" s="60" t="s">
        <v>27</v>
      </c>
      <c r="R414" s="60" t="s">
        <v>312</v>
      </c>
      <c r="S414" s="286" t="str">
        <f t="shared" si="29"/>
        <v/>
      </c>
      <c r="T414" s="286" t="str">
        <f>IF($C414= "", T413, IF(ISNA(VLOOKUP($C414,'ABC-S'!$A$5:$A$271,1,FALSE)), "", VLOOKUP($C414,'ABC-S'!$A$5:$A$271,1,FALSE)))</f>
        <v/>
      </c>
      <c r="W414" s="286" t="s">
        <v>988</v>
      </c>
      <c r="X414" s="286">
        <v>88316</v>
      </c>
      <c r="Y414" s="286" t="s">
        <v>424</v>
      </c>
      <c r="Z414" s="335">
        <v>0</v>
      </c>
      <c r="AA414" s="286">
        <v>0.09</v>
      </c>
      <c r="AB414" s="378"/>
      <c r="AC414" s="381" t="s">
        <v>21</v>
      </c>
      <c r="AD414" s="378" t="s">
        <v>21</v>
      </c>
      <c r="AE414" s="378" t="s">
        <v>21</v>
      </c>
      <c r="AF414" s="378" t="s">
        <v>21</v>
      </c>
      <c r="AG414" s="378"/>
      <c r="AI414" s="378">
        <v>0</v>
      </c>
      <c r="AJ414" s="378">
        <v>0</v>
      </c>
      <c r="AL414" s="286">
        <v>88316</v>
      </c>
      <c r="AM414" s="286"/>
    </row>
    <row r="415" spans="1:39" s="51" customFormat="1" ht="22.5" hidden="1" x14ac:dyDescent="0.25">
      <c r="A415" s="59" t="s">
        <v>988</v>
      </c>
      <c r="B415" s="59" t="s">
        <v>87</v>
      </c>
      <c r="C415" s="59"/>
      <c r="D415" s="59">
        <v>88631</v>
      </c>
      <c r="E415" s="60" t="s">
        <v>493</v>
      </c>
      <c r="F415" s="59" t="s">
        <v>44</v>
      </c>
      <c r="G415" s="61">
        <v>8.0000000000000004E-4</v>
      </c>
      <c r="H415" s="62">
        <v>456.95</v>
      </c>
      <c r="I415" s="62">
        <f t="shared" si="32"/>
        <v>0.36556</v>
      </c>
      <c r="J415" s="62"/>
      <c r="K415" s="62">
        <v>7.6927999999999996E-2</v>
      </c>
      <c r="L415" s="62">
        <v>0.28863200000000006</v>
      </c>
      <c r="M415" s="62">
        <v>0</v>
      </c>
      <c r="N415" s="62">
        <v>0</v>
      </c>
      <c r="O415" s="62">
        <v>-5.5511151231257827E-17</v>
      </c>
      <c r="P415" s="298" t="s">
        <v>4160</v>
      </c>
      <c r="Q415" s="60" t="s">
        <v>27</v>
      </c>
      <c r="R415" s="60" t="s">
        <v>312</v>
      </c>
      <c r="S415" s="286" t="str">
        <f t="shared" si="29"/>
        <v/>
      </c>
      <c r="T415" s="286" t="str">
        <f>IF($C415= "", T414, IF(ISNA(VLOOKUP($C415,'ABC-S'!$A$5:$A$271,1,FALSE)), "", VLOOKUP($C415,'ABC-S'!$A$5:$A$271,1,FALSE)))</f>
        <v/>
      </c>
      <c r="W415" s="286" t="s">
        <v>988</v>
      </c>
      <c r="X415" s="286" t="s">
        <v>21</v>
      </c>
      <c r="Y415" s="286" t="s">
        <v>1513</v>
      </c>
      <c r="Z415" s="335" t="s">
        <v>21</v>
      </c>
      <c r="AA415" s="286" t="s">
        <v>21</v>
      </c>
      <c r="AB415" s="378"/>
      <c r="AC415" s="381">
        <v>88631</v>
      </c>
      <c r="AD415" s="378">
        <v>8.0000000000000004E-4</v>
      </c>
      <c r="AE415" s="378">
        <v>8.2899999999999991</v>
      </c>
      <c r="AF415" s="378">
        <v>6.6319999999999999E-3</v>
      </c>
      <c r="AG415" s="378"/>
      <c r="AI415" s="378">
        <v>0</v>
      </c>
      <c r="AJ415" s="378">
        <v>0</v>
      </c>
      <c r="AL415" s="286">
        <v>88631</v>
      </c>
      <c r="AM415" s="286"/>
    </row>
    <row r="416" spans="1:39" s="51" customFormat="1" ht="22.5" hidden="1" x14ac:dyDescent="0.25">
      <c r="A416" s="59" t="s">
        <v>988</v>
      </c>
      <c r="B416" s="59" t="s">
        <v>86</v>
      </c>
      <c r="C416" s="59"/>
      <c r="D416" s="59">
        <v>370</v>
      </c>
      <c r="E416" s="60" t="s">
        <v>99</v>
      </c>
      <c r="F416" s="59" t="s">
        <v>3670</v>
      </c>
      <c r="G416" s="61">
        <f>0.025*(0.69+0.0345)</f>
        <v>1.81125E-2</v>
      </c>
      <c r="H416" s="62">
        <v>87.5</v>
      </c>
      <c r="I416" s="62">
        <f t="shared" si="32"/>
        <v>1.5848437500000001</v>
      </c>
      <c r="J416" s="62"/>
      <c r="K416" s="62">
        <v>0</v>
      </c>
      <c r="L416" s="62">
        <v>0</v>
      </c>
      <c r="M416" s="62">
        <v>1.5848437500000001</v>
      </c>
      <c r="N416" s="62">
        <v>0</v>
      </c>
      <c r="O416" s="62">
        <v>0</v>
      </c>
      <c r="P416" s="298" t="s">
        <v>719</v>
      </c>
      <c r="Q416" s="60" t="s">
        <v>27</v>
      </c>
      <c r="R416" s="60" t="s">
        <v>312</v>
      </c>
      <c r="S416" s="286" t="str">
        <f t="shared" si="29"/>
        <v/>
      </c>
      <c r="T416" s="286" t="str">
        <f>IF($C416= "", T415, IF(ISNA(VLOOKUP($C416,'ABC-S'!$A$5:$A$271,1,FALSE)), "", VLOOKUP($C416,'ABC-S'!$A$5:$A$271,1,FALSE)))</f>
        <v/>
      </c>
      <c r="W416" s="286" t="s">
        <v>988</v>
      </c>
      <c r="X416" s="286" t="s">
        <v>21</v>
      </c>
      <c r="Y416" s="286" t="s">
        <v>21</v>
      </c>
      <c r="Z416" s="286" t="s">
        <v>21</v>
      </c>
      <c r="AA416" s="286" t="s">
        <v>21</v>
      </c>
      <c r="AB416" s="378"/>
      <c r="AC416" s="381" t="s">
        <v>21</v>
      </c>
      <c r="AD416" s="378" t="s">
        <v>21</v>
      </c>
      <c r="AE416" s="378" t="s">
        <v>21</v>
      </c>
      <c r="AF416" s="378" t="s">
        <v>21</v>
      </c>
      <c r="AG416" s="378"/>
      <c r="AI416" s="378" t="s">
        <v>21</v>
      </c>
      <c r="AJ416" s="378" t="s">
        <v>21</v>
      </c>
      <c r="AL416" s="286"/>
      <c r="AM416" s="286">
        <v>370</v>
      </c>
    </row>
    <row r="417" spans="1:39" s="51" customFormat="1" ht="22.5" hidden="1" x14ac:dyDescent="0.25">
      <c r="A417" s="59" t="s">
        <v>988</v>
      </c>
      <c r="B417" s="59" t="s">
        <v>86</v>
      </c>
      <c r="C417" s="59"/>
      <c r="D417" s="59">
        <v>4721</v>
      </c>
      <c r="E417" s="60" t="s">
        <v>100</v>
      </c>
      <c r="F417" s="59" t="s">
        <v>3670</v>
      </c>
      <c r="G417" s="61">
        <f>0.025*(0.34+0.017)</f>
        <v>8.9250000000000006E-3</v>
      </c>
      <c r="H417" s="62">
        <v>127.69</v>
      </c>
      <c r="I417" s="62">
        <f t="shared" si="32"/>
        <v>1.1396332500000002</v>
      </c>
      <c r="J417" s="62"/>
      <c r="K417" s="62">
        <v>0</v>
      </c>
      <c r="L417" s="62">
        <v>1.1396332500000002</v>
      </c>
      <c r="M417" s="62">
        <v>0</v>
      </c>
      <c r="N417" s="62">
        <v>0</v>
      </c>
      <c r="O417" s="62">
        <v>0</v>
      </c>
      <c r="P417" s="298" t="s">
        <v>89</v>
      </c>
      <c r="Q417" s="60" t="s">
        <v>27</v>
      </c>
      <c r="R417" s="60" t="s">
        <v>312</v>
      </c>
      <c r="S417" s="286" t="str">
        <f t="shared" si="29"/>
        <v/>
      </c>
      <c r="T417" s="286" t="str">
        <f>IF($C417= "", T416, IF(ISNA(VLOOKUP($C417,'ABC-S'!$A$5:$A$271,1,FALSE)), "", VLOOKUP($C417,'ABC-S'!$A$5:$A$271,1,FALSE)))</f>
        <v/>
      </c>
      <c r="W417" s="286" t="s">
        <v>988</v>
      </c>
      <c r="X417" s="286" t="s">
        <v>21</v>
      </c>
      <c r="Y417" s="286" t="s">
        <v>21</v>
      </c>
      <c r="Z417" s="286" t="s">
        <v>21</v>
      </c>
      <c r="AA417" s="286" t="s">
        <v>21</v>
      </c>
      <c r="AB417" s="378"/>
      <c r="AC417" s="381" t="s">
        <v>21</v>
      </c>
      <c r="AD417" s="378" t="s">
        <v>21</v>
      </c>
      <c r="AE417" s="378" t="s">
        <v>21</v>
      </c>
      <c r="AF417" s="378" t="s">
        <v>21</v>
      </c>
      <c r="AG417" s="378"/>
      <c r="AI417" s="378" t="s">
        <v>21</v>
      </c>
      <c r="AJ417" s="378" t="s">
        <v>21</v>
      </c>
      <c r="AL417" s="286"/>
      <c r="AM417" s="286">
        <v>4721</v>
      </c>
    </row>
    <row r="418" spans="1:39" s="51" customFormat="1" ht="22.5" hidden="1" x14ac:dyDescent="0.25">
      <c r="A418" s="59" t="s">
        <v>988</v>
      </c>
      <c r="B418" s="59" t="s">
        <v>86</v>
      </c>
      <c r="C418" s="59"/>
      <c r="D418" s="59">
        <v>4718</v>
      </c>
      <c r="E418" s="60" t="s">
        <v>102</v>
      </c>
      <c r="F418" s="59" t="s">
        <v>3670</v>
      </c>
      <c r="G418" s="61">
        <f>0.025*(0.34+0.017)</f>
        <v>8.9250000000000006E-3</v>
      </c>
      <c r="H418" s="62">
        <v>128.37</v>
      </c>
      <c r="I418" s="62">
        <f t="shared" si="32"/>
        <v>1.14570225</v>
      </c>
      <c r="J418" s="62"/>
      <c r="K418" s="62">
        <v>0</v>
      </c>
      <c r="L418" s="62">
        <v>1.14570225</v>
      </c>
      <c r="M418" s="62">
        <v>0</v>
      </c>
      <c r="N418" s="62">
        <v>0</v>
      </c>
      <c r="O418" s="62">
        <v>0</v>
      </c>
      <c r="P418" s="298" t="s">
        <v>89</v>
      </c>
      <c r="Q418" s="60" t="s">
        <v>27</v>
      </c>
      <c r="R418" s="60" t="s">
        <v>312</v>
      </c>
      <c r="S418" s="286" t="str">
        <f t="shared" si="29"/>
        <v/>
      </c>
      <c r="T418" s="286" t="str">
        <f>IF($C418= "", T417, IF(ISNA(VLOOKUP($C418,'ABC-S'!$A$5:$A$271,1,FALSE)), "", VLOOKUP($C418,'ABC-S'!$A$5:$A$271,1,FALSE)))</f>
        <v/>
      </c>
      <c r="W418" s="286" t="s">
        <v>988</v>
      </c>
      <c r="X418" s="286" t="s">
        <v>21</v>
      </c>
      <c r="Y418" s="286" t="s">
        <v>21</v>
      </c>
      <c r="Z418" s="286" t="s">
        <v>21</v>
      </c>
      <c r="AA418" s="286" t="s">
        <v>21</v>
      </c>
      <c r="AB418" s="378"/>
      <c r="AC418" s="381" t="s">
        <v>21</v>
      </c>
      <c r="AD418" s="378" t="s">
        <v>21</v>
      </c>
      <c r="AE418" s="378" t="s">
        <v>21</v>
      </c>
      <c r="AF418" s="378" t="s">
        <v>21</v>
      </c>
      <c r="AG418" s="378"/>
      <c r="AI418" s="378" t="s">
        <v>21</v>
      </c>
      <c r="AJ418" s="378" t="s">
        <v>21</v>
      </c>
      <c r="AL418" s="286"/>
      <c r="AM418" s="286">
        <v>4718</v>
      </c>
    </row>
    <row r="419" spans="1:39" s="51" customFormat="1" hidden="1" x14ac:dyDescent="0.25">
      <c r="A419" s="59" t="s">
        <v>988</v>
      </c>
      <c r="B419" s="59" t="s">
        <v>86</v>
      </c>
      <c r="C419" s="59"/>
      <c r="D419" s="59">
        <v>1379</v>
      </c>
      <c r="E419" s="60" t="s">
        <v>97</v>
      </c>
      <c r="F419" s="59" t="s">
        <v>3669</v>
      </c>
      <c r="G419" s="61">
        <f>0.025*(282+14.1)</f>
        <v>7.4025000000000007</v>
      </c>
      <c r="H419" s="62">
        <v>0.54</v>
      </c>
      <c r="I419" s="62">
        <f t="shared" si="32"/>
        <v>3.9973500000000008</v>
      </c>
      <c r="J419" s="62"/>
      <c r="K419" s="62">
        <v>0</v>
      </c>
      <c r="L419" s="62">
        <v>3.9973500000000008</v>
      </c>
      <c r="M419" s="62">
        <v>0</v>
      </c>
      <c r="N419" s="62">
        <v>0</v>
      </c>
      <c r="O419" s="62">
        <v>0</v>
      </c>
      <c r="P419" s="298" t="s">
        <v>89</v>
      </c>
      <c r="Q419" s="60" t="s">
        <v>27</v>
      </c>
      <c r="R419" s="60" t="s">
        <v>312</v>
      </c>
      <c r="S419" s="286" t="str">
        <f t="shared" si="29"/>
        <v/>
      </c>
      <c r="T419" s="286" t="str">
        <f>IF($C419= "", T418, IF(ISNA(VLOOKUP($C419,'ABC-S'!$A$5:$A$271,1,FALSE)), "", VLOOKUP($C419,'ABC-S'!$A$5:$A$271,1,FALSE)))</f>
        <v/>
      </c>
      <c r="W419" s="286" t="s">
        <v>988</v>
      </c>
      <c r="X419" s="286" t="s">
        <v>21</v>
      </c>
      <c r="Y419" s="286" t="s">
        <v>21</v>
      </c>
      <c r="Z419" s="286" t="s">
        <v>21</v>
      </c>
      <c r="AA419" s="286" t="s">
        <v>21</v>
      </c>
      <c r="AB419" s="378"/>
      <c r="AC419" s="381" t="s">
        <v>21</v>
      </c>
      <c r="AD419" s="378" t="s">
        <v>21</v>
      </c>
      <c r="AE419" s="378" t="s">
        <v>21</v>
      </c>
      <c r="AF419" s="378" t="s">
        <v>21</v>
      </c>
      <c r="AG419" s="378"/>
      <c r="AI419" s="378" t="s">
        <v>21</v>
      </c>
      <c r="AJ419" s="378" t="s">
        <v>21</v>
      </c>
      <c r="AL419" s="286"/>
      <c r="AM419" s="286">
        <v>1379</v>
      </c>
    </row>
    <row r="420" spans="1:39" s="51" customFormat="1" ht="33.75" hidden="1" x14ac:dyDescent="0.25">
      <c r="A420" s="59" t="s">
        <v>988</v>
      </c>
      <c r="B420" s="59" t="s">
        <v>87</v>
      </c>
      <c r="C420" s="59"/>
      <c r="D420" s="59">
        <v>96533</v>
      </c>
      <c r="E420" s="60" t="s">
        <v>584</v>
      </c>
      <c r="F420" s="59" t="s">
        <v>51</v>
      </c>
      <c r="G420" s="61">
        <v>0.5</v>
      </c>
      <c r="H420" s="62">
        <v>101.54</v>
      </c>
      <c r="I420" s="62">
        <f t="shared" si="32"/>
        <v>50.77</v>
      </c>
      <c r="J420" s="62"/>
      <c r="K420" s="62">
        <v>15.275</v>
      </c>
      <c r="L420" s="62">
        <v>35.465000000000003</v>
      </c>
      <c r="M420" s="62">
        <v>0</v>
      </c>
      <c r="N420" s="62">
        <v>0</v>
      </c>
      <c r="O420" s="62">
        <v>3.0000000000001137E-2</v>
      </c>
      <c r="P420" s="298" t="s">
        <v>4160</v>
      </c>
      <c r="Q420" s="60" t="s">
        <v>27</v>
      </c>
      <c r="R420" s="60" t="s">
        <v>312</v>
      </c>
      <c r="S420" s="286" t="str">
        <f t="shared" si="29"/>
        <v/>
      </c>
      <c r="T420" s="286" t="str">
        <f>IF($C420= "", T419, IF(ISNA(VLOOKUP($C420,'ABC-S'!$A$5:$A$271,1,FALSE)), "", VLOOKUP($C420,'ABC-S'!$A$5:$A$271,1,FALSE)))</f>
        <v/>
      </c>
      <c r="W420" s="286" t="s">
        <v>988</v>
      </c>
      <c r="X420" s="286" t="s">
        <v>21</v>
      </c>
      <c r="Y420" s="286" t="s">
        <v>1513</v>
      </c>
      <c r="Z420" s="335" t="s">
        <v>21</v>
      </c>
      <c r="AA420" s="286" t="s">
        <v>21</v>
      </c>
      <c r="AB420" s="378"/>
      <c r="AC420" s="381">
        <v>96533</v>
      </c>
      <c r="AD420" s="378">
        <v>0.5</v>
      </c>
      <c r="AE420" s="378">
        <v>1.849</v>
      </c>
      <c r="AF420" s="378">
        <v>0.92449999999999999</v>
      </c>
      <c r="AG420" s="378"/>
      <c r="AI420" s="378">
        <v>0</v>
      </c>
      <c r="AJ420" s="378">
        <v>0</v>
      </c>
      <c r="AL420" s="286">
        <v>96533</v>
      </c>
      <c r="AM420" s="286"/>
    </row>
    <row r="421" spans="1:39" s="51" customFormat="1" ht="22.5" hidden="1" x14ac:dyDescent="0.25">
      <c r="A421" s="55" t="s">
        <v>992</v>
      </c>
      <c r="B421" s="55" t="s">
        <v>138</v>
      </c>
      <c r="C421" s="55" t="s">
        <v>992</v>
      </c>
      <c r="D421" s="55"/>
      <c r="E421" s="56" t="s">
        <v>993</v>
      </c>
      <c r="F421" s="55" t="s">
        <v>51</v>
      </c>
      <c r="G421" s="57"/>
      <c r="H421" s="58"/>
      <c r="I421" s="58"/>
      <c r="J421" s="58">
        <f>SUM(I421:I424)</f>
        <v>18.50704</v>
      </c>
      <c r="K421" s="58">
        <v>1.56464</v>
      </c>
      <c r="L421" s="58">
        <v>16.936520000000002</v>
      </c>
      <c r="M421" s="58">
        <v>5.8799999999999998E-3</v>
      </c>
      <c r="N421" s="58">
        <v>0</v>
      </c>
      <c r="O421" s="58">
        <v>-4.4408920985006262E-16</v>
      </c>
      <c r="P421" s="58"/>
      <c r="Q421" s="56"/>
      <c r="R421" s="56" t="s">
        <v>994</v>
      </c>
      <c r="S421" s="286" t="str">
        <f t="shared" si="29"/>
        <v/>
      </c>
      <c r="T421" s="286" t="str">
        <f>IF($C421= "", T420, IF(ISNA(VLOOKUP($C421,'ABC-S'!$A$5:$A$271,1,FALSE)), "", VLOOKUP($C421,'ABC-S'!$A$5:$A$271,1,FALSE)))</f>
        <v/>
      </c>
      <c r="W421" s="286" t="s">
        <v>992</v>
      </c>
      <c r="X421" s="286"/>
      <c r="Y421" s="286"/>
      <c r="Z421" s="286"/>
      <c r="AA421" s="286" t="s">
        <v>21</v>
      </c>
      <c r="AB421" s="378">
        <v>8.7999999999999995E-2</v>
      </c>
      <c r="AC421" s="378"/>
      <c r="AD421" s="335"/>
      <c r="AE421" s="335"/>
      <c r="AF421" s="335"/>
      <c r="AG421" s="378">
        <v>8.7999999999999995E-2</v>
      </c>
      <c r="AI421" s="378" t="s">
        <v>21</v>
      </c>
      <c r="AJ421" s="378" t="s">
        <v>21</v>
      </c>
      <c r="AL421" s="286"/>
      <c r="AM421" s="286"/>
    </row>
    <row r="422" spans="1:39" s="51" customFormat="1" ht="22.5" hidden="1" x14ac:dyDescent="0.25">
      <c r="A422" s="59" t="s">
        <v>992</v>
      </c>
      <c r="B422" s="59" t="s">
        <v>86</v>
      </c>
      <c r="C422" s="59"/>
      <c r="D422" s="59">
        <v>43146</v>
      </c>
      <c r="E422" s="60" t="s">
        <v>695</v>
      </c>
      <c r="F422" s="59" t="s">
        <v>3669</v>
      </c>
      <c r="G422" s="61">
        <v>2</v>
      </c>
      <c r="H422" s="62">
        <v>8.17</v>
      </c>
      <c r="I422" s="62">
        <f>IF($D422="","",G422*H422)</f>
        <v>16.34</v>
      </c>
      <c r="J422" s="62"/>
      <c r="K422" s="62">
        <v>0</v>
      </c>
      <c r="L422" s="62">
        <v>16.34</v>
      </c>
      <c r="M422" s="62">
        <v>0</v>
      </c>
      <c r="N422" s="62">
        <v>0</v>
      </c>
      <c r="O422" s="62">
        <v>0</v>
      </c>
      <c r="P422" s="298" t="s">
        <v>89</v>
      </c>
      <c r="Q422" s="60" t="s">
        <v>27</v>
      </c>
      <c r="R422" s="60" t="s">
        <v>995</v>
      </c>
      <c r="S422" s="286" t="str">
        <f t="shared" si="29"/>
        <v/>
      </c>
      <c r="T422" s="286" t="str">
        <f>IF($C422= "", T421, IF(ISNA(VLOOKUP($C422,'ABC-S'!$A$5:$A$271,1,FALSE)), "", VLOOKUP($C422,'ABC-S'!$A$5:$A$271,1,FALSE)))</f>
        <v/>
      </c>
      <c r="W422" s="286" t="s">
        <v>992</v>
      </c>
      <c r="X422" s="286" t="s">
        <v>21</v>
      </c>
      <c r="Y422" s="286" t="s">
        <v>21</v>
      </c>
      <c r="Z422" s="286" t="s">
        <v>21</v>
      </c>
      <c r="AA422" s="286" t="s">
        <v>21</v>
      </c>
      <c r="AB422" s="378"/>
      <c r="AC422" s="381" t="s">
        <v>21</v>
      </c>
      <c r="AD422" s="378" t="s">
        <v>21</v>
      </c>
      <c r="AE422" s="378" t="s">
        <v>21</v>
      </c>
      <c r="AF422" s="378" t="s">
        <v>21</v>
      </c>
      <c r="AG422" s="378"/>
      <c r="AI422" s="378" t="s">
        <v>21</v>
      </c>
      <c r="AJ422" s="378" t="s">
        <v>21</v>
      </c>
      <c r="AL422" s="286"/>
      <c r="AM422" s="286">
        <v>43146</v>
      </c>
    </row>
    <row r="423" spans="1:39" s="51" customFormat="1" hidden="1" x14ac:dyDescent="0.25">
      <c r="A423" s="59" t="s">
        <v>992</v>
      </c>
      <c r="B423" s="59" t="s">
        <v>87</v>
      </c>
      <c r="C423" s="248"/>
      <c r="D423" s="59">
        <v>88309</v>
      </c>
      <c r="E423" s="60" t="s">
        <v>617</v>
      </c>
      <c r="F423" s="59" t="s">
        <v>46</v>
      </c>
      <c r="G423" s="61">
        <v>8.7999999999999995E-2</v>
      </c>
      <c r="H423" s="62">
        <v>23.9</v>
      </c>
      <c r="I423" s="62">
        <f>IF($D423="","",G423*H423)</f>
        <v>2.1031999999999997</v>
      </c>
      <c r="J423" s="62"/>
      <c r="K423" s="62">
        <v>1.56464</v>
      </c>
      <c r="L423" s="62">
        <v>0.53855999999999993</v>
      </c>
      <c r="M423" s="62">
        <v>0</v>
      </c>
      <c r="N423" s="62">
        <v>0</v>
      </c>
      <c r="O423" s="62">
        <v>-4.4408920985006262E-16</v>
      </c>
      <c r="P423" s="298" t="s">
        <v>4160</v>
      </c>
      <c r="Q423" s="60" t="s">
        <v>27</v>
      </c>
      <c r="R423" s="60" t="s">
        <v>27</v>
      </c>
      <c r="S423" s="286" t="str">
        <f t="shared" si="29"/>
        <v/>
      </c>
      <c r="T423" s="286" t="str">
        <f>IF($C423= "", T422, IF(ISNA(VLOOKUP($C423,'ABC-S'!$A$5:$A$271,1,FALSE)), "", VLOOKUP($C423,'ABC-S'!$A$5:$A$271,1,FALSE)))</f>
        <v/>
      </c>
      <c r="W423" s="286" t="s">
        <v>992</v>
      </c>
      <c r="X423" s="286">
        <v>88309</v>
      </c>
      <c r="Y423" s="286" t="s">
        <v>424</v>
      </c>
      <c r="Z423" s="335">
        <v>0</v>
      </c>
      <c r="AA423" s="286">
        <v>8.7999999999999995E-2</v>
      </c>
      <c r="AB423" s="378"/>
      <c r="AC423" s="381" t="s">
        <v>21</v>
      </c>
      <c r="AD423" s="378" t="s">
        <v>21</v>
      </c>
      <c r="AE423" s="378" t="s">
        <v>21</v>
      </c>
      <c r="AF423" s="378" t="s">
        <v>21</v>
      </c>
      <c r="AG423" s="378"/>
      <c r="AI423" s="378">
        <v>0</v>
      </c>
      <c r="AJ423" s="378">
        <v>0</v>
      </c>
      <c r="AL423" s="286">
        <v>88309</v>
      </c>
      <c r="AM423" s="286"/>
    </row>
    <row r="424" spans="1:39" s="51" customFormat="1" ht="33.75" hidden="1" x14ac:dyDescent="0.25">
      <c r="A424" s="59" t="s">
        <v>992</v>
      </c>
      <c r="B424" s="59" t="s">
        <v>87</v>
      </c>
      <c r="C424" s="59"/>
      <c r="D424" s="59">
        <v>95282</v>
      </c>
      <c r="E424" s="60" t="s">
        <v>553</v>
      </c>
      <c r="F424" s="59" t="s">
        <v>76</v>
      </c>
      <c r="G424" s="61">
        <v>7.0000000000000001E-3</v>
      </c>
      <c r="H424" s="62">
        <v>9.1199999999999992</v>
      </c>
      <c r="I424" s="62">
        <f>IF($D424="","",G424*H424)</f>
        <v>6.3839999999999994E-2</v>
      </c>
      <c r="J424" s="62"/>
      <c r="K424" s="62">
        <v>0</v>
      </c>
      <c r="L424" s="62">
        <v>5.7959999999999998E-2</v>
      </c>
      <c r="M424" s="62">
        <v>5.8799999999999998E-3</v>
      </c>
      <c r="N424" s="62">
        <v>0</v>
      </c>
      <c r="O424" s="62">
        <v>0</v>
      </c>
      <c r="P424" s="298" t="s">
        <v>4160</v>
      </c>
      <c r="Q424" s="60" t="s">
        <v>27</v>
      </c>
      <c r="R424" s="60" t="s">
        <v>27</v>
      </c>
      <c r="S424" s="286" t="str">
        <f t="shared" si="29"/>
        <v/>
      </c>
      <c r="T424" s="286" t="str">
        <f>IF($C424= "", T423, IF(ISNA(VLOOKUP($C424,'ABC-S'!$A$5:$A$271,1,FALSE)), "", VLOOKUP($C424,'ABC-S'!$A$5:$A$271,1,FALSE)))</f>
        <v/>
      </c>
      <c r="W424" s="286" t="s">
        <v>992</v>
      </c>
      <c r="X424" s="286" t="s">
        <v>21</v>
      </c>
      <c r="Y424" s="286" t="s">
        <v>423</v>
      </c>
      <c r="Z424" s="335" t="s">
        <v>21</v>
      </c>
      <c r="AA424" s="286" t="s">
        <v>21</v>
      </c>
      <c r="AB424" s="378"/>
      <c r="AC424" s="381">
        <v>95282</v>
      </c>
      <c r="AD424" s="378">
        <v>7.0000000000000001E-3</v>
      </c>
      <c r="AE424" s="378">
        <v>0</v>
      </c>
      <c r="AF424" s="378">
        <v>0</v>
      </c>
      <c r="AG424" s="378"/>
      <c r="AI424" s="378">
        <v>0</v>
      </c>
      <c r="AJ424" s="378">
        <v>0</v>
      </c>
      <c r="AL424" s="286">
        <v>95282</v>
      </c>
      <c r="AM424" s="286"/>
    </row>
    <row r="425" spans="1:39" s="51" customFormat="1" ht="56.25" hidden="1" x14ac:dyDescent="0.25">
      <c r="A425" s="55" t="s">
        <v>1008</v>
      </c>
      <c r="B425" s="55" t="s">
        <v>138</v>
      </c>
      <c r="C425" s="55" t="s">
        <v>1008</v>
      </c>
      <c r="D425" s="55"/>
      <c r="E425" s="56" t="s">
        <v>1286</v>
      </c>
      <c r="F425" s="55" t="s">
        <v>51</v>
      </c>
      <c r="G425" s="57"/>
      <c r="H425" s="58"/>
      <c r="I425" s="58"/>
      <c r="J425" s="58">
        <f>SUM(I425:I431)</f>
        <v>101.02573500000001</v>
      </c>
      <c r="K425" s="58">
        <v>2.683875</v>
      </c>
      <c r="L425" s="58">
        <v>93.816809000000006</v>
      </c>
      <c r="M425" s="58">
        <v>4.4834510000000005</v>
      </c>
      <c r="N425" s="58">
        <v>0</v>
      </c>
      <c r="O425" s="58">
        <v>4.1600000000000859E-2</v>
      </c>
      <c r="P425" s="58"/>
      <c r="Q425" s="56"/>
      <c r="R425" s="56" t="s">
        <v>137</v>
      </c>
      <c r="S425" s="286" t="str">
        <f t="shared" si="29"/>
        <v/>
      </c>
      <c r="T425" s="286" t="str">
        <f>IF($C425= "", T424, IF(ISNA(VLOOKUP($C425,'ABC-S'!$A$5:$A$271,1,FALSE)), "", VLOOKUP($C425,'ABC-S'!$A$5:$A$271,1,FALSE)))</f>
        <v/>
      </c>
      <c r="W425" s="286" t="s">
        <v>1008</v>
      </c>
      <c r="X425" s="286"/>
      <c r="Y425" s="286"/>
      <c r="Z425" s="286"/>
      <c r="AA425" s="286" t="s">
        <v>21</v>
      </c>
      <c r="AB425" s="378">
        <v>0</v>
      </c>
      <c r="AC425" s="378"/>
      <c r="AD425" s="335"/>
      <c r="AE425" s="335"/>
      <c r="AF425" s="335"/>
      <c r="AG425" s="378">
        <v>0.19734299999999999</v>
      </c>
      <c r="AI425" s="378" t="s">
        <v>21</v>
      </c>
      <c r="AJ425" s="378" t="s">
        <v>21</v>
      </c>
      <c r="AL425" s="286"/>
      <c r="AM425" s="286"/>
    </row>
    <row r="426" spans="1:39" s="51" customFormat="1" ht="22.5" hidden="1" x14ac:dyDescent="0.25">
      <c r="A426" s="59" t="s">
        <v>1008</v>
      </c>
      <c r="B426" s="59" t="s">
        <v>87</v>
      </c>
      <c r="C426" s="59"/>
      <c r="D426" s="59">
        <v>100577</v>
      </c>
      <c r="E426" s="60" t="s">
        <v>635</v>
      </c>
      <c r="F426" s="59" t="s">
        <v>51</v>
      </c>
      <c r="G426" s="61">
        <v>1</v>
      </c>
      <c r="H426" s="62">
        <v>0.77</v>
      </c>
      <c r="I426" s="62">
        <f t="shared" ref="I426:I431" si="33">IF($D426="","",G426*H426)</f>
        <v>0.77</v>
      </c>
      <c r="J426" s="62"/>
      <c r="K426" s="62">
        <v>0.18</v>
      </c>
      <c r="L426" s="62">
        <v>0.23</v>
      </c>
      <c r="M426" s="62">
        <v>0.36</v>
      </c>
      <c r="N426" s="62">
        <v>0</v>
      </c>
      <c r="O426" s="62">
        <v>0</v>
      </c>
      <c r="P426" s="298" t="s">
        <v>4160</v>
      </c>
      <c r="Q426" s="60" t="s">
        <v>27</v>
      </c>
      <c r="R426" s="60" t="s">
        <v>138</v>
      </c>
      <c r="S426" s="286" t="str">
        <f t="shared" si="29"/>
        <v/>
      </c>
      <c r="T426" s="286" t="str">
        <f>IF($C426= "", T425, IF(ISNA(VLOOKUP($C426,'ABC-S'!$A$5:$A$271,1,FALSE)), "", VLOOKUP($C426,'ABC-S'!$A$5:$A$271,1,FALSE)))</f>
        <v/>
      </c>
      <c r="W426" s="286" t="s">
        <v>1008</v>
      </c>
      <c r="X426" s="286" t="s">
        <v>21</v>
      </c>
      <c r="Y426" s="286" t="s">
        <v>1513</v>
      </c>
      <c r="Z426" s="335" t="s">
        <v>21</v>
      </c>
      <c r="AA426" s="286" t="s">
        <v>21</v>
      </c>
      <c r="AB426" s="378"/>
      <c r="AC426" s="381">
        <v>100577</v>
      </c>
      <c r="AD426" s="378">
        <v>1</v>
      </c>
      <c r="AE426" s="378">
        <v>1.21E-2</v>
      </c>
      <c r="AF426" s="378">
        <v>1.21E-2</v>
      </c>
      <c r="AG426" s="378"/>
      <c r="AI426" s="378">
        <v>0</v>
      </c>
      <c r="AJ426" s="378">
        <v>0</v>
      </c>
      <c r="AL426" s="286">
        <v>100577</v>
      </c>
      <c r="AM426" s="286"/>
    </row>
    <row r="427" spans="1:39" s="51" customFormat="1" ht="45" hidden="1" x14ac:dyDescent="0.25">
      <c r="A427" s="59" t="s">
        <v>1008</v>
      </c>
      <c r="B427" s="59" t="s">
        <v>87</v>
      </c>
      <c r="C427" s="59"/>
      <c r="D427" s="59">
        <v>96390</v>
      </c>
      <c r="E427" s="60" t="s">
        <v>579</v>
      </c>
      <c r="F427" s="59" t="s">
        <v>44</v>
      </c>
      <c r="G427" s="61">
        <f>G426*0.16</f>
        <v>0.16</v>
      </c>
      <c r="H427" s="62">
        <v>60.58</v>
      </c>
      <c r="I427" s="62">
        <f t="shared" si="33"/>
        <v>9.6928000000000001</v>
      </c>
      <c r="J427" s="62"/>
      <c r="K427" s="62">
        <v>0.46399999999999997</v>
      </c>
      <c r="L427" s="62">
        <v>8.5888000000000009</v>
      </c>
      <c r="M427" s="62">
        <v>0.64</v>
      </c>
      <c r="N427" s="62">
        <v>0</v>
      </c>
      <c r="O427" s="62">
        <v>-1.7763568394002505E-15</v>
      </c>
      <c r="P427" s="298" t="s">
        <v>4160</v>
      </c>
      <c r="Q427" s="60" t="s">
        <v>27</v>
      </c>
      <c r="R427" s="60" t="s">
        <v>138</v>
      </c>
      <c r="S427" s="286" t="str">
        <f t="shared" si="29"/>
        <v/>
      </c>
      <c r="T427" s="286" t="str">
        <f>IF($C427= "", T426, IF(ISNA(VLOOKUP($C427,'ABC-S'!$A$5:$A$271,1,FALSE)), "", VLOOKUP($C427,'ABC-S'!$A$5:$A$271,1,FALSE)))</f>
        <v/>
      </c>
      <c r="W427" s="286" t="s">
        <v>1008</v>
      </c>
      <c r="X427" s="286" t="s">
        <v>21</v>
      </c>
      <c r="Y427" s="286" t="s">
        <v>1513</v>
      </c>
      <c r="Z427" s="335" t="s">
        <v>21</v>
      </c>
      <c r="AA427" s="286" t="s">
        <v>21</v>
      </c>
      <c r="AB427" s="378"/>
      <c r="AC427" s="381">
        <v>96390</v>
      </c>
      <c r="AD427" s="378">
        <v>0.16</v>
      </c>
      <c r="AE427" s="378">
        <v>0.22000000000000003</v>
      </c>
      <c r="AF427" s="378">
        <v>3.5200000000000002E-2</v>
      </c>
      <c r="AG427" s="378"/>
      <c r="AI427" s="378">
        <v>0</v>
      </c>
      <c r="AJ427" s="378">
        <v>0</v>
      </c>
      <c r="AL427" s="286">
        <v>96390</v>
      </c>
      <c r="AM427" s="286"/>
    </row>
    <row r="428" spans="1:39" s="51" customFormat="1" ht="33.75" hidden="1" x14ac:dyDescent="0.25">
      <c r="A428" s="59" t="s">
        <v>1008</v>
      </c>
      <c r="B428" s="59" t="s">
        <v>87</v>
      </c>
      <c r="C428" s="59"/>
      <c r="D428" s="59">
        <v>96396</v>
      </c>
      <c r="E428" s="60" t="s">
        <v>576</v>
      </c>
      <c r="F428" s="59" t="s">
        <v>44</v>
      </c>
      <c r="G428" s="61">
        <f>G426*0.16</f>
        <v>0.16</v>
      </c>
      <c r="H428" s="62">
        <v>207.59</v>
      </c>
      <c r="I428" s="62">
        <f t="shared" si="33"/>
        <v>33.214399999999998</v>
      </c>
      <c r="J428" s="62"/>
      <c r="K428" s="62">
        <v>0.50560000000000005</v>
      </c>
      <c r="L428" s="62">
        <v>31.76</v>
      </c>
      <c r="M428" s="62">
        <v>0.90720000000000001</v>
      </c>
      <c r="N428" s="62">
        <v>0</v>
      </c>
      <c r="O428" s="62">
        <v>4.1599999999995418E-2</v>
      </c>
      <c r="P428" s="298" t="s">
        <v>4160</v>
      </c>
      <c r="Q428" s="60" t="s">
        <v>27</v>
      </c>
      <c r="R428" s="60" t="s">
        <v>138</v>
      </c>
      <c r="S428" s="286" t="str">
        <f t="shared" si="29"/>
        <v/>
      </c>
      <c r="T428" s="286" t="str">
        <f>IF($C428= "", T427, IF(ISNA(VLOOKUP($C428,'ABC-S'!$A$5:$A$271,1,FALSE)), "", VLOOKUP($C428,'ABC-S'!$A$5:$A$271,1,FALSE)))</f>
        <v/>
      </c>
      <c r="W428" s="286" t="s">
        <v>1008</v>
      </c>
      <c r="X428" s="286" t="s">
        <v>21</v>
      </c>
      <c r="Y428" s="286" t="s">
        <v>1513</v>
      </c>
      <c r="Z428" s="335" t="s">
        <v>21</v>
      </c>
      <c r="AA428" s="286" t="s">
        <v>21</v>
      </c>
      <c r="AB428" s="378"/>
      <c r="AC428" s="381">
        <v>96396</v>
      </c>
      <c r="AD428" s="378">
        <v>0.16</v>
      </c>
      <c r="AE428" s="378">
        <v>0.17430000000000001</v>
      </c>
      <c r="AF428" s="378">
        <v>2.7888000000000003E-2</v>
      </c>
      <c r="AG428" s="378"/>
      <c r="AI428" s="378">
        <v>0</v>
      </c>
      <c r="AJ428" s="378">
        <v>0</v>
      </c>
      <c r="AL428" s="286">
        <v>96396</v>
      </c>
      <c r="AM428" s="286"/>
    </row>
    <row r="429" spans="1:39" s="51" customFormat="1" ht="22.5" hidden="1" x14ac:dyDescent="0.25">
      <c r="A429" s="59" t="s">
        <v>1008</v>
      </c>
      <c r="B429" s="59" t="s">
        <v>87</v>
      </c>
      <c r="C429" s="59"/>
      <c r="D429" s="59" t="s">
        <v>949</v>
      </c>
      <c r="E429" s="60" t="s">
        <v>3346</v>
      </c>
      <c r="F429" s="59" t="s">
        <v>51</v>
      </c>
      <c r="G429" s="61">
        <f>G426</f>
        <v>1</v>
      </c>
      <c r="H429" s="62">
        <v>0.95611000000000002</v>
      </c>
      <c r="I429" s="62">
        <f t="shared" si="33"/>
        <v>0.95611000000000002</v>
      </c>
      <c r="J429" s="62"/>
      <c r="K429" s="62">
        <v>0.23664000000000002</v>
      </c>
      <c r="L429" s="62">
        <v>0.44495999999999997</v>
      </c>
      <c r="M429" s="62">
        <v>0.27451000000000003</v>
      </c>
      <c r="N429" s="62">
        <v>0</v>
      </c>
      <c r="O429" s="62">
        <v>0</v>
      </c>
      <c r="P429" s="298" t="s">
        <v>4160</v>
      </c>
      <c r="Q429" s="60" t="s">
        <v>27</v>
      </c>
      <c r="R429" s="60" t="s">
        <v>138</v>
      </c>
      <c r="S429" s="286" t="str">
        <f t="shared" si="29"/>
        <v/>
      </c>
      <c r="T429" s="286" t="str">
        <f>IF($C429= "", T428, IF(ISNA(VLOOKUP($C429,'ABC-S'!$A$5:$A$271,1,FALSE)), "", VLOOKUP($C429,'ABC-S'!$A$5:$A$271,1,FALSE)))</f>
        <v/>
      </c>
      <c r="W429" s="286" t="s">
        <v>1008</v>
      </c>
      <c r="X429" s="286" t="s">
        <v>21</v>
      </c>
      <c r="Y429" s="286" t="s">
        <v>1513</v>
      </c>
      <c r="Z429" s="335" t="s">
        <v>21</v>
      </c>
      <c r="AA429" s="286" t="s">
        <v>21</v>
      </c>
      <c r="AB429" s="378"/>
      <c r="AC429" s="381" t="s">
        <v>949</v>
      </c>
      <c r="AD429" s="378">
        <v>1</v>
      </c>
      <c r="AE429" s="378">
        <v>1.8000000000000002E-2</v>
      </c>
      <c r="AF429" s="378">
        <v>1.8000000000000002E-2</v>
      </c>
      <c r="AG429" s="378"/>
      <c r="AI429" s="378" t="s">
        <v>21</v>
      </c>
      <c r="AJ429" s="378" t="s">
        <v>21</v>
      </c>
      <c r="AL429" s="286" t="s">
        <v>949</v>
      </c>
      <c r="AM429" s="286"/>
    </row>
    <row r="430" spans="1:39" s="51" customFormat="1" ht="22.5" hidden="1" x14ac:dyDescent="0.25">
      <c r="A430" s="59" t="s">
        <v>1008</v>
      </c>
      <c r="B430" s="59" t="s">
        <v>87</v>
      </c>
      <c r="C430" s="59"/>
      <c r="D430" s="59" t="s">
        <v>978</v>
      </c>
      <c r="E430" s="60" t="s">
        <v>981</v>
      </c>
      <c r="F430" s="59" t="s">
        <v>51</v>
      </c>
      <c r="G430" s="61">
        <f>G426</f>
        <v>1</v>
      </c>
      <c r="H430" s="62">
        <v>0.75842500000000002</v>
      </c>
      <c r="I430" s="62">
        <f t="shared" si="33"/>
        <v>0.75842500000000002</v>
      </c>
      <c r="J430" s="62"/>
      <c r="K430" s="62">
        <v>0.22363499999999997</v>
      </c>
      <c r="L430" s="62">
        <v>0.293049</v>
      </c>
      <c r="M430" s="62">
        <v>0.24174099999999998</v>
      </c>
      <c r="N430" s="62">
        <v>0</v>
      </c>
      <c r="O430" s="62">
        <v>1.1102230246251565E-16</v>
      </c>
      <c r="P430" s="298" t="s">
        <v>4160</v>
      </c>
      <c r="Q430" s="60" t="s">
        <v>27</v>
      </c>
      <c r="R430" s="60" t="s">
        <v>138</v>
      </c>
      <c r="S430" s="286" t="str">
        <f t="shared" si="29"/>
        <v/>
      </c>
      <c r="T430" s="286" t="str">
        <f>IF($C430= "", T429, IF(ISNA(VLOOKUP($C430,'ABC-S'!$A$5:$A$271,1,FALSE)), "", VLOOKUP($C430,'ABC-S'!$A$5:$A$271,1,FALSE)))</f>
        <v/>
      </c>
      <c r="W430" s="286" t="s">
        <v>1008</v>
      </c>
      <c r="X430" s="286" t="s">
        <v>21</v>
      </c>
      <c r="Y430" s="286" t="s">
        <v>1513</v>
      </c>
      <c r="Z430" s="335" t="s">
        <v>21</v>
      </c>
      <c r="AA430" s="286" t="s">
        <v>21</v>
      </c>
      <c r="AB430" s="378"/>
      <c r="AC430" s="381" t="s">
        <v>978</v>
      </c>
      <c r="AD430" s="378">
        <v>1</v>
      </c>
      <c r="AE430" s="378">
        <v>1.7099999999999997E-2</v>
      </c>
      <c r="AF430" s="378">
        <v>1.7099999999999997E-2</v>
      </c>
      <c r="AG430" s="378"/>
      <c r="AI430" s="378" t="s">
        <v>21</v>
      </c>
      <c r="AJ430" s="378" t="s">
        <v>21</v>
      </c>
      <c r="AL430" s="286" t="s">
        <v>978</v>
      </c>
      <c r="AM430" s="286"/>
    </row>
    <row r="431" spans="1:39" s="51" customFormat="1" ht="33.75" hidden="1" x14ac:dyDescent="0.25">
      <c r="A431" s="59" t="s">
        <v>1008</v>
      </c>
      <c r="B431" s="59" t="s">
        <v>87</v>
      </c>
      <c r="C431" s="59"/>
      <c r="D431" s="59">
        <v>95995</v>
      </c>
      <c r="E431" s="60" t="s">
        <v>572</v>
      </c>
      <c r="F431" s="59" t="s">
        <v>44</v>
      </c>
      <c r="G431" s="61">
        <f>G426*0.05</f>
        <v>0.05</v>
      </c>
      <c r="H431" s="62">
        <v>1112.68</v>
      </c>
      <c r="I431" s="62">
        <f t="shared" si="33"/>
        <v>55.634000000000007</v>
      </c>
      <c r="J431" s="62"/>
      <c r="K431" s="62">
        <v>1.0740000000000001</v>
      </c>
      <c r="L431" s="62">
        <v>52.5</v>
      </c>
      <c r="M431" s="62">
        <v>2.06</v>
      </c>
      <c r="N431" s="62">
        <v>0</v>
      </c>
      <c r="O431" s="62">
        <v>7.1054273576010019E-15</v>
      </c>
      <c r="P431" s="298" t="s">
        <v>4160</v>
      </c>
      <c r="Q431" s="60" t="s">
        <v>27</v>
      </c>
      <c r="R431" s="60" t="s">
        <v>138</v>
      </c>
      <c r="S431" s="286" t="str">
        <f t="shared" si="29"/>
        <v/>
      </c>
      <c r="T431" s="286" t="str">
        <f>IF($C431= "", T430, IF(ISNA(VLOOKUP($C431,'ABC-S'!$A$5:$A$271,1,FALSE)), "", VLOOKUP($C431,'ABC-S'!$A$5:$A$271,1,FALSE)))</f>
        <v/>
      </c>
      <c r="W431" s="286" t="s">
        <v>1008</v>
      </c>
      <c r="X431" s="286" t="s">
        <v>21</v>
      </c>
      <c r="Y431" s="286" t="s">
        <v>1513</v>
      </c>
      <c r="Z431" s="335" t="s">
        <v>21</v>
      </c>
      <c r="AA431" s="286" t="s">
        <v>21</v>
      </c>
      <c r="AB431" s="378"/>
      <c r="AC431" s="381">
        <v>95995</v>
      </c>
      <c r="AD431" s="378">
        <v>0.05</v>
      </c>
      <c r="AE431" s="378">
        <v>1.7411000000000001</v>
      </c>
      <c r="AF431" s="378">
        <v>8.7055000000000007E-2</v>
      </c>
      <c r="AG431" s="378"/>
      <c r="AI431" s="378">
        <v>0</v>
      </c>
      <c r="AJ431" s="378">
        <v>0</v>
      </c>
      <c r="AL431" s="286">
        <v>95995</v>
      </c>
      <c r="AM431" s="286"/>
    </row>
    <row r="432" spans="1:39" s="51" customFormat="1" ht="45" hidden="1" x14ac:dyDescent="0.25">
      <c r="A432" s="55" t="s">
        <v>1009</v>
      </c>
      <c r="B432" s="55" t="s">
        <v>138</v>
      </c>
      <c r="C432" s="55" t="s">
        <v>1009</v>
      </c>
      <c r="D432" s="55"/>
      <c r="E432" s="56" t="s">
        <v>1287</v>
      </c>
      <c r="F432" s="55" t="s">
        <v>51</v>
      </c>
      <c r="G432" s="57"/>
      <c r="H432" s="58"/>
      <c r="I432" s="58"/>
      <c r="J432" s="58">
        <f>SUM(I432:I434)</f>
        <v>108.3283</v>
      </c>
      <c r="K432" s="58">
        <v>9.9984000000000002</v>
      </c>
      <c r="L432" s="58">
        <v>98.329000000000008</v>
      </c>
      <c r="M432" s="58">
        <v>8.9999999999999998E-4</v>
      </c>
      <c r="N432" s="58">
        <v>0</v>
      </c>
      <c r="O432" s="58">
        <v>0</v>
      </c>
      <c r="P432" s="58"/>
      <c r="Q432" s="56"/>
      <c r="R432" s="56" t="s">
        <v>137</v>
      </c>
      <c r="S432" s="286" t="str">
        <f t="shared" si="29"/>
        <v/>
      </c>
      <c r="T432" s="286" t="str">
        <f>IF($C432= "", T431, IF(ISNA(VLOOKUP($C432,'ABC-S'!$A$5:$A$271,1,FALSE)), "", VLOOKUP($C432,'ABC-S'!$A$5:$A$271,1,FALSE)))</f>
        <v/>
      </c>
      <c r="W432" s="286" t="s">
        <v>1009</v>
      </c>
      <c r="X432" s="286"/>
      <c r="Y432" s="286"/>
      <c r="Z432" s="286"/>
      <c r="AA432" s="286" t="s">
        <v>21</v>
      </c>
      <c r="AB432" s="378">
        <v>0</v>
      </c>
      <c r="AC432" s="378"/>
      <c r="AD432" s="335"/>
      <c r="AE432" s="335"/>
      <c r="AF432" s="335"/>
      <c r="AG432" s="378">
        <v>0.67979000000000001</v>
      </c>
      <c r="AI432" s="378" t="s">
        <v>21</v>
      </c>
      <c r="AJ432" s="378" t="s">
        <v>21</v>
      </c>
      <c r="AL432" s="286"/>
      <c r="AM432" s="286"/>
    </row>
    <row r="433" spans="1:39" s="51" customFormat="1" ht="33.75" hidden="1" x14ac:dyDescent="0.25">
      <c r="A433" s="59" t="s">
        <v>1009</v>
      </c>
      <c r="B433" s="59" t="s">
        <v>87</v>
      </c>
      <c r="C433" s="59"/>
      <c r="D433" s="59">
        <v>100324</v>
      </c>
      <c r="E433" s="60" t="s">
        <v>1305</v>
      </c>
      <c r="F433" s="59" t="s">
        <v>44</v>
      </c>
      <c r="G433" s="61">
        <f>G434*0.03</f>
        <v>0.03</v>
      </c>
      <c r="H433" s="62">
        <v>175.61</v>
      </c>
      <c r="I433" s="62">
        <f>IF($D433="","",G433*H433)</f>
        <v>5.2683</v>
      </c>
      <c r="J433" s="62"/>
      <c r="K433" s="62">
        <v>0.66839999999999999</v>
      </c>
      <c r="L433" s="62">
        <v>4.5990000000000002</v>
      </c>
      <c r="M433" s="62">
        <v>8.9999999999999998E-4</v>
      </c>
      <c r="N433" s="62">
        <v>0</v>
      </c>
      <c r="O433" s="62">
        <v>0</v>
      </c>
      <c r="P433" s="298" t="s">
        <v>4160</v>
      </c>
      <c r="Q433" s="60" t="s">
        <v>27</v>
      </c>
      <c r="R433" s="60" t="s">
        <v>138</v>
      </c>
      <c r="S433" s="286" t="str">
        <f t="shared" si="29"/>
        <v/>
      </c>
      <c r="T433" s="286" t="str">
        <f>IF($C433= "", T432, IF(ISNA(VLOOKUP($C433,'ABC-S'!$A$5:$A$271,1,FALSE)), "", VLOOKUP($C433,'ABC-S'!$A$5:$A$271,1,FALSE)))</f>
        <v/>
      </c>
      <c r="W433" s="286" t="s">
        <v>1009</v>
      </c>
      <c r="X433" s="286" t="s">
        <v>21</v>
      </c>
      <c r="Y433" s="286" t="s">
        <v>1513</v>
      </c>
      <c r="Z433" s="335" t="s">
        <v>21</v>
      </c>
      <c r="AA433" s="286" t="s">
        <v>21</v>
      </c>
      <c r="AB433" s="378"/>
      <c r="AC433" s="381">
        <v>100324</v>
      </c>
      <c r="AD433" s="378">
        <v>0.03</v>
      </c>
      <c r="AE433" s="378">
        <v>1.373</v>
      </c>
      <c r="AF433" s="378">
        <v>4.1189999999999997E-2</v>
      </c>
      <c r="AG433" s="378"/>
      <c r="AI433" s="378">
        <v>0</v>
      </c>
      <c r="AJ433" s="378">
        <v>0</v>
      </c>
      <c r="AL433" s="286">
        <v>100324</v>
      </c>
      <c r="AM433" s="286"/>
    </row>
    <row r="434" spans="1:39" s="51" customFormat="1" ht="45" hidden="1" x14ac:dyDescent="0.25">
      <c r="A434" s="59" t="s">
        <v>1009</v>
      </c>
      <c r="B434" s="59" t="s">
        <v>87</v>
      </c>
      <c r="C434" s="59"/>
      <c r="D434" s="59">
        <v>94995</v>
      </c>
      <c r="E434" s="60" t="s">
        <v>570</v>
      </c>
      <c r="F434" s="59" t="s">
        <v>51</v>
      </c>
      <c r="G434" s="61">
        <v>1</v>
      </c>
      <c r="H434" s="62">
        <v>103.06</v>
      </c>
      <c r="I434" s="62">
        <f>IF($D434="","",G434*H434)</f>
        <v>103.06</v>
      </c>
      <c r="J434" s="62"/>
      <c r="K434" s="62">
        <v>9.33</v>
      </c>
      <c r="L434" s="62">
        <v>93.73</v>
      </c>
      <c r="M434" s="62">
        <v>0</v>
      </c>
      <c r="N434" s="62">
        <v>0</v>
      </c>
      <c r="O434" s="62">
        <v>0</v>
      </c>
      <c r="P434" s="298" t="s">
        <v>4160</v>
      </c>
      <c r="Q434" s="60" t="s">
        <v>27</v>
      </c>
      <c r="R434" s="60" t="s">
        <v>138</v>
      </c>
      <c r="S434" s="286" t="str">
        <f t="shared" si="29"/>
        <v/>
      </c>
      <c r="T434" s="286" t="str">
        <f>IF($C434= "", T433, IF(ISNA(VLOOKUP($C434,'ABC-S'!$A$5:$A$271,1,FALSE)), "", VLOOKUP($C434,'ABC-S'!$A$5:$A$271,1,FALSE)))</f>
        <v/>
      </c>
      <c r="W434" s="286" t="s">
        <v>1009</v>
      </c>
      <c r="X434" s="286" t="s">
        <v>21</v>
      </c>
      <c r="Y434" s="286" t="s">
        <v>1513</v>
      </c>
      <c r="Z434" s="335" t="s">
        <v>21</v>
      </c>
      <c r="AA434" s="286" t="s">
        <v>21</v>
      </c>
      <c r="AB434" s="378"/>
      <c r="AC434" s="381">
        <v>94995</v>
      </c>
      <c r="AD434" s="378">
        <v>1</v>
      </c>
      <c r="AE434" s="378">
        <v>0.63860000000000006</v>
      </c>
      <c r="AF434" s="378">
        <v>0.63860000000000006</v>
      </c>
      <c r="AG434" s="378"/>
      <c r="AI434" s="378">
        <v>0</v>
      </c>
      <c r="AJ434" s="378">
        <v>0</v>
      </c>
      <c r="AL434" s="286">
        <v>94995</v>
      </c>
      <c r="AM434" s="286"/>
    </row>
    <row r="435" spans="1:39" s="51" customFormat="1" ht="33.75" hidden="1" x14ac:dyDescent="0.25">
      <c r="A435" s="55" t="s">
        <v>1027</v>
      </c>
      <c r="B435" s="55" t="s">
        <v>138</v>
      </c>
      <c r="C435" s="55" t="s">
        <v>1027</v>
      </c>
      <c r="D435" s="55"/>
      <c r="E435" s="56" t="s">
        <v>1028</v>
      </c>
      <c r="F435" s="55" t="s">
        <v>22</v>
      </c>
      <c r="G435" s="57"/>
      <c r="H435" s="58"/>
      <c r="I435" s="58"/>
      <c r="J435" s="58">
        <f>SUM(I435:I441)</f>
        <v>22.084062222222222</v>
      </c>
      <c r="K435" s="58">
        <v>9.4583644444444452</v>
      </c>
      <c r="L435" s="58">
        <v>11.962968888888891</v>
      </c>
      <c r="M435" s="58">
        <v>0.63684444444444444</v>
      </c>
      <c r="N435" s="58">
        <v>0</v>
      </c>
      <c r="O435" s="58">
        <v>2.588444444444038E-2</v>
      </c>
      <c r="P435" s="58"/>
      <c r="Q435" s="56"/>
      <c r="R435" s="56" t="s">
        <v>1029</v>
      </c>
      <c r="S435" s="286" t="str">
        <f t="shared" si="29"/>
        <v/>
      </c>
      <c r="T435" s="286" t="str">
        <f>IF($C435= "", T434, IF(ISNA(VLOOKUP($C435,'ABC-S'!$A$5:$A$271,1,FALSE)), "", VLOOKUP($C435,'ABC-S'!$A$5:$A$271,1,FALSE)))</f>
        <v/>
      </c>
      <c r="W435" s="286" t="s">
        <v>1027</v>
      </c>
      <c r="X435" s="286"/>
      <c r="Y435" s="286"/>
      <c r="Z435" s="286"/>
      <c r="AA435" s="286" t="s">
        <v>21</v>
      </c>
      <c r="AB435" s="378">
        <v>0.43911111111111112</v>
      </c>
      <c r="AC435" s="378"/>
      <c r="AD435" s="335"/>
      <c r="AE435" s="335"/>
      <c r="AF435" s="335"/>
      <c r="AG435" s="378">
        <v>0.51948480000000008</v>
      </c>
      <c r="AI435" s="378" t="s">
        <v>21</v>
      </c>
      <c r="AJ435" s="378" t="s">
        <v>21</v>
      </c>
      <c r="AL435" s="286"/>
      <c r="AM435" s="286"/>
    </row>
    <row r="436" spans="1:39" s="51" customFormat="1" ht="22.5" hidden="1" x14ac:dyDescent="0.25">
      <c r="A436" s="59" t="s">
        <v>1027</v>
      </c>
      <c r="B436" s="59" t="s">
        <v>86</v>
      </c>
      <c r="C436" s="59"/>
      <c r="D436" s="59">
        <v>370</v>
      </c>
      <c r="E436" s="60" t="s">
        <v>99</v>
      </c>
      <c r="F436" s="59" t="s">
        <v>3670</v>
      </c>
      <c r="G436" s="61">
        <f>0.015*((0.4*0.05)/(0.45*0.1))</f>
        <v>6.6666666666666671E-3</v>
      </c>
      <c r="H436" s="62">
        <v>87.5</v>
      </c>
      <c r="I436" s="62">
        <f t="shared" ref="I436:I441" si="34">IF($D436="","",G436*H436)</f>
        <v>0.58333333333333337</v>
      </c>
      <c r="J436" s="62"/>
      <c r="K436" s="62">
        <v>0</v>
      </c>
      <c r="L436" s="62">
        <v>0</v>
      </c>
      <c r="M436" s="62">
        <v>0.58333333333333337</v>
      </c>
      <c r="N436" s="62">
        <v>0</v>
      </c>
      <c r="O436" s="62">
        <v>0</v>
      </c>
      <c r="P436" s="298" t="s">
        <v>719</v>
      </c>
      <c r="Q436" s="60" t="s">
        <v>27</v>
      </c>
      <c r="R436" s="60" t="s">
        <v>1018</v>
      </c>
      <c r="S436" s="286" t="str">
        <f t="shared" si="29"/>
        <v/>
      </c>
      <c r="T436" s="286" t="str">
        <f>IF($C436= "", T435, IF(ISNA(VLOOKUP($C436,'ABC-S'!$A$5:$A$271,1,FALSE)), "", VLOOKUP($C436,'ABC-S'!$A$5:$A$271,1,FALSE)))</f>
        <v/>
      </c>
      <c r="W436" s="286" t="s">
        <v>1027</v>
      </c>
      <c r="X436" s="286" t="s">
        <v>21</v>
      </c>
      <c r="Y436" s="286" t="s">
        <v>21</v>
      </c>
      <c r="Z436" s="286" t="s">
        <v>21</v>
      </c>
      <c r="AA436" s="286" t="s">
        <v>21</v>
      </c>
      <c r="AB436" s="378"/>
      <c r="AC436" s="381" t="s">
        <v>21</v>
      </c>
      <c r="AD436" s="378" t="s">
        <v>21</v>
      </c>
      <c r="AE436" s="378" t="s">
        <v>21</v>
      </c>
      <c r="AF436" s="378" t="s">
        <v>21</v>
      </c>
      <c r="AG436" s="378"/>
      <c r="AI436" s="378" t="s">
        <v>21</v>
      </c>
      <c r="AJ436" s="378" t="s">
        <v>21</v>
      </c>
      <c r="AL436" s="286"/>
      <c r="AM436" s="286">
        <v>370</v>
      </c>
    </row>
    <row r="437" spans="1:39" s="51" customFormat="1" ht="22.5" hidden="1" x14ac:dyDescent="0.25">
      <c r="A437" s="59" t="s">
        <v>1027</v>
      </c>
      <c r="B437" s="59" t="s">
        <v>86</v>
      </c>
      <c r="C437" s="59"/>
      <c r="D437" s="59">
        <v>4517</v>
      </c>
      <c r="E437" s="60" t="s">
        <v>1179</v>
      </c>
      <c r="F437" s="59" t="s">
        <v>3667</v>
      </c>
      <c r="G437" s="61">
        <v>0.2</v>
      </c>
      <c r="H437" s="62">
        <v>2.27</v>
      </c>
      <c r="I437" s="62">
        <f t="shared" si="34"/>
        <v>0.45400000000000001</v>
      </c>
      <c r="J437" s="62"/>
      <c r="K437" s="62">
        <v>0</v>
      </c>
      <c r="L437" s="62">
        <v>0.45400000000000001</v>
      </c>
      <c r="M437" s="62">
        <v>0</v>
      </c>
      <c r="N437" s="62">
        <v>0</v>
      </c>
      <c r="O437" s="62">
        <v>0</v>
      </c>
      <c r="P437" s="298" t="s">
        <v>89</v>
      </c>
      <c r="Q437" s="60" t="s">
        <v>27</v>
      </c>
      <c r="R437" s="60" t="s">
        <v>27</v>
      </c>
      <c r="S437" s="286" t="str">
        <f t="shared" si="29"/>
        <v/>
      </c>
      <c r="T437" s="286" t="str">
        <f>IF($C437= "", T436, IF(ISNA(VLOOKUP($C437,'ABC-S'!$A$5:$A$271,1,FALSE)), "", VLOOKUP($C437,'ABC-S'!$A$5:$A$271,1,FALSE)))</f>
        <v/>
      </c>
      <c r="W437" s="286" t="s">
        <v>1027</v>
      </c>
      <c r="X437" s="286" t="s">
        <v>21</v>
      </c>
      <c r="Y437" s="286" t="s">
        <v>21</v>
      </c>
      <c r="Z437" s="286" t="s">
        <v>21</v>
      </c>
      <c r="AA437" s="286" t="s">
        <v>21</v>
      </c>
      <c r="AB437" s="378"/>
      <c r="AC437" s="381" t="s">
        <v>21</v>
      </c>
      <c r="AD437" s="378" t="s">
        <v>21</v>
      </c>
      <c r="AE437" s="378" t="s">
        <v>21</v>
      </c>
      <c r="AF437" s="378" t="s">
        <v>21</v>
      </c>
      <c r="AG437" s="378"/>
      <c r="AI437" s="378" t="s">
        <v>21</v>
      </c>
      <c r="AJ437" s="378" t="s">
        <v>21</v>
      </c>
      <c r="AL437" s="286"/>
      <c r="AM437" s="286">
        <v>4517</v>
      </c>
    </row>
    <row r="438" spans="1:39" s="51" customFormat="1" ht="33.75" hidden="1" x14ac:dyDescent="0.25">
      <c r="A438" s="59" t="s">
        <v>1027</v>
      </c>
      <c r="B438" s="59" t="s">
        <v>86</v>
      </c>
      <c r="C438" s="59"/>
      <c r="D438" s="59">
        <v>6189</v>
      </c>
      <c r="E438" s="60" t="s">
        <v>1477</v>
      </c>
      <c r="F438" s="59" t="s">
        <v>3667</v>
      </c>
      <c r="G438" s="61">
        <v>8.3000000000000004E-2</v>
      </c>
      <c r="H438" s="62">
        <v>24.64</v>
      </c>
      <c r="I438" s="62">
        <f t="shared" si="34"/>
        <v>2.0451200000000003</v>
      </c>
      <c r="J438" s="62"/>
      <c r="K438" s="62">
        <v>2.0451200000000003</v>
      </c>
      <c r="L438" s="62">
        <v>0</v>
      </c>
      <c r="M438" s="62">
        <v>0</v>
      </c>
      <c r="N438" s="62">
        <v>0</v>
      </c>
      <c r="O438" s="62">
        <v>0</v>
      </c>
      <c r="P438" s="298" t="s">
        <v>85</v>
      </c>
      <c r="Q438" s="60" t="s">
        <v>27</v>
      </c>
      <c r="R438" s="60" t="s">
        <v>27</v>
      </c>
      <c r="S438" s="286" t="str">
        <f t="shared" si="29"/>
        <v/>
      </c>
      <c r="T438" s="286" t="str">
        <f>IF($C438= "", T437, IF(ISNA(VLOOKUP($C438,'ABC-S'!$A$5:$A$271,1,FALSE)), "", VLOOKUP($C438,'ABC-S'!$A$5:$A$271,1,FALSE)))</f>
        <v/>
      </c>
      <c r="W438" s="286" t="s">
        <v>1027</v>
      </c>
      <c r="X438" s="286" t="s">
        <v>21</v>
      </c>
      <c r="Y438" s="286" t="s">
        <v>21</v>
      </c>
      <c r="Z438" s="286" t="s">
        <v>21</v>
      </c>
      <c r="AA438" s="286" t="s">
        <v>21</v>
      </c>
      <c r="AB438" s="378"/>
      <c r="AC438" s="381" t="s">
        <v>21</v>
      </c>
      <c r="AD438" s="378" t="s">
        <v>21</v>
      </c>
      <c r="AE438" s="378" t="s">
        <v>21</v>
      </c>
      <c r="AF438" s="378" t="s">
        <v>21</v>
      </c>
      <c r="AG438" s="378"/>
      <c r="AI438" s="378" t="s">
        <v>21</v>
      </c>
      <c r="AJ438" s="378" t="s">
        <v>21</v>
      </c>
      <c r="AL438" s="286"/>
      <c r="AM438" s="286">
        <v>6189</v>
      </c>
    </row>
    <row r="439" spans="1:39" s="51" customFormat="1" ht="45" hidden="1" x14ac:dyDescent="0.25">
      <c r="A439" s="59" t="s">
        <v>1027</v>
      </c>
      <c r="B439" s="59" t="s">
        <v>87</v>
      </c>
      <c r="C439" s="59"/>
      <c r="D439" s="59">
        <v>94971</v>
      </c>
      <c r="E439" s="60" t="s">
        <v>3662</v>
      </c>
      <c r="F439" s="59" t="s">
        <v>44</v>
      </c>
      <c r="G439" s="61">
        <f>0.056*((0.4*0.05)/(0.45*0.1))</f>
        <v>2.4888888888888891E-2</v>
      </c>
      <c r="H439" s="62">
        <v>397.28</v>
      </c>
      <c r="I439" s="62">
        <f t="shared" si="34"/>
        <v>9.8878577777777785</v>
      </c>
      <c r="J439" s="62"/>
      <c r="K439" s="62">
        <v>0.96270222222222235</v>
      </c>
      <c r="L439" s="62">
        <v>8.8457600000000021</v>
      </c>
      <c r="M439" s="62">
        <v>5.3511111111111113E-2</v>
      </c>
      <c r="N439" s="62">
        <v>0</v>
      </c>
      <c r="O439" s="62">
        <v>2.5884444444441712E-2</v>
      </c>
      <c r="P439" s="298" t="s">
        <v>4160</v>
      </c>
      <c r="Q439" s="60" t="s">
        <v>27</v>
      </c>
      <c r="R439" s="60" t="s">
        <v>1030</v>
      </c>
      <c r="S439" s="286" t="str">
        <f t="shared" si="29"/>
        <v/>
      </c>
      <c r="T439" s="286" t="str">
        <f>IF($C439= "", T438, IF(ISNA(VLOOKUP($C439,'ABC-S'!$A$5:$A$271,1,FALSE)), "", VLOOKUP($C439,'ABC-S'!$A$5:$A$271,1,FALSE)))</f>
        <v/>
      </c>
      <c r="W439" s="286" t="s">
        <v>1027</v>
      </c>
      <c r="X439" s="286" t="s">
        <v>21</v>
      </c>
      <c r="Y439" s="286" t="s">
        <v>1513</v>
      </c>
      <c r="Z439" s="335" t="s">
        <v>21</v>
      </c>
      <c r="AA439" s="286" t="s">
        <v>21</v>
      </c>
      <c r="AB439" s="378"/>
      <c r="AC439" s="381">
        <v>94971</v>
      </c>
      <c r="AD439" s="378">
        <v>2.4888888888888891E-2</v>
      </c>
      <c r="AE439" s="378">
        <v>3.2293000000000003</v>
      </c>
      <c r="AF439" s="378">
        <v>8.0373688888888906E-2</v>
      </c>
      <c r="AG439" s="378"/>
      <c r="AI439" s="378">
        <v>2.5002</v>
      </c>
      <c r="AJ439" s="378">
        <v>6.2227200000000003E-2</v>
      </c>
      <c r="AL439" s="286">
        <v>94971</v>
      </c>
      <c r="AM439" s="286"/>
    </row>
    <row r="440" spans="1:39" s="51" customFormat="1" ht="22.5" hidden="1" x14ac:dyDescent="0.25">
      <c r="A440" s="59" t="s">
        <v>1027</v>
      </c>
      <c r="B440" s="59" t="s">
        <v>87</v>
      </c>
      <c r="C440" s="248"/>
      <c r="D440" s="59">
        <v>88309</v>
      </c>
      <c r="E440" s="60" t="s">
        <v>617</v>
      </c>
      <c r="F440" s="59" t="s">
        <v>46</v>
      </c>
      <c r="G440" s="61">
        <f>0.494*((0.4*0.05)/(0.45*0.1))</f>
        <v>0.21955555555555556</v>
      </c>
      <c r="H440" s="62">
        <v>23.9</v>
      </c>
      <c r="I440" s="62">
        <f t="shared" si="34"/>
        <v>5.2473777777777775</v>
      </c>
      <c r="J440" s="62"/>
      <c r="K440" s="62">
        <v>3.9036977777777779</v>
      </c>
      <c r="L440" s="62">
        <v>1.34368</v>
      </c>
      <c r="M440" s="62">
        <v>0</v>
      </c>
      <c r="N440" s="62">
        <v>0</v>
      </c>
      <c r="O440" s="62">
        <v>-8.8817841970012523E-16</v>
      </c>
      <c r="P440" s="298" t="s">
        <v>4160</v>
      </c>
      <c r="Q440" s="60" t="s">
        <v>27</v>
      </c>
      <c r="R440" s="60" t="s">
        <v>1018</v>
      </c>
      <c r="S440" s="286" t="str">
        <f t="shared" si="29"/>
        <v/>
      </c>
      <c r="T440" s="286" t="str">
        <f>IF($C440= "", T439, IF(ISNA(VLOOKUP($C440,'ABC-S'!$A$5:$A$271,1,FALSE)), "", VLOOKUP($C440,'ABC-S'!$A$5:$A$271,1,FALSE)))</f>
        <v/>
      </c>
      <c r="W440" s="286" t="s">
        <v>1027</v>
      </c>
      <c r="X440" s="286">
        <v>88309</v>
      </c>
      <c r="Y440" s="286" t="s">
        <v>424</v>
      </c>
      <c r="Z440" s="335">
        <v>0</v>
      </c>
      <c r="AA440" s="286">
        <v>0.21955555555555556</v>
      </c>
      <c r="AB440" s="378"/>
      <c r="AC440" s="381" t="s">
        <v>21</v>
      </c>
      <c r="AD440" s="378" t="s">
        <v>21</v>
      </c>
      <c r="AE440" s="378" t="s">
        <v>21</v>
      </c>
      <c r="AF440" s="378" t="s">
        <v>21</v>
      </c>
      <c r="AG440" s="378"/>
      <c r="AI440" s="378">
        <v>0</v>
      </c>
      <c r="AJ440" s="378">
        <v>0</v>
      </c>
      <c r="AL440" s="286">
        <v>88309</v>
      </c>
      <c r="AM440" s="286"/>
    </row>
    <row r="441" spans="1:39" s="51" customFormat="1" ht="22.5" hidden="1" x14ac:dyDescent="0.25">
      <c r="A441" s="59" t="s">
        <v>1027</v>
      </c>
      <c r="B441" s="59" t="s">
        <v>87</v>
      </c>
      <c r="C441" s="248"/>
      <c r="D441" s="59">
        <v>88316</v>
      </c>
      <c r="E441" s="60" t="s">
        <v>649</v>
      </c>
      <c r="F441" s="59" t="s">
        <v>46</v>
      </c>
      <c r="G441" s="61">
        <f>G440</f>
        <v>0.21955555555555556</v>
      </c>
      <c r="H441" s="62">
        <v>17.61</v>
      </c>
      <c r="I441" s="62">
        <f t="shared" si="34"/>
        <v>3.8663733333333332</v>
      </c>
      <c r="J441" s="62"/>
      <c r="K441" s="62">
        <v>2.5468444444444445</v>
      </c>
      <c r="L441" s="62">
        <v>1.319528888888889</v>
      </c>
      <c r="M441" s="62">
        <v>0</v>
      </c>
      <c r="N441" s="62">
        <v>0</v>
      </c>
      <c r="O441" s="62">
        <v>-4.4408920985006262E-16</v>
      </c>
      <c r="P441" s="298" t="s">
        <v>4160</v>
      </c>
      <c r="Q441" s="60" t="s">
        <v>27</v>
      </c>
      <c r="R441" s="60" t="s">
        <v>1018</v>
      </c>
      <c r="S441" s="286" t="str">
        <f t="shared" si="29"/>
        <v/>
      </c>
      <c r="T441" s="286" t="str">
        <f>IF($C441= "", T440, IF(ISNA(VLOOKUP($C441,'ABC-S'!$A$5:$A$271,1,FALSE)), "", VLOOKUP($C441,'ABC-S'!$A$5:$A$271,1,FALSE)))</f>
        <v/>
      </c>
      <c r="W441" s="286" t="s">
        <v>1027</v>
      </c>
      <c r="X441" s="286">
        <v>88316</v>
      </c>
      <c r="Y441" s="286" t="s">
        <v>424</v>
      </c>
      <c r="Z441" s="335">
        <v>0</v>
      </c>
      <c r="AA441" s="286">
        <v>0.21955555555555556</v>
      </c>
      <c r="AB441" s="378"/>
      <c r="AC441" s="381" t="s">
        <v>21</v>
      </c>
      <c r="AD441" s="378" t="s">
        <v>21</v>
      </c>
      <c r="AE441" s="378" t="s">
        <v>21</v>
      </c>
      <c r="AF441" s="378" t="s">
        <v>21</v>
      </c>
      <c r="AG441" s="378"/>
      <c r="AI441" s="378">
        <v>0</v>
      </c>
      <c r="AJ441" s="378">
        <v>0</v>
      </c>
      <c r="AL441" s="286">
        <v>88316</v>
      </c>
      <c r="AM441" s="286"/>
    </row>
    <row r="442" spans="1:39" s="51" customFormat="1" ht="33.75" hidden="1" x14ac:dyDescent="0.25">
      <c r="A442" s="55" t="s">
        <v>1068</v>
      </c>
      <c r="B442" s="55" t="s">
        <v>138</v>
      </c>
      <c r="C442" s="55" t="s">
        <v>1068</v>
      </c>
      <c r="D442" s="55"/>
      <c r="E442" s="56" t="s">
        <v>571</v>
      </c>
      <c r="F442" s="55" t="s">
        <v>51</v>
      </c>
      <c r="G442" s="57"/>
      <c r="H442" s="58"/>
      <c r="I442" s="58"/>
      <c r="J442" s="58">
        <f>SUM(I442:I451)</f>
        <v>104.06887700000001</v>
      </c>
      <c r="K442" s="58">
        <v>11.10615</v>
      </c>
      <c r="L442" s="58">
        <v>87.698921999999982</v>
      </c>
      <c r="M442" s="58">
        <v>5.2638050000000005</v>
      </c>
      <c r="N442" s="58">
        <v>0</v>
      </c>
      <c r="O442" s="58">
        <v>8.81239525796218E-16</v>
      </c>
      <c r="P442" s="58"/>
      <c r="Q442" s="56"/>
      <c r="R442" s="56" t="s">
        <v>1069</v>
      </c>
      <c r="S442" s="286" t="str">
        <f t="shared" si="29"/>
        <v/>
      </c>
      <c r="T442" s="286" t="str">
        <f>IF($C442= "", T441, IF(ISNA(VLOOKUP($C442,'ABC-S'!$A$5:$A$271,1,FALSE)), "", VLOOKUP($C442,'ABC-S'!$A$5:$A$271,1,FALSE)))</f>
        <v/>
      </c>
      <c r="W442" s="286" t="s">
        <v>1068</v>
      </c>
      <c r="X442" s="286"/>
      <c r="Y442" s="286"/>
      <c r="Z442" s="286"/>
      <c r="AA442" s="286" t="s">
        <v>21</v>
      </c>
      <c r="AB442" s="378">
        <v>0.79500000000000004</v>
      </c>
      <c r="AC442" s="378"/>
      <c r="AD442" s="335"/>
      <c r="AE442" s="335"/>
      <c r="AF442" s="335"/>
      <c r="AG442" s="378">
        <v>0.79500000000000004</v>
      </c>
      <c r="AI442" s="378" t="s">
        <v>21</v>
      </c>
      <c r="AJ442" s="378" t="s">
        <v>21</v>
      </c>
      <c r="AL442" s="286"/>
      <c r="AM442" s="286"/>
    </row>
    <row r="443" spans="1:39" s="51" customFormat="1" ht="22.5" hidden="1" x14ac:dyDescent="0.25">
      <c r="A443" s="59" t="s">
        <v>1068</v>
      </c>
      <c r="B443" s="59" t="s">
        <v>86</v>
      </c>
      <c r="C443" s="59"/>
      <c r="D443" s="59">
        <v>370</v>
      </c>
      <c r="E443" s="60" t="s">
        <v>99</v>
      </c>
      <c r="F443" s="59" t="s">
        <v>3670</v>
      </c>
      <c r="G443" s="61">
        <v>5.6800000000000003E-2</v>
      </c>
      <c r="H443" s="62">
        <v>87.5</v>
      </c>
      <c r="I443" s="62">
        <f>IF($D443="","",G443*H443)</f>
        <v>4.9700000000000006</v>
      </c>
      <c r="J443" s="62"/>
      <c r="K443" s="62">
        <v>0</v>
      </c>
      <c r="L443" s="62">
        <v>0</v>
      </c>
      <c r="M443" s="62">
        <v>4.9700000000000006</v>
      </c>
      <c r="N443" s="62">
        <v>0</v>
      </c>
      <c r="O443" s="62">
        <v>0</v>
      </c>
      <c r="P443" s="298" t="s">
        <v>719</v>
      </c>
      <c r="Q443" s="60" t="s">
        <v>27</v>
      </c>
      <c r="R443" s="60" t="s">
        <v>27</v>
      </c>
      <c r="S443" s="286" t="str">
        <f t="shared" si="29"/>
        <v/>
      </c>
      <c r="T443" s="286" t="str">
        <f>IF($C443= "", T442, IF(ISNA(VLOOKUP($C443,'ABC-S'!$A$5:$A$271,1,FALSE)), "", VLOOKUP($C443,'ABC-S'!$A$5:$A$271,1,FALSE)))</f>
        <v/>
      </c>
      <c r="W443" s="286" t="s">
        <v>1068</v>
      </c>
      <c r="X443" s="286" t="s">
        <v>21</v>
      </c>
      <c r="Y443" s="286" t="s">
        <v>21</v>
      </c>
      <c r="Z443" s="286" t="s">
        <v>21</v>
      </c>
      <c r="AA443" s="286" t="s">
        <v>21</v>
      </c>
      <c r="AB443" s="378"/>
      <c r="AC443" s="381" t="s">
        <v>21</v>
      </c>
      <c r="AD443" s="378" t="s">
        <v>21</v>
      </c>
      <c r="AE443" s="378" t="s">
        <v>21</v>
      </c>
      <c r="AF443" s="378" t="s">
        <v>21</v>
      </c>
      <c r="AG443" s="378"/>
      <c r="AI443" s="378" t="s">
        <v>21</v>
      </c>
      <c r="AJ443" s="378" t="s">
        <v>21</v>
      </c>
      <c r="AL443" s="286"/>
      <c r="AM443" s="286">
        <v>370</v>
      </c>
    </row>
    <row r="444" spans="1:39" s="51" customFormat="1" ht="22.5" hidden="1" x14ac:dyDescent="0.25">
      <c r="A444" s="59" t="s">
        <v>1068</v>
      </c>
      <c r="B444" s="59" t="s">
        <v>86</v>
      </c>
      <c r="C444" s="59"/>
      <c r="D444" s="59">
        <v>4741</v>
      </c>
      <c r="E444" s="60" t="s">
        <v>707</v>
      </c>
      <c r="F444" s="59" t="s">
        <v>3670</v>
      </c>
      <c r="G444" s="61">
        <v>6.4999999999999997E-3</v>
      </c>
      <c r="H444" s="62">
        <v>120.62</v>
      </c>
      <c r="I444" s="62">
        <f t="shared" ref="I444:I451" si="35">IF($D444="","",G444*H444)</f>
        <v>0.78403</v>
      </c>
      <c r="J444" s="62"/>
      <c r="K444" s="62">
        <v>0</v>
      </c>
      <c r="L444" s="62">
        <v>0.78403</v>
      </c>
      <c r="M444" s="62">
        <v>0</v>
      </c>
      <c r="N444" s="62">
        <v>0</v>
      </c>
      <c r="O444" s="62">
        <v>0</v>
      </c>
      <c r="P444" s="298" t="s">
        <v>89</v>
      </c>
      <c r="Q444" s="60" t="s">
        <v>27</v>
      </c>
      <c r="R444" s="60" t="s">
        <v>27</v>
      </c>
      <c r="S444" s="286" t="str">
        <f t="shared" si="29"/>
        <v/>
      </c>
      <c r="T444" s="286" t="str">
        <f>IF($C444= "", T443, IF(ISNA(VLOOKUP($C444,'ABC-S'!$A$5:$A$271,1,FALSE)), "", VLOOKUP($C444,'ABC-S'!$A$5:$A$271,1,FALSE)))</f>
        <v/>
      </c>
      <c r="W444" s="286" t="s">
        <v>1068</v>
      </c>
      <c r="X444" s="286" t="s">
        <v>21</v>
      </c>
      <c r="Y444" s="286" t="s">
        <v>21</v>
      </c>
      <c r="Z444" s="286" t="s">
        <v>21</v>
      </c>
      <c r="AA444" s="286" t="s">
        <v>21</v>
      </c>
      <c r="AB444" s="378"/>
      <c r="AC444" s="381" t="s">
        <v>21</v>
      </c>
      <c r="AD444" s="378" t="s">
        <v>21</v>
      </c>
      <c r="AE444" s="378" t="s">
        <v>21</v>
      </c>
      <c r="AF444" s="378" t="s">
        <v>21</v>
      </c>
      <c r="AG444" s="378"/>
      <c r="AI444" s="378" t="s">
        <v>21</v>
      </c>
      <c r="AJ444" s="378" t="s">
        <v>21</v>
      </c>
      <c r="AL444" s="286"/>
      <c r="AM444" s="286">
        <v>4741</v>
      </c>
    </row>
    <row r="445" spans="1:39" s="51" customFormat="1" ht="33.75" hidden="1" x14ac:dyDescent="0.25">
      <c r="A445" s="59" t="s">
        <v>1068</v>
      </c>
      <c r="B445" s="59" t="s">
        <v>86</v>
      </c>
      <c r="C445" s="59"/>
      <c r="D445" s="59">
        <v>40671</v>
      </c>
      <c r="E445" s="60" t="s">
        <v>706</v>
      </c>
      <c r="F445" s="59" t="s">
        <v>3665</v>
      </c>
      <c r="G445" s="61">
        <v>1.0487</v>
      </c>
      <c r="H445" s="62">
        <v>77.349999999999994</v>
      </c>
      <c r="I445" s="62">
        <f>IF($D445="","",G445*H445)</f>
        <v>81.116944999999987</v>
      </c>
      <c r="J445" s="62"/>
      <c r="K445" s="62">
        <v>0</v>
      </c>
      <c r="L445" s="62">
        <v>81.116944999999987</v>
      </c>
      <c r="M445" s="62">
        <v>0</v>
      </c>
      <c r="N445" s="62">
        <v>0</v>
      </c>
      <c r="O445" s="62">
        <v>0</v>
      </c>
      <c r="P445" s="298" t="s">
        <v>89</v>
      </c>
      <c r="Q445" s="60" t="s">
        <v>27</v>
      </c>
      <c r="R445" s="60" t="s">
        <v>1070</v>
      </c>
      <c r="S445" s="286" t="str">
        <f t="shared" si="29"/>
        <v/>
      </c>
      <c r="T445" s="286" t="str">
        <f>IF($C445= "", T444, IF(ISNA(VLOOKUP($C445,'ABC-S'!$A$5:$A$271,1,FALSE)), "", VLOOKUP($C445,'ABC-S'!$A$5:$A$271,1,FALSE)))</f>
        <v/>
      </c>
      <c r="W445" s="286" t="s">
        <v>1068</v>
      </c>
      <c r="X445" s="286" t="s">
        <v>21</v>
      </c>
      <c r="Y445" s="286" t="s">
        <v>21</v>
      </c>
      <c r="Z445" s="286" t="s">
        <v>21</v>
      </c>
      <c r="AA445" s="286" t="s">
        <v>21</v>
      </c>
      <c r="AB445" s="378"/>
      <c r="AC445" s="381" t="s">
        <v>21</v>
      </c>
      <c r="AD445" s="378" t="s">
        <v>21</v>
      </c>
      <c r="AE445" s="378" t="s">
        <v>21</v>
      </c>
      <c r="AF445" s="378" t="s">
        <v>21</v>
      </c>
      <c r="AG445" s="378"/>
      <c r="AI445" s="378" t="s">
        <v>21</v>
      </c>
      <c r="AJ445" s="378" t="s">
        <v>21</v>
      </c>
      <c r="AL445" s="286"/>
      <c r="AM445" s="286">
        <v>40671</v>
      </c>
    </row>
    <row r="446" spans="1:39" s="51" customFormat="1" hidden="1" x14ac:dyDescent="0.25">
      <c r="A446" s="59" t="s">
        <v>1068</v>
      </c>
      <c r="B446" s="59" t="s">
        <v>87</v>
      </c>
      <c r="C446" s="248"/>
      <c r="D446" s="59">
        <v>88260</v>
      </c>
      <c r="E446" s="60" t="s">
        <v>526</v>
      </c>
      <c r="F446" s="59" t="s">
        <v>46</v>
      </c>
      <c r="G446" s="61">
        <v>0.39750000000000002</v>
      </c>
      <c r="H446" s="62">
        <v>22.46</v>
      </c>
      <c r="I446" s="62">
        <f>IF($D446="","",G446*H446)</f>
        <v>8.9278500000000012</v>
      </c>
      <c r="J446" s="62"/>
      <c r="K446" s="62">
        <v>6.4951500000000006</v>
      </c>
      <c r="L446" s="62">
        <v>2.4327000000000001</v>
      </c>
      <c r="M446" s="62">
        <v>0</v>
      </c>
      <c r="N446" s="62">
        <v>0</v>
      </c>
      <c r="O446" s="62">
        <v>0</v>
      </c>
      <c r="P446" s="298" t="s">
        <v>4160</v>
      </c>
      <c r="Q446" s="60" t="s">
        <v>27</v>
      </c>
      <c r="R446" s="60" t="s">
        <v>27</v>
      </c>
      <c r="S446" s="286" t="str">
        <f t="shared" si="29"/>
        <v/>
      </c>
      <c r="T446" s="286" t="str">
        <f>IF($C446= "", T445, IF(ISNA(VLOOKUP($C446,'ABC-S'!$A$5:$A$271,1,FALSE)), "", VLOOKUP($C446,'ABC-S'!$A$5:$A$271,1,FALSE)))</f>
        <v/>
      </c>
      <c r="W446" s="286" t="s">
        <v>1068</v>
      </c>
      <c r="X446" s="286">
        <v>88260</v>
      </c>
      <c r="Y446" s="286" t="s">
        <v>424</v>
      </c>
      <c r="Z446" s="335">
        <v>0</v>
      </c>
      <c r="AA446" s="286">
        <v>0.39750000000000002</v>
      </c>
      <c r="AB446" s="378"/>
      <c r="AC446" s="381" t="s">
        <v>21</v>
      </c>
      <c r="AD446" s="378" t="s">
        <v>21</v>
      </c>
      <c r="AE446" s="378" t="s">
        <v>21</v>
      </c>
      <c r="AF446" s="378" t="s">
        <v>21</v>
      </c>
      <c r="AG446" s="378"/>
      <c r="AI446" s="378">
        <v>0</v>
      </c>
      <c r="AJ446" s="378">
        <v>0</v>
      </c>
      <c r="AL446" s="286">
        <v>88260</v>
      </c>
      <c r="AM446" s="286"/>
    </row>
    <row r="447" spans="1:39" s="51" customFormat="1" hidden="1" x14ac:dyDescent="0.25">
      <c r="A447" s="59" t="s">
        <v>1068</v>
      </c>
      <c r="B447" s="59" t="s">
        <v>87</v>
      </c>
      <c r="C447" s="248"/>
      <c r="D447" s="59">
        <v>88316</v>
      </c>
      <c r="E447" s="60" t="s">
        <v>649</v>
      </c>
      <c r="F447" s="59" t="s">
        <v>46</v>
      </c>
      <c r="G447" s="61">
        <v>0.39750000000000002</v>
      </c>
      <c r="H447" s="62">
        <v>17.61</v>
      </c>
      <c r="I447" s="62">
        <f>IF($D447="","",G447*H447)</f>
        <v>6.9999750000000001</v>
      </c>
      <c r="J447" s="62"/>
      <c r="K447" s="62">
        <v>4.6109999999999998</v>
      </c>
      <c r="L447" s="62">
        <v>2.3889749999999998</v>
      </c>
      <c r="M447" s="62">
        <v>0</v>
      </c>
      <c r="N447" s="62">
        <v>0</v>
      </c>
      <c r="O447" s="62">
        <v>8.8817841970012523E-16</v>
      </c>
      <c r="P447" s="298" t="s">
        <v>4160</v>
      </c>
      <c r="Q447" s="60" t="s">
        <v>27</v>
      </c>
      <c r="R447" s="60" t="s">
        <v>27</v>
      </c>
      <c r="S447" s="286" t="str">
        <f t="shared" si="29"/>
        <v/>
      </c>
      <c r="T447" s="286" t="str">
        <f>IF($C447= "", T446, IF(ISNA(VLOOKUP($C447,'ABC-S'!$A$5:$A$271,1,FALSE)), "", VLOOKUP($C447,'ABC-S'!$A$5:$A$271,1,FALSE)))</f>
        <v/>
      </c>
      <c r="W447" s="286" t="s">
        <v>1068</v>
      </c>
      <c r="X447" s="286">
        <v>88316</v>
      </c>
      <c r="Y447" s="286" t="s">
        <v>424</v>
      </c>
      <c r="Z447" s="335">
        <v>0</v>
      </c>
      <c r="AA447" s="286">
        <v>0.39750000000000002</v>
      </c>
      <c r="AB447" s="378"/>
      <c r="AC447" s="381" t="s">
        <v>21</v>
      </c>
      <c r="AD447" s="378" t="s">
        <v>21</v>
      </c>
      <c r="AE447" s="378" t="s">
        <v>21</v>
      </c>
      <c r="AF447" s="378" t="s">
        <v>21</v>
      </c>
      <c r="AG447" s="378"/>
      <c r="AI447" s="378">
        <v>0</v>
      </c>
      <c r="AJ447" s="378">
        <v>0</v>
      </c>
      <c r="AL447" s="286">
        <v>88316</v>
      </c>
      <c r="AM447" s="286"/>
    </row>
    <row r="448" spans="1:39" s="51" customFormat="1" ht="33.75" hidden="1" x14ac:dyDescent="0.25">
      <c r="A448" s="59" t="s">
        <v>1068</v>
      </c>
      <c r="B448" s="59" t="s">
        <v>87</v>
      </c>
      <c r="C448" s="59"/>
      <c r="D448" s="59">
        <v>91277</v>
      </c>
      <c r="E448" s="60" t="s">
        <v>623</v>
      </c>
      <c r="F448" s="59" t="s">
        <v>76</v>
      </c>
      <c r="G448" s="61">
        <v>4.1000000000000003E-3</v>
      </c>
      <c r="H448" s="62">
        <v>9.24</v>
      </c>
      <c r="I448" s="62">
        <f t="shared" si="35"/>
        <v>3.7884000000000001E-2</v>
      </c>
      <c r="J448" s="62"/>
      <c r="K448" s="62">
        <v>0</v>
      </c>
      <c r="L448" s="62">
        <v>3.3456000000000007E-2</v>
      </c>
      <c r="M448" s="62">
        <v>4.4280000000000005E-3</v>
      </c>
      <c r="N448" s="62">
        <v>0</v>
      </c>
      <c r="O448" s="62">
        <v>-6.9388939039072284E-18</v>
      </c>
      <c r="P448" s="298" t="s">
        <v>4160</v>
      </c>
      <c r="Q448" s="60" t="s">
        <v>27</v>
      </c>
      <c r="R448" s="60" t="s">
        <v>27</v>
      </c>
      <c r="S448" s="286" t="str">
        <f t="shared" si="29"/>
        <v/>
      </c>
      <c r="T448" s="286" t="str">
        <f>IF($C448= "", T447, IF(ISNA(VLOOKUP($C448,'ABC-S'!$A$5:$A$271,1,FALSE)), "", VLOOKUP($C448,'ABC-S'!$A$5:$A$271,1,FALSE)))</f>
        <v/>
      </c>
      <c r="W448" s="286" t="s">
        <v>1068</v>
      </c>
      <c r="X448" s="286" t="s">
        <v>21</v>
      </c>
      <c r="Y448" s="286" t="s">
        <v>423</v>
      </c>
      <c r="Z448" s="335" t="s">
        <v>21</v>
      </c>
      <c r="AA448" s="286" t="s">
        <v>21</v>
      </c>
      <c r="AB448" s="378"/>
      <c r="AC448" s="381">
        <v>91277</v>
      </c>
      <c r="AD448" s="378">
        <v>4.1000000000000003E-3</v>
      </c>
      <c r="AE448" s="378">
        <v>0</v>
      </c>
      <c r="AF448" s="378">
        <v>0</v>
      </c>
      <c r="AG448" s="378"/>
      <c r="AI448" s="378">
        <v>0</v>
      </c>
      <c r="AJ448" s="378">
        <v>0</v>
      </c>
      <c r="AL448" s="286">
        <v>91277</v>
      </c>
      <c r="AM448" s="286"/>
    </row>
    <row r="449" spans="1:39" s="51" customFormat="1" ht="33.75" hidden="1" x14ac:dyDescent="0.25">
      <c r="A449" s="59" t="s">
        <v>1068</v>
      </c>
      <c r="B449" s="59" t="s">
        <v>87</v>
      </c>
      <c r="C449" s="59"/>
      <c r="D449" s="59">
        <v>91278</v>
      </c>
      <c r="E449" s="60" t="s">
        <v>622</v>
      </c>
      <c r="F449" s="59" t="s">
        <v>75</v>
      </c>
      <c r="G449" s="61">
        <v>0.19470000000000001</v>
      </c>
      <c r="H449" s="62">
        <v>0.51</v>
      </c>
      <c r="I449" s="62">
        <f t="shared" si="35"/>
        <v>9.929700000000001E-2</v>
      </c>
      <c r="J449" s="62"/>
      <c r="K449" s="62">
        <v>0</v>
      </c>
      <c r="L449" s="62">
        <v>0</v>
      </c>
      <c r="M449" s="62">
        <v>9.929700000000001E-2</v>
      </c>
      <c r="N449" s="62">
        <v>0</v>
      </c>
      <c r="O449" s="62">
        <v>0</v>
      </c>
      <c r="P449" s="298" t="s">
        <v>4160</v>
      </c>
      <c r="Q449" s="60" t="s">
        <v>27</v>
      </c>
      <c r="R449" s="60" t="s">
        <v>27</v>
      </c>
      <c r="S449" s="286" t="str">
        <f t="shared" si="29"/>
        <v/>
      </c>
      <c r="T449" s="286" t="str">
        <f>IF($C449= "", T448, IF(ISNA(VLOOKUP($C449,'ABC-S'!$A$5:$A$271,1,FALSE)), "", VLOOKUP($C449,'ABC-S'!$A$5:$A$271,1,FALSE)))</f>
        <v/>
      </c>
      <c r="W449" s="286" t="s">
        <v>1068</v>
      </c>
      <c r="X449" s="286" t="s">
        <v>21</v>
      </c>
      <c r="Y449" s="286" t="s">
        <v>423</v>
      </c>
      <c r="Z449" s="335" t="s">
        <v>21</v>
      </c>
      <c r="AA449" s="286" t="s">
        <v>21</v>
      </c>
      <c r="AB449" s="378"/>
      <c r="AC449" s="381">
        <v>91278</v>
      </c>
      <c r="AD449" s="378">
        <v>0.19470000000000001</v>
      </c>
      <c r="AE449" s="378">
        <v>0</v>
      </c>
      <c r="AF449" s="378">
        <v>0</v>
      </c>
      <c r="AG449" s="378"/>
      <c r="AI449" s="378">
        <v>0</v>
      </c>
      <c r="AJ449" s="378">
        <v>0</v>
      </c>
      <c r="AL449" s="286">
        <v>91278</v>
      </c>
      <c r="AM449" s="286"/>
    </row>
    <row r="450" spans="1:39" s="51" customFormat="1" ht="45" hidden="1" x14ac:dyDescent="0.25">
      <c r="A450" s="59" t="s">
        <v>1068</v>
      </c>
      <c r="B450" s="59" t="s">
        <v>87</v>
      </c>
      <c r="C450" s="59"/>
      <c r="D450" s="59">
        <v>91283</v>
      </c>
      <c r="E450" s="60" t="s">
        <v>546</v>
      </c>
      <c r="F450" s="59" t="s">
        <v>76</v>
      </c>
      <c r="G450" s="61">
        <v>4.8300000000000003E-2</v>
      </c>
      <c r="H450" s="62">
        <v>21.12</v>
      </c>
      <c r="I450" s="62">
        <f t="shared" si="35"/>
        <v>1.0200960000000001</v>
      </c>
      <c r="J450" s="62"/>
      <c r="K450" s="62">
        <v>0</v>
      </c>
      <c r="L450" s="62">
        <v>0.94281599999999999</v>
      </c>
      <c r="M450" s="62">
        <v>7.7280000000000015E-2</v>
      </c>
      <c r="N450" s="62">
        <v>0</v>
      </c>
      <c r="O450" s="62">
        <v>0</v>
      </c>
      <c r="P450" s="298" t="s">
        <v>4160</v>
      </c>
      <c r="Q450" s="60" t="s">
        <v>27</v>
      </c>
      <c r="R450" s="60" t="s">
        <v>27</v>
      </c>
      <c r="S450" s="286" t="str">
        <f t="shared" si="29"/>
        <v/>
      </c>
      <c r="T450" s="286" t="str">
        <f>IF($C450= "", T449, IF(ISNA(VLOOKUP($C450,'ABC-S'!$A$5:$A$271,1,FALSE)), "", VLOOKUP($C450,'ABC-S'!$A$5:$A$271,1,FALSE)))</f>
        <v/>
      </c>
      <c r="W450" s="286" t="s">
        <v>1068</v>
      </c>
      <c r="X450" s="286" t="s">
        <v>21</v>
      </c>
      <c r="Y450" s="286" t="s">
        <v>423</v>
      </c>
      <c r="Z450" s="335" t="s">
        <v>21</v>
      </c>
      <c r="AA450" s="286" t="s">
        <v>21</v>
      </c>
      <c r="AB450" s="378"/>
      <c r="AC450" s="381">
        <v>91283</v>
      </c>
      <c r="AD450" s="378">
        <v>4.8300000000000003E-2</v>
      </c>
      <c r="AE450" s="378">
        <v>0</v>
      </c>
      <c r="AF450" s="378">
        <v>0</v>
      </c>
      <c r="AG450" s="378"/>
      <c r="AI450" s="378">
        <v>0</v>
      </c>
      <c r="AJ450" s="378">
        <v>0</v>
      </c>
      <c r="AL450" s="286">
        <v>91283</v>
      </c>
      <c r="AM450" s="286"/>
    </row>
    <row r="451" spans="1:39" s="51" customFormat="1" ht="45" hidden="1" x14ac:dyDescent="0.25">
      <c r="A451" s="59" t="s">
        <v>1068</v>
      </c>
      <c r="B451" s="59" t="s">
        <v>87</v>
      </c>
      <c r="C451" s="59"/>
      <c r="D451" s="59">
        <v>91285</v>
      </c>
      <c r="E451" s="60" t="s">
        <v>545</v>
      </c>
      <c r="F451" s="59" t="s">
        <v>75</v>
      </c>
      <c r="G451" s="61">
        <v>0.15040000000000001</v>
      </c>
      <c r="H451" s="62">
        <v>0.75</v>
      </c>
      <c r="I451" s="62">
        <f t="shared" si="35"/>
        <v>0.11280000000000001</v>
      </c>
      <c r="J451" s="62"/>
      <c r="K451" s="62">
        <v>0</v>
      </c>
      <c r="L451" s="62">
        <v>0</v>
      </c>
      <c r="M451" s="62">
        <v>0.11280000000000001</v>
      </c>
      <c r="N451" s="62">
        <v>0</v>
      </c>
      <c r="O451" s="62">
        <v>0</v>
      </c>
      <c r="P451" s="298" t="s">
        <v>4160</v>
      </c>
      <c r="Q451" s="60" t="s">
        <v>27</v>
      </c>
      <c r="R451" s="60" t="s">
        <v>27</v>
      </c>
      <c r="S451" s="286" t="str">
        <f t="shared" si="29"/>
        <v/>
      </c>
      <c r="T451" s="286" t="str">
        <f>IF($C451= "", T450, IF(ISNA(VLOOKUP($C451,'ABC-S'!$A$5:$A$271,1,FALSE)), "", VLOOKUP($C451,'ABC-S'!$A$5:$A$271,1,FALSE)))</f>
        <v/>
      </c>
      <c r="W451" s="286" t="s">
        <v>1068</v>
      </c>
      <c r="X451" s="286" t="s">
        <v>21</v>
      </c>
      <c r="Y451" s="286" t="s">
        <v>423</v>
      </c>
      <c r="Z451" s="335" t="s">
        <v>21</v>
      </c>
      <c r="AA451" s="286" t="s">
        <v>21</v>
      </c>
      <c r="AB451" s="378"/>
      <c r="AC451" s="381">
        <v>91285</v>
      </c>
      <c r="AD451" s="378">
        <v>0.15040000000000001</v>
      </c>
      <c r="AE451" s="378">
        <v>0</v>
      </c>
      <c r="AF451" s="378">
        <v>0</v>
      </c>
      <c r="AG451" s="378"/>
      <c r="AI451" s="378">
        <v>0</v>
      </c>
      <c r="AJ451" s="378">
        <v>0</v>
      </c>
      <c r="AL451" s="286">
        <v>91285</v>
      </c>
      <c r="AM451" s="286"/>
    </row>
    <row r="452" spans="1:39" s="51" customFormat="1" ht="45" hidden="1" x14ac:dyDescent="0.25">
      <c r="A452" s="55" t="s">
        <v>2156</v>
      </c>
      <c r="B452" s="55" t="s">
        <v>138</v>
      </c>
      <c r="C452" s="55" t="s">
        <v>2156</v>
      </c>
      <c r="D452" s="55"/>
      <c r="E452" s="56" t="s">
        <v>3329</v>
      </c>
      <c r="F452" s="55" t="s">
        <v>44</v>
      </c>
      <c r="G452" s="57"/>
      <c r="H452" s="58"/>
      <c r="I452" s="58"/>
      <c r="J452" s="58">
        <f>SUM(I452:I466)</f>
        <v>49.212304000000003</v>
      </c>
      <c r="K452" s="58">
        <v>2.9975639999999992</v>
      </c>
      <c r="L452" s="58">
        <v>41.831443</v>
      </c>
      <c r="M452" s="58">
        <v>4.3832970000000007</v>
      </c>
      <c r="N452" s="58">
        <v>0</v>
      </c>
      <c r="O452" s="58">
        <v>-1.1102230246251565E-16</v>
      </c>
      <c r="P452" s="58"/>
      <c r="Q452" s="56"/>
      <c r="R452" s="56" t="s">
        <v>3330</v>
      </c>
      <c r="S452" s="286" t="str">
        <f t="shared" si="29"/>
        <v/>
      </c>
      <c r="T452" s="286" t="str">
        <f>IF($C452= "", T451, IF(ISNA(VLOOKUP($C452,'ABC-S'!$A$5:$A$271,1,FALSE)), "", VLOOKUP($C452,'ABC-S'!$A$5:$A$271,1,FALSE)))</f>
        <v/>
      </c>
      <c r="W452" s="286" t="s">
        <v>2156</v>
      </c>
      <c r="X452" s="286"/>
      <c r="Y452" s="286"/>
      <c r="Z452" s="286"/>
      <c r="AA452" s="286" t="s">
        <v>21</v>
      </c>
      <c r="AB452" s="378">
        <v>0.105</v>
      </c>
      <c r="AC452" s="378"/>
      <c r="AD452" s="335"/>
      <c r="AE452" s="335"/>
      <c r="AF452" s="335"/>
      <c r="AG452" s="378">
        <v>0.22410000000000002</v>
      </c>
      <c r="AI452" s="378" t="s">
        <v>21</v>
      </c>
      <c r="AJ452" s="378" t="s">
        <v>21</v>
      </c>
      <c r="AL452" s="286"/>
      <c r="AM452" s="286"/>
    </row>
    <row r="453" spans="1:39" s="51" customFormat="1" hidden="1" x14ac:dyDescent="0.25">
      <c r="A453" s="59" t="s">
        <v>2156</v>
      </c>
      <c r="B453" s="59" t="s">
        <v>86</v>
      </c>
      <c r="C453" s="59"/>
      <c r="D453" s="59">
        <v>1379</v>
      </c>
      <c r="E453" s="60" t="s">
        <v>97</v>
      </c>
      <c r="F453" s="59" t="s">
        <v>3669</v>
      </c>
      <c r="G453" s="61">
        <v>70.598500000000001</v>
      </c>
      <c r="H453" s="62">
        <v>0.54</v>
      </c>
      <c r="I453" s="62">
        <f>IF($D453="","",G453*H453)</f>
        <v>38.123190000000001</v>
      </c>
      <c r="J453" s="62"/>
      <c r="K453" s="62">
        <v>0</v>
      </c>
      <c r="L453" s="62">
        <v>38.123190000000001</v>
      </c>
      <c r="M453" s="62">
        <v>0</v>
      </c>
      <c r="N453" s="62">
        <v>0</v>
      </c>
      <c r="O453" s="62">
        <v>0</v>
      </c>
      <c r="P453" s="298" t="s">
        <v>89</v>
      </c>
      <c r="Q453" s="60" t="s">
        <v>27</v>
      </c>
      <c r="R453" s="60" t="s">
        <v>27</v>
      </c>
      <c r="S453" s="286" t="str">
        <f t="shared" si="29"/>
        <v/>
      </c>
      <c r="T453" s="286" t="str">
        <f>IF($C453= "", T452, IF(ISNA(VLOOKUP($C453,'ABC-S'!$A$5:$A$271,1,FALSE)), "", VLOOKUP($C453,'ABC-S'!$A$5:$A$271,1,FALSE)))</f>
        <v/>
      </c>
      <c r="W453" s="286" t="s">
        <v>2156</v>
      </c>
      <c r="X453" s="286" t="s">
        <v>21</v>
      </c>
      <c r="Y453" s="286" t="s">
        <v>21</v>
      </c>
      <c r="Z453" s="286" t="s">
        <v>21</v>
      </c>
      <c r="AA453" s="286" t="s">
        <v>21</v>
      </c>
      <c r="AB453" s="378"/>
      <c r="AC453" s="381" t="s">
        <v>21</v>
      </c>
      <c r="AD453" s="378" t="s">
        <v>21</v>
      </c>
      <c r="AE453" s="378" t="s">
        <v>21</v>
      </c>
      <c r="AF453" s="378" t="s">
        <v>21</v>
      </c>
      <c r="AG453" s="378"/>
      <c r="AI453" s="378" t="s">
        <v>21</v>
      </c>
      <c r="AJ453" s="378" t="s">
        <v>21</v>
      </c>
      <c r="AL453" s="286"/>
      <c r="AM453" s="286">
        <v>370</v>
      </c>
    </row>
    <row r="454" spans="1:39" s="51" customFormat="1" ht="45" hidden="1" x14ac:dyDescent="0.25">
      <c r="A454" s="59" t="s">
        <v>2156</v>
      </c>
      <c r="B454" s="59" t="s">
        <v>87</v>
      </c>
      <c r="C454" s="59"/>
      <c r="D454" s="59">
        <v>5684</v>
      </c>
      <c r="E454" s="60" t="s">
        <v>645</v>
      </c>
      <c r="F454" s="59" t="s">
        <v>76</v>
      </c>
      <c r="G454" s="61">
        <v>6.0000000000000001E-3</v>
      </c>
      <c r="H454" s="62">
        <v>109.9</v>
      </c>
      <c r="I454" s="62">
        <f t="shared" ref="I454" si="36">IF($D454="","",G454*H454)</f>
        <v>0.6594000000000001</v>
      </c>
      <c r="J454" s="62"/>
      <c r="K454" s="62">
        <v>8.0760000000000012E-2</v>
      </c>
      <c r="L454" s="62">
        <v>0.29262000000000005</v>
      </c>
      <c r="M454" s="62">
        <v>0.28602</v>
      </c>
      <c r="N454" s="62">
        <v>0</v>
      </c>
      <c r="O454" s="62">
        <v>1.1102230246251565E-16</v>
      </c>
      <c r="P454" s="298" t="s">
        <v>4160</v>
      </c>
      <c r="Q454" s="60" t="s">
        <v>27</v>
      </c>
      <c r="R454" s="60" t="s">
        <v>27</v>
      </c>
      <c r="S454" s="286" t="str">
        <f t="shared" ref="S454:S555" si="37">IF(T454 &lt;&gt; "", "SIM", "")</f>
        <v/>
      </c>
      <c r="T454" s="286" t="str">
        <f>IF($C454= "", T453, IF(ISNA(VLOOKUP($C454,'ABC-S'!$A$5:$A$271,1,FALSE)), "", VLOOKUP($C454,'ABC-S'!$A$5:$A$271,1,FALSE)))</f>
        <v/>
      </c>
      <c r="W454" s="286" t="s">
        <v>2156</v>
      </c>
      <c r="X454" s="286" t="s">
        <v>21</v>
      </c>
      <c r="Y454" s="286" t="s">
        <v>423</v>
      </c>
      <c r="Z454" s="286" t="s">
        <v>21</v>
      </c>
      <c r="AA454" s="286" t="s">
        <v>21</v>
      </c>
      <c r="AB454" s="378"/>
      <c r="AC454" s="381">
        <v>5684</v>
      </c>
      <c r="AD454" s="378">
        <v>6.0000000000000001E-3</v>
      </c>
      <c r="AE454" s="378">
        <v>1</v>
      </c>
      <c r="AF454" s="378">
        <v>6.0000000000000001E-3</v>
      </c>
      <c r="AG454" s="378"/>
      <c r="AI454" s="378">
        <v>0</v>
      </c>
      <c r="AJ454" s="378">
        <v>0</v>
      </c>
      <c r="AL454" s="286"/>
      <c r="AM454" s="286">
        <v>4741</v>
      </c>
    </row>
    <row r="455" spans="1:39" s="51" customFormat="1" ht="45" hidden="1" x14ac:dyDescent="0.25">
      <c r="A455" s="59" t="s">
        <v>2156</v>
      </c>
      <c r="B455" s="59" t="s">
        <v>87</v>
      </c>
      <c r="C455" s="59"/>
      <c r="D455" s="59">
        <v>5685</v>
      </c>
      <c r="E455" s="60" t="s">
        <v>644</v>
      </c>
      <c r="F455" s="59" t="s">
        <v>75</v>
      </c>
      <c r="G455" s="61">
        <v>0.02</v>
      </c>
      <c r="H455" s="62">
        <v>41.4</v>
      </c>
      <c r="I455" s="62">
        <f t="shared" ref="I455:I459" si="38">IF($D455="","",G455*H455)</f>
        <v>0.82799999999999996</v>
      </c>
      <c r="J455" s="62"/>
      <c r="K455" s="62">
        <v>0.26920000000000005</v>
      </c>
      <c r="L455" s="62">
        <v>0.10460000000000001</v>
      </c>
      <c r="M455" s="62">
        <v>0.45420000000000005</v>
      </c>
      <c r="N455" s="62">
        <v>0</v>
      </c>
      <c r="O455" s="62">
        <v>-1.1102230246251565E-16</v>
      </c>
      <c r="P455" s="298" t="s">
        <v>4160</v>
      </c>
      <c r="Q455" s="60" t="s">
        <v>27</v>
      </c>
      <c r="R455" s="60" t="s">
        <v>27</v>
      </c>
      <c r="S455" s="286" t="str">
        <f t="shared" si="37"/>
        <v/>
      </c>
      <c r="T455" s="286" t="str">
        <f>IF($C455= "", T454, IF(ISNA(VLOOKUP($C455,'ABC-S'!$A$5:$A$271,1,FALSE)), "", VLOOKUP($C455,'ABC-S'!$A$5:$A$271,1,FALSE)))</f>
        <v/>
      </c>
      <c r="W455" s="286" t="s">
        <v>2156</v>
      </c>
      <c r="X455" s="286" t="s">
        <v>21</v>
      </c>
      <c r="Y455" s="286" t="s">
        <v>423</v>
      </c>
      <c r="Z455" s="286" t="s">
        <v>21</v>
      </c>
      <c r="AA455" s="286" t="s">
        <v>21</v>
      </c>
      <c r="AB455" s="378"/>
      <c r="AC455" s="381">
        <v>5685</v>
      </c>
      <c r="AD455" s="378">
        <v>0.02</v>
      </c>
      <c r="AE455" s="378">
        <v>1</v>
      </c>
      <c r="AF455" s="378">
        <v>0.02</v>
      </c>
      <c r="AG455" s="378"/>
      <c r="AI455" s="378">
        <v>0</v>
      </c>
      <c r="AJ455" s="378">
        <v>0</v>
      </c>
      <c r="AL455" s="286"/>
      <c r="AM455" s="286">
        <v>4741</v>
      </c>
    </row>
    <row r="456" spans="1:39" s="51" customFormat="1" ht="56.25" hidden="1" x14ac:dyDescent="0.25">
      <c r="A456" s="59" t="s">
        <v>2156</v>
      </c>
      <c r="B456" s="59" t="s">
        <v>87</v>
      </c>
      <c r="C456" s="59"/>
      <c r="D456" s="59">
        <v>5901</v>
      </c>
      <c r="E456" s="60" t="s">
        <v>531</v>
      </c>
      <c r="F456" s="59" t="s">
        <v>76</v>
      </c>
      <c r="G456" s="61">
        <v>4.0000000000000001E-3</v>
      </c>
      <c r="H456" s="62">
        <v>217.9</v>
      </c>
      <c r="I456" s="62">
        <f t="shared" si="38"/>
        <v>0.87160000000000004</v>
      </c>
      <c r="J456" s="62"/>
      <c r="K456" s="62">
        <v>5.7799999999999997E-2</v>
      </c>
      <c r="L456" s="62">
        <v>0.60748000000000002</v>
      </c>
      <c r="M456" s="62">
        <v>0.20632</v>
      </c>
      <c r="N456" s="62">
        <v>0</v>
      </c>
      <c r="O456" s="62">
        <v>1.1102230246251565E-16</v>
      </c>
      <c r="P456" s="298" t="s">
        <v>4160</v>
      </c>
      <c r="Q456" s="60" t="s">
        <v>27</v>
      </c>
      <c r="R456" s="60" t="s">
        <v>27</v>
      </c>
      <c r="S456" s="286" t="str">
        <f t="shared" si="37"/>
        <v/>
      </c>
      <c r="T456" s="286" t="str">
        <f>IF($C456= "", T455, IF(ISNA(VLOOKUP($C456,'ABC-S'!$A$5:$A$271,1,FALSE)), "", VLOOKUP($C456,'ABC-S'!$A$5:$A$271,1,FALSE)))</f>
        <v/>
      </c>
      <c r="W456" s="286" t="s">
        <v>2156</v>
      </c>
      <c r="X456" s="286" t="s">
        <v>21</v>
      </c>
      <c r="Y456" s="286" t="s">
        <v>423</v>
      </c>
      <c r="Z456" s="286" t="s">
        <v>21</v>
      </c>
      <c r="AA456" s="286" t="s">
        <v>21</v>
      </c>
      <c r="AB456" s="378"/>
      <c r="AC456" s="381">
        <v>5901</v>
      </c>
      <c r="AD456" s="378">
        <v>4.0000000000000001E-3</v>
      </c>
      <c r="AE456" s="378">
        <v>1</v>
      </c>
      <c r="AF456" s="378">
        <v>4.0000000000000001E-3</v>
      </c>
      <c r="AG456" s="378"/>
      <c r="AI456" s="378">
        <v>0</v>
      </c>
      <c r="AJ456" s="378">
        <v>0</v>
      </c>
      <c r="AL456" s="286"/>
      <c r="AM456" s="286">
        <v>4741</v>
      </c>
    </row>
    <row r="457" spans="1:39" s="51" customFormat="1" ht="56.25" hidden="1" x14ac:dyDescent="0.25">
      <c r="A457" s="59" t="s">
        <v>2156</v>
      </c>
      <c r="B457" s="59" t="s">
        <v>87</v>
      </c>
      <c r="C457" s="59"/>
      <c r="D457" s="59">
        <v>5903</v>
      </c>
      <c r="E457" s="60" t="s">
        <v>530</v>
      </c>
      <c r="F457" s="59" t="s">
        <v>75</v>
      </c>
      <c r="G457" s="61">
        <v>2.1999999999999999E-2</v>
      </c>
      <c r="H457" s="62">
        <v>40.71</v>
      </c>
      <c r="I457" s="62">
        <f t="shared" si="38"/>
        <v>0.89561999999999997</v>
      </c>
      <c r="J457" s="62"/>
      <c r="K457" s="62">
        <v>0.31789999999999996</v>
      </c>
      <c r="L457" s="62">
        <v>0.11506000000000001</v>
      </c>
      <c r="M457" s="62">
        <v>0.46266000000000002</v>
      </c>
      <c r="N457" s="62">
        <v>0</v>
      </c>
      <c r="O457" s="62">
        <v>0</v>
      </c>
      <c r="P457" s="298" t="s">
        <v>4160</v>
      </c>
      <c r="Q457" s="60" t="s">
        <v>27</v>
      </c>
      <c r="R457" s="60" t="s">
        <v>27</v>
      </c>
      <c r="S457" s="286" t="str">
        <f t="shared" si="37"/>
        <v/>
      </c>
      <c r="T457" s="286" t="str">
        <f>IF($C457= "", T456, IF(ISNA(VLOOKUP($C457,'ABC-S'!$A$5:$A$271,1,FALSE)), "", VLOOKUP($C457,'ABC-S'!$A$5:$A$271,1,FALSE)))</f>
        <v/>
      </c>
      <c r="W457" s="286" t="s">
        <v>2156</v>
      </c>
      <c r="X457" s="286" t="s">
        <v>21</v>
      </c>
      <c r="Y457" s="286" t="s">
        <v>423</v>
      </c>
      <c r="Z457" s="286" t="s">
        <v>21</v>
      </c>
      <c r="AA457" s="286" t="s">
        <v>21</v>
      </c>
      <c r="AB457" s="378"/>
      <c r="AC457" s="381">
        <v>5903</v>
      </c>
      <c r="AD457" s="378">
        <v>2.1999999999999999E-2</v>
      </c>
      <c r="AE457" s="378">
        <v>1</v>
      </c>
      <c r="AF457" s="378">
        <v>2.1999999999999999E-2</v>
      </c>
      <c r="AG457" s="378"/>
      <c r="AI457" s="378">
        <v>0</v>
      </c>
      <c r="AJ457" s="378">
        <v>0</v>
      </c>
      <c r="AL457" s="286"/>
      <c r="AM457" s="286">
        <v>4741</v>
      </c>
    </row>
    <row r="458" spans="1:39" s="51" customFormat="1" ht="33.75" hidden="1" x14ac:dyDescent="0.25">
      <c r="A458" s="59" t="s">
        <v>2156</v>
      </c>
      <c r="B458" s="59" t="s">
        <v>87</v>
      </c>
      <c r="C458" s="59"/>
      <c r="D458" s="59">
        <v>5921</v>
      </c>
      <c r="E458" s="60" t="s">
        <v>588</v>
      </c>
      <c r="F458" s="59" t="s">
        <v>76</v>
      </c>
      <c r="G458" s="61">
        <v>6.0000000000000001E-3</v>
      </c>
      <c r="H458" s="62">
        <v>4.49</v>
      </c>
      <c r="I458" s="62">
        <f t="shared" si="38"/>
        <v>2.6940000000000002E-2</v>
      </c>
      <c r="J458" s="62"/>
      <c r="K458" s="62">
        <v>0</v>
      </c>
      <c r="L458" s="62">
        <v>0</v>
      </c>
      <c r="M458" s="62">
        <v>2.6940000000000002E-2</v>
      </c>
      <c r="N458" s="62">
        <v>0</v>
      </c>
      <c r="O458" s="62">
        <v>0</v>
      </c>
      <c r="P458" s="298" t="s">
        <v>4160</v>
      </c>
      <c r="Q458" s="60" t="s">
        <v>27</v>
      </c>
      <c r="R458" s="60" t="s">
        <v>27</v>
      </c>
      <c r="S458" s="286" t="str">
        <f t="shared" si="37"/>
        <v/>
      </c>
      <c r="T458" s="286" t="str">
        <f>IF($C458= "", T457, IF(ISNA(VLOOKUP($C458,'ABC-S'!$A$5:$A$271,1,FALSE)), "", VLOOKUP($C458,'ABC-S'!$A$5:$A$271,1,FALSE)))</f>
        <v/>
      </c>
      <c r="W458" s="286" t="s">
        <v>2156</v>
      </c>
      <c r="X458" s="286" t="s">
        <v>21</v>
      </c>
      <c r="Y458" s="286" t="s">
        <v>423</v>
      </c>
      <c r="Z458" s="286" t="s">
        <v>21</v>
      </c>
      <c r="AA458" s="286" t="s">
        <v>21</v>
      </c>
      <c r="AB458" s="378"/>
      <c r="AC458" s="381">
        <v>5921</v>
      </c>
      <c r="AD458" s="378">
        <v>6.0000000000000001E-3</v>
      </c>
      <c r="AE458" s="378">
        <v>0</v>
      </c>
      <c r="AF458" s="378">
        <v>0</v>
      </c>
      <c r="AG458" s="378"/>
      <c r="AI458" s="378">
        <v>0</v>
      </c>
      <c r="AJ458" s="378">
        <v>0</v>
      </c>
      <c r="AL458" s="286"/>
      <c r="AM458" s="286">
        <v>4741</v>
      </c>
    </row>
    <row r="459" spans="1:39" s="51" customFormat="1" ht="33.75" hidden="1" x14ac:dyDescent="0.25">
      <c r="A459" s="59" t="s">
        <v>2156</v>
      </c>
      <c r="B459" s="59" t="s">
        <v>87</v>
      </c>
      <c r="C459" s="59"/>
      <c r="D459" s="59">
        <v>5923</v>
      </c>
      <c r="E459" s="60" t="s">
        <v>587</v>
      </c>
      <c r="F459" s="59" t="s">
        <v>75</v>
      </c>
      <c r="G459" s="61">
        <v>0.02</v>
      </c>
      <c r="H459" s="62">
        <v>2.79</v>
      </c>
      <c r="I459" s="62">
        <f t="shared" si="38"/>
        <v>5.5800000000000002E-2</v>
      </c>
      <c r="J459" s="62"/>
      <c r="K459" s="62">
        <v>0</v>
      </c>
      <c r="L459" s="62">
        <v>0</v>
      </c>
      <c r="M459" s="62">
        <v>5.5800000000000002E-2</v>
      </c>
      <c r="N459" s="62">
        <v>0</v>
      </c>
      <c r="O459" s="62">
        <v>0</v>
      </c>
      <c r="P459" s="298" t="s">
        <v>4160</v>
      </c>
      <c r="Q459" s="60" t="s">
        <v>27</v>
      </c>
      <c r="R459" s="60" t="s">
        <v>27</v>
      </c>
      <c r="S459" s="286" t="str">
        <f t="shared" si="37"/>
        <v/>
      </c>
      <c r="T459" s="286" t="str">
        <f>IF($C459= "", T458, IF(ISNA(VLOOKUP($C459,'ABC-S'!$A$5:$A$271,1,FALSE)), "", VLOOKUP($C459,'ABC-S'!$A$5:$A$271,1,FALSE)))</f>
        <v/>
      </c>
      <c r="W459" s="286" t="s">
        <v>2156</v>
      </c>
      <c r="X459" s="286" t="s">
        <v>21</v>
      </c>
      <c r="Y459" s="286" t="s">
        <v>423</v>
      </c>
      <c r="Z459" s="286" t="s">
        <v>21</v>
      </c>
      <c r="AA459" s="286" t="s">
        <v>21</v>
      </c>
      <c r="AB459" s="378"/>
      <c r="AC459" s="381">
        <v>5923</v>
      </c>
      <c r="AD459" s="378">
        <v>0.02</v>
      </c>
      <c r="AE459" s="378">
        <v>0</v>
      </c>
      <c r="AF459" s="378">
        <v>0</v>
      </c>
      <c r="AG459" s="378"/>
      <c r="AI459" s="378">
        <v>0</v>
      </c>
      <c r="AJ459" s="378">
        <v>0</v>
      </c>
      <c r="AL459" s="286"/>
      <c r="AM459" s="286">
        <v>4741</v>
      </c>
    </row>
    <row r="460" spans="1:39" s="51" customFormat="1" ht="33.75" hidden="1" x14ac:dyDescent="0.25">
      <c r="A460" s="59" t="s">
        <v>2156</v>
      </c>
      <c r="B460" s="59" t="s">
        <v>87</v>
      </c>
      <c r="C460" s="59"/>
      <c r="D460" s="59">
        <v>5932</v>
      </c>
      <c r="E460" s="60" t="s">
        <v>607</v>
      </c>
      <c r="F460" s="59" t="s">
        <v>76</v>
      </c>
      <c r="G460" s="61">
        <v>1.35E-2</v>
      </c>
      <c r="H460" s="62">
        <v>170.84</v>
      </c>
      <c r="I460" s="62">
        <f>IF($D460="","",G460*H460)</f>
        <v>2.3063400000000001</v>
      </c>
      <c r="J460" s="62"/>
      <c r="K460" s="62">
        <v>0.27054</v>
      </c>
      <c r="L460" s="62">
        <v>0.93176999999999999</v>
      </c>
      <c r="M460" s="62">
        <v>1.1040300000000001</v>
      </c>
      <c r="N460" s="62">
        <v>0</v>
      </c>
      <c r="O460" s="62">
        <v>0</v>
      </c>
      <c r="P460" s="298" t="s">
        <v>4160</v>
      </c>
      <c r="Q460" s="60" t="s">
        <v>27</v>
      </c>
      <c r="R460" s="60" t="s">
        <v>27</v>
      </c>
      <c r="S460" s="286" t="str">
        <f t="shared" si="37"/>
        <v/>
      </c>
      <c r="T460" s="286" t="str">
        <f>IF($C460= "", T459, IF(ISNA(VLOOKUP($C460,'ABC-S'!$A$5:$A$271,1,FALSE)), "", VLOOKUP($C460,'ABC-S'!$A$5:$A$271,1,FALSE)))</f>
        <v/>
      </c>
      <c r="W460" s="286" t="s">
        <v>2156</v>
      </c>
      <c r="X460" s="286" t="s">
        <v>21</v>
      </c>
      <c r="Y460" s="286" t="s">
        <v>423</v>
      </c>
      <c r="Z460" s="286" t="s">
        <v>21</v>
      </c>
      <c r="AA460" s="286" t="s">
        <v>21</v>
      </c>
      <c r="AB460" s="378"/>
      <c r="AC460" s="381">
        <v>5932</v>
      </c>
      <c r="AD460" s="378">
        <v>1.35E-2</v>
      </c>
      <c r="AE460" s="378">
        <v>1</v>
      </c>
      <c r="AF460" s="378">
        <v>1.35E-2</v>
      </c>
      <c r="AG460" s="378"/>
      <c r="AI460" s="378">
        <v>0</v>
      </c>
      <c r="AJ460" s="378">
        <v>0</v>
      </c>
      <c r="AL460" s="286"/>
      <c r="AM460" s="286">
        <v>40671</v>
      </c>
    </row>
    <row r="461" spans="1:39" s="51" customFormat="1" ht="33.75" hidden="1" x14ac:dyDescent="0.25">
      <c r="A461" s="59" t="s">
        <v>2156</v>
      </c>
      <c r="B461" s="59" t="s">
        <v>87</v>
      </c>
      <c r="C461" s="248"/>
      <c r="D461" s="59">
        <v>5934</v>
      </c>
      <c r="E461" s="60" t="s">
        <v>606</v>
      </c>
      <c r="F461" s="59" t="s">
        <v>75</v>
      </c>
      <c r="G461" s="61">
        <v>9.5999999999999992E-3</v>
      </c>
      <c r="H461" s="62">
        <v>59.89</v>
      </c>
      <c r="I461" s="62">
        <f>IF($D461="","",G461*H461)</f>
        <v>0.5749439999999999</v>
      </c>
      <c r="J461" s="62"/>
      <c r="K461" s="62">
        <v>0.19238399999999997</v>
      </c>
      <c r="L461" s="62">
        <v>5.0208000000000003E-2</v>
      </c>
      <c r="M461" s="62">
        <v>0.33235199999999993</v>
      </c>
      <c r="N461" s="62">
        <v>0</v>
      </c>
      <c r="O461" s="62">
        <v>0</v>
      </c>
      <c r="P461" s="298" t="s">
        <v>4160</v>
      </c>
      <c r="Q461" s="60" t="s">
        <v>27</v>
      </c>
      <c r="R461" s="60" t="s">
        <v>27</v>
      </c>
      <c r="S461" s="286" t="str">
        <f t="shared" si="37"/>
        <v/>
      </c>
      <c r="T461" s="286" t="str">
        <f>IF($C461= "", T460, IF(ISNA(VLOOKUP($C461,'ABC-S'!$A$5:$A$271,1,FALSE)), "", VLOOKUP($C461,'ABC-S'!$A$5:$A$271,1,FALSE)))</f>
        <v/>
      </c>
      <c r="W461" s="286" t="s">
        <v>2156</v>
      </c>
      <c r="X461" s="286" t="s">
        <v>21</v>
      </c>
      <c r="Y461" s="286" t="s">
        <v>423</v>
      </c>
      <c r="Z461" s="335" t="s">
        <v>21</v>
      </c>
      <c r="AA461" s="286" t="s">
        <v>21</v>
      </c>
      <c r="AB461" s="378"/>
      <c r="AC461" s="381">
        <v>5934</v>
      </c>
      <c r="AD461" s="378">
        <v>9.5999999999999992E-3</v>
      </c>
      <c r="AE461" s="378">
        <v>1</v>
      </c>
      <c r="AF461" s="378">
        <v>9.5999999999999992E-3</v>
      </c>
      <c r="AG461" s="378"/>
      <c r="AI461" s="378">
        <v>0</v>
      </c>
      <c r="AJ461" s="378">
        <v>0</v>
      </c>
      <c r="AL461" s="286">
        <v>88260</v>
      </c>
      <c r="AM461" s="286"/>
    </row>
    <row r="462" spans="1:39" s="51" customFormat="1" hidden="1" x14ac:dyDescent="0.25">
      <c r="A462" s="59" t="s">
        <v>2156</v>
      </c>
      <c r="B462" s="59" t="s">
        <v>87</v>
      </c>
      <c r="C462" s="248"/>
      <c r="D462" s="59">
        <v>88316</v>
      </c>
      <c r="E462" s="60" t="s">
        <v>649</v>
      </c>
      <c r="F462" s="59" t="s">
        <v>46</v>
      </c>
      <c r="G462" s="61">
        <v>0.105</v>
      </c>
      <c r="H462" s="62">
        <v>17.61</v>
      </c>
      <c r="I462" s="62">
        <f>IF($D462="","",G462*H462)</f>
        <v>1.8490499999999999</v>
      </c>
      <c r="J462" s="62"/>
      <c r="K462" s="62">
        <v>1.218</v>
      </c>
      <c r="L462" s="62">
        <v>0.63105</v>
      </c>
      <c r="M462" s="62">
        <v>0</v>
      </c>
      <c r="N462" s="62">
        <v>0</v>
      </c>
      <c r="O462" s="62">
        <v>-2.2204460492503131E-16</v>
      </c>
      <c r="P462" s="298" t="s">
        <v>4160</v>
      </c>
      <c r="Q462" s="60" t="s">
        <v>27</v>
      </c>
      <c r="R462" s="60" t="s">
        <v>27</v>
      </c>
      <c r="S462" s="286" t="str">
        <f t="shared" si="37"/>
        <v/>
      </c>
      <c r="T462" s="286" t="str">
        <f>IF($C462= "", T461, IF(ISNA(VLOOKUP($C462,'ABC-S'!$A$5:$A$271,1,FALSE)), "", VLOOKUP($C462,'ABC-S'!$A$5:$A$271,1,FALSE)))</f>
        <v/>
      </c>
      <c r="W462" s="286" t="s">
        <v>2156</v>
      </c>
      <c r="X462" s="286">
        <v>88316</v>
      </c>
      <c r="Y462" s="286" t="s">
        <v>424</v>
      </c>
      <c r="Z462" s="335">
        <v>0</v>
      </c>
      <c r="AA462" s="286">
        <v>0.105</v>
      </c>
      <c r="AB462" s="378"/>
      <c r="AC462" s="381" t="s">
        <v>21</v>
      </c>
      <c r="AD462" s="378" t="s">
        <v>21</v>
      </c>
      <c r="AE462" s="378" t="s">
        <v>21</v>
      </c>
      <c r="AF462" s="378" t="s">
        <v>21</v>
      </c>
      <c r="AG462" s="378"/>
      <c r="AI462" s="378">
        <v>0</v>
      </c>
      <c r="AJ462" s="378">
        <v>0</v>
      </c>
      <c r="AL462" s="286">
        <v>88316</v>
      </c>
      <c r="AM462" s="286"/>
    </row>
    <row r="463" spans="1:39" s="51" customFormat="1" ht="33.75" hidden="1" x14ac:dyDescent="0.25">
      <c r="A463" s="59" t="s">
        <v>2156</v>
      </c>
      <c r="B463" s="59" t="s">
        <v>87</v>
      </c>
      <c r="C463" s="59"/>
      <c r="D463" s="59">
        <v>89035</v>
      </c>
      <c r="E463" s="60" t="s">
        <v>664</v>
      </c>
      <c r="F463" s="59" t="s">
        <v>76</v>
      </c>
      <c r="G463" s="61">
        <v>5.4999999999999997E-3</v>
      </c>
      <c r="H463" s="62">
        <v>132.5</v>
      </c>
      <c r="I463" s="62">
        <f t="shared" ref="I463:I466" si="39">IF($D463="","",G463*H463)</f>
        <v>0.72875000000000001</v>
      </c>
      <c r="J463" s="62"/>
      <c r="K463" s="62">
        <v>7.3645000000000002E-2</v>
      </c>
      <c r="L463" s="62">
        <v>0.53086</v>
      </c>
      <c r="M463" s="62">
        <v>0.12424499999999999</v>
      </c>
      <c r="N463" s="62">
        <v>0</v>
      </c>
      <c r="O463" s="62">
        <v>0</v>
      </c>
      <c r="P463" s="298" t="s">
        <v>4160</v>
      </c>
      <c r="Q463" s="60" t="s">
        <v>27</v>
      </c>
      <c r="R463" s="60" t="s">
        <v>27</v>
      </c>
      <c r="S463" s="286" t="str">
        <f t="shared" si="37"/>
        <v/>
      </c>
      <c r="T463" s="286" t="str">
        <f>IF($C463= "", T462, IF(ISNA(VLOOKUP($C463,'ABC-S'!$A$5:$A$271,1,FALSE)), "", VLOOKUP($C463,'ABC-S'!$A$5:$A$271,1,FALSE)))</f>
        <v/>
      </c>
      <c r="W463" s="286" t="s">
        <v>2156</v>
      </c>
      <c r="X463" s="286" t="s">
        <v>21</v>
      </c>
      <c r="Y463" s="286" t="s">
        <v>423</v>
      </c>
      <c r="Z463" s="335" t="s">
        <v>21</v>
      </c>
      <c r="AA463" s="286" t="s">
        <v>21</v>
      </c>
      <c r="AB463" s="378"/>
      <c r="AC463" s="381">
        <v>89035</v>
      </c>
      <c r="AD463" s="378">
        <v>5.4999999999999997E-3</v>
      </c>
      <c r="AE463" s="378">
        <v>1</v>
      </c>
      <c r="AF463" s="378">
        <v>5.4999999999999997E-3</v>
      </c>
      <c r="AG463" s="378"/>
      <c r="AI463" s="378">
        <v>0</v>
      </c>
      <c r="AJ463" s="378">
        <v>0</v>
      </c>
      <c r="AL463" s="286">
        <v>91277</v>
      </c>
      <c r="AM463" s="286"/>
    </row>
    <row r="464" spans="1:39" s="51" customFormat="1" ht="33.75" hidden="1" x14ac:dyDescent="0.25">
      <c r="A464" s="59" t="s">
        <v>2156</v>
      </c>
      <c r="B464" s="59" t="s">
        <v>87</v>
      </c>
      <c r="C464" s="59"/>
      <c r="D464" s="59">
        <v>89036</v>
      </c>
      <c r="E464" s="60" t="s">
        <v>663</v>
      </c>
      <c r="F464" s="59" t="s">
        <v>75</v>
      </c>
      <c r="G464" s="61">
        <v>1.2500000000000001E-2</v>
      </c>
      <c r="H464" s="62">
        <v>30.14</v>
      </c>
      <c r="I464" s="62">
        <f t="shared" si="39"/>
        <v>0.37675000000000003</v>
      </c>
      <c r="J464" s="62"/>
      <c r="K464" s="62">
        <v>0.16737500000000002</v>
      </c>
      <c r="L464" s="62">
        <v>6.5375000000000003E-2</v>
      </c>
      <c r="M464" s="62">
        <v>0.14399999999999999</v>
      </c>
      <c r="N464" s="62">
        <v>0</v>
      </c>
      <c r="O464" s="62">
        <v>0</v>
      </c>
      <c r="P464" s="298" t="s">
        <v>4160</v>
      </c>
      <c r="Q464" s="60" t="s">
        <v>27</v>
      </c>
      <c r="R464" s="60" t="s">
        <v>27</v>
      </c>
      <c r="S464" s="286" t="str">
        <f t="shared" si="37"/>
        <v/>
      </c>
      <c r="T464" s="286" t="str">
        <f>IF($C464= "", T463, IF(ISNA(VLOOKUP($C464,'ABC-S'!$A$5:$A$271,1,FALSE)), "", VLOOKUP($C464,'ABC-S'!$A$5:$A$271,1,FALSE)))</f>
        <v/>
      </c>
      <c r="W464" s="286" t="s">
        <v>2156</v>
      </c>
      <c r="X464" s="286" t="s">
        <v>21</v>
      </c>
      <c r="Y464" s="286" t="s">
        <v>423</v>
      </c>
      <c r="Z464" s="335" t="s">
        <v>21</v>
      </c>
      <c r="AA464" s="286" t="s">
        <v>21</v>
      </c>
      <c r="AB464" s="378"/>
      <c r="AC464" s="381">
        <v>89036</v>
      </c>
      <c r="AD464" s="378">
        <v>1.2500000000000001E-2</v>
      </c>
      <c r="AE464" s="378">
        <v>1</v>
      </c>
      <c r="AF464" s="378">
        <v>1.2500000000000001E-2</v>
      </c>
      <c r="AG464" s="378"/>
      <c r="AI464" s="378">
        <v>0</v>
      </c>
      <c r="AJ464" s="378">
        <v>0</v>
      </c>
      <c r="AL464" s="286">
        <v>91278</v>
      </c>
      <c r="AM464" s="286"/>
    </row>
    <row r="465" spans="1:39" s="51" customFormat="1" ht="45" hidden="1" x14ac:dyDescent="0.25">
      <c r="A465" s="59" t="s">
        <v>2156</v>
      </c>
      <c r="B465" s="59" t="s">
        <v>87</v>
      </c>
      <c r="C465" s="59"/>
      <c r="D465" s="59">
        <v>96463</v>
      </c>
      <c r="E465" s="60" t="s">
        <v>641</v>
      </c>
      <c r="F465" s="59" t="s">
        <v>76</v>
      </c>
      <c r="G465" s="61">
        <v>5.0000000000000001E-3</v>
      </c>
      <c r="H465" s="62">
        <v>146.43</v>
      </c>
      <c r="I465" s="62">
        <f t="shared" si="39"/>
        <v>0.73215000000000008</v>
      </c>
      <c r="J465" s="62"/>
      <c r="K465" s="62">
        <v>6.7300000000000013E-2</v>
      </c>
      <c r="L465" s="62">
        <v>0.26940000000000003</v>
      </c>
      <c r="M465" s="62">
        <v>0.39545000000000002</v>
      </c>
      <c r="N465" s="62">
        <v>0</v>
      </c>
      <c r="O465" s="62">
        <v>0</v>
      </c>
      <c r="P465" s="298" t="s">
        <v>4160</v>
      </c>
      <c r="Q465" s="60" t="s">
        <v>27</v>
      </c>
      <c r="R465" s="60" t="s">
        <v>27</v>
      </c>
      <c r="S465" s="286" t="str">
        <f t="shared" si="37"/>
        <v/>
      </c>
      <c r="T465" s="286" t="str">
        <f>IF($C465= "", T464, IF(ISNA(VLOOKUP($C465,'ABC-S'!$A$5:$A$271,1,FALSE)), "", VLOOKUP($C465,'ABC-S'!$A$5:$A$271,1,FALSE)))</f>
        <v/>
      </c>
      <c r="W465" s="286" t="s">
        <v>2156</v>
      </c>
      <c r="X465" s="286" t="s">
        <v>21</v>
      </c>
      <c r="Y465" s="286" t="s">
        <v>423</v>
      </c>
      <c r="Z465" s="335" t="s">
        <v>21</v>
      </c>
      <c r="AA465" s="286" t="s">
        <v>21</v>
      </c>
      <c r="AB465" s="378"/>
      <c r="AC465" s="381">
        <v>96463</v>
      </c>
      <c r="AD465" s="378">
        <v>5.0000000000000001E-3</v>
      </c>
      <c r="AE465" s="378">
        <v>1</v>
      </c>
      <c r="AF465" s="378">
        <v>5.0000000000000001E-3</v>
      </c>
      <c r="AG465" s="378"/>
      <c r="AI465" s="378">
        <v>0</v>
      </c>
      <c r="AJ465" s="378">
        <v>0</v>
      </c>
      <c r="AL465" s="286">
        <v>91283</v>
      </c>
      <c r="AM465" s="286"/>
    </row>
    <row r="466" spans="1:39" s="51" customFormat="1" ht="45" hidden="1" x14ac:dyDescent="0.25">
      <c r="A466" s="59" t="s">
        <v>2156</v>
      </c>
      <c r="B466" s="59" t="s">
        <v>87</v>
      </c>
      <c r="C466" s="59"/>
      <c r="D466" s="59">
        <v>96464</v>
      </c>
      <c r="E466" s="60" t="s">
        <v>640</v>
      </c>
      <c r="F466" s="59" t="s">
        <v>75</v>
      </c>
      <c r="G466" s="61">
        <v>2.1000000000000001E-2</v>
      </c>
      <c r="H466" s="62">
        <v>56.37</v>
      </c>
      <c r="I466" s="62">
        <f t="shared" si="39"/>
        <v>1.18377</v>
      </c>
      <c r="J466" s="62"/>
      <c r="K466" s="62">
        <v>0.28266000000000002</v>
      </c>
      <c r="L466" s="62">
        <v>0.10983000000000001</v>
      </c>
      <c r="M466" s="62">
        <v>0.79128000000000009</v>
      </c>
      <c r="N466" s="62">
        <v>0</v>
      </c>
      <c r="O466" s="62">
        <v>0</v>
      </c>
      <c r="P466" s="298" t="s">
        <v>4160</v>
      </c>
      <c r="Q466" s="60" t="s">
        <v>27</v>
      </c>
      <c r="R466" s="60" t="s">
        <v>27</v>
      </c>
      <c r="S466" s="286" t="str">
        <f t="shared" si="37"/>
        <v/>
      </c>
      <c r="T466" s="286" t="str">
        <f>IF($C466= "", T465, IF(ISNA(VLOOKUP($C466,'ABC-S'!$A$5:$A$271,1,FALSE)), "", VLOOKUP($C466,'ABC-S'!$A$5:$A$271,1,FALSE)))</f>
        <v/>
      </c>
      <c r="W466" s="286" t="s">
        <v>2156</v>
      </c>
      <c r="X466" s="286" t="s">
        <v>21</v>
      </c>
      <c r="Y466" s="286" t="s">
        <v>423</v>
      </c>
      <c r="Z466" s="335" t="s">
        <v>21</v>
      </c>
      <c r="AA466" s="286" t="s">
        <v>21</v>
      </c>
      <c r="AB466" s="378"/>
      <c r="AC466" s="381">
        <v>96464</v>
      </c>
      <c r="AD466" s="378">
        <v>2.1000000000000001E-2</v>
      </c>
      <c r="AE466" s="378">
        <v>1</v>
      </c>
      <c r="AF466" s="378">
        <v>2.1000000000000001E-2</v>
      </c>
      <c r="AG466" s="378"/>
      <c r="AI466" s="378">
        <v>0</v>
      </c>
      <c r="AJ466" s="378">
        <v>0</v>
      </c>
      <c r="AL466" s="286">
        <v>91285</v>
      </c>
      <c r="AM466" s="286"/>
    </row>
    <row r="467" spans="1:39" s="51" customFormat="1" ht="22.5" x14ac:dyDescent="0.25">
      <c r="A467" s="55" t="s">
        <v>2159</v>
      </c>
      <c r="B467" s="55" t="s">
        <v>138</v>
      </c>
      <c r="C467" s="55" t="s">
        <v>2159</v>
      </c>
      <c r="D467" s="55"/>
      <c r="E467" s="56" t="s">
        <v>4059</v>
      </c>
      <c r="F467" s="55" t="s">
        <v>51</v>
      </c>
      <c r="G467" s="57"/>
      <c r="H467" s="58"/>
      <c r="I467" s="58"/>
      <c r="J467" s="58">
        <f>SUM(I467:I479)</f>
        <v>4.5634150000000009</v>
      </c>
      <c r="K467" s="58">
        <v>0.36772499999999997</v>
      </c>
      <c r="L467" s="58">
        <v>3.8916759999999999</v>
      </c>
      <c r="M467" s="58">
        <v>0.30401400000000001</v>
      </c>
      <c r="N467" s="58">
        <v>0</v>
      </c>
      <c r="O467" s="58">
        <v>2.7755575615628914E-17</v>
      </c>
      <c r="P467" s="58"/>
      <c r="Q467" s="56"/>
      <c r="R467" s="56" t="s">
        <v>4058</v>
      </c>
      <c r="S467" s="286" t="str">
        <f t="shared" si="37"/>
        <v>SIM</v>
      </c>
      <c r="T467" s="286" t="str">
        <f>IF($C467= "", T466, IF(ISNA(VLOOKUP($C467,'ABC-S'!$A$5:$A$271,1,FALSE)), "", VLOOKUP($C467,'ABC-S'!$A$5:$A$271,1,FALSE)))</f>
        <v>CP0411</v>
      </c>
      <c r="W467" s="286" t="s">
        <v>977</v>
      </c>
      <c r="X467" s="286"/>
      <c r="Y467" s="286"/>
      <c r="Z467" s="286"/>
      <c r="AA467" s="286" t="s">
        <v>21</v>
      </c>
      <c r="AB467" s="378">
        <v>2.1499999999999998E-2</v>
      </c>
      <c r="AC467" s="378"/>
      <c r="AD467" s="335"/>
      <c r="AE467" s="335"/>
      <c r="AF467" s="335"/>
      <c r="AG467" s="378">
        <v>3.0099999999999998E-2</v>
      </c>
      <c r="AI467" s="378" t="s">
        <v>21</v>
      </c>
      <c r="AJ467" s="378" t="s">
        <v>21</v>
      </c>
      <c r="AL467" s="286"/>
      <c r="AM467" s="286"/>
    </row>
    <row r="468" spans="1:39" s="51" customFormat="1" ht="22.5" x14ac:dyDescent="0.25">
      <c r="A468" s="59" t="s">
        <v>2159</v>
      </c>
      <c r="B468" s="59" t="s">
        <v>86</v>
      </c>
      <c r="C468" s="59"/>
      <c r="D468" s="59">
        <v>4720</v>
      </c>
      <c r="E468" s="60" t="s">
        <v>101</v>
      </c>
      <c r="F468" s="59" t="s">
        <v>3670</v>
      </c>
      <c r="G468" s="61">
        <v>7.3000000000000001E-3</v>
      </c>
      <c r="H468" s="62">
        <v>147.43</v>
      </c>
      <c r="I468" s="62">
        <f>IF($D468="","",G468*H468)</f>
        <v>1.0762390000000002</v>
      </c>
      <c r="J468" s="62"/>
      <c r="K468" s="62">
        <v>0</v>
      </c>
      <c r="L468" s="62">
        <v>1.0762390000000002</v>
      </c>
      <c r="M468" s="62">
        <v>0</v>
      </c>
      <c r="N468" s="62">
        <v>0</v>
      </c>
      <c r="O468" s="62">
        <v>0</v>
      </c>
      <c r="P468" s="298" t="s">
        <v>89</v>
      </c>
      <c r="Q468" s="60" t="s">
        <v>27</v>
      </c>
      <c r="R468" s="60" t="s">
        <v>27</v>
      </c>
      <c r="S468" s="286" t="str">
        <f t="shared" si="37"/>
        <v>SIM</v>
      </c>
      <c r="T468" s="286" t="str">
        <f>IF($C468= "", T467, IF(ISNA(VLOOKUP($C468,'ABC-S'!$A$5:$A$271,1,FALSE)), "", VLOOKUP($C468,'ABC-S'!$A$5:$A$271,1,FALSE)))</f>
        <v>CP0411</v>
      </c>
      <c r="W468" s="286" t="s">
        <v>977</v>
      </c>
      <c r="X468" s="286" t="s">
        <v>21</v>
      </c>
      <c r="Y468" s="286" t="s">
        <v>21</v>
      </c>
      <c r="Z468" s="335" t="s">
        <v>21</v>
      </c>
      <c r="AA468" s="286" t="s">
        <v>21</v>
      </c>
      <c r="AB468" s="378"/>
      <c r="AC468" s="381" t="s">
        <v>21</v>
      </c>
      <c r="AD468" s="378" t="s">
        <v>21</v>
      </c>
      <c r="AE468" s="378"/>
      <c r="AF468" s="378" t="s">
        <v>21</v>
      </c>
      <c r="AG468" s="378"/>
      <c r="AI468" s="378" t="s">
        <v>21</v>
      </c>
      <c r="AJ468" s="378" t="s">
        <v>21</v>
      </c>
      <c r="AL468" s="286" t="s">
        <v>951</v>
      </c>
      <c r="AM468" s="286"/>
    </row>
    <row r="469" spans="1:39" s="51" customFormat="1" ht="22.5" x14ac:dyDescent="0.25">
      <c r="A469" s="59" t="s">
        <v>2159</v>
      </c>
      <c r="B469" s="59" t="s">
        <v>86</v>
      </c>
      <c r="C469" s="59"/>
      <c r="D469" s="59">
        <v>4721</v>
      </c>
      <c r="E469" s="60" t="s">
        <v>100</v>
      </c>
      <c r="F469" s="59" t="s">
        <v>3670</v>
      </c>
      <c r="G469" s="61">
        <v>1.4999999999999999E-2</v>
      </c>
      <c r="H469" s="62">
        <v>127.69</v>
      </c>
      <c r="I469" s="62">
        <f t="shared" ref="I469:I479" si="40">IF($D469="","",G469*H469)</f>
        <v>1.9153499999999999</v>
      </c>
      <c r="J469" s="62"/>
      <c r="K469" s="62">
        <v>0</v>
      </c>
      <c r="L469" s="62">
        <v>1.9153499999999999</v>
      </c>
      <c r="M469" s="62">
        <v>0</v>
      </c>
      <c r="N469" s="62">
        <v>0</v>
      </c>
      <c r="O469" s="62">
        <v>0</v>
      </c>
      <c r="P469" s="298" t="s">
        <v>89</v>
      </c>
      <c r="Q469" s="60" t="s">
        <v>27</v>
      </c>
      <c r="R469" s="60" t="s">
        <v>27</v>
      </c>
      <c r="S469" s="286" t="str">
        <f t="shared" si="37"/>
        <v>SIM</v>
      </c>
      <c r="T469" s="286" t="str">
        <f>IF($C469= "", T468, IF(ISNA(VLOOKUP($C469,'ABC-S'!$A$5:$A$271,1,FALSE)), "", VLOOKUP($C469,'ABC-S'!$A$5:$A$271,1,FALSE)))</f>
        <v>CP0411</v>
      </c>
      <c r="W469" s="286" t="s">
        <v>977</v>
      </c>
      <c r="X469" s="286" t="s">
        <v>21</v>
      </c>
      <c r="Y469" s="286" t="s">
        <v>21</v>
      </c>
      <c r="Z469" s="335" t="s">
        <v>21</v>
      </c>
      <c r="AA469" s="286" t="s">
        <v>21</v>
      </c>
      <c r="AB469" s="378"/>
      <c r="AC469" s="381" t="s">
        <v>21</v>
      </c>
      <c r="AD469" s="378" t="s">
        <v>21</v>
      </c>
      <c r="AE469" s="378" t="s">
        <v>21</v>
      </c>
      <c r="AF469" s="378" t="s">
        <v>21</v>
      </c>
      <c r="AG469" s="378"/>
      <c r="AI469" s="378" t="s">
        <v>21</v>
      </c>
      <c r="AJ469" s="378" t="s">
        <v>21</v>
      </c>
      <c r="AL469" s="286">
        <v>5835</v>
      </c>
      <c r="AM469" s="286"/>
    </row>
    <row r="470" spans="1:39" s="51" customFormat="1" ht="45" x14ac:dyDescent="0.25">
      <c r="A470" s="59" t="s">
        <v>2159</v>
      </c>
      <c r="B470" s="59" t="s">
        <v>87</v>
      </c>
      <c r="C470" s="59"/>
      <c r="D470" s="59">
        <v>6879</v>
      </c>
      <c r="E470" s="60" t="s">
        <v>639</v>
      </c>
      <c r="F470" s="59" t="s">
        <v>76</v>
      </c>
      <c r="G470" s="61">
        <v>8.0000000000000004E-4</v>
      </c>
      <c r="H470" s="62">
        <v>142.31</v>
      </c>
      <c r="I470" s="62">
        <f t="shared" si="40"/>
        <v>0.113848</v>
      </c>
      <c r="J470" s="62"/>
      <c r="K470" s="62">
        <v>1.0768000000000002E-2</v>
      </c>
      <c r="L470" s="62">
        <v>4.3472000000000004E-2</v>
      </c>
      <c r="M470" s="62">
        <v>5.9608000000000008E-2</v>
      </c>
      <c r="N470" s="62">
        <v>0</v>
      </c>
      <c r="O470" s="62">
        <v>0</v>
      </c>
      <c r="P470" s="298" t="s">
        <v>4160</v>
      </c>
      <c r="Q470" s="60" t="s">
        <v>27</v>
      </c>
      <c r="R470" s="60" t="s">
        <v>27</v>
      </c>
      <c r="S470" s="286" t="str">
        <f t="shared" si="37"/>
        <v>SIM</v>
      </c>
      <c r="T470" s="286" t="str">
        <f>IF($C470= "", T469, IF(ISNA(VLOOKUP($C470,'ABC-S'!$A$5:$A$271,1,FALSE)), "", VLOOKUP($C470,'ABC-S'!$A$5:$A$271,1,FALSE)))</f>
        <v>CP0411</v>
      </c>
      <c r="W470" s="286" t="s">
        <v>977</v>
      </c>
      <c r="X470" s="286" t="s">
        <v>21</v>
      </c>
      <c r="Y470" s="286" t="s">
        <v>423</v>
      </c>
      <c r="Z470" s="335" t="s">
        <v>21</v>
      </c>
      <c r="AA470" s="286" t="s">
        <v>21</v>
      </c>
      <c r="AB470" s="378"/>
      <c r="AC470" s="381">
        <v>6879</v>
      </c>
      <c r="AD470" s="378">
        <v>8.0000000000000004E-4</v>
      </c>
      <c r="AE470" s="378">
        <v>1</v>
      </c>
      <c r="AF470" s="378">
        <v>8.0000000000000004E-4</v>
      </c>
      <c r="AG470" s="378"/>
      <c r="AI470" s="378">
        <v>0</v>
      </c>
      <c r="AJ470" s="378">
        <v>0</v>
      </c>
      <c r="AL470" s="286">
        <v>5837</v>
      </c>
      <c r="AM470" s="286"/>
    </row>
    <row r="471" spans="1:39" s="51" customFormat="1" ht="45" x14ac:dyDescent="0.25">
      <c r="A471" s="59" t="s">
        <v>2159</v>
      </c>
      <c r="B471" s="59" t="s">
        <v>87</v>
      </c>
      <c r="C471" s="248"/>
      <c r="D471" s="59">
        <v>6880</v>
      </c>
      <c r="E471" s="60" t="s">
        <v>638</v>
      </c>
      <c r="F471" s="59" t="s">
        <v>75</v>
      </c>
      <c r="G471" s="61">
        <v>1.9E-3</v>
      </c>
      <c r="H471" s="62">
        <v>54.19</v>
      </c>
      <c r="I471" s="62">
        <f t="shared" si="40"/>
        <v>0.102961</v>
      </c>
      <c r="J471" s="62"/>
      <c r="K471" s="62">
        <v>2.5574000000000003E-2</v>
      </c>
      <c r="L471" s="62">
        <v>9.9370000000000014E-3</v>
      </c>
      <c r="M471" s="62">
        <v>6.7449999999999996E-2</v>
      </c>
      <c r="N471" s="62">
        <v>0</v>
      </c>
      <c r="O471" s="62">
        <v>0</v>
      </c>
      <c r="P471" s="298" t="s">
        <v>4160</v>
      </c>
      <c r="Q471" s="60" t="s">
        <v>27</v>
      </c>
      <c r="R471" s="60" t="s">
        <v>27</v>
      </c>
      <c r="S471" s="286" t="str">
        <f t="shared" si="37"/>
        <v>SIM</v>
      </c>
      <c r="T471" s="286" t="str">
        <f>IF($C471= "", T470, IF(ISNA(VLOOKUP($C471,'ABC-S'!$A$5:$A$271,1,FALSE)), "", VLOOKUP($C471,'ABC-S'!$A$5:$A$271,1,FALSE)))</f>
        <v>CP0411</v>
      </c>
      <c r="W471" s="286" t="s">
        <v>977</v>
      </c>
      <c r="X471" s="286" t="s">
        <v>21</v>
      </c>
      <c r="Y471" s="286" t="s">
        <v>423</v>
      </c>
      <c r="Z471" s="335" t="s">
        <v>21</v>
      </c>
      <c r="AA471" s="286" t="s">
        <v>21</v>
      </c>
      <c r="AB471" s="378"/>
      <c r="AC471" s="381">
        <v>6880</v>
      </c>
      <c r="AD471" s="378">
        <v>1.9E-3</v>
      </c>
      <c r="AE471" s="378">
        <v>1</v>
      </c>
      <c r="AF471" s="378">
        <v>1.9E-3</v>
      </c>
      <c r="AG471" s="378"/>
      <c r="AI471" s="378">
        <v>0</v>
      </c>
      <c r="AJ471" s="378">
        <v>0</v>
      </c>
      <c r="AL471" s="286">
        <v>88314</v>
      </c>
      <c r="AM471" s="286"/>
    </row>
    <row r="472" spans="1:39" s="51" customFormat="1" ht="22.5" x14ac:dyDescent="0.25">
      <c r="A472" s="59" t="s">
        <v>2159</v>
      </c>
      <c r="B472" s="59" t="s">
        <v>87</v>
      </c>
      <c r="C472" s="59"/>
      <c r="D472" s="59">
        <v>7030</v>
      </c>
      <c r="E472" s="60" t="s">
        <v>653</v>
      </c>
      <c r="F472" s="59" t="s">
        <v>76</v>
      </c>
      <c r="G472" s="61">
        <v>2.7000000000000001E-3</v>
      </c>
      <c r="H472" s="62">
        <v>176.84</v>
      </c>
      <c r="I472" s="62">
        <f t="shared" si="40"/>
        <v>0.47746800000000006</v>
      </c>
      <c r="J472" s="62"/>
      <c r="K472" s="62">
        <v>0</v>
      </c>
      <c r="L472" s="62">
        <v>0.43972200000000006</v>
      </c>
      <c r="M472" s="62">
        <v>3.7746000000000002E-2</v>
      </c>
      <c r="N472" s="62">
        <v>0</v>
      </c>
      <c r="O472" s="62">
        <v>0</v>
      </c>
      <c r="P472" s="298" t="s">
        <v>4160</v>
      </c>
      <c r="Q472" s="60" t="s">
        <v>27</v>
      </c>
      <c r="R472" s="60" t="s">
        <v>27</v>
      </c>
      <c r="S472" s="286" t="str">
        <f t="shared" si="37"/>
        <v>SIM</v>
      </c>
      <c r="T472" s="286" t="str">
        <f>IF($C472= "", T471, IF(ISNA(VLOOKUP($C472,'ABC-S'!$A$5:$A$271,1,FALSE)), "", VLOOKUP($C472,'ABC-S'!$A$5:$A$271,1,FALSE)))</f>
        <v>CP0411</v>
      </c>
      <c r="W472" s="286" t="s">
        <v>977</v>
      </c>
      <c r="X472" s="286" t="s">
        <v>21</v>
      </c>
      <c r="Y472" s="286" t="s">
        <v>423</v>
      </c>
      <c r="Z472" s="335" t="s">
        <v>21</v>
      </c>
      <c r="AA472" s="286" t="s">
        <v>21</v>
      </c>
      <c r="AB472" s="378"/>
      <c r="AC472" s="381">
        <v>7030</v>
      </c>
      <c r="AD472" s="378">
        <v>2.7000000000000001E-3</v>
      </c>
      <c r="AE472" s="378">
        <v>0</v>
      </c>
      <c r="AF472" s="378">
        <v>0</v>
      </c>
      <c r="AG472" s="378"/>
      <c r="AI472" s="378">
        <v>0</v>
      </c>
      <c r="AJ472" s="378">
        <v>0</v>
      </c>
      <c r="AL472" s="286">
        <v>91386</v>
      </c>
      <c r="AM472" s="286"/>
    </row>
    <row r="473" spans="1:39" s="51" customFormat="1" ht="33.75" x14ac:dyDescent="0.25">
      <c r="A473" s="59" t="s">
        <v>2159</v>
      </c>
      <c r="B473" s="59" t="s">
        <v>86</v>
      </c>
      <c r="C473" s="59"/>
      <c r="D473" s="59">
        <v>41903</v>
      </c>
      <c r="E473" s="60" t="s">
        <v>694</v>
      </c>
      <c r="F473" s="59" t="s">
        <v>3669</v>
      </c>
      <c r="G473" s="61">
        <f>3.5 * 0</f>
        <v>0</v>
      </c>
      <c r="H473" s="62">
        <v>3.34</v>
      </c>
      <c r="I473" s="62">
        <f t="shared" ref="I473" si="41">IF($D473="","",G473*H473)</f>
        <v>0</v>
      </c>
      <c r="J473" s="62"/>
      <c r="K473" s="62">
        <v>0</v>
      </c>
      <c r="L473" s="62">
        <v>0</v>
      </c>
      <c r="M473" s="62">
        <v>0</v>
      </c>
      <c r="N473" s="62">
        <v>0</v>
      </c>
      <c r="O473" s="62">
        <v>0</v>
      </c>
      <c r="P473" s="298" t="s">
        <v>89</v>
      </c>
      <c r="Q473" s="60" t="s">
        <v>27</v>
      </c>
      <c r="R473" s="60" t="s">
        <v>3340</v>
      </c>
      <c r="S473" s="286" t="str">
        <f t="shared" si="37"/>
        <v>SIM</v>
      </c>
      <c r="T473" s="286" t="str">
        <f>IF($C473= "", T472, IF(ISNA(VLOOKUP($C473,'ABC-S'!$A$5:$A$271,1,FALSE)), "", VLOOKUP($C473,'ABC-S'!$A$5:$A$271,1,FALSE)))</f>
        <v>CP0411</v>
      </c>
      <c r="W473" s="286" t="s">
        <v>977</v>
      </c>
      <c r="X473" s="286" t="s">
        <v>21</v>
      </c>
      <c r="Y473" s="286" t="s">
        <v>21</v>
      </c>
      <c r="Z473" s="335" t="s">
        <v>21</v>
      </c>
      <c r="AA473" s="286" t="s">
        <v>21</v>
      </c>
      <c r="AB473" s="378"/>
      <c r="AC473" s="381" t="s">
        <v>21</v>
      </c>
      <c r="AD473" s="378" t="s">
        <v>21</v>
      </c>
      <c r="AE473" s="378" t="s">
        <v>21</v>
      </c>
      <c r="AF473" s="378" t="s">
        <v>21</v>
      </c>
      <c r="AG473" s="378"/>
      <c r="AI473" s="378" t="s">
        <v>21</v>
      </c>
      <c r="AJ473" s="378" t="s">
        <v>21</v>
      </c>
      <c r="AL473" s="286">
        <v>91386</v>
      </c>
      <c r="AM473" s="286"/>
    </row>
    <row r="474" spans="1:39" s="51" customFormat="1" ht="56.25" x14ac:dyDescent="0.25">
      <c r="A474" s="59" t="s">
        <v>2159</v>
      </c>
      <c r="B474" s="59" t="s">
        <v>87</v>
      </c>
      <c r="C474" s="59"/>
      <c r="D474" s="59">
        <v>83362</v>
      </c>
      <c r="E474" s="60" t="s">
        <v>565</v>
      </c>
      <c r="F474" s="59" t="s">
        <v>76</v>
      </c>
      <c r="G474" s="61">
        <v>8.9999999999999998E-4</v>
      </c>
      <c r="H474" s="62">
        <v>219.65</v>
      </c>
      <c r="I474" s="62">
        <f t="shared" si="40"/>
        <v>0.197685</v>
      </c>
      <c r="J474" s="62"/>
      <c r="K474" s="62">
        <v>1.3004999999999999E-2</v>
      </c>
      <c r="L474" s="62">
        <v>0.15191099999999999</v>
      </c>
      <c r="M474" s="62">
        <v>3.2768999999999993E-2</v>
      </c>
      <c r="N474" s="62">
        <v>0</v>
      </c>
      <c r="O474" s="62">
        <v>2.7755575615628914E-17</v>
      </c>
      <c r="P474" s="298" t="s">
        <v>4160</v>
      </c>
      <c r="Q474" s="60" t="s">
        <v>27</v>
      </c>
      <c r="R474" s="60" t="s">
        <v>27</v>
      </c>
      <c r="S474" s="286" t="str">
        <f t="shared" si="37"/>
        <v>SIM</v>
      </c>
      <c r="T474" s="286" t="str">
        <f>IF($C474= "", T472, IF(ISNA(VLOOKUP($C474,'ABC-S'!$A$5:$A$271,1,FALSE)), "", VLOOKUP($C474,'ABC-S'!$A$5:$A$271,1,FALSE)))</f>
        <v>CP0411</v>
      </c>
      <c r="W474" s="286" t="s">
        <v>977</v>
      </c>
      <c r="X474" s="286" t="s">
        <v>21</v>
      </c>
      <c r="Y474" s="286" t="s">
        <v>423</v>
      </c>
      <c r="Z474" s="335" t="s">
        <v>21</v>
      </c>
      <c r="AA474" s="286" t="s">
        <v>21</v>
      </c>
      <c r="AB474" s="378"/>
      <c r="AC474" s="381">
        <v>83362</v>
      </c>
      <c r="AD474" s="378">
        <v>8.9999999999999998E-4</v>
      </c>
      <c r="AE474" s="378">
        <v>1</v>
      </c>
      <c r="AF474" s="378">
        <v>8.9999999999999998E-4</v>
      </c>
      <c r="AG474" s="378"/>
      <c r="AI474" s="378">
        <v>0</v>
      </c>
      <c r="AJ474" s="378">
        <v>0</v>
      </c>
      <c r="AL474" s="286">
        <v>95631</v>
      </c>
      <c r="AM474" s="286"/>
    </row>
    <row r="475" spans="1:39" s="51" customFormat="1" x14ac:dyDescent="0.25">
      <c r="A475" s="59" t="s">
        <v>2159</v>
      </c>
      <c r="B475" s="59" t="s">
        <v>87</v>
      </c>
      <c r="C475" s="59"/>
      <c r="D475" s="59">
        <v>88316</v>
      </c>
      <c r="E475" s="60" t="s">
        <v>649</v>
      </c>
      <c r="F475" s="59" t="s">
        <v>46</v>
      </c>
      <c r="G475" s="61">
        <v>2.1499999999999998E-2</v>
      </c>
      <c r="H475" s="62">
        <v>17.61</v>
      </c>
      <c r="I475" s="62">
        <f t="shared" si="40"/>
        <v>0.37861499999999998</v>
      </c>
      <c r="J475" s="62"/>
      <c r="K475" s="62">
        <v>0.24939999999999998</v>
      </c>
      <c r="L475" s="62">
        <v>0.129215</v>
      </c>
      <c r="M475" s="62">
        <v>0</v>
      </c>
      <c r="N475" s="62">
        <v>0</v>
      </c>
      <c r="O475" s="62">
        <v>0</v>
      </c>
      <c r="P475" s="298" t="s">
        <v>4160</v>
      </c>
      <c r="Q475" s="60" t="s">
        <v>27</v>
      </c>
      <c r="R475" s="60" t="s">
        <v>27</v>
      </c>
      <c r="S475" s="286" t="str">
        <f t="shared" si="37"/>
        <v>SIM</v>
      </c>
      <c r="T475" s="286" t="str">
        <f>IF($C475= "", T474, IF(ISNA(VLOOKUP($C475,'ABC-S'!$A$5:$A$271,1,FALSE)), "", VLOOKUP($C475,'ABC-S'!$A$5:$A$271,1,FALSE)))</f>
        <v>CP0411</v>
      </c>
      <c r="W475" s="286" t="s">
        <v>977</v>
      </c>
      <c r="X475" s="286">
        <v>88316</v>
      </c>
      <c r="Y475" s="286" t="s">
        <v>424</v>
      </c>
      <c r="Z475" s="335">
        <v>1642.21876</v>
      </c>
      <c r="AA475" s="286">
        <v>2.1499999999999998E-2</v>
      </c>
      <c r="AB475" s="378"/>
      <c r="AC475" s="381" t="s">
        <v>21</v>
      </c>
      <c r="AD475" s="378" t="s">
        <v>21</v>
      </c>
      <c r="AE475" s="378" t="s">
        <v>21</v>
      </c>
      <c r="AF475" s="378" t="s">
        <v>21</v>
      </c>
      <c r="AG475" s="378"/>
      <c r="AI475" s="378">
        <v>0</v>
      </c>
      <c r="AJ475" s="378">
        <v>0</v>
      </c>
      <c r="AL475" s="286">
        <v>95632</v>
      </c>
      <c r="AM475" s="286"/>
    </row>
    <row r="476" spans="1:39" s="51" customFormat="1" ht="33.75" x14ac:dyDescent="0.25">
      <c r="A476" s="59" t="s">
        <v>2159</v>
      </c>
      <c r="B476" s="59" t="s">
        <v>87</v>
      </c>
      <c r="C476" s="59"/>
      <c r="D476" s="59">
        <v>89035</v>
      </c>
      <c r="E476" s="60" t="s">
        <v>664</v>
      </c>
      <c r="F476" s="59" t="s">
        <v>76</v>
      </c>
      <c r="G476" s="61">
        <v>5.0000000000000001E-4</v>
      </c>
      <c r="H476" s="62">
        <v>132.5</v>
      </c>
      <c r="I476" s="62">
        <f t="shared" si="40"/>
        <v>6.6250000000000003E-2</v>
      </c>
      <c r="J476" s="62"/>
      <c r="K476" s="62">
        <v>6.6950000000000004E-3</v>
      </c>
      <c r="L476" s="62">
        <v>4.8259999999999997E-2</v>
      </c>
      <c r="M476" s="62">
        <v>1.1294999999999999E-2</v>
      </c>
      <c r="N476" s="62">
        <v>0</v>
      </c>
      <c r="O476" s="62">
        <v>0</v>
      </c>
      <c r="P476" s="298" t="s">
        <v>4160</v>
      </c>
      <c r="Q476" s="60" t="s">
        <v>27</v>
      </c>
      <c r="R476" s="60" t="s">
        <v>27</v>
      </c>
      <c r="S476" s="286" t="str">
        <f t="shared" si="37"/>
        <v>SIM</v>
      </c>
      <c r="T476" s="286" t="str">
        <f>IF($C476= "", T475, IF(ISNA(VLOOKUP($C476,'ABC-S'!$A$5:$A$271,1,FALSE)), "", VLOOKUP($C476,'ABC-S'!$A$5:$A$271,1,FALSE)))</f>
        <v>CP0411</v>
      </c>
      <c r="W476" s="286" t="s">
        <v>977</v>
      </c>
      <c r="X476" s="286" t="s">
        <v>21</v>
      </c>
      <c r="Y476" s="286" t="s">
        <v>423</v>
      </c>
      <c r="Z476" s="335" t="s">
        <v>21</v>
      </c>
      <c r="AA476" s="286" t="s">
        <v>21</v>
      </c>
      <c r="AB476" s="378"/>
      <c r="AC476" s="381">
        <v>89035</v>
      </c>
      <c r="AD476" s="378">
        <v>5.0000000000000001E-4</v>
      </c>
      <c r="AE476" s="378">
        <v>1</v>
      </c>
      <c r="AF476" s="378">
        <v>5.0000000000000001E-4</v>
      </c>
      <c r="AG476" s="378"/>
      <c r="AI476" s="378">
        <v>0</v>
      </c>
      <c r="AJ476" s="378">
        <v>0</v>
      </c>
      <c r="AL476" s="286">
        <v>96155</v>
      </c>
      <c r="AM476" s="286"/>
    </row>
    <row r="477" spans="1:39" s="51" customFormat="1" ht="33.75" x14ac:dyDescent="0.25">
      <c r="A477" s="59" t="s">
        <v>2159</v>
      </c>
      <c r="B477" s="59" t="s">
        <v>87</v>
      </c>
      <c r="C477" s="59"/>
      <c r="D477" s="59">
        <v>89036</v>
      </c>
      <c r="E477" s="60" t="s">
        <v>663</v>
      </c>
      <c r="F477" s="59" t="s">
        <v>75</v>
      </c>
      <c r="G477" s="61">
        <v>2.2000000000000001E-3</v>
      </c>
      <c r="H477" s="62">
        <v>30.14</v>
      </c>
      <c r="I477" s="62">
        <f t="shared" si="40"/>
        <v>6.6308000000000006E-2</v>
      </c>
      <c r="J477" s="62"/>
      <c r="K477" s="62">
        <v>2.9458000000000002E-2</v>
      </c>
      <c r="L477" s="62">
        <v>1.1506000000000002E-2</v>
      </c>
      <c r="M477" s="62">
        <v>2.5344000000000002E-2</v>
      </c>
      <c r="N477" s="62">
        <v>0</v>
      </c>
      <c r="O477" s="62">
        <v>0</v>
      </c>
      <c r="P477" s="298" t="s">
        <v>4160</v>
      </c>
      <c r="Q477" s="60" t="s">
        <v>27</v>
      </c>
      <c r="R477" s="60" t="s">
        <v>27</v>
      </c>
      <c r="S477" s="286" t="str">
        <f t="shared" si="37"/>
        <v>SIM</v>
      </c>
      <c r="T477" s="286" t="str">
        <f>IF($C477= "", T476, IF(ISNA(VLOOKUP($C477,'ABC-S'!$A$5:$A$271,1,FALSE)), "", VLOOKUP($C477,'ABC-S'!$A$5:$A$271,1,FALSE)))</f>
        <v>CP0411</v>
      </c>
      <c r="W477" s="286" t="s">
        <v>977</v>
      </c>
      <c r="X477" s="286" t="s">
        <v>21</v>
      </c>
      <c r="Y477" s="286" t="s">
        <v>423</v>
      </c>
      <c r="Z477" s="335" t="s">
        <v>21</v>
      </c>
      <c r="AA477" s="286" t="s">
        <v>21</v>
      </c>
      <c r="AB477" s="378"/>
      <c r="AC477" s="381">
        <v>89036</v>
      </c>
      <c r="AD477" s="378">
        <v>2.2000000000000001E-3</v>
      </c>
      <c r="AE477" s="378">
        <v>1</v>
      </c>
      <c r="AF477" s="378">
        <v>2.2000000000000001E-3</v>
      </c>
      <c r="AG477" s="378"/>
      <c r="AI477" s="378">
        <v>0</v>
      </c>
      <c r="AJ477" s="378">
        <v>0</v>
      </c>
      <c r="AL477" s="286">
        <v>96157</v>
      </c>
      <c r="AM477" s="286"/>
    </row>
    <row r="478" spans="1:39" s="51" customFormat="1" ht="56.25" x14ac:dyDescent="0.25">
      <c r="A478" s="59" t="s">
        <v>2159</v>
      </c>
      <c r="B478" s="59" t="s">
        <v>87</v>
      </c>
      <c r="C478" s="59"/>
      <c r="D478" s="59">
        <v>91386</v>
      </c>
      <c r="E478" s="60" t="s">
        <v>527</v>
      </c>
      <c r="F478" s="59" t="s">
        <v>76</v>
      </c>
      <c r="G478" s="61">
        <v>5.0000000000000001E-4</v>
      </c>
      <c r="H478" s="62">
        <v>185.03</v>
      </c>
      <c r="I478" s="62">
        <f t="shared" si="40"/>
        <v>9.2515E-2</v>
      </c>
      <c r="J478" s="62"/>
      <c r="K478" s="62">
        <v>6.8150000000000007E-3</v>
      </c>
      <c r="L478" s="62">
        <v>5.6649999999999999E-2</v>
      </c>
      <c r="M478" s="62">
        <v>2.9050000000000003E-2</v>
      </c>
      <c r="N478" s="62">
        <v>0</v>
      </c>
      <c r="O478" s="62">
        <v>0</v>
      </c>
      <c r="P478" s="298" t="s">
        <v>4160</v>
      </c>
      <c r="Q478" s="60" t="s">
        <v>27</v>
      </c>
      <c r="R478" s="60" t="s">
        <v>27</v>
      </c>
      <c r="S478" s="286" t="str">
        <f t="shared" si="37"/>
        <v>SIM</v>
      </c>
      <c r="T478" s="286" t="str">
        <f>IF($C478= "", T477, IF(ISNA(VLOOKUP($C478,'ABC-S'!$A$5:$A$271,1,FALSE)), "", VLOOKUP($C478,'ABC-S'!$A$5:$A$271,1,FALSE)))</f>
        <v>CP0411</v>
      </c>
      <c r="W478" s="286" t="s">
        <v>977</v>
      </c>
      <c r="X478" s="286" t="s">
        <v>21</v>
      </c>
      <c r="Y478" s="286" t="s">
        <v>423</v>
      </c>
      <c r="Z478" s="335" t="s">
        <v>21</v>
      </c>
      <c r="AA478" s="286" t="s">
        <v>21</v>
      </c>
      <c r="AB478" s="378"/>
      <c r="AC478" s="381">
        <v>91386</v>
      </c>
      <c r="AD478" s="378">
        <v>5.0000000000000001E-4</v>
      </c>
      <c r="AE478" s="378">
        <v>1</v>
      </c>
      <c r="AF478" s="378">
        <v>5.0000000000000001E-4</v>
      </c>
      <c r="AG478" s="378"/>
      <c r="AI478" s="378">
        <v>0</v>
      </c>
      <c r="AJ478" s="378">
        <v>0</v>
      </c>
      <c r="AL478" s="286">
        <v>96463</v>
      </c>
      <c r="AM478" s="286"/>
    </row>
    <row r="479" spans="1:39" s="51" customFormat="1" ht="56.25" x14ac:dyDescent="0.25">
      <c r="A479" s="59" t="s">
        <v>2159</v>
      </c>
      <c r="B479" s="59" t="s">
        <v>87</v>
      </c>
      <c r="C479" s="59"/>
      <c r="D479" s="59">
        <v>91486</v>
      </c>
      <c r="E479" s="60" t="s">
        <v>564</v>
      </c>
      <c r="F479" s="59" t="s">
        <v>75</v>
      </c>
      <c r="G479" s="61">
        <v>1.8E-3</v>
      </c>
      <c r="H479" s="62">
        <v>42.32</v>
      </c>
      <c r="I479" s="62">
        <f t="shared" si="40"/>
        <v>7.6175999999999994E-2</v>
      </c>
      <c r="J479" s="62"/>
      <c r="K479" s="62">
        <v>2.6009999999999998E-2</v>
      </c>
      <c r="L479" s="62">
        <v>9.4140000000000005E-3</v>
      </c>
      <c r="M479" s="62">
        <v>4.0751999999999997E-2</v>
      </c>
      <c r="N479" s="62">
        <v>0</v>
      </c>
      <c r="O479" s="62">
        <v>0</v>
      </c>
      <c r="P479" s="298" t="s">
        <v>4160</v>
      </c>
      <c r="Q479" s="60" t="s">
        <v>27</v>
      </c>
      <c r="R479" s="60" t="s">
        <v>27</v>
      </c>
      <c r="S479" s="286" t="str">
        <f t="shared" si="37"/>
        <v>SIM</v>
      </c>
      <c r="T479" s="286" t="str">
        <f>IF($C479= "", T478, IF(ISNA(VLOOKUP($C479,'ABC-S'!$A$5:$A$271,1,FALSE)), "", VLOOKUP($C479,'ABC-S'!$A$5:$A$271,1,FALSE)))</f>
        <v>CP0411</v>
      </c>
      <c r="W479" s="286" t="s">
        <v>977</v>
      </c>
      <c r="X479" s="286" t="s">
        <v>21</v>
      </c>
      <c r="Y479" s="286" t="s">
        <v>423</v>
      </c>
      <c r="Z479" s="335" t="s">
        <v>21</v>
      </c>
      <c r="AA479" s="286" t="s">
        <v>21</v>
      </c>
      <c r="AB479" s="378"/>
      <c r="AC479" s="381">
        <v>91486</v>
      </c>
      <c r="AD479" s="378">
        <v>1.8E-3</v>
      </c>
      <c r="AE479" s="378">
        <v>1</v>
      </c>
      <c r="AF479" s="378">
        <v>1.8E-3</v>
      </c>
      <c r="AG479" s="378"/>
      <c r="AI479" s="378">
        <v>0</v>
      </c>
      <c r="AJ479" s="378">
        <v>0</v>
      </c>
      <c r="AL479" s="286">
        <v>96464</v>
      </c>
      <c r="AM479" s="286"/>
    </row>
    <row r="480" spans="1:39" s="51" customFormat="1" ht="56.25" x14ac:dyDescent="0.25">
      <c r="A480" s="55" t="s">
        <v>2572</v>
      </c>
      <c r="B480" s="55" t="s">
        <v>138</v>
      </c>
      <c r="C480" s="55" t="s">
        <v>2572</v>
      </c>
      <c r="D480" s="55"/>
      <c r="E480" s="56" t="s">
        <v>4130</v>
      </c>
      <c r="F480" s="55" t="s">
        <v>41</v>
      </c>
      <c r="G480" s="57"/>
      <c r="H480" s="58"/>
      <c r="I480" s="58"/>
      <c r="J480" s="58">
        <f>SUM(I480:I488)</f>
        <v>851.32982881433134</v>
      </c>
      <c r="K480" s="58">
        <v>218.2219680269944</v>
      </c>
      <c r="L480" s="58">
        <v>628.39772254974309</v>
      </c>
      <c r="M480" s="58">
        <v>4.0799041055938474</v>
      </c>
      <c r="N480" s="58">
        <v>0</v>
      </c>
      <c r="O480" s="58">
        <v>0.6302341319999698</v>
      </c>
      <c r="P480" s="58"/>
      <c r="Q480" s="56"/>
      <c r="R480" s="56" t="s">
        <v>4129</v>
      </c>
      <c r="S480" s="286" t="str">
        <f t="shared" si="37"/>
        <v>SIM</v>
      </c>
      <c r="T480" s="286" t="str">
        <f>IF($C480= "", T466, IF(ISNA(VLOOKUP($C480,'ABC-S'!$A$5:$A$271,1,FALSE)), "", VLOOKUP($C480,'ABC-S'!$A$5:$A$271,1,FALSE)))</f>
        <v>CP0421</v>
      </c>
      <c r="W480" s="286" t="s">
        <v>2572</v>
      </c>
      <c r="X480" s="286"/>
      <c r="Y480" s="286"/>
      <c r="Z480" s="286"/>
      <c r="AA480" s="286" t="s">
        <v>21</v>
      </c>
      <c r="AB480" s="378">
        <v>0</v>
      </c>
      <c r="AC480" s="378"/>
      <c r="AD480" s="335"/>
      <c r="AE480" s="335"/>
      <c r="AF480" s="335"/>
      <c r="AG480" s="378">
        <v>35.060336931499322</v>
      </c>
      <c r="AI480" s="378" t="s">
        <v>21</v>
      </c>
      <c r="AJ480" s="378" t="s">
        <v>21</v>
      </c>
      <c r="AL480" s="286"/>
      <c r="AM480" s="286"/>
    </row>
    <row r="481" spans="1:39" s="51" customFormat="1" x14ac:dyDescent="0.25">
      <c r="A481" s="59" t="s">
        <v>2572</v>
      </c>
      <c r="B481" s="59" t="s">
        <v>87</v>
      </c>
      <c r="C481" s="59"/>
      <c r="D481" s="59" t="s">
        <v>4122</v>
      </c>
      <c r="E481" s="60" t="s">
        <v>4127</v>
      </c>
      <c r="F481" s="59" t="s">
        <v>41</v>
      </c>
      <c r="G481" s="61">
        <v>0.17499999999999999</v>
      </c>
      <c r="H481" s="62">
        <v>149.47425418994413</v>
      </c>
      <c r="I481" s="62">
        <f t="shared" ref="I481:I488" si="42">IF($D481="","",G481*H481)</f>
        <v>26.157994483240223</v>
      </c>
      <c r="J481" s="62"/>
      <c r="K481" s="62">
        <v>1.5060754189944132</v>
      </c>
      <c r="L481" s="62">
        <v>24.573706773743016</v>
      </c>
      <c r="M481" s="62">
        <v>7.8212290502793283E-2</v>
      </c>
      <c r="N481" s="62">
        <v>0</v>
      </c>
      <c r="O481" s="62">
        <v>0</v>
      </c>
      <c r="P481" s="298" t="s">
        <v>4160</v>
      </c>
      <c r="Q481" s="60" t="s">
        <v>27</v>
      </c>
      <c r="R481" s="60" t="s">
        <v>27</v>
      </c>
      <c r="S481" s="286" t="str">
        <f t="shared" si="37"/>
        <v>SIM</v>
      </c>
      <c r="T481" s="286" t="str">
        <f>IF($C481= "", T480, IF(ISNA(VLOOKUP($C481,'ABC-S'!$A$5:$A$271,1,FALSE)), "", VLOOKUP($C481,'ABC-S'!$A$5:$A$271,1,FALSE)))</f>
        <v>CP0421</v>
      </c>
      <c r="W481" s="286" t="s">
        <v>2572</v>
      </c>
      <c r="X481" s="286" t="s">
        <v>21</v>
      </c>
      <c r="Y481" s="286" t="s">
        <v>1513</v>
      </c>
      <c r="Z481" s="286" t="s">
        <v>21</v>
      </c>
      <c r="AA481" s="286" t="s">
        <v>21</v>
      </c>
      <c r="AB481" s="378"/>
      <c r="AC481" s="381" t="s">
        <v>4122</v>
      </c>
      <c r="AD481" s="378">
        <v>0.17499999999999999</v>
      </c>
      <c r="AE481" s="378">
        <v>1.4702024007247472</v>
      </c>
      <c r="AF481" s="378">
        <v>0.25728542012683076</v>
      </c>
      <c r="AG481" s="378"/>
      <c r="AI481" s="378" t="s">
        <v>21</v>
      </c>
      <c r="AJ481" s="378" t="s">
        <v>21</v>
      </c>
      <c r="AL481" s="286"/>
      <c r="AM481" s="286">
        <v>370</v>
      </c>
    </row>
    <row r="482" spans="1:39" s="51" customFormat="1" ht="33.75" x14ac:dyDescent="0.25">
      <c r="A482" s="59" t="s">
        <v>2572</v>
      </c>
      <c r="B482" s="59" t="s">
        <v>87</v>
      </c>
      <c r="C482" s="59"/>
      <c r="D482" s="59" t="s">
        <v>4121</v>
      </c>
      <c r="E482" s="60" t="s">
        <v>4128</v>
      </c>
      <c r="F482" s="59" t="s">
        <v>51</v>
      </c>
      <c r="G482" s="61">
        <v>2.73</v>
      </c>
      <c r="H482" s="62">
        <v>79.314668864868523</v>
      </c>
      <c r="I482" s="62">
        <f t="shared" si="42"/>
        <v>216.52904600109107</v>
      </c>
      <c r="J482" s="62"/>
      <c r="K482" s="62">
        <v>60.422832287999995</v>
      </c>
      <c r="L482" s="62">
        <v>152.10935976600001</v>
      </c>
      <c r="M482" s="62">
        <v>3.3757614750910543</v>
      </c>
      <c r="N482" s="62">
        <v>0</v>
      </c>
      <c r="O482" s="62">
        <v>0.62109247200001505</v>
      </c>
      <c r="P482" s="298" t="s">
        <v>4160</v>
      </c>
      <c r="Q482" s="60" t="s">
        <v>27</v>
      </c>
      <c r="R482" s="60" t="s">
        <v>27</v>
      </c>
      <c r="S482" s="286" t="str">
        <f t="shared" si="37"/>
        <v>SIM</v>
      </c>
      <c r="T482" s="286" t="str">
        <f>IF($C482= "", T481, IF(ISNA(VLOOKUP($C482,'ABC-S'!$A$5:$A$271,1,FALSE)), "", VLOOKUP($C482,'ABC-S'!$A$5:$A$271,1,FALSE)))</f>
        <v>CP0421</v>
      </c>
      <c r="W482" s="286" t="s">
        <v>2572</v>
      </c>
      <c r="X482" s="286" t="s">
        <v>21</v>
      </c>
      <c r="Y482" s="286" t="s">
        <v>1513</v>
      </c>
      <c r="Z482" s="286" t="s">
        <v>21</v>
      </c>
      <c r="AA482" s="286" t="s">
        <v>21</v>
      </c>
      <c r="AB482" s="378"/>
      <c r="AC482" s="381" t="s">
        <v>4121</v>
      </c>
      <c r="AD482" s="378">
        <v>2.73</v>
      </c>
      <c r="AE482" s="378">
        <v>2.8806424007247471</v>
      </c>
      <c r="AF482" s="378">
        <v>7.8641537539785595</v>
      </c>
      <c r="AG482" s="378"/>
      <c r="AI482" s="378" t="s">
        <v>21</v>
      </c>
      <c r="AJ482" s="378" t="s">
        <v>21</v>
      </c>
      <c r="AL482" s="286"/>
      <c r="AM482" s="286">
        <v>4741</v>
      </c>
    </row>
    <row r="483" spans="1:39" s="51" customFormat="1" ht="33.75" x14ac:dyDescent="0.25">
      <c r="A483" s="59" t="s">
        <v>2572</v>
      </c>
      <c r="B483" s="59" t="s">
        <v>87</v>
      </c>
      <c r="C483" s="59"/>
      <c r="D483" s="59">
        <v>92916</v>
      </c>
      <c r="E483" s="60" t="s">
        <v>507</v>
      </c>
      <c r="F483" s="59" t="s">
        <v>54</v>
      </c>
      <c r="G483" s="61">
        <v>10.5</v>
      </c>
      <c r="H483" s="62">
        <v>16.38</v>
      </c>
      <c r="I483" s="62">
        <f t="shared" si="42"/>
        <v>171.98999999999998</v>
      </c>
      <c r="J483" s="62"/>
      <c r="K483" s="62">
        <v>35.909999999999997</v>
      </c>
      <c r="L483" s="62">
        <v>136.08000000000001</v>
      </c>
      <c r="M483" s="62">
        <v>0</v>
      </c>
      <c r="N483" s="62">
        <v>0</v>
      </c>
      <c r="O483" s="62">
        <v>-2.8421709430404007E-14</v>
      </c>
      <c r="P483" s="298" t="s">
        <v>4160</v>
      </c>
      <c r="Q483" s="60" t="s">
        <v>27</v>
      </c>
      <c r="R483" s="60" t="s">
        <v>27</v>
      </c>
      <c r="S483" s="286" t="str">
        <f t="shared" si="37"/>
        <v>SIM</v>
      </c>
      <c r="T483" s="286" t="str">
        <f>IF($C483= "", T482, IF(ISNA(VLOOKUP($C483,'ABC-S'!$A$5:$A$271,1,FALSE)), "", VLOOKUP($C483,'ABC-S'!$A$5:$A$271,1,FALSE)))</f>
        <v>CP0421</v>
      </c>
      <c r="W483" s="286" t="s">
        <v>2572</v>
      </c>
      <c r="X483" s="286" t="s">
        <v>21</v>
      </c>
      <c r="Y483" s="286" t="s">
        <v>1513</v>
      </c>
      <c r="Z483" s="286" t="s">
        <v>21</v>
      </c>
      <c r="AA483" s="286" t="s">
        <v>21</v>
      </c>
      <c r="AB483" s="378"/>
      <c r="AC483" s="381">
        <v>92916</v>
      </c>
      <c r="AD483" s="378">
        <v>10.5</v>
      </c>
      <c r="AE483" s="378">
        <v>0.20269999999999999</v>
      </c>
      <c r="AF483" s="378">
        <v>2.1283499999999997</v>
      </c>
      <c r="AG483" s="378"/>
      <c r="AI483" s="378">
        <v>0</v>
      </c>
      <c r="AJ483" s="378">
        <v>0</v>
      </c>
      <c r="AL483" s="286"/>
      <c r="AM483" s="286">
        <v>40671</v>
      </c>
    </row>
    <row r="484" spans="1:39" s="51" customFormat="1" ht="33.75" x14ac:dyDescent="0.25">
      <c r="A484" s="59" t="s">
        <v>2572</v>
      </c>
      <c r="B484" s="59" t="s">
        <v>87</v>
      </c>
      <c r="C484" s="248"/>
      <c r="D484" s="59" t="s">
        <v>4119</v>
      </c>
      <c r="E484" s="60" t="s">
        <v>4112</v>
      </c>
      <c r="F484" s="59" t="s">
        <v>44</v>
      </c>
      <c r="G484" s="61">
        <v>0.17100000000000001</v>
      </c>
      <c r="H484" s="62">
        <v>407.08763000000005</v>
      </c>
      <c r="I484" s="62">
        <f t="shared" si="42"/>
        <v>69.611984730000017</v>
      </c>
      <c r="J484" s="62"/>
      <c r="K484" s="62">
        <v>2.5320859200000001</v>
      </c>
      <c r="L484" s="62">
        <v>67.057326810000006</v>
      </c>
      <c r="M484" s="62">
        <v>1.3430340000000001E-2</v>
      </c>
      <c r="N484" s="62">
        <v>0</v>
      </c>
      <c r="O484" s="62">
        <v>9.1416600000115977E-3</v>
      </c>
      <c r="P484" s="298" t="s">
        <v>4160</v>
      </c>
      <c r="Q484" s="60" t="s">
        <v>27</v>
      </c>
      <c r="R484" s="60" t="s">
        <v>27</v>
      </c>
      <c r="S484" s="286" t="str">
        <f t="shared" si="37"/>
        <v>SIM</v>
      </c>
      <c r="T484" s="286" t="str">
        <f>IF($C484= "", T483, IF(ISNA(VLOOKUP($C484,'ABC-S'!$A$5:$A$271,1,FALSE)), "", VLOOKUP($C484,'ABC-S'!$A$5:$A$271,1,FALSE)))</f>
        <v>CP0421</v>
      </c>
      <c r="W484" s="286" t="s">
        <v>2572</v>
      </c>
      <c r="X484" s="286" t="s">
        <v>21</v>
      </c>
      <c r="Y484" s="286" t="s">
        <v>1513</v>
      </c>
      <c r="Z484" s="335" t="s">
        <v>21</v>
      </c>
      <c r="AA484" s="286" t="s">
        <v>21</v>
      </c>
      <c r="AB484" s="378"/>
      <c r="AC484" s="381" t="s">
        <v>4119</v>
      </c>
      <c r="AD484" s="378">
        <v>0.17100000000000001</v>
      </c>
      <c r="AE484" s="378">
        <v>3.8886424007247471</v>
      </c>
      <c r="AF484" s="378">
        <v>0.66495785052393186</v>
      </c>
      <c r="AG484" s="378"/>
      <c r="AI484" s="378" t="s">
        <v>21</v>
      </c>
      <c r="AJ484" s="378" t="s">
        <v>21</v>
      </c>
      <c r="AL484" s="286">
        <v>88260</v>
      </c>
      <c r="AM484" s="286"/>
    </row>
    <row r="485" spans="1:39" s="51" customFormat="1" ht="56.25" x14ac:dyDescent="0.25">
      <c r="A485" s="59" t="s">
        <v>2572</v>
      </c>
      <c r="B485" s="59" t="s">
        <v>87</v>
      </c>
      <c r="C485" s="248"/>
      <c r="D485" s="59">
        <v>87447</v>
      </c>
      <c r="E485" s="60" t="s">
        <v>486</v>
      </c>
      <c r="F485" s="59" t="s">
        <v>51</v>
      </c>
      <c r="G485" s="61">
        <v>2.61</v>
      </c>
      <c r="H485" s="62">
        <v>62.08</v>
      </c>
      <c r="I485" s="62">
        <f t="shared" si="42"/>
        <v>162.02879999999999</v>
      </c>
      <c r="J485" s="62"/>
      <c r="K485" s="62">
        <v>45.622799999999998</v>
      </c>
      <c r="L485" s="62">
        <v>116.40599999999999</v>
      </c>
      <c r="M485" s="62">
        <v>0</v>
      </c>
      <c r="N485" s="62">
        <v>0</v>
      </c>
      <c r="O485" s="62">
        <v>0</v>
      </c>
      <c r="P485" s="298" t="s">
        <v>4160</v>
      </c>
      <c r="Q485" s="60" t="s">
        <v>27</v>
      </c>
      <c r="R485" s="60" t="s">
        <v>27</v>
      </c>
      <c r="S485" s="286" t="str">
        <f t="shared" si="37"/>
        <v>SIM</v>
      </c>
      <c r="T485" s="286" t="str">
        <f>IF($C485= "", T484, IF(ISNA(VLOOKUP($C485,'ABC-S'!$A$5:$A$271,1,FALSE)), "", VLOOKUP($C485,'ABC-S'!$A$5:$A$271,1,FALSE)))</f>
        <v>CP0421</v>
      </c>
      <c r="W485" s="286" t="s">
        <v>2572</v>
      </c>
      <c r="X485" s="286" t="s">
        <v>21</v>
      </c>
      <c r="Y485" s="286" t="s">
        <v>1513</v>
      </c>
      <c r="Z485" s="335" t="s">
        <v>21</v>
      </c>
      <c r="AA485" s="286" t="s">
        <v>21</v>
      </c>
      <c r="AB485" s="378"/>
      <c r="AC485" s="381">
        <v>87447</v>
      </c>
      <c r="AD485" s="378">
        <v>2.61</v>
      </c>
      <c r="AE485" s="378">
        <v>1.1196000000000002</v>
      </c>
      <c r="AF485" s="378">
        <v>2.9221560000000002</v>
      </c>
      <c r="AG485" s="378"/>
      <c r="AI485" s="378">
        <v>8.8000000000000005E-3</v>
      </c>
      <c r="AJ485" s="378">
        <v>2.2967999999999999E-2</v>
      </c>
      <c r="AL485" s="286">
        <v>88316</v>
      </c>
      <c r="AM485" s="286"/>
    </row>
    <row r="486" spans="1:39" s="51" customFormat="1" ht="22.5" x14ac:dyDescent="0.25">
      <c r="A486" s="59" t="s">
        <v>2572</v>
      </c>
      <c r="B486" s="59" t="s">
        <v>87</v>
      </c>
      <c r="C486" s="59"/>
      <c r="D486" s="59" t="s">
        <v>4116</v>
      </c>
      <c r="E486" s="60" t="s">
        <v>4118</v>
      </c>
      <c r="F486" s="59" t="s">
        <v>51</v>
      </c>
      <c r="G486" s="61">
        <v>2.96</v>
      </c>
      <c r="H486" s="62">
        <v>29.923909999999999</v>
      </c>
      <c r="I486" s="62">
        <f t="shared" si="42"/>
        <v>88.5747736</v>
      </c>
      <c r="J486" s="62"/>
      <c r="K486" s="62">
        <v>44.493654400000004</v>
      </c>
      <c r="L486" s="62">
        <v>44.081119200000003</v>
      </c>
      <c r="M486" s="62">
        <v>0</v>
      </c>
      <c r="N486" s="62">
        <v>0</v>
      </c>
      <c r="O486" s="62">
        <v>-1.4210854715202004E-14</v>
      </c>
      <c r="P486" s="298" t="s">
        <v>4160</v>
      </c>
      <c r="Q486" s="60" t="s">
        <v>27</v>
      </c>
      <c r="R486" s="60" t="s">
        <v>27</v>
      </c>
      <c r="S486" s="286" t="str">
        <f t="shared" si="37"/>
        <v>SIM</v>
      </c>
      <c r="T486" s="286" t="str">
        <f>IF($C486= "", T485, IF(ISNA(VLOOKUP($C486,'ABC-S'!$A$5:$A$271,1,FALSE)), "", VLOOKUP($C486,'ABC-S'!$A$5:$A$271,1,FALSE)))</f>
        <v>CP0421</v>
      </c>
      <c r="W486" s="286" t="s">
        <v>2572</v>
      </c>
      <c r="X486" s="286" t="s">
        <v>21</v>
      </c>
      <c r="Y486" s="286" t="s">
        <v>1513</v>
      </c>
      <c r="Z486" s="335" t="s">
        <v>21</v>
      </c>
      <c r="AA486" s="286" t="s">
        <v>21</v>
      </c>
      <c r="AB486" s="378"/>
      <c r="AC486" s="381" t="s">
        <v>4116</v>
      </c>
      <c r="AD486" s="378">
        <v>2.96</v>
      </c>
      <c r="AE486" s="378">
        <v>4.8818924007247473</v>
      </c>
      <c r="AF486" s="378">
        <v>14.450401506145251</v>
      </c>
      <c r="AG486" s="378"/>
      <c r="AI486" s="378" t="s">
        <v>21</v>
      </c>
      <c r="AJ486" s="378" t="s">
        <v>21</v>
      </c>
      <c r="AL486" s="286">
        <v>91277</v>
      </c>
      <c r="AM486" s="286"/>
    </row>
    <row r="487" spans="1:39" s="51" customFormat="1" ht="33.75" x14ac:dyDescent="0.25">
      <c r="A487" s="59" t="s">
        <v>2572</v>
      </c>
      <c r="B487" s="59" t="s">
        <v>87</v>
      </c>
      <c r="C487" s="59"/>
      <c r="D487" s="59">
        <v>94283</v>
      </c>
      <c r="E487" s="60" t="s">
        <v>573</v>
      </c>
      <c r="F487" s="59" t="s">
        <v>22</v>
      </c>
      <c r="G487" s="61">
        <v>1</v>
      </c>
      <c r="H487" s="62">
        <v>52.4</v>
      </c>
      <c r="I487" s="62">
        <f t="shared" si="42"/>
        <v>52.4</v>
      </c>
      <c r="J487" s="62"/>
      <c r="K487" s="62">
        <v>15.96</v>
      </c>
      <c r="L487" s="62">
        <v>36.44</v>
      </c>
      <c r="M487" s="62">
        <v>0</v>
      </c>
      <c r="N487" s="62">
        <v>0</v>
      </c>
      <c r="O487" s="62">
        <v>0</v>
      </c>
      <c r="P487" s="298" t="s">
        <v>4160</v>
      </c>
      <c r="Q487" s="60" t="s">
        <v>27</v>
      </c>
      <c r="R487" s="60" t="s">
        <v>27</v>
      </c>
      <c r="S487" s="286" t="str">
        <f t="shared" si="37"/>
        <v>SIM</v>
      </c>
      <c r="T487" s="286" t="str">
        <f>IF($C487= "", T486, IF(ISNA(VLOOKUP($C487,'ABC-S'!$A$5:$A$271,1,FALSE)), "", VLOOKUP($C487,'ABC-S'!$A$5:$A$271,1,FALSE)))</f>
        <v>CP0421</v>
      </c>
      <c r="W487" s="286" t="s">
        <v>2572</v>
      </c>
      <c r="X487" s="286" t="s">
        <v>21</v>
      </c>
      <c r="Y487" s="286" t="s">
        <v>1513</v>
      </c>
      <c r="Z487" s="335" t="s">
        <v>21</v>
      </c>
      <c r="AA487" s="286" t="s">
        <v>21</v>
      </c>
      <c r="AB487" s="378"/>
      <c r="AC487" s="381">
        <v>94283</v>
      </c>
      <c r="AD487" s="378">
        <v>1</v>
      </c>
      <c r="AE487" s="378">
        <v>1.0860000000000001</v>
      </c>
      <c r="AF487" s="378">
        <v>1.0860000000000001</v>
      </c>
      <c r="AG487" s="378"/>
      <c r="AI487" s="378">
        <v>0</v>
      </c>
      <c r="AJ487" s="378">
        <v>0</v>
      </c>
      <c r="AL487" s="286">
        <v>91278</v>
      </c>
      <c r="AM487" s="286"/>
    </row>
    <row r="488" spans="1:39" s="51" customFormat="1" ht="22.5" x14ac:dyDescent="0.25">
      <c r="A488" s="59" t="s">
        <v>2572</v>
      </c>
      <c r="B488" s="59" t="s">
        <v>87</v>
      </c>
      <c r="C488" s="59"/>
      <c r="D488" s="59" t="s">
        <v>4114</v>
      </c>
      <c r="E488" s="60" t="s">
        <v>4113</v>
      </c>
      <c r="F488" s="59" t="s">
        <v>22</v>
      </c>
      <c r="G488" s="61">
        <v>1</v>
      </c>
      <c r="H488" s="62">
        <v>64.03722999999998</v>
      </c>
      <c r="I488" s="62">
        <f t="shared" si="42"/>
        <v>64.03722999999998</v>
      </c>
      <c r="J488" s="62"/>
      <c r="K488" s="62">
        <v>11.774520000000001</v>
      </c>
      <c r="L488" s="62">
        <v>51.650209999999987</v>
      </c>
      <c r="M488" s="62">
        <v>0.61250000000000004</v>
      </c>
      <c r="N488" s="62">
        <v>0</v>
      </c>
      <c r="O488" s="62">
        <v>-1.4210854715202004E-14</v>
      </c>
      <c r="P488" s="298" t="s">
        <v>4160</v>
      </c>
      <c r="Q488" s="60" t="s">
        <v>27</v>
      </c>
      <c r="R488" s="60" t="s">
        <v>27</v>
      </c>
      <c r="S488" s="286" t="str">
        <f t="shared" si="37"/>
        <v>SIM</v>
      </c>
      <c r="T488" s="286" t="str">
        <f>IF($C488= "", T487, IF(ISNA(VLOOKUP($C488,'ABC-S'!$A$5:$A$271,1,FALSE)), "", VLOOKUP($C488,'ABC-S'!$A$5:$A$271,1,FALSE)))</f>
        <v>CP0421</v>
      </c>
      <c r="W488" s="286" t="s">
        <v>2572</v>
      </c>
      <c r="X488" s="286" t="s">
        <v>21</v>
      </c>
      <c r="Y488" s="286" t="s">
        <v>1513</v>
      </c>
      <c r="Z488" s="335" t="s">
        <v>21</v>
      </c>
      <c r="AA488" s="286" t="s">
        <v>21</v>
      </c>
      <c r="AB488" s="378"/>
      <c r="AC488" s="381" t="s">
        <v>4114</v>
      </c>
      <c r="AD488" s="378">
        <v>1</v>
      </c>
      <c r="AE488" s="378">
        <v>5.6870324007247461</v>
      </c>
      <c r="AF488" s="378">
        <v>5.6870324007247461</v>
      </c>
      <c r="AG488" s="378"/>
      <c r="AI488" s="378" t="s">
        <v>21</v>
      </c>
      <c r="AJ488" s="378" t="s">
        <v>21</v>
      </c>
      <c r="AL488" s="286">
        <v>91283</v>
      </c>
      <c r="AM488" s="286"/>
    </row>
    <row r="489" spans="1:39" s="51" customFormat="1" ht="56.25" x14ac:dyDescent="0.25">
      <c r="A489" s="55" t="s">
        <v>2573</v>
      </c>
      <c r="B489" s="55" t="s">
        <v>138</v>
      </c>
      <c r="C489" s="55" t="s">
        <v>2573</v>
      </c>
      <c r="D489" s="55"/>
      <c r="E489" s="56" t="s">
        <v>4131</v>
      </c>
      <c r="F489" s="55" t="s">
        <v>41</v>
      </c>
      <c r="G489" s="57"/>
      <c r="H489" s="58"/>
      <c r="I489" s="58"/>
      <c r="J489" s="58">
        <f>SUM(I489:I498)</f>
        <v>2814.1012144480078</v>
      </c>
      <c r="K489" s="58">
        <v>473.08207885206485</v>
      </c>
      <c r="L489" s="58">
        <v>2336.0185440266164</v>
      </c>
      <c r="M489" s="58">
        <v>4.3292460125270003</v>
      </c>
      <c r="N489" s="58">
        <v>0</v>
      </c>
      <c r="O489" s="58">
        <v>0.67134555679987784</v>
      </c>
      <c r="P489" s="58"/>
      <c r="Q489" s="56"/>
      <c r="R489" s="56" t="s">
        <v>4129</v>
      </c>
      <c r="S489" s="286" t="str">
        <f t="shared" si="37"/>
        <v>SIM</v>
      </c>
      <c r="T489" s="286" t="str">
        <f>IF($C489= "",#REF!, IF(ISNA(VLOOKUP( $C489,'ABC-S'!$A$5:$A$271,1,FALSE)), "", VLOOKUP($C489,'ABC-S'!$A$5:$A$271,1,FALSE)))</f>
        <v>CP0422</v>
      </c>
      <c r="W489" s="286" t="s">
        <v>2573</v>
      </c>
      <c r="X489" s="286"/>
      <c r="Y489" s="286"/>
      <c r="Z489" s="286"/>
      <c r="AA489" s="286" t="s">
        <v>21</v>
      </c>
      <c r="AB489" s="378">
        <v>0</v>
      </c>
      <c r="AC489" s="378"/>
      <c r="AD489" s="335"/>
      <c r="AE489" s="335"/>
      <c r="AF489" s="335"/>
      <c r="AG489" s="378">
        <v>92.881769050434329</v>
      </c>
      <c r="AI489" s="378" t="s">
        <v>21</v>
      </c>
      <c r="AJ489" s="378" t="s">
        <v>21</v>
      </c>
      <c r="AL489" s="286"/>
      <c r="AM489" s="286"/>
    </row>
    <row r="490" spans="1:39" s="51" customFormat="1" ht="22.5" x14ac:dyDescent="0.25">
      <c r="A490" s="59" t="s">
        <v>2573</v>
      </c>
      <c r="B490" s="59" t="s">
        <v>87</v>
      </c>
      <c r="C490" s="59"/>
      <c r="D490" s="59">
        <v>93358</v>
      </c>
      <c r="E490" s="60" t="s">
        <v>1293</v>
      </c>
      <c r="F490" s="59" t="s">
        <v>44</v>
      </c>
      <c r="G490" s="61">
        <v>2.1339999999999999</v>
      </c>
      <c r="H490" s="62">
        <v>69.66</v>
      </c>
      <c r="I490" s="62">
        <f t="shared" ref="I490:I498" si="43">IF($D490="","",G490*H490)</f>
        <v>148.65443999999999</v>
      </c>
      <c r="J490" s="62"/>
      <c r="K490" s="62">
        <v>97.950599999999994</v>
      </c>
      <c r="L490" s="62">
        <v>50.70384</v>
      </c>
      <c r="M490" s="62">
        <v>0</v>
      </c>
      <c r="N490" s="62">
        <v>0</v>
      </c>
      <c r="O490" s="62">
        <v>0</v>
      </c>
      <c r="P490" s="298" t="s">
        <v>4160</v>
      </c>
      <c r="Q490" s="60" t="s">
        <v>27</v>
      </c>
      <c r="R490" s="60" t="s">
        <v>27</v>
      </c>
      <c r="S490" s="286" t="str">
        <f t="shared" si="37"/>
        <v>SIM</v>
      </c>
      <c r="T490" s="286" t="str">
        <f>IF($C490= "", T489, IF(ISNA(VLOOKUP($C490,'ABC-S'!$A$5:$A$271,1,FALSE)), "", VLOOKUP($C490,'ABC-S'!$A$5:$A$271,1,FALSE)))</f>
        <v>CP0422</v>
      </c>
      <c r="W490" s="286" t="s">
        <v>2573</v>
      </c>
      <c r="X490" s="286" t="s">
        <v>21</v>
      </c>
      <c r="Y490" s="286" t="s">
        <v>1513</v>
      </c>
      <c r="Z490" s="286" t="s">
        <v>21</v>
      </c>
      <c r="AA490" s="286" t="s">
        <v>21</v>
      </c>
      <c r="AB490" s="378"/>
      <c r="AC490" s="381">
        <v>93358</v>
      </c>
      <c r="AD490" s="378">
        <v>2.1339999999999999</v>
      </c>
      <c r="AE490" s="378">
        <v>3.956</v>
      </c>
      <c r="AF490" s="378">
        <v>8.4421039999999987</v>
      </c>
      <c r="AG490" s="378"/>
      <c r="AI490" s="378">
        <v>0</v>
      </c>
      <c r="AJ490" s="378">
        <v>0</v>
      </c>
      <c r="AL490" s="286"/>
      <c r="AM490" s="286">
        <v>370</v>
      </c>
    </row>
    <row r="491" spans="1:39" s="51" customFormat="1" ht="33.75" x14ac:dyDescent="0.25">
      <c r="A491" s="59" t="s">
        <v>2573</v>
      </c>
      <c r="B491" s="59" t="s">
        <v>87</v>
      </c>
      <c r="C491" s="59"/>
      <c r="D491" s="59" t="s">
        <v>4121</v>
      </c>
      <c r="E491" s="60" t="s">
        <v>4128</v>
      </c>
      <c r="F491" s="59" t="s">
        <v>51</v>
      </c>
      <c r="G491" s="61">
        <v>2.2120000000000002</v>
      </c>
      <c r="H491" s="62">
        <v>79.314668864868523</v>
      </c>
      <c r="I491" s="62">
        <f t="shared" si="43"/>
        <v>175.44404752908918</v>
      </c>
      <c r="J491" s="62"/>
      <c r="K491" s="62">
        <v>48.957987187199997</v>
      </c>
      <c r="L491" s="62">
        <v>123.24758381040002</v>
      </c>
      <c r="M491" s="62">
        <v>2.7352323746891622</v>
      </c>
      <c r="N491" s="62">
        <v>0</v>
      </c>
      <c r="O491" s="62">
        <v>0.50324415680000811</v>
      </c>
      <c r="P491" s="298" t="s">
        <v>4160</v>
      </c>
      <c r="Q491" s="60" t="s">
        <v>27</v>
      </c>
      <c r="R491" s="60" t="s">
        <v>27</v>
      </c>
      <c r="S491" s="286" t="str">
        <f t="shared" si="37"/>
        <v>SIM</v>
      </c>
      <c r="T491" s="286" t="str">
        <f>IF($C491= "", T490, IF(ISNA(VLOOKUP($C491,'ABC-S'!$A$5:$A$271,1,FALSE)), "", VLOOKUP($C491,'ABC-S'!$A$5:$A$271,1,FALSE)))</f>
        <v>CP0422</v>
      </c>
      <c r="W491" s="286" t="s">
        <v>2573</v>
      </c>
      <c r="X491" s="286" t="s">
        <v>21</v>
      </c>
      <c r="Y491" s="286" t="s">
        <v>1513</v>
      </c>
      <c r="Z491" s="286" t="s">
        <v>21</v>
      </c>
      <c r="AA491" s="286" t="s">
        <v>21</v>
      </c>
      <c r="AB491" s="378"/>
      <c r="AC491" s="381" t="s">
        <v>4121</v>
      </c>
      <c r="AD491" s="378">
        <v>2.2120000000000002</v>
      </c>
      <c r="AE491" s="378">
        <v>2.8806424007247471</v>
      </c>
      <c r="AF491" s="378">
        <v>6.3719809904031415</v>
      </c>
      <c r="AG491" s="378"/>
      <c r="AI491" s="378" t="s">
        <v>21</v>
      </c>
      <c r="AJ491" s="378" t="s">
        <v>21</v>
      </c>
      <c r="AL491" s="286"/>
      <c r="AM491" s="286">
        <v>4741</v>
      </c>
    </row>
    <row r="492" spans="1:39" s="51" customFormat="1" ht="22.5" x14ac:dyDescent="0.25">
      <c r="A492" s="59" t="s">
        <v>2573</v>
      </c>
      <c r="B492" s="59" t="s">
        <v>87</v>
      </c>
      <c r="C492" s="59"/>
      <c r="D492" s="59" t="s">
        <v>4132</v>
      </c>
      <c r="E492" s="60" t="s">
        <v>4134</v>
      </c>
      <c r="F492" s="59" t="s">
        <v>54</v>
      </c>
      <c r="G492" s="61">
        <v>39.76</v>
      </c>
      <c r="H492" s="62">
        <v>14.999185405405404</v>
      </c>
      <c r="I492" s="62">
        <f t="shared" si="43"/>
        <v>596.36761171891885</v>
      </c>
      <c r="J492" s="62"/>
      <c r="K492" s="62">
        <v>89.34671086486486</v>
      </c>
      <c r="L492" s="62">
        <v>506.90039581621613</v>
      </c>
      <c r="M492" s="62">
        <v>0.12050503783783785</v>
      </c>
      <c r="N492" s="62">
        <v>0</v>
      </c>
      <c r="O492" s="62">
        <v>0</v>
      </c>
      <c r="P492" s="298" t="s">
        <v>4160</v>
      </c>
      <c r="Q492" s="60" t="s">
        <v>27</v>
      </c>
      <c r="R492" s="60" t="s">
        <v>27</v>
      </c>
      <c r="S492" s="286" t="str">
        <f t="shared" si="37"/>
        <v>SIM</v>
      </c>
      <c r="T492" s="286" t="str">
        <f>IF($C492= "", T491, IF(ISNA(VLOOKUP($C492,'ABC-S'!$A$5:$A$271,1,FALSE)), "", VLOOKUP($C492,'ABC-S'!$A$5:$A$271,1,FALSE)))</f>
        <v>CP0422</v>
      </c>
      <c r="W492" s="286" t="s">
        <v>2573</v>
      </c>
      <c r="X492" s="286" t="s">
        <v>21</v>
      </c>
      <c r="Y492" s="286" t="s">
        <v>1513</v>
      </c>
      <c r="Z492" s="286" t="s">
        <v>21</v>
      </c>
      <c r="AA492" s="286" t="s">
        <v>21</v>
      </c>
      <c r="AB492" s="378"/>
      <c r="AC492" s="381" t="s">
        <v>4132</v>
      </c>
      <c r="AD492" s="378">
        <v>39.76</v>
      </c>
      <c r="AE492" s="378">
        <v>0.77187837837837836</v>
      </c>
      <c r="AF492" s="378">
        <v>30.689884324324321</v>
      </c>
      <c r="AG492" s="378"/>
      <c r="AI492" s="378" t="s">
        <v>21</v>
      </c>
      <c r="AJ492" s="378" t="s">
        <v>21</v>
      </c>
      <c r="AL492" s="286"/>
      <c r="AM492" s="286">
        <v>40671</v>
      </c>
    </row>
    <row r="493" spans="1:39" s="51" customFormat="1" ht="33.75" x14ac:dyDescent="0.25">
      <c r="A493" s="59" t="s">
        <v>2573</v>
      </c>
      <c r="B493" s="59" t="s">
        <v>87</v>
      </c>
      <c r="C493" s="248"/>
      <c r="D493" s="59">
        <v>95240</v>
      </c>
      <c r="E493" s="60" t="s">
        <v>1307</v>
      </c>
      <c r="F493" s="59" t="s">
        <v>51</v>
      </c>
      <c r="G493" s="61">
        <v>9.7000000000000003E-2</v>
      </c>
      <c r="H493" s="62">
        <v>15.74</v>
      </c>
      <c r="I493" s="62">
        <f t="shared" si="43"/>
        <v>1.52678</v>
      </c>
      <c r="J493" s="62"/>
      <c r="K493" s="62">
        <v>0.46851000000000004</v>
      </c>
      <c r="L493" s="62">
        <v>1.0495400000000001</v>
      </c>
      <c r="M493" s="62">
        <v>5.8199999999999997E-3</v>
      </c>
      <c r="N493" s="62">
        <v>0</v>
      </c>
      <c r="O493" s="62">
        <v>2.9099999999999682E-3</v>
      </c>
      <c r="P493" s="298" t="s">
        <v>4160</v>
      </c>
      <c r="Q493" s="60" t="s">
        <v>27</v>
      </c>
      <c r="R493" s="60" t="s">
        <v>27</v>
      </c>
      <c r="S493" s="286" t="str">
        <f t="shared" si="37"/>
        <v>SIM</v>
      </c>
      <c r="T493" s="286" t="str">
        <f>IF($C493= "", T492, IF(ISNA(VLOOKUP($C493,'ABC-S'!$A$5:$A$271,1,FALSE)), "", VLOOKUP($C493,'ABC-S'!$A$5:$A$271,1,FALSE)))</f>
        <v>CP0422</v>
      </c>
      <c r="W493" s="286" t="s">
        <v>2573</v>
      </c>
      <c r="X493" s="286" t="s">
        <v>21</v>
      </c>
      <c r="Y493" s="286" t="s">
        <v>1513</v>
      </c>
      <c r="Z493" s="335" t="s">
        <v>21</v>
      </c>
      <c r="AA493" s="286" t="s">
        <v>21</v>
      </c>
      <c r="AB493" s="378"/>
      <c r="AC493" s="381">
        <v>95240</v>
      </c>
      <c r="AD493" s="378">
        <v>9.7000000000000003E-2</v>
      </c>
      <c r="AE493" s="378">
        <v>0.32402447000000001</v>
      </c>
      <c r="AF493" s="378">
        <v>3.1430373590000005E-2</v>
      </c>
      <c r="AG493" s="378"/>
      <c r="AI493" s="378">
        <v>3.39E-2</v>
      </c>
      <c r="AJ493" s="378">
        <v>3.2883000000000001E-3</v>
      </c>
      <c r="AL493" s="286">
        <v>88260</v>
      </c>
      <c r="AM493" s="286"/>
    </row>
    <row r="494" spans="1:39" s="51" customFormat="1" ht="33.75" x14ac:dyDescent="0.25">
      <c r="A494" s="59" t="s">
        <v>2573</v>
      </c>
      <c r="B494" s="59" t="s">
        <v>87</v>
      </c>
      <c r="C494" s="248"/>
      <c r="D494" s="59" t="s">
        <v>4119</v>
      </c>
      <c r="E494" s="60" t="s">
        <v>4112</v>
      </c>
      <c r="F494" s="59" t="s">
        <v>44</v>
      </c>
      <c r="G494" s="61">
        <v>3.09</v>
      </c>
      <c r="H494" s="62">
        <v>407.08763000000005</v>
      </c>
      <c r="I494" s="62">
        <f t="shared" si="43"/>
        <v>1257.9007767000001</v>
      </c>
      <c r="J494" s="62"/>
      <c r="K494" s="62">
        <v>45.755236799999999</v>
      </c>
      <c r="L494" s="62">
        <v>1211.7376599000002</v>
      </c>
      <c r="M494" s="62">
        <v>0.24268859999999998</v>
      </c>
      <c r="N494" s="62">
        <v>0</v>
      </c>
      <c r="O494" s="62">
        <v>0.16519139999991239</v>
      </c>
      <c r="P494" s="298" t="s">
        <v>4160</v>
      </c>
      <c r="Q494" s="60" t="s">
        <v>27</v>
      </c>
      <c r="R494" s="60" t="s">
        <v>27</v>
      </c>
      <c r="S494" s="286" t="str">
        <f t="shared" si="37"/>
        <v>SIM</v>
      </c>
      <c r="T494" s="286" t="str">
        <f>IF($C494= "", T493, IF(ISNA(VLOOKUP($C494,'ABC-S'!$A$5:$A$271,1,FALSE)), "", VLOOKUP($C494,'ABC-S'!$A$5:$A$271,1,FALSE)))</f>
        <v>CP0422</v>
      </c>
      <c r="W494" s="286" t="s">
        <v>2573</v>
      </c>
      <c r="X494" s="286" t="s">
        <v>21</v>
      </c>
      <c r="Y494" s="286" t="s">
        <v>1513</v>
      </c>
      <c r="Z494" s="335" t="s">
        <v>21</v>
      </c>
      <c r="AA494" s="286" t="s">
        <v>21</v>
      </c>
      <c r="AB494" s="378"/>
      <c r="AC494" s="381" t="s">
        <v>4119</v>
      </c>
      <c r="AD494" s="378">
        <v>3.09</v>
      </c>
      <c r="AE494" s="378">
        <v>3.8886424007247471</v>
      </c>
      <c r="AF494" s="378">
        <v>12.015905018239469</v>
      </c>
      <c r="AG494" s="378"/>
      <c r="AI494" s="378" t="s">
        <v>21</v>
      </c>
      <c r="AJ494" s="378" t="s">
        <v>21</v>
      </c>
      <c r="AL494" s="286">
        <v>88316</v>
      </c>
      <c r="AM494" s="286"/>
    </row>
    <row r="495" spans="1:39" s="51" customFormat="1" ht="56.25" x14ac:dyDescent="0.25">
      <c r="A495" s="59" t="s">
        <v>2573</v>
      </c>
      <c r="B495" s="59" t="s">
        <v>87</v>
      </c>
      <c r="C495" s="59"/>
      <c r="D495" s="59">
        <v>87447</v>
      </c>
      <c r="E495" s="60" t="s">
        <v>486</v>
      </c>
      <c r="F495" s="59" t="s">
        <v>51</v>
      </c>
      <c r="G495" s="61">
        <v>4.8499999999999996</v>
      </c>
      <c r="H495" s="62">
        <v>62.08</v>
      </c>
      <c r="I495" s="62">
        <f t="shared" si="43"/>
        <v>301.08799999999997</v>
      </c>
      <c r="J495" s="62"/>
      <c r="K495" s="62">
        <v>84.777999999999992</v>
      </c>
      <c r="L495" s="62">
        <v>216.31</v>
      </c>
      <c r="M495" s="62">
        <v>0</v>
      </c>
      <c r="N495" s="62">
        <v>0</v>
      </c>
      <c r="O495" s="62">
        <v>0</v>
      </c>
      <c r="P495" s="298" t="s">
        <v>4160</v>
      </c>
      <c r="Q495" s="60" t="s">
        <v>27</v>
      </c>
      <c r="R495" s="60" t="s">
        <v>27</v>
      </c>
      <c r="S495" s="286" t="str">
        <f t="shared" si="37"/>
        <v>SIM</v>
      </c>
      <c r="T495" s="286" t="str">
        <f>IF($C495= "", T494, IF(ISNA(VLOOKUP($C495,'ABC-S'!$A$5:$A$271,1,FALSE)), "", VLOOKUP($C495,'ABC-S'!$A$5:$A$271,1,FALSE)))</f>
        <v>CP0422</v>
      </c>
      <c r="W495" s="286" t="s">
        <v>2573</v>
      </c>
      <c r="X495" s="286" t="s">
        <v>21</v>
      </c>
      <c r="Y495" s="286" t="s">
        <v>1513</v>
      </c>
      <c r="Z495" s="335" t="s">
        <v>21</v>
      </c>
      <c r="AA495" s="286" t="s">
        <v>21</v>
      </c>
      <c r="AB495" s="378"/>
      <c r="AC495" s="381">
        <v>87447</v>
      </c>
      <c r="AD495" s="378">
        <v>4.8499999999999996</v>
      </c>
      <c r="AE495" s="378">
        <v>1.1196000000000002</v>
      </c>
      <c r="AF495" s="378">
        <v>5.4300600000000001</v>
      </c>
      <c r="AG495" s="378"/>
      <c r="AI495" s="378">
        <v>8.8000000000000005E-3</v>
      </c>
      <c r="AJ495" s="378">
        <v>4.2680000000000003E-2</v>
      </c>
      <c r="AL495" s="286">
        <v>91277</v>
      </c>
      <c r="AM495" s="286"/>
    </row>
    <row r="496" spans="1:39" s="51" customFormat="1" ht="22.5" x14ac:dyDescent="0.25">
      <c r="A496" s="59" t="s">
        <v>2573</v>
      </c>
      <c r="B496" s="59" t="s">
        <v>87</v>
      </c>
      <c r="C496" s="59"/>
      <c r="D496" s="59" t="s">
        <v>4116</v>
      </c>
      <c r="E496" s="60" t="s">
        <v>4118</v>
      </c>
      <c r="F496" s="59" t="s">
        <v>51</v>
      </c>
      <c r="G496" s="61">
        <v>3.35</v>
      </c>
      <c r="H496" s="62">
        <v>29.923909999999999</v>
      </c>
      <c r="I496" s="62">
        <f t="shared" si="43"/>
        <v>100.2450985</v>
      </c>
      <c r="J496" s="62"/>
      <c r="K496" s="62">
        <v>50.355994000000003</v>
      </c>
      <c r="L496" s="62">
        <v>49.889104500000009</v>
      </c>
      <c r="M496" s="62">
        <v>0</v>
      </c>
      <c r="N496" s="62">
        <v>0</v>
      </c>
      <c r="O496" s="62">
        <v>-1.4210854715202004E-14</v>
      </c>
      <c r="P496" s="298" t="s">
        <v>4160</v>
      </c>
      <c r="Q496" s="60" t="s">
        <v>27</v>
      </c>
      <c r="R496" s="60" t="s">
        <v>27</v>
      </c>
      <c r="S496" s="286" t="str">
        <f t="shared" si="37"/>
        <v>SIM</v>
      </c>
      <c r="T496" s="286" t="str">
        <f>IF($C496= "", T495, IF(ISNA(VLOOKUP($C496,'ABC-S'!$A$5:$A$271,1,FALSE)), "", VLOOKUP($C496,'ABC-S'!$A$5:$A$271,1,FALSE)))</f>
        <v>CP0422</v>
      </c>
      <c r="W496" s="286" t="s">
        <v>2573</v>
      </c>
      <c r="X496" s="286" t="s">
        <v>21</v>
      </c>
      <c r="Y496" s="286" t="s">
        <v>1513</v>
      </c>
      <c r="Z496" s="335" t="s">
        <v>21</v>
      </c>
      <c r="AA496" s="286" t="s">
        <v>21</v>
      </c>
      <c r="AB496" s="378"/>
      <c r="AC496" s="381" t="s">
        <v>4116</v>
      </c>
      <c r="AD496" s="378">
        <v>3.35</v>
      </c>
      <c r="AE496" s="378">
        <v>4.8818924007247473</v>
      </c>
      <c r="AF496" s="378">
        <v>16.354339542427905</v>
      </c>
      <c r="AG496" s="378"/>
      <c r="AI496" s="378" t="s">
        <v>21</v>
      </c>
      <c r="AJ496" s="378" t="s">
        <v>21</v>
      </c>
      <c r="AL496" s="286">
        <v>91278</v>
      </c>
      <c r="AM496" s="286"/>
    </row>
    <row r="497" spans="1:39" s="51" customFormat="1" ht="33.75" x14ac:dyDescent="0.25">
      <c r="A497" s="59" t="s">
        <v>2573</v>
      </c>
      <c r="B497" s="59" t="s">
        <v>87</v>
      </c>
      <c r="C497" s="59"/>
      <c r="D497" s="59">
        <v>94283</v>
      </c>
      <c r="E497" s="60" t="s">
        <v>573</v>
      </c>
      <c r="F497" s="59" t="s">
        <v>22</v>
      </c>
      <c r="G497" s="61">
        <v>2</v>
      </c>
      <c r="H497" s="62">
        <v>52.4</v>
      </c>
      <c r="I497" s="62">
        <f t="shared" si="43"/>
        <v>104.8</v>
      </c>
      <c r="J497" s="62"/>
      <c r="K497" s="62">
        <v>31.92</v>
      </c>
      <c r="L497" s="62">
        <v>72.88</v>
      </c>
      <c r="M497" s="62">
        <v>0</v>
      </c>
      <c r="N497" s="62">
        <v>0</v>
      </c>
      <c r="O497" s="62">
        <v>0</v>
      </c>
      <c r="P497" s="298" t="s">
        <v>4160</v>
      </c>
      <c r="Q497" s="60" t="s">
        <v>27</v>
      </c>
      <c r="R497" s="60" t="s">
        <v>27</v>
      </c>
      <c r="S497" s="286" t="str">
        <f t="shared" si="37"/>
        <v>SIM</v>
      </c>
      <c r="T497" s="286" t="str">
        <f>IF($C497= "", T496, IF(ISNA(VLOOKUP($C497,'ABC-S'!$A$5:$A$271,1,FALSE)), "", VLOOKUP($C497,'ABC-S'!$A$5:$A$271,1,FALSE)))</f>
        <v>CP0422</v>
      </c>
      <c r="W497" s="286" t="s">
        <v>2573</v>
      </c>
      <c r="X497" s="286" t="s">
        <v>21</v>
      </c>
      <c r="Y497" s="286" t="s">
        <v>1513</v>
      </c>
      <c r="Z497" s="335" t="s">
        <v>21</v>
      </c>
      <c r="AA497" s="286" t="s">
        <v>21</v>
      </c>
      <c r="AB497" s="378"/>
      <c r="AC497" s="381">
        <v>94283</v>
      </c>
      <c r="AD497" s="378">
        <v>2</v>
      </c>
      <c r="AE497" s="378">
        <v>1.0860000000000001</v>
      </c>
      <c r="AF497" s="378">
        <v>2.1720000000000002</v>
      </c>
      <c r="AG497" s="378"/>
      <c r="AI497" s="378">
        <v>0</v>
      </c>
      <c r="AJ497" s="378">
        <v>0</v>
      </c>
      <c r="AL497" s="286">
        <v>91283</v>
      </c>
      <c r="AM497" s="286"/>
    </row>
    <row r="498" spans="1:39" s="51" customFormat="1" ht="22.5" x14ac:dyDescent="0.25">
      <c r="A498" s="59" t="s">
        <v>2573</v>
      </c>
      <c r="B498" s="59" t="s">
        <v>87</v>
      </c>
      <c r="C498" s="59"/>
      <c r="D498" s="59" t="s">
        <v>4114</v>
      </c>
      <c r="E498" s="60" t="s">
        <v>4113</v>
      </c>
      <c r="F498" s="59" t="s">
        <v>22</v>
      </c>
      <c r="G498" s="61">
        <v>2</v>
      </c>
      <c r="H498" s="62">
        <v>64.03722999999998</v>
      </c>
      <c r="I498" s="62">
        <f t="shared" si="43"/>
        <v>128.07445999999996</v>
      </c>
      <c r="J498" s="62"/>
      <c r="K498" s="62">
        <v>23.549040000000002</v>
      </c>
      <c r="L498" s="62">
        <v>103.30041999999997</v>
      </c>
      <c r="M498" s="62">
        <v>1.2250000000000001</v>
      </c>
      <c r="N498" s="62">
        <v>0</v>
      </c>
      <c r="O498" s="62">
        <v>-2.8421709430404007E-14</v>
      </c>
      <c r="P498" s="298" t="s">
        <v>4160</v>
      </c>
      <c r="Q498" s="60" t="s">
        <v>27</v>
      </c>
      <c r="R498" s="60" t="s">
        <v>27</v>
      </c>
      <c r="S498" s="286" t="str">
        <f t="shared" si="37"/>
        <v>SIM</v>
      </c>
      <c r="T498" s="286" t="str">
        <f>IF($C498= "", T497, IF(ISNA(VLOOKUP($C498,'ABC-S'!$A$5:$A$271,1,FALSE)), "", VLOOKUP($C498,'ABC-S'!$A$5:$A$271,1,FALSE)))</f>
        <v>CP0422</v>
      </c>
      <c r="W498" s="286" t="s">
        <v>2573</v>
      </c>
      <c r="X498" s="286" t="s">
        <v>21</v>
      </c>
      <c r="Y498" s="286" t="s">
        <v>1513</v>
      </c>
      <c r="Z498" s="335" t="s">
        <v>21</v>
      </c>
      <c r="AA498" s="286" t="s">
        <v>21</v>
      </c>
      <c r="AB498" s="378"/>
      <c r="AC498" s="381" t="s">
        <v>4114</v>
      </c>
      <c r="AD498" s="378">
        <v>2</v>
      </c>
      <c r="AE498" s="378">
        <v>5.6870324007247461</v>
      </c>
      <c r="AF498" s="378">
        <v>11.374064801449492</v>
      </c>
      <c r="AG498" s="378"/>
      <c r="AI498" s="378" t="s">
        <v>21</v>
      </c>
      <c r="AJ498" s="378" t="s">
        <v>21</v>
      </c>
      <c r="AL498" s="286">
        <v>91285</v>
      </c>
      <c r="AM498" s="286"/>
    </row>
    <row r="499" spans="1:39" s="51" customFormat="1" ht="22.5" x14ac:dyDescent="0.25">
      <c r="A499" s="55" t="s">
        <v>2574</v>
      </c>
      <c r="B499" s="55" t="s">
        <v>138</v>
      </c>
      <c r="C499" s="55" t="s">
        <v>2574</v>
      </c>
      <c r="D499" s="55"/>
      <c r="E499" s="56" t="s">
        <v>2575</v>
      </c>
      <c r="F499" s="55" t="s">
        <v>41</v>
      </c>
      <c r="G499" s="57"/>
      <c r="H499" s="58"/>
      <c r="I499" s="58"/>
      <c r="J499" s="58">
        <f>SUM(I499:I508)</f>
        <v>4826.9811743159689</v>
      </c>
      <c r="K499" s="58">
        <v>1560.7621439742704</v>
      </c>
      <c r="L499" s="58">
        <v>3253.9171871055682</v>
      </c>
      <c r="M499" s="58">
        <v>10.685722840130172</v>
      </c>
      <c r="N499" s="58">
        <v>0</v>
      </c>
      <c r="O499" s="58">
        <v>1.6161203959998005</v>
      </c>
      <c r="P499" s="58"/>
      <c r="Q499" s="56"/>
      <c r="R499" s="1137" t="s">
        <v>138</v>
      </c>
      <c r="S499" s="286" t="str">
        <f t="shared" si="37"/>
        <v>SIM</v>
      </c>
      <c r="T499" s="286" t="str">
        <f>IF($C499= "", T498, IF(ISNA(VLOOKUP($C499,'ABC-S'!$A$5:$A$271,1,FALSE)), "", VLOOKUP($C499,'ABC-S'!$A$5:$A$271,1,FALSE)))</f>
        <v>CP0423</v>
      </c>
      <c r="W499" s="286" t="s">
        <v>2574</v>
      </c>
      <c r="X499" s="286"/>
      <c r="Y499" s="286"/>
      <c r="Z499" s="286"/>
      <c r="AA499" s="286" t="s">
        <v>21</v>
      </c>
      <c r="AB499" s="378">
        <v>4.9807511701645772</v>
      </c>
      <c r="AC499" s="378"/>
      <c r="AD499" s="335"/>
      <c r="AE499" s="335"/>
      <c r="AF499" s="335"/>
      <c r="AG499" s="378">
        <v>248.74794484609794</v>
      </c>
      <c r="AI499" s="378" t="s">
        <v>21</v>
      </c>
      <c r="AJ499" s="378" t="s">
        <v>21</v>
      </c>
      <c r="AL499" s="286"/>
      <c r="AM499" s="286"/>
    </row>
    <row r="500" spans="1:39" s="51" customFormat="1" ht="22.5" x14ac:dyDescent="0.25">
      <c r="A500" s="59" t="s">
        <v>2574</v>
      </c>
      <c r="B500" s="59" t="s">
        <v>87</v>
      </c>
      <c r="C500" s="59"/>
      <c r="D500" s="59">
        <v>93358</v>
      </c>
      <c r="E500" s="60" t="s">
        <v>1293</v>
      </c>
      <c r="F500" s="59" t="s">
        <v>44</v>
      </c>
      <c r="G500" s="61">
        <v>13.862</v>
      </c>
      <c r="H500" s="62">
        <v>69.66</v>
      </c>
      <c r="I500" s="62">
        <f t="shared" ref="I500:I508" si="44">IF($D500="","",G500*H500)</f>
        <v>965.62691999999993</v>
      </c>
      <c r="J500" s="62"/>
      <c r="K500" s="62">
        <v>636.26580000000001</v>
      </c>
      <c r="L500" s="62">
        <v>329.36112000000003</v>
      </c>
      <c r="M500" s="62">
        <v>0</v>
      </c>
      <c r="N500" s="62">
        <v>0</v>
      </c>
      <c r="O500" s="62">
        <v>-1.1368683772161603E-13</v>
      </c>
      <c r="P500" s="298" t="s">
        <v>4160</v>
      </c>
      <c r="Q500" s="60" t="s">
        <v>27</v>
      </c>
      <c r="R500" s="60" t="s">
        <v>27</v>
      </c>
      <c r="S500" s="286" t="str">
        <f t="shared" si="37"/>
        <v>SIM</v>
      </c>
      <c r="T500" s="286" t="str">
        <f>IF($C500= "", T499, IF(ISNA(VLOOKUP($C500,'ABC-S'!$A$5:$A$271,1,FALSE)), "", VLOOKUP($C500,'ABC-S'!$A$5:$A$271,1,FALSE)))</f>
        <v>CP0423</v>
      </c>
      <c r="W500" s="286" t="s">
        <v>2574</v>
      </c>
      <c r="X500" s="286" t="s">
        <v>21</v>
      </c>
      <c r="Y500" s="286" t="s">
        <v>1513</v>
      </c>
      <c r="Z500" s="286" t="s">
        <v>21</v>
      </c>
      <c r="AA500" s="286" t="s">
        <v>21</v>
      </c>
      <c r="AB500" s="378"/>
      <c r="AC500" s="381">
        <v>93358</v>
      </c>
      <c r="AD500" s="378">
        <v>13.862</v>
      </c>
      <c r="AE500" s="378">
        <v>3.956</v>
      </c>
      <c r="AF500" s="378">
        <v>54.838071999999997</v>
      </c>
      <c r="AG500" s="378"/>
      <c r="AI500" s="378">
        <v>0</v>
      </c>
      <c r="AJ500" s="378">
        <v>0</v>
      </c>
      <c r="AL500" s="286"/>
      <c r="AM500" s="286">
        <v>370</v>
      </c>
    </row>
    <row r="501" spans="1:39" s="51" customFormat="1" ht="33.75" x14ac:dyDescent="0.25">
      <c r="A501" s="59" t="s">
        <v>2574</v>
      </c>
      <c r="B501" s="59" t="s">
        <v>87</v>
      </c>
      <c r="C501" s="59"/>
      <c r="D501" s="59" t="s">
        <v>4121</v>
      </c>
      <c r="E501" s="60" t="s">
        <v>4128</v>
      </c>
      <c r="F501" s="59" t="s">
        <v>51</v>
      </c>
      <c r="G501" s="61">
        <v>6.04</v>
      </c>
      <c r="H501" s="62">
        <v>79.314668864868523</v>
      </c>
      <c r="I501" s="62">
        <f t="shared" si="44"/>
        <v>479.06059994380587</v>
      </c>
      <c r="J501" s="62"/>
      <c r="K501" s="62">
        <v>133.68274982399998</v>
      </c>
      <c r="L501" s="62">
        <v>336.53499376800005</v>
      </c>
      <c r="M501" s="62">
        <v>7.4687176958058492</v>
      </c>
      <c r="N501" s="62">
        <v>0</v>
      </c>
      <c r="O501" s="62">
        <v>1.3741386560000137</v>
      </c>
      <c r="P501" s="298" t="s">
        <v>4160</v>
      </c>
      <c r="Q501" s="60" t="s">
        <v>27</v>
      </c>
      <c r="R501" s="60" t="s">
        <v>27</v>
      </c>
      <c r="S501" s="286" t="str">
        <f t="shared" si="37"/>
        <v>SIM</v>
      </c>
      <c r="T501" s="286" t="str">
        <f>IF($C501= "", T500, IF(ISNA(VLOOKUP($C501,'ABC-S'!$A$5:$A$271,1,FALSE)), "", VLOOKUP($C501,'ABC-S'!$A$5:$A$271,1,FALSE)))</f>
        <v>CP0423</v>
      </c>
      <c r="W501" s="286" t="s">
        <v>2574</v>
      </c>
      <c r="X501" s="286" t="s">
        <v>21</v>
      </c>
      <c r="Y501" s="286" t="s">
        <v>1513</v>
      </c>
      <c r="Z501" s="286" t="s">
        <v>21</v>
      </c>
      <c r="AA501" s="286" t="s">
        <v>21</v>
      </c>
      <c r="AB501" s="378"/>
      <c r="AC501" s="381" t="s">
        <v>4121</v>
      </c>
      <c r="AD501" s="378">
        <v>6.04</v>
      </c>
      <c r="AE501" s="378">
        <v>2.8806424007247471</v>
      </c>
      <c r="AF501" s="378">
        <v>17.399080100377471</v>
      </c>
      <c r="AG501" s="378"/>
      <c r="AI501" s="378" t="s">
        <v>21</v>
      </c>
      <c r="AJ501" s="378" t="s">
        <v>21</v>
      </c>
      <c r="AL501" s="286"/>
      <c r="AM501" s="286">
        <v>4741</v>
      </c>
    </row>
    <row r="502" spans="1:39" s="51" customFormat="1" ht="22.5" x14ac:dyDescent="0.25">
      <c r="A502" s="59" t="s">
        <v>2574</v>
      </c>
      <c r="B502" s="59" t="s">
        <v>87</v>
      </c>
      <c r="C502" s="59"/>
      <c r="D502" s="59" t="s">
        <v>4132</v>
      </c>
      <c r="E502" s="60" t="s">
        <v>4134</v>
      </c>
      <c r="F502" s="59" t="s">
        <v>54</v>
      </c>
      <c r="G502" s="61">
        <v>63.448</v>
      </c>
      <c r="H502" s="62">
        <v>14.999185405405404</v>
      </c>
      <c r="I502" s="62">
        <f t="shared" si="44"/>
        <v>951.66831560216212</v>
      </c>
      <c r="J502" s="62"/>
      <c r="K502" s="62">
        <v>142.57721607027028</v>
      </c>
      <c r="L502" s="62">
        <v>808.89880064756755</v>
      </c>
      <c r="M502" s="62">
        <v>0.19229888432432435</v>
      </c>
      <c r="N502" s="62">
        <v>0</v>
      </c>
      <c r="O502" s="62">
        <v>-1.1368683772161603E-13</v>
      </c>
      <c r="P502" s="298" t="s">
        <v>4160</v>
      </c>
      <c r="Q502" s="60" t="s">
        <v>27</v>
      </c>
      <c r="R502" s="60" t="s">
        <v>27</v>
      </c>
      <c r="S502" s="286" t="str">
        <f t="shared" si="37"/>
        <v>SIM</v>
      </c>
      <c r="T502" s="286" t="str">
        <f>IF($C502= "", T501, IF(ISNA(VLOOKUP($C502,'ABC-S'!$A$5:$A$271,1,FALSE)), "", VLOOKUP($C502,'ABC-S'!$A$5:$A$271,1,FALSE)))</f>
        <v>CP0423</v>
      </c>
      <c r="W502" s="286" t="s">
        <v>2574</v>
      </c>
      <c r="X502" s="286" t="s">
        <v>21</v>
      </c>
      <c r="Y502" s="286" t="s">
        <v>1513</v>
      </c>
      <c r="Z502" s="286" t="s">
        <v>21</v>
      </c>
      <c r="AA502" s="286" t="s">
        <v>21</v>
      </c>
      <c r="AB502" s="378"/>
      <c r="AC502" s="381" t="s">
        <v>4132</v>
      </c>
      <c r="AD502" s="378">
        <v>63.448</v>
      </c>
      <c r="AE502" s="378">
        <v>0.77187837837837836</v>
      </c>
      <c r="AF502" s="378">
        <v>48.974139351351347</v>
      </c>
      <c r="AG502" s="378"/>
      <c r="AI502" s="378" t="s">
        <v>21</v>
      </c>
      <c r="AJ502" s="378" t="s">
        <v>21</v>
      </c>
      <c r="AL502" s="286"/>
      <c r="AM502" s="286">
        <v>40671</v>
      </c>
    </row>
    <row r="503" spans="1:39" s="51" customFormat="1" ht="33.75" x14ac:dyDescent="0.25">
      <c r="A503" s="59" t="s">
        <v>2574</v>
      </c>
      <c r="B503" s="59" t="s">
        <v>87</v>
      </c>
      <c r="C503" s="248"/>
      <c r="D503" s="59">
        <v>95240</v>
      </c>
      <c r="E503" s="60" t="s">
        <v>1307</v>
      </c>
      <c r="F503" s="59" t="s">
        <v>51</v>
      </c>
      <c r="G503" s="61">
        <v>6.0720000000000001</v>
      </c>
      <c r="H503" s="62">
        <v>15.74</v>
      </c>
      <c r="I503" s="62">
        <f t="shared" si="44"/>
        <v>95.573279999999997</v>
      </c>
      <c r="J503" s="62"/>
      <c r="K503" s="62">
        <v>29.327760000000001</v>
      </c>
      <c r="L503" s="62">
        <v>65.699039999999997</v>
      </c>
      <c r="M503" s="62">
        <v>0.36431999999999998</v>
      </c>
      <c r="N503" s="62">
        <v>0</v>
      </c>
      <c r="O503" s="62">
        <v>0.1821599999999961</v>
      </c>
      <c r="P503" s="298" t="s">
        <v>4160</v>
      </c>
      <c r="Q503" s="60" t="s">
        <v>27</v>
      </c>
      <c r="R503" s="60" t="s">
        <v>27</v>
      </c>
      <c r="S503" s="286" t="str">
        <f t="shared" si="37"/>
        <v>SIM</v>
      </c>
      <c r="T503" s="286" t="str">
        <f>IF($C503= "", T502, IF(ISNA(VLOOKUP($C503,'ABC-S'!$A$5:$A$271,1,FALSE)), "", VLOOKUP($C503,'ABC-S'!$A$5:$A$271,1,FALSE)))</f>
        <v>CP0423</v>
      </c>
      <c r="W503" s="286" t="s">
        <v>2574</v>
      </c>
      <c r="X503" s="286" t="s">
        <v>21</v>
      </c>
      <c r="Y503" s="286" t="s">
        <v>1513</v>
      </c>
      <c r="Z503" s="335" t="s">
        <v>21</v>
      </c>
      <c r="AA503" s="286" t="s">
        <v>21</v>
      </c>
      <c r="AB503" s="378"/>
      <c r="AC503" s="381">
        <v>95240</v>
      </c>
      <c r="AD503" s="378">
        <v>6.0720000000000001</v>
      </c>
      <c r="AE503" s="378">
        <v>0.32402447000000001</v>
      </c>
      <c r="AF503" s="378">
        <v>1.9674765818400002</v>
      </c>
      <c r="AG503" s="378"/>
      <c r="AI503" s="378">
        <v>3.39E-2</v>
      </c>
      <c r="AJ503" s="378">
        <v>0.20584079999999999</v>
      </c>
      <c r="AL503" s="286">
        <v>88260</v>
      </c>
      <c r="AM503" s="286"/>
    </row>
    <row r="504" spans="1:39" s="51" customFormat="1" ht="33.75" x14ac:dyDescent="0.25">
      <c r="A504" s="59" t="s">
        <v>2574</v>
      </c>
      <c r="B504" s="59" t="s">
        <v>87</v>
      </c>
      <c r="C504" s="248"/>
      <c r="D504" s="59" t="s">
        <v>4119</v>
      </c>
      <c r="E504" s="60" t="s">
        <v>4112</v>
      </c>
      <c r="F504" s="59" t="s">
        <v>44</v>
      </c>
      <c r="G504" s="61">
        <v>1.119</v>
      </c>
      <c r="H504" s="62">
        <v>407.08763000000005</v>
      </c>
      <c r="I504" s="62">
        <f t="shared" si="44"/>
        <v>455.53105797000006</v>
      </c>
      <c r="J504" s="62"/>
      <c r="K504" s="62">
        <v>16.56961488</v>
      </c>
      <c r="L504" s="62">
        <v>438.81373509000002</v>
      </c>
      <c r="M504" s="62">
        <v>8.7886259999999994E-2</v>
      </c>
      <c r="N504" s="62">
        <v>0</v>
      </c>
      <c r="O504" s="62">
        <v>5.9821740000018053E-2</v>
      </c>
      <c r="P504" s="298" t="s">
        <v>4160</v>
      </c>
      <c r="Q504" s="60" t="s">
        <v>27</v>
      </c>
      <c r="R504" s="60" t="s">
        <v>27</v>
      </c>
      <c r="S504" s="286" t="str">
        <f t="shared" si="37"/>
        <v>SIM</v>
      </c>
      <c r="T504" s="286" t="str">
        <f>IF($C504= "", T503, IF(ISNA(VLOOKUP($C504,'ABC-S'!$A$5:$A$271,1,FALSE)), "", VLOOKUP($C504,'ABC-S'!$A$5:$A$271,1,FALSE)))</f>
        <v>CP0423</v>
      </c>
      <c r="W504" s="286" t="s">
        <v>2574</v>
      </c>
      <c r="X504" s="286" t="s">
        <v>21</v>
      </c>
      <c r="Y504" s="286" t="s">
        <v>1513</v>
      </c>
      <c r="Z504" s="335" t="s">
        <v>21</v>
      </c>
      <c r="AA504" s="286" t="s">
        <v>21</v>
      </c>
      <c r="AB504" s="378"/>
      <c r="AC504" s="381" t="s">
        <v>4119</v>
      </c>
      <c r="AD504" s="378">
        <v>1.119</v>
      </c>
      <c r="AE504" s="378">
        <v>3.8886424007247471</v>
      </c>
      <c r="AF504" s="378">
        <v>4.3513908464109923</v>
      </c>
      <c r="AG504" s="378"/>
      <c r="AI504" s="378" t="s">
        <v>21</v>
      </c>
      <c r="AJ504" s="378" t="s">
        <v>21</v>
      </c>
      <c r="AL504" s="286">
        <v>88316</v>
      </c>
      <c r="AM504" s="286"/>
    </row>
    <row r="505" spans="1:39" s="51" customFormat="1" ht="56.25" x14ac:dyDescent="0.25">
      <c r="A505" s="59" t="s">
        <v>2574</v>
      </c>
      <c r="B505" s="59" t="s">
        <v>87</v>
      </c>
      <c r="C505" s="59"/>
      <c r="D505" s="59">
        <v>87447</v>
      </c>
      <c r="E505" s="60" t="s">
        <v>486</v>
      </c>
      <c r="F505" s="59" t="s">
        <v>51</v>
      </c>
      <c r="G505" s="61">
        <v>15.515000000000001</v>
      </c>
      <c r="H505" s="62">
        <v>62.08</v>
      </c>
      <c r="I505" s="62">
        <f t="shared" si="44"/>
        <v>963.1712</v>
      </c>
      <c r="J505" s="62"/>
      <c r="K505" s="62">
        <v>271.2022</v>
      </c>
      <c r="L505" s="62">
        <v>691.96900000000005</v>
      </c>
      <c r="M505" s="62">
        <v>0</v>
      </c>
      <c r="N505" s="62">
        <v>0</v>
      </c>
      <c r="O505" s="62">
        <v>0</v>
      </c>
      <c r="P505" s="298" t="s">
        <v>4160</v>
      </c>
      <c r="Q505" s="60" t="s">
        <v>27</v>
      </c>
      <c r="R505" s="60" t="s">
        <v>27</v>
      </c>
      <c r="S505" s="286" t="str">
        <f t="shared" si="37"/>
        <v>SIM</v>
      </c>
      <c r="T505" s="286" t="str">
        <f>IF($C505= "", T504, IF(ISNA(VLOOKUP($C505,'ABC-S'!$A$5:$A$271,1,FALSE)), "", VLOOKUP($C505,'ABC-S'!$A$5:$A$271,1,FALSE)))</f>
        <v>CP0423</v>
      </c>
      <c r="W505" s="286" t="s">
        <v>2574</v>
      </c>
      <c r="X505" s="286" t="s">
        <v>21</v>
      </c>
      <c r="Y505" s="286" t="s">
        <v>1513</v>
      </c>
      <c r="Z505" s="335" t="s">
        <v>21</v>
      </c>
      <c r="AA505" s="286" t="s">
        <v>21</v>
      </c>
      <c r="AB505" s="378"/>
      <c r="AC505" s="381">
        <v>87447</v>
      </c>
      <c r="AD505" s="378">
        <v>15.515000000000001</v>
      </c>
      <c r="AE505" s="378">
        <v>1.1196000000000002</v>
      </c>
      <c r="AF505" s="378">
        <v>17.370594000000004</v>
      </c>
      <c r="AG505" s="378"/>
      <c r="AI505" s="378">
        <v>8.8000000000000005E-3</v>
      </c>
      <c r="AJ505" s="378">
        <v>0.13653200000000001</v>
      </c>
      <c r="AL505" s="286">
        <v>91277</v>
      </c>
      <c r="AM505" s="286"/>
    </row>
    <row r="506" spans="1:39" s="51" customFormat="1" ht="22.5" x14ac:dyDescent="0.25">
      <c r="A506" s="59" t="s">
        <v>2574</v>
      </c>
      <c r="B506" s="59" t="s">
        <v>87</v>
      </c>
      <c r="C506" s="59"/>
      <c r="D506" s="59" t="s">
        <v>4116</v>
      </c>
      <c r="E506" s="60" t="s">
        <v>4118</v>
      </c>
      <c r="F506" s="59" t="s">
        <v>51</v>
      </c>
      <c r="G506" s="61">
        <v>14.28</v>
      </c>
      <c r="H506" s="62">
        <v>29.923909999999999</v>
      </c>
      <c r="I506" s="62">
        <f t="shared" si="44"/>
        <v>427.31343479999998</v>
      </c>
      <c r="J506" s="62"/>
      <c r="K506" s="62">
        <v>214.65181920000001</v>
      </c>
      <c r="L506" s="62">
        <v>212.6616156</v>
      </c>
      <c r="M506" s="62">
        <v>0</v>
      </c>
      <c r="N506" s="62">
        <v>0</v>
      </c>
      <c r="O506" s="62">
        <v>0</v>
      </c>
      <c r="P506" s="298" t="s">
        <v>4160</v>
      </c>
      <c r="Q506" s="60" t="s">
        <v>27</v>
      </c>
      <c r="R506" s="60" t="s">
        <v>27</v>
      </c>
      <c r="S506" s="286" t="str">
        <f t="shared" si="37"/>
        <v>SIM</v>
      </c>
      <c r="T506" s="286" t="str">
        <f>IF($C506= "", T505, IF(ISNA(VLOOKUP($C506,'ABC-S'!$A$5:$A$271,1,FALSE)), "", VLOOKUP($C506,'ABC-S'!$A$5:$A$271,1,FALSE)))</f>
        <v>CP0423</v>
      </c>
      <c r="W506" s="286" t="s">
        <v>2574</v>
      </c>
      <c r="X506" s="286" t="s">
        <v>21</v>
      </c>
      <c r="Y506" s="286" t="s">
        <v>1513</v>
      </c>
      <c r="Z506" s="335" t="s">
        <v>21</v>
      </c>
      <c r="AA506" s="286" t="s">
        <v>21</v>
      </c>
      <c r="AB506" s="378"/>
      <c r="AC506" s="381" t="s">
        <v>4116</v>
      </c>
      <c r="AD506" s="378">
        <v>14.28</v>
      </c>
      <c r="AE506" s="378">
        <v>4.8818924007247473</v>
      </c>
      <c r="AF506" s="378">
        <v>69.713423482349384</v>
      </c>
      <c r="AG506" s="378"/>
      <c r="AI506" s="378" t="s">
        <v>21</v>
      </c>
      <c r="AJ506" s="378" t="s">
        <v>21</v>
      </c>
      <c r="AL506" s="286">
        <v>91278</v>
      </c>
      <c r="AM506" s="286"/>
    </row>
    <row r="507" spans="1:39" s="51" customFormat="1" ht="33.75" x14ac:dyDescent="0.25">
      <c r="A507" s="59" t="s">
        <v>2574</v>
      </c>
      <c r="B507" s="59" t="s">
        <v>87</v>
      </c>
      <c r="C507" s="59"/>
      <c r="D507" s="59">
        <v>94283</v>
      </c>
      <c r="E507" s="60" t="s">
        <v>573</v>
      </c>
      <c r="F507" s="59" t="s">
        <v>22</v>
      </c>
      <c r="G507" s="61">
        <v>4.2</v>
      </c>
      <c r="H507" s="62">
        <v>52.4</v>
      </c>
      <c r="I507" s="62">
        <f t="shared" si="44"/>
        <v>220.08</v>
      </c>
      <c r="J507" s="62"/>
      <c r="K507" s="62">
        <v>67.032000000000011</v>
      </c>
      <c r="L507" s="62">
        <v>153.048</v>
      </c>
      <c r="M507" s="62">
        <v>0</v>
      </c>
      <c r="N507" s="62">
        <v>0</v>
      </c>
      <c r="O507" s="62">
        <v>0</v>
      </c>
      <c r="P507" s="298" t="s">
        <v>4160</v>
      </c>
      <c r="Q507" s="60" t="s">
        <v>27</v>
      </c>
      <c r="R507" s="60" t="s">
        <v>27</v>
      </c>
      <c r="S507" s="286" t="str">
        <f t="shared" si="37"/>
        <v>SIM</v>
      </c>
      <c r="T507" s="286" t="str">
        <f>IF($C507= "", T506, IF(ISNA(VLOOKUP($C507,'ABC-S'!$A$5:$A$271,1,FALSE)), "", VLOOKUP($C507,'ABC-S'!$A$5:$A$271,1,FALSE)))</f>
        <v>CP0423</v>
      </c>
      <c r="W507" s="286" t="s">
        <v>2574</v>
      </c>
      <c r="X507" s="286" t="s">
        <v>21</v>
      </c>
      <c r="Y507" s="286" t="s">
        <v>1513</v>
      </c>
      <c r="Z507" s="335" t="s">
        <v>21</v>
      </c>
      <c r="AA507" s="286" t="s">
        <v>21</v>
      </c>
      <c r="AB507" s="378"/>
      <c r="AC507" s="381">
        <v>94283</v>
      </c>
      <c r="AD507" s="378">
        <v>4.2</v>
      </c>
      <c r="AE507" s="378">
        <v>1.0860000000000001</v>
      </c>
      <c r="AF507" s="378">
        <v>4.5612000000000004</v>
      </c>
      <c r="AG507" s="378"/>
      <c r="AI507" s="378">
        <v>0</v>
      </c>
      <c r="AJ507" s="378">
        <v>0</v>
      </c>
      <c r="AL507" s="286">
        <v>91283</v>
      </c>
      <c r="AM507" s="286"/>
    </row>
    <row r="508" spans="1:39" s="51" customFormat="1" ht="22.5" x14ac:dyDescent="0.25">
      <c r="A508" s="59" t="s">
        <v>2574</v>
      </c>
      <c r="B508" s="59" t="s">
        <v>87</v>
      </c>
      <c r="C508" s="59"/>
      <c r="D508" s="59" t="s">
        <v>4114</v>
      </c>
      <c r="E508" s="60" t="s">
        <v>4113</v>
      </c>
      <c r="F508" s="59" t="s">
        <v>22</v>
      </c>
      <c r="G508" s="61">
        <v>4.2</v>
      </c>
      <c r="H508" s="62">
        <v>64.03722999999998</v>
      </c>
      <c r="I508" s="62">
        <f t="shared" si="44"/>
        <v>268.95636599999995</v>
      </c>
      <c r="J508" s="62"/>
      <c r="K508" s="62">
        <v>49.452984000000008</v>
      </c>
      <c r="L508" s="62">
        <v>216.93088199999997</v>
      </c>
      <c r="M508" s="62">
        <v>2.5725000000000002</v>
      </c>
      <c r="N508" s="62">
        <v>0</v>
      </c>
      <c r="O508" s="62">
        <v>0</v>
      </c>
      <c r="P508" s="298" t="s">
        <v>4160</v>
      </c>
      <c r="Q508" s="60" t="s">
        <v>27</v>
      </c>
      <c r="R508" s="60" t="s">
        <v>27</v>
      </c>
      <c r="S508" s="286" t="str">
        <f t="shared" si="37"/>
        <v>SIM</v>
      </c>
      <c r="T508" s="286" t="str">
        <f>IF($C508= "", T507, IF(ISNA(VLOOKUP($C508,'ABC-S'!$A$5:$A$271,1,FALSE)), "", VLOOKUP($C508,'ABC-S'!$A$5:$A$271,1,FALSE)))</f>
        <v>CP0423</v>
      </c>
      <c r="W508" s="286" t="s">
        <v>2574</v>
      </c>
      <c r="X508" s="286" t="s">
        <v>21</v>
      </c>
      <c r="Y508" s="286" t="s">
        <v>1513</v>
      </c>
      <c r="Z508" s="335" t="s">
        <v>21</v>
      </c>
      <c r="AA508" s="286" t="s">
        <v>21</v>
      </c>
      <c r="AB508" s="378"/>
      <c r="AC508" s="381" t="s">
        <v>4114</v>
      </c>
      <c r="AD508" s="378">
        <v>4.2</v>
      </c>
      <c r="AE508" s="378">
        <v>5.6870324007247461</v>
      </c>
      <c r="AF508" s="378">
        <v>23.885536083043934</v>
      </c>
      <c r="AG508" s="378"/>
      <c r="AI508" s="378" t="s">
        <v>21</v>
      </c>
      <c r="AJ508" s="378" t="s">
        <v>21</v>
      </c>
      <c r="AL508" s="286">
        <v>91285</v>
      </c>
      <c r="AM508" s="286"/>
    </row>
    <row r="509" spans="1:39" s="51" customFormat="1" ht="33.75" hidden="1" x14ac:dyDescent="0.25">
      <c r="A509" s="55" t="s">
        <v>4114</v>
      </c>
      <c r="B509" s="55" t="s">
        <v>138</v>
      </c>
      <c r="C509" s="55" t="s">
        <v>4114</v>
      </c>
      <c r="D509" s="55"/>
      <c r="E509" s="56" t="s">
        <v>4113</v>
      </c>
      <c r="F509" s="55" t="s">
        <v>22</v>
      </c>
      <c r="G509" s="57"/>
      <c r="H509" s="58"/>
      <c r="I509" s="58"/>
      <c r="J509" s="58">
        <f>SUM(I509:I514)</f>
        <v>64.03722999999998</v>
      </c>
      <c r="K509" s="58">
        <v>11.774520000000001</v>
      </c>
      <c r="L509" s="58">
        <v>51.650209999999987</v>
      </c>
      <c r="M509" s="58">
        <v>0.61250000000000004</v>
      </c>
      <c r="N509" s="58">
        <v>0</v>
      </c>
      <c r="O509" s="58">
        <v>-1.7763568394002505E-15</v>
      </c>
      <c r="P509" s="58"/>
      <c r="Q509" s="56"/>
      <c r="R509" s="56" t="s">
        <v>4115</v>
      </c>
      <c r="S509" s="286" t="str">
        <f t="shared" ref="S509:S536" si="45">IF(T509 &lt;&gt; "", "SIM", "")</f>
        <v/>
      </c>
      <c r="T509" s="286" t="str">
        <f>IF($C509= "", T508, IF(ISNA(VLOOKUP($C509,'ABC-S'!$A$5:$A$271,1,FALSE)), "", VLOOKUP($C509,'ABC-S'!$A$5:$A$271,1,FALSE)))</f>
        <v/>
      </c>
      <c r="W509" s="286" t="s">
        <v>2574</v>
      </c>
      <c r="X509" s="286"/>
      <c r="Y509" s="286"/>
      <c r="Z509" s="286"/>
      <c r="AA509" s="286" t="s">
        <v>21</v>
      </c>
      <c r="AB509" s="378">
        <v>4.9807511701645772</v>
      </c>
      <c r="AC509" s="378"/>
      <c r="AD509" s="335"/>
      <c r="AE509" s="335"/>
      <c r="AF509" s="335"/>
      <c r="AG509" s="378">
        <v>5.6870324007247461</v>
      </c>
      <c r="AI509" s="378" t="s">
        <v>21</v>
      </c>
      <c r="AJ509" s="378" t="s">
        <v>21</v>
      </c>
      <c r="AL509" s="286"/>
      <c r="AM509" s="286"/>
    </row>
    <row r="510" spans="1:39" s="51" customFormat="1" ht="22.5" hidden="1" x14ac:dyDescent="0.25">
      <c r="A510" s="59" t="s">
        <v>4114</v>
      </c>
      <c r="B510" s="59" t="s">
        <v>86</v>
      </c>
      <c r="C510" s="59"/>
      <c r="D510" s="59">
        <v>370</v>
      </c>
      <c r="E510" s="60" t="s">
        <v>99</v>
      </c>
      <c r="F510" s="59" t="s">
        <v>3670</v>
      </c>
      <c r="G510" s="61">
        <v>7.0000000000000001E-3</v>
      </c>
      <c r="H510" s="62">
        <v>87.5</v>
      </c>
      <c r="I510" s="62">
        <f t="shared" ref="I510:I514" si="46">IF($D510="","",G510*H510)</f>
        <v>0.61250000000000004</v>
      </c>
      <c r="J510" s="62"/>
      <c r="K510" s="62">
        <v>0</v>
      </c>
      <c r="L510" s="62">
        <v>0</v>
      </c>
      <c r="M510" s="62">
        <v>0.61250000000000004</v>
      </c>
      <c r="N510" s="62">
        <v>0</v>
      </c>
      <c r="O510" s="62">
        <v>0</v>
      </c>
      <c r="P510" s="298" t="s">
        <v>719</v>
      </c>
      <c r="Q510" s="60" t="s">
        <v>27</v>
      </c>
      <c r="R510" s="60" t="s">
        <v>27</v>
      </c>
      <c r="S510" s="286" t="str">
        <f t="shared" si="45"/>
        <v/>
      </c>
      <c r="T510" s="286" t="str">
        <f>IF($C510= "", T509, IF(ISNA(VLOOKUP($C510,'ABC-S'!$A$5:$A$271,1,FALSE)), "", VLOOKUP($C510,'ABC-S'!$A$5:$A$271,1,FALSE)))</f>
        <v/>
      </c>
      <c r="W510" s="286" t="s">
        <v>2574</v>
      </c>
      <c r="X510" s="286" t="s">
        <v>21</v>
      </c>
      <c r="Y510" s="286" t="s">
        <v>21</v>
      </c>
      <c r="Z510" s="286" t="s">
        <v>21</v>
      </c>
      <c r="AA510" s="286" t="s">
        <v>21</v>
      </c>
      <c r="AB510" s="378"/>
      <c r="AC510" s="381" t="s">
        <v>21</v>
      </c>
      <c r="AD510" s="378" t="s">
        <v>21</v>
      </c>
      <c r="AE510" s="378" t="s">
        <v>21</v>
      </c>
      <c r="AF510" s="378" t="s">
        <v>21</v>
      </c>
      <c r="AG510" s="378"/>
      <c r="AI510" s="378" t="s">
        <v>21</v>
      </c>
      <c r="AJ510" s="378" t="s">
        <v>21</v>
      </c>
      <c r="AL510" s="286"/>
      <c r="AM510" s="286">
        <v>370</v>
      </c>
    </row>
    <row r="511" spans="1:39" s="51" customFormat="1" ht="33.75" hidden="1" x14ac:dyDescent="0.25">
      <c r="A511" s="59" t="s">
        <v>4114</v>
      </c>
      <c r="B511" s="59" t="s">
        <v>86</v>
      </c>
      <c r="C511" s="59"/>
      <c r="D511" s="59">
        <v>43386</v>
      </c>
      <c r="E511" s="60" t="s">
        <v>1175</v>
      </c>
      <c r="F511" s="59" t="s">
        <v>3666</v>
      </c>
      <c r="G511" s="61">
        <v>1.0049999999999999</v>
      </c>
      <c r="H511" s="62">
        <v>45.83</v>
      </c>
      <c r="I511" s="62">
        <f t="shared" si="46"/>
        <v>46.059149999999995</v>
      </c>
      <c r="J511" s="62"/>
      <c r="K511" s="62">
        <v>0</v>
      </c>
      <c r="L511" s="62">
        <v>46.059149999999995</v>
      </c>
      <c r="M511" s="62">
        <v>0</v>
      </c>
      <c r="N511" s="62">
        <v>0</v>
      </c>
      <c r="O511" s="62">
        <v>0</v>
      </c>
      <c r="P511" s="298" t="s">
        <v>89</v>
      </c>
      <c r="Q511" s="60" t="s">
        <v>27</v>
      </c>
      <c r="R511" s="60" t="s">
        <v>27</v>
      </c>
      <c r="S511" s="286" t="str">
        <f t="shared" si="45"/>
        <v/>
      </c>
      <c r="T511" s="286" t="str">
        <f>IF($C511= "", T510, IF(ISNA(VLOOKUP($C511,'ABC-S'!$A$5:$A$271,1,FALSE)), "", VLOOKUP($C511,'ABC-S'!$A$5:$A$271,1,FALSE)))</f>
        <v/>
      </c>
      <c r="W511" s="286" t="s">
        <v>2574</v>
      </c>
      <c r="X511" s="286" t="s">
        <v>21</v>
      </c>
      <c r="Y511" s="286" t="s">
        <v>21</v>
      </c>
      <c r="Z511" s="286" t="s">
        <v>21</v>
      </c>
      <c r="AA511" s="286" t="s">
        <v>21</v>
      </c>
      <c r="AB511" s="378"/>
      <c r="AC511" s="381" t="s">
        <v>21</v>
      </c>
      <c r="AD511" s="378" t="s">
        <v>21</v>
      </c>
      <c r="AE511" s="378" t="s">
        <v>21</v>
      </c>
      <c r="AF511" s="378" t="s">
        <v>21</v>
      </c>
      <c r="AG511" s="378"/>
      <c r="AI511" s="378" t="s">
        <v>21</v>
      </c>
      <c r="AJ511" s="378" t="s">
        <v>21</v>
      </c>
      <c r="AL511" s="286"/>
      <c r="AM511" s="286">
        <v>4741</v>
      </c>
    </row>
    <row r="512" spans="1:39" s="51" customFormat="1" hidden="1" x14ac:dyDescent="0.25">
      <c r="A512" s="59" t="s">
        <v>4114</v>
      </c>
      <c r="B512" s="59" t="s">
        <v>87</v>
      </c>
      <c r="C512" s="59"/>
      <c r="D512" s="59">
        <v>88309</v>
      </c>
      <c r="E512" s="60" t="s">
        <v>617</v>
      </c>
      <c r="F512" s="59" t="s">
        <v>46</v>
      </c>
      <c r="G512" s="61">
        <v>0.39400000000000002</v>
      </c>
      <c r="H512" s="62">
        <v>23.9</v>
      </c>
      <c r="I512" s="62">
        <f t="shared" si="46"/>
        <v>9.416599999999999</v>
      </c>
      <c r="J512" s="62"/>
      <c r="K512" s="62">
        <v>7.0053200000000011</v>
      </c>
      <c r="L512" s="62">
        <v>2.4112800000000001</v>
      </c>
      <c r="M512" s="62">
        <v>0</v>
      </c>
      <c r="N512" s="62">
        <v>0</v>
      </c>
      <c r="O512" s="62">
        <v>-1.7763568394002505E-15</v>
      </c>
      <c r="P512" s="298" t="s">
        <v>4160</v>
      </c>
      <c r="Q512" s="60" t="s">
        <v>27</v>
      </c>
      <c r="R512" s="60" t="s">
        <v>27</v>
      </c>
      <c r="S512" s="286" t="str">
        <f t="shared" si="45"/>
        <v/>
      </c>
      <c r="T512" s="286" t="str">
        <f>IF($C512= "", T511, IF(ISNA(VLOOKUP($C512,'ABC-S'!$A$5:$A$271,1,FALSE)), "", VLOOKUP($C512,'ABC-S'!$A$5:$A$271,1,FALSE)))</f>
        <v/>
      </c>
      <c r="W512" s="286" t="s">
        <v>2574</v>
      </c>
      <c r="X512" s="286">
        <v>88309</v>
      </c>
      <c r="Y512" s="286" t="s">
        <v>424</v>
      </c>
      <c r="Z512" s="286">
        <v>13</v>
      </c>
      <c r="AA512" s="286">
        <v>0.39400000000000002</v>
      </c>
      <c r="AB512" s="378"/>
      <c r="AC512" s="381" t="s">
        <v>21</v>
      </c>
      <c r="AD512" s="378" t="s">
        <v>21</v>
      </c>
      <c r="AE512" s="378" t="s">
        <v>21</v>
      </c>
      <c r="AF512" s="378" t="s">
        <v>21</v>
      </c>
      <c r="AG512" s="378"/>
      <c r="AI512" s="378">
        <v>0</v>
      </c>
      <c r="AJ512" s="378">
        <v>0</v>
      </c>
      <c r="AL512" s="286"/>
      <c r="AM512" s="286">
        <v>40671</v>
      </c>
    </row>
    <row r="513" spans="1:39" s="51" customFormat="1" hidden="1" x14ac:dyDescent="0.25">
      <c r="A513" s="59" t="s">
        <v>4114</v>
      </c>
      <c r="B513" s="59" t="s">
        <v>87</v>
      </c>
      <c r="C513" s="248"/>
      <c r="D513" s="59">
        <v>88316</v>
      </c>
      <c r="E513" s="60" t="s">
        <v>649</v>
      </c>
      <c r="F513" s="59" t="s">
        <v>46</v>
      </c>
      <c r="G513" s="61">
        <v>0.39400000000000002</v>
      </c>
      <c r="H513" s="62">
        <v>17.61</v>
      </c>
      <c r="I513" s="62">
        <f t="shared" si="46"/>
        <v>6.9383400000000002</v>
      </c>
      <c r="J513" s="62"/>
      <c r="K513" s="62">
        <v>4.5704000000000002</v>
      </c>
      <c r="L513" s="62">
        <v>2.3679399999999999</v>
      </c>
      <c r="M513" s="62">
        <v>0</v>
      </c>
      <c r="N513" s="62">
        <v>0</v>
      </c>
      <c r="O513" s="62">
        <v>0</v>
      </c>
      <c r="P513" s="298" t="s">
        <v>4160</v>
      </c>
      <c r="Q513" s="60" t="s">
        <v>27</v>
      </c>
      <c r="R513" s="60" t="s">
        <v>27</v>
      </c>
      <c r="S513" s="286" t="str">
        <f t="shared" si="45"/>
        <v/>
      </c>
      <c r="T513" s="286" t="str">
        <f>IF($C513= "", T512, IF(ISNA(VLOOKUP($C513,'ABC-S'!$A$5:$A$271,1,FALSE)), "", VLOOKUP($C513,'ABC-S'!$A$5:$A$271,1,FALSE)))</f>
        <v/>
      </c>
      <c r="W513" s="286" t="s">
        <v>2574</v>
      </c>
      <c r="X513" s="286">
        <v>88316</v>
      </c>
      <c r="Y513" s="286" t="s">
        <v>424</v>
      </c>
      <c r="Z513" s="335">
        <v>13</v>
      </c>
      <c r="AA513" s="286">
        <v>0.39400000000000002</v>
      </c>
      <c r="AB513" s="378"/>
      <c r="AC513" s="381" t="s">
        <v>21</v>
      </c>
      <c r="AD513" s="378" t="s">
        <v>21</v>
      </c>
      <c r="AE513" s="378" t="s">
        <v>21</v>
      </c>
      <c r="AF513" s="378" t="s">
        <v>21</v>
      </c>
      <c r="AG513" s="378"/>
      <c r="AI513" s="378">
        <v>0</v>
      </c>
      <c r="AJ513" s="378">
        <v>0</v>
      </c>
      <c r="AL513" s="286">
        <v>88260</v>
      </c>
      <c r="AM513" s="286"/>
    </row>
    <row r="514" spans="1:39" s="51" customFormat="1" ht="22.5" hidden="1" x14ac:dyDescent="0.25">
      <c r="A514" s="59" t="s">
        <v>4114</v>
      </c>
      <c r="B514" s="59" t="s">
        <v>87</v>
      </c>
      <c r="C514" s="248"/>
      <c r="D514" s="59">
        <v>88629</v>
      </c>
      <c r="E514" s="60" t="s">
        <v>491</v>
      </c>
      <c r="F514" s="59" t="s">
        <v>44</v>
      </c>
      <c r="G514" s="61">
        <v>2E-3</v>
      </c>
      <c r="H514" s="62">
        <v>505.32</v>
      </c>
      <c r="I514" s="62">
        <f t="shared" si="46"/>
        <v>1.01064</v>
      </c>
      <c r="J514" s="62"/>
      <c r="K514" s="62">
        <v>0.1988</v>
      </c>
      <c r="L514" s="62">
        <v>0.81184000000000001</v>
      </c>
      <c r="M514" s="62">
        <v>0</v>
      </c>
      <c r="N514" s="62">
        <v>0</v>
      </c>
      <c r="O514" s="62">
        <v>0</v>
      </c>
      <c r="P514" s="298" t="s">
        <v>4160</v>
      </c>
      <c r="Q514" s="60" t="s">
        <v>27</v>
      </c>
      <c r="R514" s="60" t="s">
        <v>27</v>
      </c>
      <c r="S514" s="286" t="str">
        <f t="shared" si="45"/>
        <v/>
      </c>
      <c r="T514" s="286" t="str">
        <f>IF($C514= "", T513, IF(ISNA(VLOOKUP($C514,'ABC-S'!$A$5:$A$271,1,FALSE)), "", VLOOKUP($C514,'ABC-S'!$A$5:$A$271,1,FALSE)))</f>
        <v/>
      </c>
      <c r="W514" s="286" t="s">
        <v>2574</v>
      </c>
      <c r="X514" s="286" t="s">
        <v>21</v>
      </c>
      <c r="Y514" s="286" t="s">
        <v>1513</v>
      </c>
      <c r="Z514" s="335" t="s">
        <v>21</v>
      </c>
      <c r="AA514" s="286" t="s">
        <v>21</v>
      </c>
      <c r="AB514" s="378"/>
      <c r="AC514" s="381">
        <v>88629</v>
      </c>
      <c r="AD514" s="378">
        <v>2E-3</v>
      </c>
      <c r="AE514" s="378">
        <v>8.57</v>
      </c>
      <c r="AF514" s="378">
        <v>1.7140000000000002E-2</v>
      </c>
      <c r="AG514" s="378"/>
      <c r="AI514" s="378">
        <v>0</v>
      </c>
      <c r="AJ514" s="378">
        <v>0</v>
      </c>
      <c r="AL514" s="286">
        <v>88316</v>
      </c>
      <c r="AM514" s="286"/>
    </row>
    <row r="515" spans="1:39" s="51" customFormat="1" ht="22.5" hidden="1" x14ac:dyDescent="0.25">
      <c r="A515" s="55" t="s">
        <v>4116</v>
      </c>
      <c r="B515" s="55" t="s">
        <v>138</v>
      </c>
      <c r="C515" s="55" t="s">
        <v>4116</v>
      </c>
      <c r="D515" s="55"/>
      <c r="E515" s="56" t="s">
        <v>4118</v>
      </c>
      <c r="F515" s="55" t="s">
        <v>51</v>
      </c>
      <c r="G515" s="57"/>
      <c r="H515" s="58"/>
      <c r="I515" s="58"/>
      <c r="J515" s="58">
        <f>SUM(I515:I518)</f>
        <v>29.923909999999999</v>
      </c>
      <c r="K515" s="58">
        <v>15.031640000000001</v>
      </c>
      <c r="L515" s="58">
        <v>14.892270000000002</v>
      </c>
      <c r="M515" s="58">
        <v>0</v>
      </c>
      <c r="N515" s="58">
        <v>0</v>
      </c>
      <c r="O515" s="58">
        <v>-3.5527136788005009E-15</v>
      </c>
      <c r="P515" s="58"/>
      <c r="Q515" s="56"/>
      <c r="R515" s="56" t="s">
        <v>4117</v>
      </c>
      <c r="S515" s="286" t="str">
        <f t="shared" si="45"/>
        <v/>
      </c>
      <c r="T515" s="286" t="str">
        <f>IF($C515= "", T514, IF(ISNA(VLOOKUP($C515,'ABC-S'!$A$5:$A$271,1,FALSE)), "", VLOOKUP($C515,'ABC-S'!$A$5:$A$271,1,FALSE)))</f>
        <v/>
      </c>
      <c r="W515" s="286" t="s">
        <v>2574</v>
      </c>
      <c r="X515" s="286"/>
      <c r="Y515" s="286"/>
      <c r="Z515" s="286"/>
      <c r="AA515" s="286" t="s">
        <v>21</v>
      </c>
      <c r="AB515" s="378">
        <v>4.1927511701645779</v>
      </c>
      <c r="AC515" s="378"/>
      <c r="AD515" s="335"/>
      <c r="AE515" s="335"/>
      <c r="AF515" s="335"/>
      <c r="AG515" s="378">
        <v>4.8818924007247473</v>
      </c>
      <c r="AI515" s="378" t="s">
        <v>21</v>
      </c>
      <c r="AJ515" s="378" t="s">
        <v>21</v>
      </c>
      <c r="AL515" s="286"/>
      <c r="AM515" s="286"/>
    </row>
    <row r="516" spans="1:39" s="51" customFormat="1" ht="22.5" hidden="1" x14ac:dyDescent="0.25">
      <c r="A516" s="59" t="s">
        <v>4116</v>
      </c>
      <c r="B516" s="59" t="s">
        <v>87</v>
      </c>
      <c r="C516" s="59"/>
      <c r="D516" s="59">
        <v>88629</v>
      </c>
      <c r="E516" s="60" t="s">
        <v>491</v>
      </c>
      <c r="F516" s="59" t="s">
        <v>44</v>
      </c>
      <c r="G516" s="61">
        <v>2.5000000000000001E-2</v>
      </c>
      <c r="H516" s="62">
        <v>505.32</v>
      </c>
      <c r="I516" s="62">
        <f t="shared" ref="I516:I518" si="47">IF($D516="","",G516*H516)</f>
        <v>12.633000000000001</v>
      </c>
      <c r="J516" s="62"/>
      <c r="K516" s="62">
        <v>2.4850000000000003</v>
      </c>
      <c r="L516" s="62">
        <v>10.148000000000001</v>
      </c>
      <c r="M516" s="62">
        <v>0</v>
      </c>
      <c r="N516" s="62">
        <v>0</v>
      </c>
      <c r="O516" s="62">
        <v>-1.7763568394002505E-15</v>
      </c>
      <c r="P516" s="298" t="s">
        <v>4160</v>
      </c>
      <c r="Q516" s="60" t="s">
        <v>27</v>
      </c>
      <c r="R516" s="60" t="s">
        <v>27</v>
      </c>
      <c r="S516" s="286" t="str">
        <f t="shared" si="45"/>
        <v/>
      </c>
      <c r="T516" s="286" t="str">
        <f>IF($C516= "", T515, IF(ISNA(VLOOKUP($C516,'ABC-S'!$A$5:$A$271,1,FALSE)), "", VLOOKUP($C516,'ABC-S'!$A$5:$A$271,1,FALSE)))</f>
        <v/>
      </c>
      <c r="W516" s="286" t="s">
        <v>2574</v>
      </c>
      <c r="X516" s="286" t="s">
        <v>21</v>
      </c>
      <c r="Y516" s="286" t="s">
        <v>1513</v>
      </c>
      <c r="Z516" s="286" t="s">
        <v>21</v>
      </c>
      <c r="AA516" s="286" t="s">
        <v>21</v>
      </c>
      <c r="AB516" s="378"/>
      <c r="AC516" s="381">
        <v>88629</v>
      </c>
      <c r="AD516" s="378">
        <v>2.5000000000000001E-2</v>
      </c>
      <c r="AE516" s="378">
        <v>8.57</v>
      </c>
      <c r="AF516" s="378">
        <v>0.21425000000000002</v>
      </c>
      <c r="AG516" s="378"/>
      <c r="AI516" s="378">
        <v>0</v>
      </c>
      <c r="AJ516" s="378">
        <v>0</v>
      </c>
      <c r="AL516" s="286"/>
      <c r="AM516" s="286">
        <v>370</v>
      </c>
    </row>
    <row r="517" spans="1:39" s="51" customFormat="1" hidden="1" x14ac:dyDescent="0.25">
      <c r="A517" s="59" t="s">
        <v>4116</v>
      </c>
      <c r="B517" s="59" t="s">
        <v>87</v>
      </c>
      <c r="C517" s="59"/>
      <c r="D517" s="59">
        <v>88309</v>
      </c>
      <c r="E517" s="60" t="s">
        <v>617</v>
      </c>
      <c r="F517" s="59" t="s">
        <v>46</v>
      </c>
      <c r="G517" s="61">
        <v>0.56799999999999995</v>
      </c>
      <c r="H517" s="62">
        <v>23.9</v>
      </c>
      <c r="I517" s="62">
        <f t="shared" si="47"/>
        <v>13.575199999999999</v>
      </c>
      <c r="J517" s="62"/>
      <c r="K517" s="62">
        <v>10.09904</v>
      </c>
      <c r="L517" s="62">
        <v>3.4761599999999997</v>
      </c>
      <c r="M517" s="62">
        <v>0</v>
      </c>
      <c r="N517" s="62">
        <v>0</v>
      </c>
      <c r="O517" s="62">
        <v>-1.7763568394002505E-15</v>
      </c>
      <c r="P517" s="298" t="s">
        <v>4160</v>
      </c>
      <c r="Q517" s="60" t="s">
        <v>27</v>
      </c>
      <c r="R517" s="60" t="s">
        <v>27</v>
      </c>
      <c r="S517" s="286" t="str">
        <f t="shared" si="45"/>
        <v/>
      </c>
      <c r="T517" s="286" t="str">
        <f>IF($C517= "", T516, IF(ISNA(VLOOKUP($C517,'ABC-S'!$A$5:$A$271,1,FALSE)), "", VLOOKUP($C517,'ABC-S'!$A$5:$A$271,1,FALSE)))</f>
        <v/>
      </c>
      <c r="W517" s="286" t="s">
        <v>2574</v>
      </c>
      <c r="X517" s="286">
        <v>88309</v>
      </c>
      <c r="Y517" s="286" t="s">
        <v>424</v>
      </c>
      <c r="Z517" s="286">
        <v>13</v>
      </c>
      <c r="AA517" s="286">
        <v>0.56799999999999995</v>
      </c>
      <c r="AB517" s="378"/>
      <c r="AC517" s="381" t="s">
        <v>21</v>
      </c>
      <c r="AD517" s="378" t="s">
        <v>21</v>
      </c>
      <c r="AE517" s="378" t="s">
        <v>21</v>
      </c>
      <c r="AF517" s="378" t="s">
        <v>21</v>
      </c>
      <c r="AG517" s="378"/>
      <c r="AI517" s="378">
        <v>0</v>
      </c>
      <c r="AJ517" s="378">
        <v>0</v>
      </c>
      <c r="AL517" s="286"/>
      <c r="AM517" s="286">
        <v>4741</v>
      </c>
    </row>
    <row r="518" spans="1:39" s="51" customFormat="1" hidden="1" x14ac:dyDescent="0.25">
      <c r="A518" s="59" t="s">
        <v>4116</v>
      </c>
      <c r="B518" s="59" t="s">
        <v>87</v>
      </c>
      <c r="C518" s="59"/>
      <c r="D518" s="59">
        <v>88316</v>
      </c>
      <c r="E518" s="60" t="s">
        <v>649</v>
      </c>
      <c r="F518" s="59" t="s">
        <v>46</v>
      </c>
      <c r="G518" s="61">
        <v>0.21099999999999999</v>
      </c>
      <c r="H518" s="62">
        <v>17.61</v>
      </c>
      <c r="I518" s="62">
        <f t="shared" si="47"/>
        <v>3.7157099999999996</v>
      </c>
      <c r="J518" s="62"/>
      <c r="K518" s="62">
        <v>2.4476</v>
      </c>
      <c r="L518" s="62">
        <v>1.2681099999999998</v>
      </c>
      <c r="M518" s="62">
        <v>0</v>
      </c>
      <c r="N518" s="62">
        <v>0</v>
      </c>
      <c r="O518" s="62">
        <v>0</v>
      </c>
      <c r="P518" s="298" t="s">
        <v>4160</v>
      </c>
      <c r="Q518" s="60" t="s">
        <v>27</v>
      </c>
      <c r="R518" s="60" t="s">
        <v>27</v>
      </c>
      <c r="S518" s="286" t="str">
        <f t="shared" si="45"/>
        <v/>
      </c>
      <c r="T518" s="286" t="str">
        <f>IF($C518= "", T517, IF(ISNA(VLOOKUP($C518,'ABC-S'!$A$5:$A$271,1,FALSE)), "", VLOOKUP($C518,'ABC-S'!$A$5:$A$271,1,FALSE)))</f>
        <v/>
      </c>
      <c r="W518" s="286" t="s">
        <v>2574</v>
      </c>
      <c r="X518" s="286">
        <v>88316</v>
      </c>
      <c r="Y518" s="286" t="s">
        <v>424</v>
      </c>
      <c r="Z518" s="286">
        <v>13</v>
      </c>
      <c r="AA518" s="286">
        <v>0.21099999999999999</v>
      </c>
      <c r="AB518" s="378"/>
      <c r="AC518" s="381" t="s">
        <v>21</v>
      </c>
      <c r="AD518" s="378" t="s">
        <v>21</v>
      </c>
      <c r="AE518" s="378" t="s">
        <v>21</v>
      </c>
      <c r="AF518" s="378" t="s">
        <v>21</v>
      </c>
      <c r="AG518" s="378"/>
      <c r="AI518" s="378">
        <v>0</v>
      </c>
      <c r="AJ518" s="378">
        <v>0</v>
      </c>
      <c r="AL518" s="286"/>
      <c r="AM518" s="286">
        <v>40671</v>
      </c>
    </row>
    <row r="519" spans="1:39" s="51" customFormat="1" ht="33.75" hidden="1" x14ac:dyDescent="0.25">
      <c r="A519" s="55" t="s">
        <v>4119</v>
      </c>
      <c r="B519" s="55" t="s">
        <v>138</v>
      </c>
      <c r="C519" s="55" t="s">
        <v>4119</v>
      </c>
      <c r="D519" s="55"/>
      <c r="E519" s="56" t="s">
        <v>4112</v>
      </c>
      <c r="F519" s="55" t="s">
        <v>44</v>
      </c>
      <c r="G519" s="57"/>
      <c r="H519" s="58"/>
      <c r="I519" s="58"/>
      <c r="J519" s="58">
        <f>SUM(I519:I524)</f>
        <v>407.08763000000005</v>
      </c>
      <c r="K519" s="58">
        <v>14.80752</v>
      </c>
      <c r="L519" s="58">
        <v>392.14811000000003</v>
      </c>
      <c r="M519" s="58">
        <v>7.8539999999999999E-2</v>
      </c>
      <c r="N519" s="58">
        <v>0</v>
      </c>
      <c r="O519" s="58">
        <v>5.3459999999998231E-2</v>
      </c>
      <c r="P519" s="58"/>
      <c r="Q519" s="56"/>
      <c r="R519" s="56" t="s">
        <v>4120</v>
      </c>
      <c r="S519" s="286" t="str">
        <f t="shared" si="45"/>
        <v/>
      </c>
      <c r="T519" s="286" t="str">
        <f>IF($C519= "", T518, IF(ISNA(VLOOKUP($C519,'ABC-S'!$A$5:$A$271,1,FALSE)), "", VLOOKUP($C519,'ABC-S'!$A$5:$A$271,1,FALSE)))</f>
        <v/>
      </c>
      <c r="W519" s="286" t="s">
        <v>2574</v>
      </c>
      <c r="X519" s="286"/>
      <c r="Y519" s="286"/>
      <c r="Z519" s="286"/>
      <c r="AA519" s="286" t="s">
        <v>21</v>
      </c>
      <c r="AB519" s="378">
        <v>3.413751170164578</v>
      </c>
      <c r="AC519" s="378"/>
      <c r="AD519" s="335"/>
      <c r="AE519" s="335"/>
      <c r="AF519" s="335"/>
      <c r="AG519" s="378">
        <v>3.8886424007247471</v>
      </c>
      <c r="AI519" s="378" t="s">
        <v>21</v>
      </c>
      <c r="AJ519" s="378" t="s">
        <v>21</v>
      </c>
      <c r="AL519" s="286"/>
      <c r="AM519" s="286"/>
    </row>
    <row r="520" spans="1:39" s="51" customFormat="1" ht="33.75" hidden="1" x14ac:dyDescent="0.25">
      <c r="A520" s="59" t="s">
        <v>4119</v>
      </c>
      <c r="B520" s="59" t="s">
        <v>86</v>
      </c>
      <c r="C520" s="59"/>
      <c r="D520" s="59">
        <v>1527</v>
      </c>
      <c r="E520" s="60" t="s">
        <v>690</v>
      </c>
      <c r="F520" s="59" t="s">
        <v>3670</v>
      </c>
      <c r="G520" s="61">
        <v>1.163</v>
      </c>
      <c r="H520" s="62">
        <v>331.93</v>
      </c>
      <c r="I520" s="62">
        <f t="shared" ref="I520:I524" si="48">IF($D520="","",G520*H520)</f>
        <v>386.03459000000004</v>
      </c>
      <c r="J520" s="62"/>
      <c r="K520" s="62">
        <v>0</v>
      </c>
      <c r="L520" s="62">
        <v>386.03459000000004</v>
      </c>
      <c r="M520" s="62">
        <v>0</v>
      </c>
      <c r="N520" s="62">
        <v>0</v>
      </c>
      <c r="O520" s="62">
        <v>0</v>
      </c>
      <c r="P520" s="298" t="s">
        <v>89</v>
      </c>
      <c r="Q520" s="60" t="s">
        <v>27</v>
      </c>
      <c r="R520" s="60" t="s">
        <v>27</v>
      </c>
      <c r="S520" s="286" t="str">
        <f t="shared" si="45"/>
        <v/>
      </c>
      <c r="T520" s="286" t="str">
        <f>IF($C520= "", T519, IF(ISNA(VLOOKUP($C520,'ABC-S'!$A$5:$A$271,1,FALSE)), "", VLOOKUP($C520,'ABC-S'!$A$5:$A$271,1,FALSE)))</f>
        <v/>
      </c>
      <c r="W520" s="286" t="s">
        <v>2574</v>
      </c>
      <c r="X520" s="286" t="s">
        <v>21</v>
      </c>
      <c r="Y520" s="286" t="s">
        <v>21</v>
      </c>
      <c r="Z520" s="286" t="s">
        <v>21</v>
      </c>
      <c r="AA520" s="286" t="s">
        <v>21</v>
      </c>
      <c r="AB520" s="378"/>
      <c r="AC520" s="381" t="s">
        <v>21</v>
      </c>
      <c r="AD520" s="378" t="s">
        <v>21</v>
      </c>
      <c r="AE520" s="378" t="s">
        <v>21</v>
      </c>
      <c r="AF520" s="378" t="s">
        <v>21</v>
      </c>
      <c r="AG520" s="378"/>
      <c r="AI520" s="378" t="s">
        <v>21</v>
      </c>
      <c r="AJ520" s="378" t="s">
        <v>21</v>
      </c>
      <c r="AL520" s="286"/>
      <c r="AM520" s="286">
        <v>370</v>
      </c>
    </row>
    <row r="521" spans="1:39" s="51" customFormat="1" hidden="1" x14ac:dyDescent="0.25">
      <c r="A521" s="59" t="s">
        <v>4119</v>
      </c>
      <c r="B521" s="59" t="s">
        <v>87</v>
      </c>
      <c r="C521" s="59"/>
      <c r="D521" s="59">
        <v>88309</v>
      </c>
      <c r="E521" s="60" t="s">
        <v>617</v>
      </c>
      <c r="F521" s="59" t="s">
        <v>46</v>
      </c>
      <c r="G521" s="61">
        <v>0.504</v>
      </c>
      <c r="H521" s="62">
        <v>23.9</v>
      </c>
      <c r="I521" s="62">
        <f t="shared" si="48"/>
        <v>12.045599999999999</v>
      </c>
      <c r="J521" s="62"/>
      <c r="K521" s="62">
        <v>8.9611200000000011</v>
      </c>
      <c r="L521" s="62">
        <v>3.0844800000000001</v>
      </c>
      <c r="M521" s="62">
        <v>0</v>
      </c>
      <c r="N521" s="62">
        <v>0</v>
      </c>
      <c r="O521" s="62">
        <v>-1.7763568394002505E-15</v>
      </c>
      <c r="P521" s="298" t="s">
        <v>4160</v>
      </c>
      <c r="Q521" s="60" t="s">
        <v>27</v>
      </c>
      <c r="R521" s="60" t="s">
        <v>27</v>
      </c>
      <c r="S521" s="286" t="str">
        <f t="shared" si="45"/>
        <v/>
      </c>
      <c r="T521" s="286" t="str">
        <f>IF($C521= "", T520, IF(ISNA(VLOOKUP($C521,'ABC-S'!$A$5:$A$271,1,FALSE)), "", VLOOKUP($C521,'ABC-S'!$A$5:$A$271,1,FALSE)))</f>
        <v/>
      </c>
      <c r="W521" s="286" t="s">
        <v>2574</v>
      </c>
      <c r="X521" s="286">
        <v>88309</v>
      </c>
      <c r="Y521" s="286" t="s">
        <v>424</v>
      </c>
      <c r="Z521" s="286">
        <v>13</v>
      </c>
      <c r="AA521" s="286">
        <v>0.504</v>
      </c>
      <c r="AB521" s="378"/>
      <c r="AC521" s="381" t="s">
        <v>21</v>
      </c>
      <c r="AD521" s="378" t="s">
        <v>21</v>
      </c>
      <c r="AE521" s="378" t="s">
        <v>21</v>
      </c>
      <c r="AF521" s="378" t="s">
        <v>21</v>
      </c>
      <c r="AG521" s="378"/>
      <c r="AI521" s="378">
        <v>0</v>
      </c>
      <c r="AJ521" s="378">
        <v>0</v>
      </c>
      <c r="AL521" s="286"/>
      <c r="AM521" s="286">
        <v>4741</v>
      </c>
    </row>
    <row r="522" spans="1:39" s="51" customFormat="1" hidden="1" x14ac:dyDescent="0.25">
      <c r="A522" s="59" t="s">
        <v>4119</v>
      </c>
      <c r="B522" s="59" t="s">
        <v>87</v>
      </c>
      <c r="C522" s="59"/>
      <c r="D522" s="59">
        <v>88316</v>
      </c>
      <c r="E522" s="60" t="s">
        <v>649</v>
      </c>
      <c r="F522" s="59" t="s">
        <v>46</v>
      </c>
      <c r="G522" s="61">
        <v>0.504</v>
      </c>
      <c r="H522" s="62">
        <v>17.61</v>
      </c>
      <c r="I522" s="62">
        <f t="shared" si="48"/>
        <v>8.8754399999999993</v>
      </c>
      <c r="J522" s="62"/>
      <c r="K522" s="62">
        <v>5.8464</v>
      </c>
      <c r="L522" s="62">
        <v>3.0290399999999997</v>
      </c>
      <c r="M522" s="62">
        <v>0</v>
      </c>
      <c r="N522" s="62">
        <v>0</v>
      </c>
      <c r="O522" s="62">
        <v>0</v>
      </c>
      <c r="P522" s="298" t="s">
        <v>4160</v>
      </c>
      <c r="Q522" s="60" t="s">
        <v>27</v>
      </c>
      <c r="R522" s="60" t="s">
        <v>27</v>
      </c>
      <c r="S522" s="286" t="str">
        <f t="shared" si="45"/>
        <v/>
      </c>
      <c r="T522" s="286" t="str">
        <f>IF($C522= "", T521, IF(ISNA(VLOOKUP($C522,'ABC-S'!$A$5:$A$271,1,FALSE)), "", VLOOKUP($C522,'ABC-S'!$A$5:$A$271,1,FALSE)))</f>
        <v/>
      </c>
      <c r="W522" s="286" t="s">
        <v>2574</v>
      </c>
      <c r="X522" s="286">
        <v>88316</v>
      </c>
      <c r="Y522" s="286" t="s">
        <v>424</v>
      </c>
      <c r="Z522" s="286">
        <v>13</v>
      </c>
      <c r="AA522" s="286">
        <v>0.504</v>
      </c>
      <c r="AB522" s="378"/>
      <c r="AC522" s="381" t="s">
        <v>21</v>
      </c>
      <c r="AD522" s="378" t="s">
        <v>21</v>
      </c>
      <c r="AE522" s="378" t="s">
        <v>21</v>
      </c>
      <c r="AF522" s="378" t="s">
        <v>21</v>
      </c>
      <c r="AG522" s="378"/>
      <c r="AI522" s="378">
        <v>0</v>
      </c>
      <c r="AJ522" s="378">
        <v>0</v>
      </c>
      <c r="AL522" s="286"/>
      <c r="AM522" s="286">
        <v>40671</v>
      </c>
    </row>
    <row r="523" spans="1:39" s="51" customFormat="1" ht="33.75" hidden="1" x14ac:dyDescent="0.25">
      <c r="A523" s="59" t="s">
        <v>4119</v>
      </c>
      <c r="B523" s="59" t="s">
        <v>87</v>
      </c>
      <c r="C523" s="248"/>
      <c r="D523" s="59">
        <v>90586</v>
      </c>
      <c r="E523" s="60" t="s">
        <v>672</v>
      </c>
      <c r="F523" s="59" t="s">
        <v>76</v>
      </c>
      <c r="G523" s="61">
        <v>6.6000000000000003E-2</v>
      </c>
      <c r="H523" s="62">
        <v>1.56</v>
      </c>
      <c r="I523" s="62">
        <f t="shared" si="48"/>
        <v>0.10296000000000001</v>
      </c>
      <c r="J523" s="62"/>
      <c r="K523" s="62">
        <v>0</v>
      </c>
      <c r="L523" s="62">
        <v>0</v>
      </c>
      <c r="M523" s="62">
        <v>4.9500000000000002E-2</v>
      </c>
      <c r="N523" s="62">
        <v>0</v>
      </c>
      <c r="O523" s="62">
        <v>5.3460000000000008E-2</v>
      </c>
      <c r="P523" s="298" t="s">
        <v>4160</v>
      </c>
      <c r="Q523" s="60" t="s">
        <v>27</v>
      </c>
      <c r="R523" s="60" t="s">
        <v>27</v>
      </c>
      <c r="S523" s="286" t="str">
        <f t="shared" si="45"/>
        <v/>
      </c>
      <c r="T523" s="286" t="str">
        <f>IF($C523= "", T522, IF(ISNA(VLOOKUP($C523,'ABC-S'!$A$5:$A$271,1,FALSE)), "", VLOOKUP($C523,'ABC-S'!$A$5:$A$271,1,FALSE)))</f>
        <v/>
      </c>
      <c r="W523" s="286" t="s">
        <v>2574</v>
      </c>
      <c r="X523" s="286" t="s">
        <v>21</v>
      </c>
      <c r="Y523" s="286" t="s">
        <v>423</v>
      </c>
      <c r="Z523" s="335" t="s">
        <v>21</v>
      </c>
      <c r="AA523" s="286" t="s">
        <v>21</v>
      </c>
      <c r="AB523" s="378"/>
      <c r="AC523" s="381">
        <v>90586</v>
      </c>
      <c r="AD523" s="378">
        <v>6.6000000000000003E-2</v>
      </c>
      <c r="AE523" s="378">
        <v>0</v>
      </c>
      <c r="AF523" s="378">
        <v>0</v>
      </c>
      <c r="AG523" s="378"/>
      <c r="AI523" s="378">
        <v>0</v>
      </c>
      <c r="AJ523" s="378">
        <v>0</v>
      </c>
      <c r="AL523" s="286">
        <v>88260</v>
      </c>
      <c r="AM523" s="286"/>
    </row>
    <row r="524" spans="1:39" s="51" customFormat="1" ht="33.75" hidden="1" x14ac:dyDescent="0.25">
      <c r="A524" s="59" t="s">
        <v>4119</v>
      </c>
      <c r="B524" s="59" t="s">
        <v>87</v>
      </c>
      <c r="C524" s="248"/>
      <c r="D524" s="59">
        <v>90587</v>
      </c>
      <c r="E524" s="60" t="s">
        <v>671</v>
      </c>
      <c r="F524" s="59" t="s">
        <v>75</v>
      </c>
      <c r="G524" s="61">
        <v>6.6000000000000003E-2</v>
      </c>
      <c r="H524" s="62">
        <v>0.44</v>
      </c>
      <c r="I524" s="62">
        <f t="shared" si="48"/>
        <v>2.904E-2</v>
      </c>
      <c r="J524" s="62"/>
      <c r="K524" s="62">
        <v>0</v>
      </c>
      <c r="L524" s="62">
        <v>0</v>
      </c>
      <c r="M524" s="62">
        <v>2.904E-2</v>
      </c>
      <c r="N524" s="62">
        <v>0</v>
      </c>
      <c r="O524" s="62">
        <v>0</v>
      </c>
      <c r="P524" s="298" t="s">
        <v>4160</v>
      </c>
      <c r="Q524" s="60" t="s">
        <v>27</v>
      </c>
      <c r="R524" s="60" t="s">
        <v>27</v>
      </c>
      <c r="S524" s="286" t="str">
        <f t="shared" si="45"/>
        <v/>
      </c>
      <c r="T524" s="286" t="str">
        <f>IF($C524= "", T523, IF(ISNA(VLOOKUP($C524,'ABC-S'!$A$5:$A$271,1,FALSE)), "", VLOOKUP($C524,'ABC-S'!$A$5:$A$271,1,FALSE)))</f>
        <v/>
      </c>
      <c r="W524" s="286" t="s">
        <v>2574</v>
      </c>
      <c r="X524" s="286" t="s">
        <v>21</v>
      </c>
      <c r="Y524" s="286" t="s">
        <v>423</v>
      </c>
      <c r="Z524" s="335" t="s">
        <v>21</v>
      </c>
      <c r="AA524" s="286" t="s">
        <v>21</v>
      </c>
      <c r="AB524" s="378"/>
      <c r="AC524" s="381">
        <v>90587</v>
      </c>
      <c r="AD524" s="378">
        <v>6.6000000000000003E-2</v>
      </c>
      <c r="AE524" s="378">
        <v>0</v>
      </c>
      <c r="AF524" s="378">
        <v>0</v>
      </c>
      <c r="AG524" s="378"/>
      <c r="AI524" s="378">
        <v>0</v>
      </c>
      <c r="AJ524" s="378">
        <v>0</v>
      </c>
      <c r="AL524" s="286">
        <v>88316</v>
      </c>
      <c r="AM524" s="286"/>
    </row>
    <row r="525" spans="1:39" s="51" customFormat="1" ht="33.75" hidden="1" x14ac:dyDescent="0.25">
      <c r="A525" s="55" t="s">
        <v>4121</v>
      </c>
      <c r="B525" s="55" t="s">
        <v>138</v>
      </c>
      <c r="C525" s="55" t="s">
        <v>4121</v>
      </c>
      <c r="D525" s="55"/>
      <c r="E525" s="56" t="s">
        <v>4128</v>
      </c>
      <c r="F525" s="55" t="s">
        <v>51</v>
      </c>
      <c r="G525" s="57"/>
      <c r="H525" s="58"/>
      <c r="I525" s="58"/>
      <c r="J525" s="58">
        <f>SUM(I525:I536)</f>
        <v>79.314668864868523</v>
      </c>
      <c r="K525" s="58">
        <v>22.132905599999997</v>
      </c>
      <c r="L525" s="58">
        <v>55.717714200000003</v>
      </c>
      <c r="M525" s="58">
        <v>1.236542664868518</v>
      </c>
      <c r="N525" s="58">
        <v>0</v>
      </c>
      <c r="O525" s="58">
        <v>0.227506399999998</v>
      </c>
      <c r="P525" s="58"/>
      <c r="Q525" s="56"/>
      <c r="R525" s="56" t="s">
        <v>4123</v>
      </c>
      <c r="S525" s="286" t="str">
        <f t="shared" si="45"/>
        <v/>
      </c>
      <c r="T525" s="286" t="str">
        <f>IF($C525= "", T524, IF(ISNA(VLOOKUP($C525,'ABC-S'!$A$5:$A$271,1,FALSE)), "", VLOOKUP($C525,'ABC-S'!$A$5:$A$271,1,FALSE)))</f>
        <v/>
      </c>
      <c r="W525" s="286" t="s">
        <v>2574</v>
      </c>
      <c r="X525" s="286"/>
      <c r="Y525" s="286"/>
      <c r="Z525" s="286"/>
      <c r="AA525" s="286" t="s">
        <v>21</v>
      </c>
      <c r="AB525" s="378">
        <v>2.405751170164578</v>
      </c>
      <c r="AC525" s="378"/>
      <c r="AD525" s="335"/>
      <c r="AE525" s="335"/>
      <c r="AF525" s="335"/>
      <c r="AG525" s="378">
        <v>2.8806424007247471</v>
      </c>
      <c r="AI525" s="378" t="s">
        <v>21</v>
      </c>
      <c r="AJ525" s="378" t="s">
        <v>21</v>
      </c>
      <c r="AL525" s="286"/>
      <c r="AM525" s="286"/>
    </row>
    <row r="526" spans="1:39" s="51" customFormat="1" hidden="1" x14ac:dyDescent="0.25">
      <c r="A526" s="59" t="s">
        <v>4121</v>
      </c>
      <c r="B526" s="59" t="s">
        <v>86</v>
      </c>
      <c r="C526" s="59"/>
      <c r="D526" s="59" t="s">
        <v>4125</v>
      </c>
      <c r="E526" s="60" t="s">
        <v>4126</v>
      </c>
      <c r="F526" s="59" t="s">
        <v>200</v>
      </c>
      <c r="G526" s="61">
        <v>0.11044</v>
      </c>
      <c r="H526" s="62">
        <v>11.066510909711319</v>
      </c>
      <c r="I526" s="62">
        <f t="shared" ref="I526:I536" si="49">IF($D526="","",G526*H526)</f>
        <v>1.222185464868518</v>
      </c>
      <c r="J526" s="62"/>
      <c r="K526" s="62">
        <v>0</v>
      </c>
      <c r="L526" s="62">
        <v>0</v>
      </c>
      <c r="M526" s="62">
        <v>1.222185464868518</v>
      </c>
      <c r="N526" s="62">
        <v>0</v>
      </c>
      <c r="O526" s="62">
        <v>0</v>
      </c>
      <c r="P526" s="298" t="s">
        <v>423</v>
      </c>
      <c r="Q526" s="60" t="s">
        <v>27</v>
      </c>
      <c r="R526" s="60" t="s">
        <v>27</v>
      </c>
      <c r="S526" s="286" t="str">
        <f t="shared" si="45"/>
        <v/>
      </c>
      <c r="T526" s="286" t="str">
        <f>IF($C526= "", T525, IF(ISNA(VLOOKUP($C526,'ABC-S'!$A$5:$A$271,1,FALSE)), "", VLOOKUP($C526,'ABC-S'!$A$5:$A$271,1,FALSE)))</f>
        <v/>
      </c>
      <c r="W526" s="286" t="s">
        <v>2574</v>
      </c>
      <c r="X526" s="286" t="s">
        <v>21</v>
      </c>
      <c r="Y526" s="286" t="s">
        <v>21</v>
      </c>
      <c r="Z526" s="286" t="s">
        <v>21</v>
      </c>
      <c r="AA526" s="286" t="s">
        <v>21</v>
      </c>
      <c r="AB526" s="378"/>
      <c r="AC526" s="381" t="s">
        <v>21</v>
      </c>
      <c r="AD526" s="378" t="s">
        <v>21</v>
      </c>
      <c r="AE526" s="378" t="s">
        <v>21</v>
      </c>
      <c r="AF526" s="378" t="s">
        <v>21</v>
      </c>
      <c r="AG526" s="378"/>
      <c r="AI526" s="378" t="s">
        <v>21</v>
      </c>
      <c r="AJ526" s="378" t="s">
        <v>21</v>
      </c>
      <c r="AL526" s="286"/>
      <c r="AM526" s="286">
        <v>370</v>
      </c>
    </row>
    <row r="527" spans="1:39" s="51" customFormat="1" ht="33.75" hidden="1" x14ac:dyDescent="0.25">
      <c r="A527" s="59" t="s">
        <v>4121</v>
      </c>
      <c r="B527" s="59" t="s">
        <v>87</v>
      </c>
      <c r="C527" s="59"/>
      <c r="D527" s="59">
        <v>91692</v>
      </c>
      <c r="E527" s="60" t="s">
        <v>432</v>
      </c>
      <c r="F527" s="59" t="s">
        <v>76</v>
      </c>
      <c r="G527" s="61">
        <v>0.11044</v>
      </c>
      <c r="H527" s="62">
        <v>20.83</v>
      </c>
      <c r="I527" s="62">
        <f t="shared" si="49"/>
        <v>2.3004651999999997</v>
      </c>
      <c r="J527" s="62"/>
      <c r="K527" s="62">
        <v>1.4810003999999999</v>
      </c>
      <c r="L527" s="62">
        <v>0.57760120000000004</v>
      </c>
      <c r="M527" s="62">
        <v>1.4357200000000001E-2</v>
      </c>
      <c r="N527" s="62">
        <v>0</v>
      </c>
      <c r="O527" s="62">
        <v>0.22750639999999978</v>
      </c>
      <c r="P527" s="298" t="s">
        <v>4160</v>
      </c>
      <c r="Q527" s="60" t="s">
        <v>27</v>
      </c>
      <c r="R527" s="60" t="s">
        <v>27</v>
      </c>
      <c r="S527" s="286" t="str">
        <f t="shared" si="45"/>
        <v/>
      </c>
      <c r="T527" s="286" t="str">
        <f>IF($C527= "", T526, IF(ISNA(VLOOKUP($C527,'ABC-S'!$A$5:$A$271,1,FALSE)), "", VLOOKUP($C527,'ABC-S'!$A$5:$A$271,1,FALSE)))</f>
        <v/>
      </c>
      <c r="W527" s="286" t="s">
        <v>2574</v>
      </c>
      <c r="X527" s="286" t="s">
        <v>21</v>
      </c>
      <c r="Y527" s="286" t="s">
        <v>423</v>
      </c>
      <c r="Z527" s="286" t="s">
        <v>21</v>
      </c>
      <c r="AA527" s="286" t="s">
        <v>21</v>
      </c>
      <c r="AB527" s="378"/>
      <c r="AC527" s="381">
        <v>91692</v>
      </c>
      <c r="AD527" s="378">
        <v>0.11044</v>
      </c>
      <c r="AE527" s="378">
        <v>1</v>
      </c>
      <c r="AF527" s="378">
        <v>0.11044</v>
      </c>
      <c r="AG527" s="378"/>
      <c r="AI527" s="378">
        <v>0</v>
      </c>
      <c r="AJ527" s="378">
        <v>0</v>
      </c>
      <c r="AL527" s="286"/>
      <c r="AM527" s="286">
        <v>4741</v>
      </c>
    </row>
    <row r="528" spans="1:39" s="51" customFormat="1" ht="22.5" hidden="1" x14ac:dyDescent="0.25">
      <c r="A528" s="59" t="s">
        <v>4121</v>
      </c>
      <c r="B528" s="59" t="s">
        <v>87</v>
      </c>
      <c r="C528" s="59"/>
      <c r="D528" s="59">
        <v>88239</v>
      </c>
      <c r="E528" s="60" t="s">
        <v>483</v>
      </c>
      <c r="F528" s="59" t="s">
        <v>46</v>
      </c>
      <c r="G528" s="61">
        <v>0.65</v>
      </c>
      <c r="H528" s="62">
        <v>19.96</v>
      </c>
      <c r="I528" s="62">
        <f t="shared" si="49"/>
        <v>12.974</v>
      </c>
      <c r="J528" s="62"/>
      <c r="K528" s="62">
        <v>9.0609999999999999</v>
      </c>
      <c r="L528" s="62">
        <v>3.9129999999999998</v>
      </c>
      <c r="M528" s="62">
        <v>0</v>
      </c>
      <c r="N528" s="62">
        <v>0</v>
      </c>
      <c r="O528" s="62">
        <v>0</v>
      </c>
      <c r="P528" s="298" t="s">
        <v>4160</v>
      </c>
      <c r="Q528" s="60" t="s">
        <v>27</v>
      </c>
      <c r="R528" s="60" t="s">
        <v>27</v>
      </c>
      <c r="S528" s="286" t="str">
        <f t="shared" si="45"/>
        <v/>
      </c>
      <c r="T528" s="286" t="str">
        <f>IF($C528= "", T527, IF(ISNA(VLOOKUP($C528,'ABC-S'!$A$5:$A$271,1,FALSE)), "", VLOOKUP($C528,'ABC-S'!$A$5:$A$271,1,FALSE)))</f>
        <v/>
      </c>
      <c r="W528" s="286" t="s">
        <v>2574</v>
      </c>
      <c r="X528" s="286">
        <v>88239</v>
      </c>
      <c r="Y528" s="286" t="s">
        <v>424</v>
      </c>
      <c r="Z528" s="286">
        <v>13</v>
      </c>
      <c r="AA528" s="286">
        <v>0.65</v>
      </c>
      <c r="AB528" s="378"/>
      <c r="AC528" s="381" t="s">
        <v>21</v>
      </c>
      <c r="AD528" s="378" t="s">
        <v>21</v>
      </c>
      <c r="AE528" s="378" t="s">
        <v>21</v>
      </c>
      <c r="AF528" s="378" t="s">
        <v>21</v>
      </c>
      <c r="AG528" s="378"/>
      <c r="AI528" s="378">
        <v>0</v>
      </c>
      <c r="AJ528" s="378">
        <v>0</v>
      </c>
      <c r="AL528" s="286"/>
      <c r="AM528" s="286">
        <v>40671</v>
      </c>
    </row>
    <row r="529" spans="1:39" s="51" customFormat="1" ht="22.5" hidden="1" x14ac:dyDescent="0.25">
      <c r="A529" s="59" t="s">
        <v>4121</v>
      </c>
      <c r="B529" s="59" t="s">
        <v>87</v>
      </c>
      <c r="C529" s="248"/>
      <c r="D529" s="59">
        <v>88262</v>
      </c>
      <c r="E529" s="60" t="s">
        <v>535</v>
      </c>
      <c r="F529" s="59" t="s">
        <v>46</v>
      </c>
      <c r="G529" s="61">
        <v>0.65</v>
      </c>
      <c r="H529" s="62">
        <v>23.68</v>
      </c>
      <c r="I529" s="62">
        <f t="shared" si="49"/>
        <v>15.391999999999999</v>
      </c>
      <c r="J529" s="62"/>
      <c r="K529" s="62">
        <v>11.479000000000001</v>
      </c>
      <c r="L529" s="62">
        <v>3.9129999999999998</v>
      </c>
      <c r="M529" s="62">
        <v>0</v>
      </c>
      <c r="N529" s="62">
        <v>0</v>
      </c>
      <c r="O529" s="62">
        <v>-1.7763568394002505E-15</v>
      </c>
      <c r="P529" s="298" t="s">
        <v>4160</v>
      </c>
      <c r="Q529" s="60" t="s">
        <v>27</v>
      </c>
      <c r="R529" s="60" t="s">
        <v>27</v>
      </c>
      <c r="S529" s="286" t="str">
        <f t="shared" si="45"/>
        <v/>
      </c>
      <c r="T529" s="286" t="str">
        <f>IF($C529= "", T528, IF(ISNA(VLOOKUP($C529,'ABC-S'!$A$5:$A$271,1,FALSE)), "", VLOOKUP($C529,'ABC-S'!$A$5:$A$271,1,FALSE)))</f>
        <v/>
      </c>
      <c r="W529" s="286" t="s">
        <v>2574</v>
      </c>
      <c r="X529" s="286">
        <v>88262</v>
      </c>
      <c r="Y529" s="286" t="s">
        <v>424</v>
      </c>
      <c r="Z529" s="335">
        <v>13</v>
      </c>
      <c r="AA529" s="286">
        <v>0.65</v>
      </c>
      <c r="AB529" s="378"/>
      <c r="AC529" s="381" t="s">
        <v>21</v>
      </c>
      <c r="AD529" s="378" t="s">
        <v>21</v>
      </c>
      <c r="AE529" s="378" t="s">
        <v>21</v>
      </c>
      <c r="AF529" s="378" t="s">
        <v>21</v>
      </c>
      <c r="AG529" s="378"/>
      <c r="AI529" s="378">
        <v>0</v>
      </c>
      <c r="AJ529" s="378">
        <v>0</v>
      </c>
      <c r="AL529" s="286">
        <v>88260</v>
      </c>
      <c r="AM529" s="286"/>
    </row>
    <row r="530" spans="1:39" s="51" customFormat="1" ht="22.5" hidden="1" x14ac:dyDescent="0.25">
      <c r="A530" s="59" t="s">
        <v>4121</v>
      </c>
      <c r="B530" s="59" t="s">
        <v>86</v>
      </c>
      <c r="C530" s="248"/>
      <c r="D530" s="59">
        <v>4491</v>
      </c>
      <c r="E530" s="60" t="s">
        <v>1176</v>
      </c>
      <c r="F530" s="59" t="s">
        <v>3667</v>
      </c>
      <c r="G530" s="61">
        <v>0.64154999999999995</v>
      </c>
      <c r="H530" s="62">
        <v>6.49</v>
      </c>
      <c r="I530" s="62">
        <f t="shared" si="49"/>
        <v>4.1636594999999996</v>
      </c>
      <c r="J530" s="62"/>
      <c r="K530" s="62">
        <v>0</v>
      </c>
      <c r="L530" s="62">
        <v>4.1636594999999996</v>
      </c>
      <c r="M530" s="62">
        <v>0</v>
      </c>
      <c r="N530" s="62">
        <v>0</v>
      </c>
      <c r="O530" s="62">
        <v>0</v>
      </c>
      <c r="P530" s="298" t="s">
        <v>89</v>
      </c>
      <c r="Q530" s="60" t="s">
        <v>27</v>
      </c>
      <c r="R530" s="60" t="s">
        <v>27</v>
      </c>
      <c r="S530" s="286" t="str">
        <f t="shared" si="45"/>
        <v/>
      </c>
      <c r="T530" s="286" t="str">
        <f>IF($C530= "", T529, IF(ISNA(VLOOKUP($C530,'ABC-S'!$A$5:$A$271,1,FALSE)), "", VLOOKUP($C530,'ABC-S'!$A$5:$A$271,1,FALSE)))</f>
        <v/>
      </c>
      <c r="W530" s="286" t="s">
        <v>2574</v>
      </c>
      <c r="X530" s="286" t="s">
        <v>21</v>
      </c>
      <c r="Y530" s="286" t="s">
        <v>21</v>
      </c>
      <c r="Z530" s="335" t="s">
        <v>21</v>
      </c>
      <c r="AA530" s="286" t="s">
        <v>21</v>
      </c>
      <c r="AB530" s="378"/>
      <c r="AC530" s="381" t="s">
        <v>21</v>
      </c>
      <c r="AD530" s="378" t="s">
        <v>21</v>
      </c>
      <c r="AE530" s="378" t="s">
        <v>21</v>
      </c>
      <c r="AF530" s="378" t="s">
        <v>21</v>
      </c>
      <c r="AG530" s="378"/>
      <c r="AI530" s="378" t="s">
        <v>21</v>
      </c>
      <c r="AJ530" s="378" t="s">
        <v>21</v>
      </c>
      <c r="AL530" s="286">
        <v>88316</v>
      </c>
      <c r="AM530" s="286"/>
    </row>
    <row r="531" spans="1:39" s="51" customFormat="1" ht="22.5" hidden="1" x14ac:dyDescent="0.25">
      <c r="A531" s="59" t="s">
        <v>4121</v>
      </c>
      <c r="B531" s="59" t="s">
        <v>86</v>
      </c>
      <c r="C531" s="59"/>
      <c r="D531" s="59">
        <v>1355</v>
      </c>
      <c r="E531" s="60" t="s">
        <v>689</v>
      </c>
      <c r="F531" s="59" t="s">
        <v>3665</v>
      </c>
      <c r="G531" s="61">
        <v>0.57750000000000001</v>
      </c>
      <c r="H531" s="62">
        <v>36.93</v>
      </c>
      <c r="I531" s="62">
        <f t="shared" si="49"/>
        <v>21.327075000000001</v>
      </c>
      <c r="J531" s="62"/>
      <c r="K531" s="62">
        <v>0</v>
      </c>
      <c r="L531" s="62">
        <v>21.327075000000001</v>
      </c>
      <c r="M531" s="62">
        <v>0</v>
      </c>
      <c r="N531" s="62">
        <v>0</v>
      </c>
      <c r="O531" s="62">
        <v>0</v>
      </c>
      <c r="P531" s="298" t="s">
        <v>89</v>
      </c>
      <c r="Q531" s="60" t="s">
        <v>27</v>
      </c>
      <c r="R531" s="60" t="s">
        <v>27</v>
      </c>
      <c r="S531" s="286" t="str">
        <f t="shared" si="45"/>
        <v/>
      </c>
      <c r="T531" s="286" t="str">
        <f>IF($C531= "", T530, IF(ISNA(VLOOKUP($C531,'ABC-S'!$A$5:$A$271,1,FALSE)), "", VLOOKUP($C531,'ABC-S'!$A$5:$A$271,1,FALSE)))</f>
        <v/>
      </c>
      <c r="W531" s="286" t="s">
        <v>2574</v>
      </c>
      <c r="X531" s="286" t="s">
        <v>21</v>
      </c>
      <c r="Y531" s="286" t="s">
        <v>21</v>
      </c>
      <c r="Z531" s="335" t="s">
        <v>21</v>
      </c>
      <c r="AA531" s="286" t="s">
        <v>21</v>
      </c>
      <c r="AB531" s="378"/>
      <c r="AC531" s="381" t="s">
        <v>21</v>
      </c>
      <c r="AD531" s="378" t="s">
        <v>21</v>
      </c>
      <c r="AE531" s="378" t="s">
        <v>21</v>
      </c>
      <c r="AF531" s="378" t="s">
        <v>21</v>
      </c>
      <c r="AG531" s="378"/>
      <c r="AI531" s="378" t="s">
        <v>21</v>
      </c>
      <c r="AJ531" s="378" t="s">
        <v>21</v>
      </c>
      <c r="AL531" s="286">
        <v>91277</v>
      </c>
      <c r="AM531" s="286"/>
    </row>
    <row r="532" spans="1:39" s="51" customFormat="1" ht="22.5" hidden="1" x14ac:dyDescent="0.25">
      <c r="A532" s="59" t="s">
        <v>4121</v>
      </c>
      <c r="B532" s="59" t="s">
        <v>86</v>
      </c>
      <c r="C532" s="59"/>
      <c r="D532" s="59">
        <v>2692</v>
      </c>
      <c r="E532" s="60" t="s">
        <v>105</v>
      </c>
      <c r="F532" s="59" t="s">
        <v>3668</v>
      </c>
      <c r="G532" s="61">
        <v>1.754E-2</v>
      </c>
      <c r="H532" s="62">
        <v>6.38</v>
      </c>
      <c r="I532" s="62">
        <f t="shared" ref="I532:I533" si="50">IF($D532="","",G532*H532)</f>
        <v>0.1119052</v>
      </c>
      <c r="J532" s="62"/>
      <c r="K532" s="62">
        <v>0.1119052</v>
      </c>
      <c r="L532" s="62">
        <v>0</v>
      </c>
      <c r="M532" s="62">
        <v>0</v>
      </c>
      <c r="N532" s="62">
        <v>0</v>
      </c>
      <c r="O532" s="62">
        <v>0</v>
      </c>
      <c r="P532" s="298" t="s">
        <v>424</v>
      </c>
      <c r="Q532" s="60" t="s">
        <v>27</v>
      </c>
      <c r="R532" s="60" t="s">
        <v>27</v>
      </c>
      <c r="S532" s="286" t="str">
        <f t="shared" ref="S532:S533" si="51">IF(T532 &lt;&gt; "", "SIM", "")</f>
        <v/>
      </c>
      <c r="T532" s="286" t="str">
        <f>IF($C532= "", T531, IF(ISNA(VLOOKUP($C532,'ABC-S'!$A$5:$A$271,1,FALSE)), "", VLOOKUP($C532,'ABC-S'!$A$5:$A$271,1,FALSE)))</f>
        <v/>
      </c>
      <c r="W532" s="286" t="s">
        <v>2574</v>
      </c>
      <c r="X532" s="286" t="s">
        <v>21</v>
      </c>
      <c r="Y532" s="286" t="s">
        <v>21</v>
      </c>
      <c r="Z532" s="335" t="s">
        <v>21</v>
      </c>
      <c r="AA532" s="286" t="s">
        <v>21</v>
      </c>
      <c r="AB532" s="378"/>
      <c r="AC532" s="381" t="s">
        <v>21</v>
      </c>
      <c r="AD532" s="378" t="s">
        <v>21</v>
      </c>
      <c r="AE532" s="378" t="s">
        <v>21</v>
      </c>
      <c r="AF532" s="378" t="s">
        <v>21</v>
      </c>
      <c r="AG532" s="378"/>
      <c r="AI532" s="378" t="s">
        <v>21</v>
      </c>
      <c r="AJ532" s="378" t="s">
        <v>21</v>
      </c>
      <c r="AL532" s="286">
        <v>91277</v>
      </c>
      <c r="AM532" s="286"/>
    </row>
    <row r="533" spans="1:39" s="51" customFormat="1" ht="22.5" hidden="1" x14ac:dyDescent="0.25">
      <c r="A533" s="59" t="s">
        <v>4121</v>
      </c>
      <c r="B533" s="59" t="s">
        <v>86</v>
      </c>
      <c r="C533" s="59"/>
      <c r="D533" s="59">
        <v>4517</v>
      </c>
      <c r="E533" s="60" t="s">
        <v>1179</v>
      </c>
      <c r="F533" s="59" t="s">
        <v>3667</v>
      </c>
      <c r="G533" s="61">
        <v>1.855</v>
      </c>
      <c r="H533" s="62">
        <v>2.27</v>
      </c>
      <c r="I533" s="62">
        <f t="shared" si="50"/>
        <v>4.2108499999999998</v>
      </c>
      <c r="J533" s="62"/>
      <c r="K533" s="62">
        <v>0</v>
      </c>
      <c r="L533" s="62">
        <v>4.2108499999999998</v>
      </c>
      <c r="M533" s="62">
        <v>0</v>
      </c>
      <c r="N533" s="62">
        <v>0</v>
      </c>
      <c r="O533" s="62">
        <v>0</v>
      </c>
      <c r="P533" s="298" t="s">
        <v>89</v>
      </c>
      <c r="Q533" s="60" t="s">
        <v>27</v>
      </c>
      <c r="R533" s="60" t="s">
        <v>27</v>
      </c>
      <c r="S533" s="286" t="str">
        <f t="shared" si="51"/>
        <v/>
      </c>
      <c r="T533" s="286" t="str">
        <f>IF($C533= "", T532, IF(ISNA(VLOOKUP($C533,'ABC-S'!$A$5:$A$271,1,FALSE)), "", VLOOKUP($C533,'ABC-S'!$A$5:$A$271,1,FALSE)))</f>
        <v/>
      </c>
      <c r="W533" s="286" t="s">
        <v>2574</v>
      </c>
      <c r="X533" s="286" t="s">
        <v>21</v>
      </c>
      <c r="Y533" s="286" t="s">
        <v>21</v>
      </c>
      <c r="Z533" s="335" t="s">
        <v>21</v>
      </c>
      <c r="AA533" s="286" t="s">
        <v>21</v>
      </c>
      <c r="AB533" s="378"/>
      <c r="AC533" s="381" t="s">
        <v>21</v>
      </c>
      <c r="AD533" s="378" t="s">
        <v>21</v>
      </c>
      <c r="AE533" s="378" t="s">
        <v>21</v>
      </c>
      <c r="AF533" s="378" t="s">
        <v>21</v>
      </c>
      <c r="AG533" s="378"/>
      <c r="AI533" s="378" t="s">
        <v>21</v>
      </c>
      <c r="AJ533" s="378" t="s">
        <v>21</v>
      </c>
      <c r="AL533" s="286">
        <v>91277</v>
      </c>
      <c r="AM533" s="286"/>
    </row>
    <row r="534" spans="1:39" s="51" customFormat="1" hidden="1" x14ac:dyDescent="0.25">
      <c r="A534" s="59" t="s">
        <v>4121</v>
      </c>
      <c r="B534" s="59" t="s">
        <v>86</v>
      </c>
      <c r="C534" s="59"/>
      <c r="D534" s="59">
        <v>5068</v>
      </c>
      <c r="E534" s="60" t="s">
        <v>93</v>
      </c>
      <c r="F534" s="59" t="s">
        <v>3669</v>
      </c>
      <c r="G534" s="61">
        <v>0.14385000000000001</v>
      </c>
      <c r="H534" s="62">
        <v>20.239999999999998</v>
      </c>
      <c r="I534" s="62">
        <f t="shared" si="49"/>
        <v>2.911524</v>
      </c>
      <c r="J534" s="62"/>
      <c r="K534" s="62">
        <v>0</v>
      </c>
      <c r="L534" s="62">
        <v>2.911524</v>
      </c>
      <c r="M534" s="62">
        <v>0</v>
      </c>
      <c r="N534" s="62">
        <v>0</v>
      </c>
      <c r="O534" s="62">
        <v>0</v>
      </c>
      <c r="P534" s="298" t="s">
        <v>89</v>
      </c>
      <c r="Q534" s="60" t="s">
        <v>27</v>
      </c>
      <c r="R534" s="60" t="s">
        <v>27</v>
      </c>
      <c r="S534" s="286" t="str">
        <f t="shared" si="45"/>
        <v/>
      </c>
      <c r="T534" s="286" t="str">
        <f>IF($C534= "", T531, IF(ISNA(VLOOKUP($C534,'ABC-S'!$A$5:$A$271,1,FALSE)), "", VLOOKUP($C534,'ABC-S'!$A$5:$A$271,1,FALSE)))</f>
        <v/>
      </c>
      <c r="W534" s="286" t="s">
        <v>2574</v>
      </c>
      <c r="X534" s="286" t="s">
        <v>21</v>
      </c>
      <c r="Y534" s="286" t="s">
        <v>21</v>
      </c>
      <c r="Z534" s="335" t="s">
        <v>21</v>
      </c>
      <c r="AA534" s="286" t="s">
        <v>21</v>
      </c>
      <c r="AB534" s="378"/>
      <c r="AC534" s="381" t="s">
        <v>21</v>
      </c>
      <c r="AD534" s="378" t="s">
        <v>21</v>
      </c>
      <c r="AE534" s="378" t="s">
        <v>21</v>
      </c>
      <c r="AF534" s="378" t="s">
        <v>21</v>
      </c>
      <c r="AG534" s="378"/>
      <c r="AI534" s="378" t="s">
        <v>21</v>
      </c>
      <c r="AJ534" s="378" t="s">
        <v>21</v>
      </c>
      <c r="AL534" s="286">
        <v>91278</v>
      </c>
      <c r="AM534" s="286"/>
    </row>
    <row r="535" spans="1:39" s="51" customFormat="1" ht="22.5" hidden="1" x14ac:dyDescent="0.25">
      <c r="A535" s="59" t="s">
        <v>4121</v>
      </c>
      <c r="B535" s="59" t="s">
        <v>86</v>
      </c>
      <c r="C535" s="59"/>
      <c r="D535" s="59">
        <v>4509</v>
      </c>
      <c r="E535" s="60" t="s">
        <v>1177</v>
      </c>
      <c r="F535" s="59" t="s">
        <v>3667</v>
      </c>
      <c r="G535" s="61">
        <v>2.08961</v>
      </c>
      <c r="H535" s="62">
        <v>3.29</v>
      </c>
      <c r="I535" s="62">
        <f t="shared" si="49"/>
        <v>6.8748168999999999</v>
      </c>
      <c r="J535" s="62"/>
      <c r="K535" s="62">
        <v>0</v>
      </c>
      <c r="L535" s="62">
        <v>6.8748168999999999</v>
      </c>
      <c r="M535" s="62">
        <v>0</v>
      </c>
      <c r="N535" s="62">
        <v>0</v>
      </c>
      <c r="O535" s="62">
        <v>0</v>
      </c>
      <c r="P535" s="298" t="s">
        <v>89</v>
      </c>
      <c r="Q535" s="60" t="s">
        <v>27</v>
      </c>
      <c r="R535" s="60" t="s">
        <v>27</v>
      </c>
      <c r="S535" s="286" t="str">
        <f t="shared" si="45"/>
        <v/>
      </c>
      <c r="T535" s="286" t="str">
        <f>IF($C535= "", T534, IF(ISNA(VLOOKUP($C535,'ABC-S'!$A$5:$A$271,1,FALSE)), "", VLOOKUP($C535,'ABC-S'!$A$5:$A$271,1,FALSE)))</f>
        <v/>
      </c>
      <c r="W535" s="286" t="s">
        <v>2574</v>
      </c>
      <c r="X535" s="286" t="s">
        <v>21</v>
      </c>
      <c r="Y535" s="286" t="s">
        <v>21</v>
      </c>
      <c r="Z535" s="335" t="s">
        <v>21</v>
      </c>
      <c r="AA535" s="286" t="s">
        <v>21</v>
      </c>
      <c r="AB535" s="378"/>
      <c r="AC535" s="381" t="s">
        <v>21</v>
      </c>
      <c r="AD535" s="378" t="s">
        <v>21</v>
      </c>
      <c r="AE535" s="378" t="s">
        <v>21</v>
      </c>
      <c r="AF535" s="378" t="s">
        <v>21</v>
      </c>
      <c r="AG535" s="378"/>
      <c r="AI535" s="378" t="s">
        <v>21</v>
      </c>
      <c r="AJ535" s="378" t="s">
        <v>21</v>
      </c>
      <c r="AL535" s="286">
        <v>91283</v>
      </c>
      <c r="AM535" s="286"/>
    </row>
    <row r="536" spans="1:39" s="51" customFormat="1" ht="22.5" hidden="1" x14ac:dyDescent="0.25">
      <c r="A536" s="59" t="s">
        <v>4121</v>
      </c>
      <c r="B536" s="59" t="s">
        <v>86</v>
      </c>
      <c r="C536" s="59"/>
      <c r="D536" s="59">
        <v>3992</v>
      </c>
      <c r="E536" s="60" t="s">
        <v>1476</v>
      </c>
      <c r="F536" s="59" t="s">
        <v>3667</v>
      </c>
      <c r="G536" s="61">
        <v>0.28233000000000003</v>
      </c>
      <c r="H536" s="62">
        <v>27.72</v>
      </c>
      <c r="I536" s="62">
        <f t="shared" si="49"/>
        <v>7.8261876000000008</v>
      </c>
      <c r="J536" s="62"/>
      <c r="K536" s="62">
        <v>0</v>
      </c>
      <c r="L536" s="62">
        <v>7.8261876000000008</v>
      </c>
      <c r="M536" s="62">
        <v>0</v>
      </c>
      <c r="N536" s="62">
        <v>0</v>
      </c>
      <c r="O536" s="62">
        <v>0</v>
      </c>
      <c r="P536" s="298" t="s">
        <v>89</v>
      </c>
      <c r="Q536" s="60" t="s">
        <v>27</v>
      </c>
      <c r="R536" s="60" t="s">
        <v>27</v>
      </c>
      <c r="S536" s="286" t="str">
        <f t="shared" si="45"/>
        <v/>
      </c>
      <c r="T536" s="286" t="str">
        <f>IF($C536= "", T535, IF(ISNA(VLOOKUP($C536,'ABC-S'!$A$5:$A$271,1,FALSE)), "", VLOOKUP($C536,'ABC-S'!$A$5:$A$271,1,FALSE)))</f>
        <v/>
      </c>
      <c r="W536" s="286" t="s">
        <v>2574</v>
      </c>
      <c r="X536" s="286" t="s">
        <v>21</v>
      </c>
      <c r="Y536" s="286" t="s">
        <v>21</v>
      </c>
      <c r="Z536" s="335" t="s">
        <v>21</v>
      </c>
      <c r="AA536" s="286" t="s">
        <v>21</v>
      </c>
      <c r="AB536" s="378"/>
      <c r="AC536" s="381" t="s">
        <v>21</v>
      </c>
      <c r="AD536" s="378" t="s">
        <v>21</v>
      </c>
      <c r="AE536" s="378" t="s">
        <v>21</v>
      </c>
      <c r="AF536" s="378" t="s">
        <v>21</v>
      </c>
      <c r="AG536" s="378"/>
      <c r="AI536" s="378" t="s">
        <v>21</v>
      </c>
      <c r="AJ536" s="378" t="s">
        <v>21</v>
      </c>
      <c r="AL536" s="286">
        <v>91285</v>
      </c>
      <c r="AM536" s="286"/>
    </row>
    <row r="537" spans="1:39" s="51" customFormat="1" ht="22.5" hidden="1" x14ac:dyDescent="0.25">
      <c r="A537" s="55" t="s">
        <v>4122</v>
      </c>
      <c r="B537" s="55" t="s">
        <v>138</v>
      </c>
      <c r="C537" s="55" t="s">
        <v>4122</v>
      </c>
      <c r="D537" s="55"/>
      <c r="E537" s="56" t="s">
        <v>4127</v>
      </c>
      <c r="F537" s="55" t="s">
        <v>41</v>
      </c>
      <c r="G537" s="57"/>
      <c r="H537" s="58"/>
      <c r="I537" s="58"/>
      <c r="J537" s="58">
        <f>SUM(I537:I540)</f>
        <v>149.47425418994413</v>
      </c>
      <c r="K537" s="58">
        <v>8.6061452513966472</v>
      </c>
      <c r="L537" s="58">
        <v>140.42118156424581</v>
      </c>
      <c r="M537" s="58">
        <v>0.44692737430167595</v>
      </c>
      <c r="N537" s="58">
        <v>0</v>
      </c>
      <c r="O537" s="58">
        <v>-1.7763568394002505E-15</v>
      </c>
      <c r="P537" s="58"/>
      <c r="Q537" s="56"/>
      <c r="R537" s="56" t="s">
        <v>4124</v>
      </c>
      <c r="S537" s="286" t="str">
        <f t="shared" ref="S537:S547" si="52">IF(T537 &lt;&gt; "", "SIM", "")</f>
        <v/>
      </c>
      <c r="T537" s="286" t="str">
        <f>IF($C537= "", T536, IF(ISNA(VLOOKUP($C537,'ABC-S'!$A$5:$A$271,1,FALSE)), "", VLOOKUP($C537,'ABC-S'!$A$5:$A$271,1,FALSE)))</f>
        <v/>
      </c>
      <c r="W537" s="286" t="s">
        <v>2574</v>
      </c>
      <c r="X537" s="286"/>
      <c r="Y537" s="286"/>
      <c r="Z537" s="286"/>
      <c r="AA537" s="286" t="s">
        <v>21</v>
      </c>
      <c r="AB537" s="378">
        <v>1.1057511701645781</v>
      </c>
      <c r="AC537" s="378"/>
      <c r="AD537" s="335"/>
      <c r="AE537" s="335"/>
      <c r="AF537" s="335"/>
      <c r="AG537" s="378">
        <v>1.4702024007247472</v>
      </c>
      <c r="AI537" s="378" t="s">
        <v>21</v>
      </c>
      <c r="AJ537" s="378" t="s">
        <v>21</v>
      </c>
      <c r="AL537" s="286"/>
      <c r="AM537" s="286"/>
    </row>
    <row r="538" spans="1:39" s="51" customFormat="1" ht="33.75" hidden="1" x14ac:dyDescent="0.25">
      <c r="A538" s="59" t="s">
        <v>4122</v>
      </c>
      <c r="B538" s="59" t="s">
        <v>87</v>
      </c>
      <c r="C538" s="59"/>
      <c r="D538" s="59">
        <v>91533</v>
      </c>
      <c r="E538" s="60" t="s">
        <v>539</v>
      </c>
      <c r="F538" s="59" t="s">
        <v>76</v>
      </c>
      <c r="G538" s="61">
        <f>1 / 3.58</f>
        <v>0.27932960893854747</v>
      </c>
      <c r="H538" s="62">
        <v>26.16</v>
      </c>
      <c r="I538" s="62">
        <f t="shared" ref="I538:I540" si="53">IF($D538="","",G538*H538)</f>
        <v>7.3072625698324014</v>
      </c>
      <c r="J538" s="62"/>
      <c r="K538" s="62">
        <v>3.7458100558659218</v>
      </c>
      <c r="L538" s="62">
        <v>3.1145251396648046</v>
      </c>
      <c r="M538" s="62">
        <v>0.44692737430167595</v>
      </c>
      <c r="N538" s="62">
        <v>0</v>
      </c>
      <c r="O538" s="62">
        <v>-1.7763568394002505E-15</v>
      </c>
      <c r="P538" s="298" t="s">
        <v>4160</v>
      </c>
      <c r="Q538" s="60" t="s">
        <v>27</v>
      </c>
      <c r="R538" s="60" t="s">
        <v>27</v>
      </c>
      <c r="S538" s="286" t="str">
        <f t="shared" si="52"/>
        <v/>
      </c>
      <c r="T538" s="286" t="str">
        <f>IF($C538= "", T537, IF(ISNA(VLOOKUP($C538,'ABC-S'!$A$5:$A$271,1,FALSE)), "", VLOOKUP($C538,'ABC-S'!$A$5:$A$271,1,FALSE)))</f>
        <v/>
      </c>
      <c r="W538" s="286" t="s">
        <v>2574</v>
      </c>
      <c r="X538" s="286" t="s">
        <v>21</v>
      </c>
      <c r="Y538" s="286" t="s">
        <v>423</v>
      </c>
      <c r="Z538" s="286" t="s">
        <v>21</v>
      </c>
      <c r="AA538" s="286" t="s">
        <v>21</v>
      </c>
      <c r="AB538" s="378"/>
      <c r="AC538" s="381">
        <v>91533</v>
      </c>
      <c r="AD538" s="378">
        <v>0.27932960893854747</v>
      </c>
      <c r="AE538" s="378">
        <v>1</v>
      </c>
      <c r="AF538" s="378">
        <v>0.27932960893854747</v>
      </c>
      <c r="AG538" s="378"/>
      <c r="AI538" s="378">
        <v>0</v>
      </c>
      <c r="AJ538" s="378">
        <v>0</v>
      </c>
      <c r="AL538" s="286"/>
      <c r="AM538" s="286">
        <v>370</v>
      </c>
    </row>
    <row r="539" spans="1:39" s="51" customFormat="1" hidden="1" x14ac:dyDescent="0.25">
      <c r="A539" s="59" t="s">
        <v>4122</v>
      </c>
      <c r="B539" s="59" t="s">
        <v>87</v>
      </c>
      <c r="C539" s="59"/>
      <c r="D539" s="59">
        <v>88316</v>
      </c>
      <c r="E539" s="60" t="s">
        <v>649</v>
      </c>
      <c r="F539" s="59" t="s">
        <v>46</v>
      </c>
      <c r="G539" s="61">
        <f>1.5 / 3.58</f>
        <v>0.41899441340782123</v>
      </c>
      <c r="H539" s="62">
        <v>17.61</v>
      </c>
      <c r="I539" s="62">
        <f t="shared" si="53"/>
        <v>7.3784916201117312</v>
      </c>
      <c r="J539" s="62"/>
      <c r="K539" s="62">
        <v>4.8603351955307259</v>
      </c>
      <c r="L539" s="62">
        <v>2.5181564245810053</v>
      </c>
      <c r="M539" s="62">
        <v>0</v>
      </c>
      <c r="N539" s="62">
        <v>0</v>
      </c>
      <c r="O539" s="62">
        <v>0</v>
      </c>
      <c r="P539" s="298" t="s">
        <v>4160</v>
      </c>
      <c r="Q539" s="60" t="s">
        <v>27</v>
      </c>
      <c r="R539" s="60" t="s">
        <v>27</v>
      </c>
      <c r="S539" s="286" t="str">
        <f t="shared" si="52"/>
        <v/>
      </c>
      <c r="T539" s="286" t="str">
        <f>IF($C539= "", T538, IF(ISNA(VLOOKUP($C539,'ABC-S'!$A$5:$A$271,1,FALSE)), "", VLOOKUP($C539,'ABC-S'!$A$5:$A$271,1,FALSE)))</f>
        <v/>
      </c>
      <c r="W539" s="286" t="s">
        <v>2574</v>
      </c>
      <c r="X539" s="286">
        <v>88316</v>
      </c>
      <c r="Y539" s="286" t="s">
        <v>424</v>
      </c>
      <c r="Z539" s="286">
        <v>13</v>
      </c>
      <c r="AA539" s="286">
        <v>0.41899441340782123</v>
      </c>
      <c r="AB539" s="378"/>
      <c r="AC539" s="381" t="s">
        <v>21</v>
      </c>
      <c r="AD539" s="378" t="s">
        <v>21</v>
      </c>
      <c r="AE539" s="378" t="s">
        <v>21</v>
      </c>
      <c r="AF539" s="378" t="s">
        <v>21</v>
      </c>
      <c r="AG539" s="378"/>
      <c r="AI539" s="378">
        <v>0</v>
      </c>
      <c r="AJ539" s="378">
        <v>0</v>
      </c>
      <c r="AL539" s="286"/>
      <c r="AM539" s="286">
        <v>4741</v>
      </c>
    </row>
    <row r="540" spans="1:39" s="51" customFormat="1" ht="22.5" hidden="1" x14ac:dyDescent="0.25">
      <c r="A540" s="59" t="s">
        <v>4122</v>
      </c>
      <c r="B540" s="59" t="s">
        <v>86</v>
      </c>
      <c r="C540" s="59"/>
      <c r="D540" s="59">
        <v>4718</v>
      </c>
      <c r="E540" s="60" t="s">
        <v>102</v>
      </c>
      <c r="F540" s="59" t="s">
        <v>3670</v>
      </c>
      <c r="G540" s="61">
        <v>1.05</v>
      </c>
      <c r="H540" s="62">
        <v>128.37</v>
      </c>
      <c r="I540" s="62">
        <f t="shared" si="53"/>
        <v>134.7885</v>
      </c>
      <c r="J540" s="62"/>
      <c r="K540" s="62">
        <v>0</v>
      </c>
      <c r="L540" s="62">
        <v>134.7885</v>
      </c>
      <c r="M540" s="62">
        <v>0</v>
      </c>
      <c r="N540" s="62">
        <v>0</v>
      </c>
      <c r="O540" s="62">
        <v>0</v>
      </c>
      <c r="P540" s="298" t="s">
        <v>89</v>
      </c>
      <c r="Q540" s="60" t="s">
        <v>27</v>
      </c>
      <c r="R540" s="60" t="s">
        <v>27</v>
      </c>
      <c r="S540" s="286" t="str">
        <f t="shared" si="52"/>
        <v/>
      </c>
      <c r="T540" s="286" t="str">
        <f>IF($C540= "", T539, IF(ISNA(VLOOKUP($C540,'ABC-S'!$A$5:$A$271,1,FALSE)), "", VLOOKUP($C540,'ABC-S'!$A$5:$A$271,1,FALSE)))</f>
        <v/>
      </c>
      <c r="W540" s="286" t="s">
        <v>2574</v>
      </c>
      <c r="X540" s="286" t="s">
        <v>21</v>
      </c>
      <c r="Y540" s="286" t="s">
        <v>21</v>
      </c>
      <c r="Z540" s="286" t="s">
        <v>21</v>
      </c>
      <c r="AA540" s="286" t="s">
        <v>21</v>
      </c>
      <c r="AB540" s="378"/>
      <c r="AC540" s="381" t="s">
        <v>21</v>
      </c>
      <c r="AD540" s="378" t="s">
        <v>21</v>
      </c>
      <c r="AE540" s="378" t="s">
        <v>21</v>
      </c>
      <c r="AF540" s="378" t="s">
        <v>21</v>
      </c>
      <c r="AG540" s="378"/>
      <c r="AI540" s="378" t="s">
        <v>21</v>
      </c>
      <c r="AJ540" s="378" t="s">
        <v>21</v>
      </c>
      <c r="AL540" s="286"/>
      <c r="AM540" s="286">
        <v>40671</v>
      </c>
    </row>
    <row r="541" spans="1:39" s="51" customFormat="1" ht="22.5" hidden="1" x14ac:dyDescent="0.25">
      <c r="A541" s="55" t="s">
        <v>4132</v>
      </c>
      <c r="B541" s="55" t="s">
        <v>138</v>
      </c>
      <c r="C541" s="55" t="s">
        <v>4132</v>
      </c>
      <c r="D541" s="55"/>
      <c r="E541" s="56" t="s">
        <v>4134</v>
      </c>
      <c r="F541" s="55" t="s">
        <v>54</v>
      </c>
      <c r="G541" s="57"/>
      <c r="H541" s="58"/>
      <c r="I541" s="58"/>
      <c r="J541" s="58">
        <f>SUM(I541:I547)</f>
        <v>14.999185405405404</v>
      </c>
      <c r="K541" s="58">
        <v>2.2471506756756758</v>
      </c>
      <c r="L541" s="58">
        <v>12.749003918918918</v>
      </c>
      <c r="M541" s="58">
        <v>3.0308108108108114E-3</v>
      </c>
      <c r="N541" s="58">
        <v>0</v>
      </c>
      <c r="O541" s="58">
        <v>0</v>
      </c>
      <c r="P541" s="58"/>
      <c r="Q541" s="56"/>
      <c r="R541" s="56" t="s">
        <v>4133</v>
      </c>
      <c r="S541" s="286" t="str">
        <f t="shared" si="52"/>
        <v/>
      </c>
      <c r="T541" s="286" t="str">
        <f>IF($C541= "", T540, IF(ISNA(VLOOKUP($C541,'ABC-S'!$A$5:$A$271,1,FALSE)), "", VLOOKUP($C541,'ABC-S'!$A$5:$A$271,1,FALSE)))</f>
        <v/>
      </c>
      <c r="W541" s="286" t="s">
        <v>2574</v>
      </c>
      <c r="X541" s="286"/>
      <c r="Y541" s="286"/>
      <c r="Z541" s="286"/>
      <c r="AA541" s="286" t="s">
        <v>21</v>
      </c>
      <c r="AB541" s="378">
        <v>0.68675675675675674</v>
      </c>
      <c r="AC541" s="378"/>
      <c r="AD541" s="335"/>
      <c r="AE541" s="335"/>
      <c r="AF541" s="335"/>
      <c r="AG541" s="378">
        <v>0.77187837837837836</v>
      </c>
      <c r="AI541" s="378" t="s">
        <v>21</v>
      </c>
      <c r="AJ541" s="378" t="s">
        <v>21</v>
      </c>
      <c r="AL541" s="286"/>
      <c r="AM541" s="286"/>
    </row>
    <row r="542" spans="1:39" s="51" customFormat="1" hidden="1" x14ac:dyDescent="0.25">
      <c r="A542" s="59" t="s">
        <v>4132</v>
      </c>
      <c r="B542" s="59" t="s">
        <v>87</v>
      </c>
      <c r="C542" s="59"/>
      <c r="D542" s="59">
        <v>88238</v>
      </c>
      <c r="E542" s="60" t="s">
        <v>482</v>
      </c>
      <c r="F542" s="59" t="s">
        <v>46</v>
      </c>
      <c r="G542" s="61">
        <v>0.09</v>
      </c>
      <c r="H542" s="62">
        <v>18.440000000000001</v>
      </c>
      <c r="I542" s="62">
        <f t="shared" ref="I542:I547" si="54">IF($D542="","",G542*H542)</f>
        <v>1.6596</v>
      </c>
      <c r="J542" s="62"/>
      <c r="K542" s="62">
        <v>1.1088</v>
      </c>
      <c r="L542" s="62">
        <v>0.55079999999999996</v>
      </c>
      <c r="M542" s="62">
        <v>0</v>
      </c>
      <c r="N542" s="62">
        <v>0</v>
      </c>
      <c r="O542" s="62">
        <v>0</v>
      </c>
      <c r="P542" s="298" t="s">
        <v>4160</v>
      </c>
      <c r="Q542" s="60" t="s">
        <v>27</v>
      </c>
      <c r="R542" s="60" t="s">
        <v>27</v>
      </c>
      <c r="S542" s="286" t="str">
        <f t="shared" si="52"/>
        <v/>
      </c>
      <c r="T542" s="286" t="str">
        <f>IF($C542= "", T541, IF(ISNA(VLOOKUP($C542,'ABC-S'!$A$5:$A$271,1,FALSE)), "", VLOOKUP($C542,'ABC-S'!$A$5:$A$271,1,FALSE)))</f>
        <v/>
      </c>
      <c r="W542" s="286" t="s">
        <v>2574</v>
      </c>
      <c r="X542" s="286">
        <v>88238</v>
      </c>
      <c r="Y542" s="286" t="s">
        <v>424</v>
      </c>
      <c r="Z542" s="286">
        <v>13</v>
      </c>
      <c r="AA542" s="286">
        <v>0.09</v>
      </c>
      <c r="AB542" s="378"/>
      <c r="AC542" s="381" t="s">
        <v>21</v>
      </c>
      <c r="AD542" s="378" t="s">
        <v>21</v>
      </c>
      <c r="AE542" s="378" t="s">
        <v>21</v>
      </c>
      <c r="AF542" s="378" t="s">
        <v>21</v>
      </c>
      <c r="AG542" s="378"/>
      <c r="AI542" s="378">
        <v>0</v>
      </c>
      <c r="AJ542" s="378">
        <v>0</v>
      </c>
      <c r="AL542" s="286"/>
      <c r="AM542" s="286">
        <v>370</v>
      </c>
    </row>
    <row r="543" spans="1:39" s="51" customFormat="1" ht="22.5" hidden="1" x14ac:dyDescent="0.25">
      <c r="A543" s="59" t="s">
        <v>4132</v>
      </c>
      <c r="B543" s="59" t="s">
        <v>87</v>
      </c>
      <c r="C543" s="59"/>
      <c r="D543" s="59">
        <v>88248</v>
      </c>
      <c r="E543" s="60" t="s">
        <v>524</v>
      </c>
      <c r="F543" s="59" t="s">
        <v>46</v>
      </c>
      <c r="G543" s="61">
        <v>0.09</v>
      </c>
      <c r="H543" s="62">
        <v>18.23</v>
      </c>
      <c r="I543" s="62">
        <f t="shared" si="54"/>
        <v>1.6407</v>
      </c>
      <c r="J543" s="62"/>
      <c r="K543" s="62">
        <v>1.1304000000000001</v>
      </c>
      <c r="L543" s="62">
        <v>0.51029999999999998</v>
      </c>
      <c r="M543" s="62">
        <v>0</v>
      </c>
      <c r="N543" s="62">
        <v>0</v>
      </c>
      <c r="O543" s="62">
        <v>0</v>
      </c>
      <c r="P543" s="298" t="s">
        <v>4160</v>
      </c>
      <c r="Q543" s="60" t="s">
        <v>27</v>
      </c>
      <c r="R543" s="60" t="s">
        <v>27</v>
      </c>
      <c r="S543" s="286" t="str">
        <f t="shared" si="52"/>
        <v/>
      </c>
      <c r="T543" s="286" t="str">
        <f>IF($C543= "", T542, IF(ISNA(VLOOKUP($C543,'ABC-S'!$A$5:$A$271,1,FALSE)), "", VLOOKUP($C543,'ABC-S'!$A$5:$A$271,1,FALSE)))</f>
        <v/>
      </c>
      <c r="W543" s="286" t="s">
        <v>2574</v>
      </c>
      <c r="X543" s="286">
        <v>88248</v>
      </c>
      <c r="Y543" s="286" t="s">
        <v>424</v>
      </c>
      <c r="Z543" s="286">
        <v>13</v>
      </c>
      <c r="AA543" s="286">
        <v>0.09</v>
      </c>
      <c r="AB543" s="378"/>
      <c r="AC543" s="381" t="s">
        <v>21</v>
      </c>
      <c r="AD543" s="378" t="s">
        <v>21</v>
      </c>
      <c r="AE543" s="378" t="s">
        <v>21</v>
      </c>
      <c r="AF543" s="378" t="s">
        <v>21</v>
      </c>
      <c r="AG543" s="378"/>
      <c r="AI543" s="378">
        <v>0</v>
      </c>
      <c r="AJ543" s="378">
        <v>0</v>
      </c>
      <c r="AL543" s="286"/>
      <c r="AM543" s="286">
        <v>4741</v>
      </c>
    </row>
    <row r="544" spans="1:39" s="51" customFormat="1" hidden="1" x14ac:dyDescent="0.25">
      <c r="A544" s="59" t="s">
        <v>4132</v>
      </c>
      <c r="B544" s="59" t="s">
        <v>86</v>
      </c>
      <c r="C544" s="59"/>
      <c r="D544" s="59">
        <v>32</v>
      </c>
      <c r="E544" s="60" t="s">
        <v>95</v>
      </c>
      <c r="F544" s="59" t="s">
        <v>3669</v>
      </c>
      <c r="G544" s="61">
        <v>0.44</v>
      </c>
      <c r="H544" s="62">
        <v>10.3</v>
      </c>
      <c r="I544" s="62">
        <f t="shared" si="54"/>
        <v>4.532</v>
      </c>
      <c r="J544" s="62"/>
      <c r="K544" s="62">
        <v>0</v>
      </c>
      <c r="L544" s="62">
        <v>4.532</v>
      </c>
      <c r="M544" s="62">
        <v>0</v>
      </c>
      <c r="N544" s="62">
        <v>0</v>
      </c>
      <c r="O544" s="62">
        <v>0</v>
      </c>
      <c r="P544" s="298" t="s">
        <v>89</v>
      </c>
      <c r="Q544" s="60" t="s">
        <v>27</v>
      </c>
      <c r="R544" s="60" t="s">
        <v>27</v>
      </c>
      <c r="S544" s="286" t="str">
        <f t="shared" si="52"/>
        <v/>
      </c>
      <c r="T544" s="286" t="str">
        <f>IF($C544= "", T543, IF(ISNA(VLOOKUP($C544,'ABC-S'!$A$5:$A$271,1,FALSE)), "", VLOOKUP($C544,'ABC-S'!$A$5:$A$271,1,FALSE)))</f>
        <v/>
      </c>
      <c r="W544" s="286" t="s">
        <v>2574</v>
      </c>
      <c r="X544" s="286" t="s">
        <v>21</v>
      </c>
      <c r="Y544" s="286" t="s">
        <v>21</v>
      </c>
      <c r="Z544" s="286" t="s">
        <v>21</v>
      </c>
      <c r="AA544" s="286" t="s">
        <v>21</v>
      </c>
      <c r="AB544" s="378"/>
      <c r="AC544" s="381" t="s">
        <v>21</v>
      </c>
      <c r="AD544" s="378" t="s">
        <v>21</v>
      </c>
      <c r="AE544" s="378" t="s">
        <v>21</v>
      </c>
      <c r="AF544" s="378" t="s">
        <v>21</v>
      </c>
      <c r="AG544" s="378"/>
      <c r="AI544" s="378" t="s">
        <v>21</v>
      </c>
      <c r="AJ544" s="378" t="s">
        <v>21</v>
      </c>
      <c r="AL544" s="286"/>
      <c r="AM544" s="286">
        <v>40671</v>
      </c>
    </row>
    <row r="545" spans="1:39" s="51" customFormat="1" hidden="1" x14ac:dyDescent="0.25">
      <c r="A545" s="59" t="s">
        <v>4132</v>
      </c>
      <c r="B545" s="59" t="s">
        <v>86</v>
      </c>
      <c r="C545" s="248"/>
      <c r="D545" s="59">
        <v>33</v>
      </c>
      <c r="E545" s="60" t="s">
        <v>678</v>
      </c>
      <c r="F545" s="59" t="s">
        <v>3669</v>
      </c>
      <c r="G545" s="61">
        <v>0.66</v>
      </c>
      <c r="H545" s="62">
        <v>10.36</v>
      </c>
      <c r="I545" s="62">
        <f t="shared" si="54"/>
        <v>6.8376000000000001</v>
      </c>
      <c r="J545" s="62"/>
      <c r="K545" s="62">
        <v>0</v>
      </c>
      <c r="L545" s="62">
        <v>6.8376000000000001</v>
      </c>
      <c r="M545" s="62">
        <v>0</v>
      </c>
      <c r="N545" s="62">
        <v>0</v>
      </c>
      <c r="O545" s="62">
        <v>0</v>
      </c>
      <c r="P545" s="298" t="s">
        <v>89</v>
      </c>
      <c r="Q545" s="60" t="s">
        <v>27</v>
      </c>
      <c r="R545" s="60" t="s">
        <v>27</v>
      </c>
      <c r="S545" s="286" t="str">
        <f t="shared" si="52"/>
        <v/>
      </c>
      <c r="T545" s="286" t="str">
        <f>IF($C545= "", T544, IF(ISNA(VLOOKUP($C545,'ABC-S'!$A$5:$A$271,1,FALSE)), "", VLOOKUP($C545,'ABC-S'!$A$5:$A$271,1,FALSE)))</f>
        <v/>
      </c>
      <c r="W545" s="286" t="s">
        <v>2574</v>
      </c>
      <c r="X545" s="286" t="s">
        <v>21</v>
      </c>
      <c r="Y545" s="286" t="s">
        <v>21</v>
      </c>
      <c r="Z545" s="335" t="s">
        <v>21</v>
      </c>
      <c r="AA545" s="286" t="s">
        <v>21</v>
      </c>
      <c r="AB545" s="378"/>
      <c r="AC545" s="381" t="s">
        <v>21</v>
      </c>
      <c r="AD545" s="378" t="s">
        <v>21</v>
      </c>
      <c r="AE545" s="378" t="s">
        <v>21</v>
      </c>
      <c r="AF545" s="378" t="s">
        <v>21</v>
      </c>
      <c r="AG545" s="378"/>
      <c r="AI545" s="378" t="s">
        <v>21</v>
      </c>
      <c r="AJ545" s="378" t="s">
        <v>21</v>
      </c>
      <c r="AL545" s="286">
        <v>88260</v>
      </c>
      <c r="AM545" s="286"/>
    </row>
    <row r="546" spans="1:39" s="51" customFormat="1" ht="22.5" hidden="1" x14ac:dyDescent="0.25">
      <c r="A546" s="59" t="s">
        <v>4132</v>
      </c>
      <c r="B546" s="59" t="s">
        <v>86</v>
      </c>
      <c r="C546" s="248"/>
      <c r="D546" s="59">
        <v>43132</v>
      </c>
      <c r="E546" s="60" t="s">
        <v>684</v>
      </c>
      <c r="F546" s="59" t="s">
        <v>3669</v>
      </c>
      <c r="G546" s="61">
        <v>1.4999999999999999E-2</v>
      </c>
      <c r="H546" s="62">
        <v>20.399999999999999</v>
      </c>
      <c r="I546" s="62">
        <f t="shared" si="54"/>
        <v>0.30599999999999999</v>
      </c>
      <c r="J546" s="62"/>
      <c r="K546" s="62">
        <v>0</v>
      </c>
      <c r="L546" s="62">
        <v>0.30599999999999999</v>
      </c>
      <c r="M546" s="62">
        <v>0</v>
      </c>
      <c r="N546" s="62">
        <v>0</v>
      </c>
      <c r="O546" s="62">
        <v>0</v>
      </c>
      <c r="P546" s="298" t="s">
        <v>89</v>
      </c>
      <c r="Q546" s="60" t="s">
        <v>27</v>
      </c>
      <c r="R546" s="60" t="s">
        <v>27</v>
      </c>
      <c r="S546" s="286" t="str">
        <f t="shared" si="52"/>
        <v/>
      </c>
      <c r="T546" s="286" t="str">
        <f>IF($C546= "", T545, IF(ISNA(VLOOKUP($C546,'ABC-S'!$A$5:$A$271,1,FALSE)), "", VLOOKUP($C546,'ABC-S'!$A$5:$A$271,1,FALSE)))</f>
        <v/>
      </c>
      <c r="W546" s="286" t="s">
        <v>2574</v>
      </c>
      <c r="X546" s="286" t="s">
        <v>21</v>
      </c>
      <c r="Y546" s="286" t="s">
        <v>21</v>
      </c>
      <c r="Z546" s="335" t="s">
        <v>21</v>
      </c>
      <c r="AA546" s="286" t="s">
        <v>21</v>
      </c>
      <c r="AB546" s="378"/>
      <c r="AC546" s="381" t="s">
        <v>21</v>
      </c>
      <c r="AD546" s="378" t="s">
        <v>21</v>
      </c>
      <c r="AE546" s="378" t="s">
        <v>21</v>
      </c>
      <c r="AF546" s="378" t="s">
        <v>21</v>
      </c>
      <c r="AG546" s="378"/>
      <c r="AI546" s="378" t="s">
        <v>21</v>
      </c>
      <c r="AJ546" s="378" t="s">
        <v>21</v>
      </c>
      <c r="AL546" s="286">
        <v>88316</v>
      </c>
      <c r="AM546" s="286"/>
    </row>
    <row r="547" spans="1:39" s="51" customFormat="1" ht="33.75" hidden="1" x14ac:dyDescent="0.25">
      <c r="A547" s="59" t="s">
        <v>4132</v>
      </c>
      <c r="B547" s="59" t="s">
        <v>87</v>
      </c>
      <c r="C547" s="59"/>
      <c r="D547" s="59" t="s">
        <v>4135</v>
      </c>
      <c r="E547" s="60" t="s">
        <v>4137</v>
      </c>
      <c r="F547" s="59" t="s">
        <v>55</v>
      </c>
      <c r="G547" s="61">
        <f>0.0011+0.00002</f>
        <v>1.1200000000000001E-3</v>
      </c>
      <c r="H547" s="62">
        <v>20.79054054054054</v>
      </c>
      <c r="I547" s="62">
        <f t="shared" si="54"/>
        <v>2.3285405405405409E-2</v>
      </c>
      <c r="J547" s="62"/>
      <c r="K547" s="62">
        <v>7.9506756756756777E-3</v>
      </c>
      <c r="L547" s="62">
        <v>1.2303918918918921E-2</v>
      </c>
      <c r="M547" s="62">
        <v>3.0308108108108114E-3</v>
      </c>
      <c r="N547" s="62">
        <v>0</v>
      </c>
      <c r="O547" s="62">
        <v>0</v>
      </c>
      <c r="P547" s="298" t="s">
        <v>4160</v>
      </c>
      <c r="Q547" s="60" t="s">
        <v>27</v>
      </c>
      <c r="R547" s="60" t="s">
        <v>27</v>
      </c>
      <c r="S547" s="286" t="str">
        <f t="shared" si="52"/>
        <v/>
      </c>
      <c r="T547" s="286" t="str">
        <f>IF($C547= "", T546, IF(ISNA(VLOOKUP($C547,'ABC-S'!$A$5:$A$271,1,FALSE)), "", VLOOKUP($C547,'ABC-S'!$A$5:$A$271,1,FALSE)))</f>
        <v/>
      </c>
      <c r="W547" s="286" t="s">
        <v>2574</v>
      </c>
      <c r="X547" s="286" t="s">
        <v>21</v>
      </c>
      <c r="Y547" s="286" t="s">
        <v>1513</v>
      </c>
      <c r="Z547" s="335" t="s">
        <v>21</v>
      </c>
      <c r="AA547" s="286" t="s">
        <v>21</v>
      </c>
      <c r="AB547" s="378"/>
      <c r="AC547" s="381" t="s">
        <v>4135</v>
      </c>
      <c r="AD547" s="378">
        <v>1.1200000000000001E-3</v>
      </c>
      <c r="AE547" s="378">
        <v>0.59121621621621623</v>
      </c>
      <c r="AF547" s="378">
        <v>6.6216216216216227E-4</v>
      </c>
      <c r="AG547" s="378"/>
      <c r="AI547" s="378" t="s">
        <v>21</v>
      </c>
      <c r="AJ547" s="378" t="s">
        <v>21</v>
      </c>
      <c r="AL547" s="286">
        <v>91277</v>
      </c>
      <c r="AM547" s="286"/>
    </row>
    <row r="548" spans="1:39" s="51" customFormat="1" ht="33.75" hidden="1" x14ac:dyDescent="0.25">
      <c r="A548" s="55" t="s">
        <v>951</v>
      </c>
      <c r="B548" s="55" t="s">
        <v>138</v>
      </c>
      <c r="C548" s="55" t="s">
        <v>951</v>
      </c>
      <c r="D548" s="55"/>
      <c r="E548" s="56" t="s">
        <v>3338</v>
      </c>
      <c r="F548" s="55" t="s">
        <v>55</v>
      </c>
      <c r="G548" s="57"/>
      <c r="H548" s="58"/>
      <c r="I548" s="58"/>
      <c r="J548" s="58">
        <f>SUM(I548:I562)</f>
        <v>136.62932599999999</v>
      </c>
      <c r="K548" s="58">
        <v>0.86290600000000006</v>
      </c>
      <c r="L548" s="58">
        <v>97.364717999999996</v>
      </c>
      <c r="M548" s="58">
        <v>36.302202000000001</v>
      </c>
      <c r="N548" s="58">
        <v>0</v>
      </c>
      <c r="O548" s="58">
        <v>2.0994999999999977</v>
      </c>
      <c r="P548" s="58"/>
      <c r="Q548" s="56"/>
      <c r="R548" s="56" t="s">
        <v>952</v>
      </c>
      <c r="S548" s="286" t="str">
        <f t="shared" si="37"/>
        <v/>
      </c>
      <c r="T548" s="286" t="str">
        <f>IF($C548= "", T508, IF(ISNA(VLOOKUP($C548,'ABC-S'!$A$5:$A$271,1,FALSE)), "", VLOOKUP($C548,'ABC-S'!$A$5:$A$271,1,FALSE)))</f>
        <v/>
      </c>
      <c r="W548" s="286" t="s">
        <v>951</v>
      </c>
      <c r="X548" s="286"/>
      <c r="Y548" s="286"/>
      <c r="Z548" s="286"/>
      <c r="AA548" s="286" t="s">
        <v>21</v>
      </c>
      <c r="AB548" s="378">
        <v>0.75154999999999994</v>
      </c>
      <c r="AC548" s="378"/>
      <c r="AD548" s="335"/>
      <c r="AE548" s="335"/>
      <c r="AF548" s="335"/>
      <c r="AG548" s="378">
        <v>91.16342809999999</v>
      </c>
      <c r="AI548" s="378" t="s">
        <v>21</v>
      </c>
      <c r="AJ548" s="378" t="s">
        <v>21</v>
      </c>
      <c r="AL548" s="286"/>
      <c r="AM548" s="286"/>
    </row>
    <row r="549" spans="1:39" s="51" customFormat="1" ht="22.5" hidden="1" x14ac:dyDescent="0.25">
      <c r="A549" s="59" t="s">
        <v>951</v>
      </c>
      <c r="B549" s="59" t="s">
        <v>86</v>
      </c>
      <c r="C549" s="59"/>
      <c r="D549" s="59">
        <v>370</v>
      </c>
      <c r="E549" s="60" t="s">
        <v>99</v>
      </c>
      <c r="F549" s="59" t="s">
        <v>3670</v>
      </c>
      <c r="G549" s="61">
        <v>0.32479999999999998</v>
      </c>
      <c r="H549" s="62">
        <v>87.5</v>
      </c>
      <c r="I549" s="62">
        <f>IF($D549="","",G549*H549)</f>
        <v>28.419999999999998</v>
      </c>
      <c r="J549" s="62"/>
      <c r="K549" s="62">
        <v>0</v>
      </c>
      <c r="L549" s="62">
        <v>0</v>
      </c>
      <c r="M549" s="62">
        <v>28.419999999999998</v>
      </c>
      <c r="N549" s="62">
        <v>0</v>
      </c>
      <c r="O549" s="62">
        <v>0</v>
      </c>
      <c r="P549" s="298" t="s">
        <v>719</v>
      </c>
      <c r="Q549" s="60" t="s">
        <v>27</v>
      </c>
      <c r="R549" s="60" t="s">
        <v>27</v>
      </c>
      <c r="S549" s="286" t="str">
        <f t="shared" si="37"/>
        <v/>
      </c>
      <c r="T549" s="286" t="str">
        <f>IF($C549= "", T548, IF(ISNA(VLOOKUP($C549,'ABC-S'!$A$5:$A$271,1,FALSE)), "", VLOOKUP($C549,'ABC-S'!$A$5:$A$271,1,FALSE)))</f>
        <v/>
      </c>
      <c r="W549" s="286" t="s">
        <v>951</v>
      </c>
      <c r="X549" s="286" t="s">
        <v>21</v>
      </c>
      <c r="Y549" s="286" t="s">
        <v>21</v>
      </c>
      <c r="Z549" s="286" t="s">
        <v>21</v>
      </c>
      <c r="AA549" s="286" t="s">
        <v>21</v>
      </c>
      <c r="AB549" s="378"/>
      <c r="AC549" s="381" t="s">
        <v>21</v>
      </c>
      <c r="AD549" s="378" t="s">
        <v>21</v>
      </c>
      <c r="AE549" s="378" t="s">
        <v>21</v>
      </c>
      <c r="AF549" s="378" t="s">
        <v>21</v>
      </c>
      <c r="AG549" s="378"/>
      <c r="AI549" s="378" t="s">
        <v>21</v>
      </c>
      <c r="AJ549" s="378" t="s">
        <v>21</v>
      </c>
      <c r="AL549" s="286"/>
      <c r="AM549" s="286">
        <v>370</v>
      </c>
    </row>
    <row r="550" spans="1:39" s="51" customFormat="1" hidden="1" x14ac:dyDescent="0.25">
      <c r="A550" s="59" t="s">
        <v>951</v>
      </c>
      <c r="B550" s="59" t="s">
        <v>86</v>
      </c>
      <c r="C550" s="59"/>
      <c r="D550" s="59">
        <v>1106</v>
      </c>
      <c r="E550" s="60" t="s">
        <v>96</v>
      </c>
      <c r="F550" s="59" t="s">
        <v>3669</v>
      </c>
      <c r="G550" s="61">
        <v>56.2</v>
      </c>
      <c r="H550" s="62">
        <v>0.95</v>
      </c>
      <c r="I550" s="62">
        <f t="shared" ref="I550:I562" si="55">IF($D550="","",G550*H550)</f>
        <v>53.39</v>
      </c>
      <c r="J550" s="62"/>
      <c r="K550" s="62">
        <v>0</v>
      </c>
      <c r="L550" s="62">
        <v>53.39</v>
      </c>
      <c r="M550" s="62">
        <v>0</v>
      </c>
      <c r="N550" s="62">
        <v>0</v>
      </c>
      <c r="O550" s="62">
        <v>0</v>
      </c>
      <c r="P550" s="298" t="s">
        <v>89</v>
      </c>
      <c r="Q550" s="60" t="s">
        <v>27</v>
      </c>
      <c r="R550" s="60" t="s">
        <v>27</v>
      </c>
      <c r="S550" s="286" t="str">
        <f t="shared" si="37"/>
        <v/>
      </c>
      <c r="T550" s="286" t="str">
        <f>IF($C550= "", T549, IF(ISNA(VLOOKUP($C550,'ABC-S'!$A$5:$A$271,1,FALSE)), "", VLOOKUP($C550,'ABC-S'!$A$5:$A$271,1,FALSE)))</f>
        <v/>
      </c>
      <c r="W550" s="286" t="s">
        <v>951</v>
      </c>
      <c r="X550" s="286" t="s">
        <v>21</v>
      </c>
      <c r="Y550" s="286" t="s">
        <v>21</v>
      </c>
      <c r="Z550" s="286" t="s">
        <v>21</v>
      </c>
      <c r="AA550" s="286" t="s">
        <v>21</v>
      </c>
      <c r="AB550" s="378"/>
      <c r="AC550" s="381" t="s">
        <v>21</v>
      </c>
      <c r="AD550" s="378" t="s">
        <v>21</v>
      </c>
      <c r="AE550" s="378" t="s">
        <v>21</v>
      </c>
      <c r="AF550" s="378" t="s">
        <v>21</v>
      </c>
      <c r="AG550" s="378"/>
      <c r="AI550" s="378" t="s">
        <v>21</v>
      </c>
      <c r="AJ550" s="378" t="s">
        <v>21</v>
      </c>
      <c r="AL550" s="286"/>
      <c r="AM550" s="286">
        <v>1106</v>
      </c>
    </row>
    <row r="551" spans="1:39" s="51" customFormat="1" ht="22.5" hidden="1" x14ac:dyDescent="0.25">
      <c r="A551" s="59" t="s">
        <v>951</v>
      </c>
      <c r="B551" s="59" t="s">
        <v>86</v>
      </c>
      <c r="C551" s="59"/>
      <c r="D551" s="59">
        <v>4720</v>
      </c>
      <c r="E551" s="60" t="s">
        <v>101</v>
      </c>
      <c r="F551" s="59" t="s">
        <v>3670</v>
      </c>
      <c r="G551" s="61">
        <v>0.19980000000000001</v>
      </c>
      <c r="H551" s="62">
        <v>147.43</v>
      </c>
      <c r="I551" s="62">
        <f>IF($D551="","",G551*H551)</f>
        <v>29.456514000000002</v>
      </c>
      <c r="J551" s="62"/>
      <c r="K551" s="62">
        <v>0</v>
      </c>
      <c r="L551" s="62">
        <v>29.456514000000002</v>
      </c>
      <c r="M551" s="62">
        <v>0</v>
      </c>
      <c r="N551" s="62">
        <v>0</v>
      </c>
      <c r="O551" s="62">
        <v>0</v>
      </c>
      <c r="P551" s="298" t="s">
        <v>89</v>
      </c>
      <c r="Q551" s="60" t="s">
        <v>27</v>
      </c>
      <c r="R551" s="60" t="s">
        <v>27</v>
      </c>
      <c r="S551" s="286" t="str">
        <f t="shared" si="37"/>
        <v/>
      </c>
      <c r="T551" s="286" t="str">
        <f>IF($C551= "", T550, IF(ISNA(VLOOKUP($C551,'ABC-S'!$A$5:$A$271,1,FALSE)), "", VLOOKUP($C551,'ABC-S'!$A$5:$A$271,1,FALSE)))</f>
        <v/>
      </c>
      <c r="W551" s="286" t="s">
        <v>951</v>
      </c>
      <c r="X551" s="286" t="s">
        <v>21</v>
      </c>
      <c r="Y551" s="286" t="s">
        <v>21</v>
      </c>
      <c r="Z551" s="286" t="s">
        <v>21</v>
      </c>
      <c r="AA551" s="286" t="s">
        <v>21</v>
      </c>
      <c r="AB551" s="378"/>
      <c r="AC551" s="381" t="s">
        <v>21</v>
      </c>
      <c r="AD551" s="378" t="s">
        <v>21</v>
      </c>
      <c r="AE551" s="378" t="s">
        <v>21</v>
      </c>
      <c r="AF551" s="378" t="s">
        <v>21</v>
      </c>
      <c r="AG551" s="378"/>
      <c r="AI551" s="378" t="s">
        <v>21</v>
      </c>
      <c r="AJ551" s="378" t="s">
        <v>21</v>
      </c>
      <c r="AL551" s="286"/>
      <c r="AM551" s="286">
        <v>4720</v>
      </c>
    </row>
    <row r="552" spans="1:39" s="51" customFormat="1" ht="22.5" hidden="1" x14ac:dyDescent="0.25">
      <c r="A552" s="59" t="s">
        <v>951</v>
      </c>
      <c r="B552" s="59" t="s">
        <v>86</v>
      </c>
      <c r="C552" s="59"/>
      <c r="D552" s="59">
        <v>4721</v>
      </c>
      <c r="E552" s="60" t="s">
        <v>100</v>
      </c>
      <c r="F552" s="59" t="s">
        <v>3670</v>
      </c>
      <c r="G552" s="61">
        <v>6.25E-2</v>
      </c>
      <c r="H552" s="62">
        <v>127.69</v>
      </c>
      <c r="I552" s="62">
        <f>IF($D552="","",G552*H552)</f>
        <v>7.9806249999999999</v>
      </c>
      <c r="J552" s="62"/>
      <c r="K552" s="62">
        <v>0</v>
      </c>
      <c r="L552" s="62">
        <v>7.9806249999999999</v>
      </c>
      <c r="M552" s="62">
        <v>0</v>
      </c>
      <c r="N552" s="62">
        <v>0</v>
      </c>
      <c r="O552" s="62">
        <v>0</v>
      </c>
      <c r="P552" s="298" t="s">
        <v>89</v>
      </c>
      <c r="Q552" s="60" t="s">
        <v>27</v>
      </c>
      <c r="R552" s="60" t="s">
        <v>27</v>
      </c>
      <c r="S552" s="286" t="str">
        <f t="shared" si="37"/>
        <v/>
      </c>
      <c r="T552" s="286" t="str">
        <f>IF($C552= "", T551, IF(ISNA(VLOOKUP($C552,'ABC-S'!$A$5:$A$271,1,FALSE)), "", VLOOKUP($C552,'ABC-S'!$A$5:$A$271,1,FALSE)))</f>
        <v/>
      </c>
      <c r="W552" s="286" t="s">
        <v>951</v>
      </c>
      <c r="X552" s="286" t="s">
        <v>21</v>
      </c>
      <c r="Y552" s="286" t="s">
        <v>21</v>
      </c>
      <c r="Z552" s="335" t="s">
        <v>21</v>
      </c>
      <c r="AA552" s="286" t="s">
        <v>21</v>
      </c>
      <c r="AB552" s="378"/>
      <c r="AC552" s="381" t="s">
        <v>21</v>
      </c>
      <c r="AD552" s="378" t="s">
        <v>21</v>
      </c>
      <c r="AE552" s="378" t="s">
        <v>21</v>
      </c>
      <c r="AF552" s="378" t="s">
        <v>21</v>
      </c>
      <c r="AG552" s="378"/>
      <c r="AI552" s="378" t="s">
        <v>21</v>
      </c>
      <c r="AJ552" s="378" t="s">
        <v>21</v>
      </c>
      <c r="AL552" s="286">
        <v>5940</v>
      </c>
      <c r="AM552" s="286"/>
    </row>
    <row r="553" spans="1:39" s="51" customFormat="1" ht="33.75" hidden="1" x14ac:dyDescent="0.25">
      <c r="A553" s="59" t="s">
        <v>951</v>
      </c>
      <c r="B553" s="59" t="s">
        <v>87</v>
      </c>
      <c r="C553" s="59"/>
      <c r="D553" s="59">
        <v>5940</v>
      </c>
      <c r="E553" s="60" t="s">
        <v>614</v>
      </c>
      <c r="F553" s="59" t="s">
        <v>76</v>
      </c>
      <c r="G553" s="61">
        <v>4.7999999999999996E-3</v>
      </c>
      <c r="H553" s="62">
        <v>142.24</v>
      </c>
      <c r="I553" s="62">
        <f t="shared" si="55"/>
        <v>0.68275200000000003</v>
      </c>
      <c r="J553" s="62"/>
      <c r="K553" s="62">
        <v>7.3295999999999986E-2</v>
      </c>
      <c r="L553" s="62">
        <v>0.31771199999999994</v>
      </c>
      <c r="M553" s="62">
        <v>0.291744</v>
      </c>
      <c r="N553" s="62">
        <v>0</v>
      </c>
      <c r="O553" s="62">
        <v>1.1102230246251565E-16</v>
      </c>
      <c r="P553" s="298" t="s">
        <v>4160</v>
      </c>
      <c r="Q553" s="60" t="s">
        <v>27</v>
      </c>
      <c r="R553" s="60" t="s">
        <v>27</v>
      </c>
      <c r="S553" s="286" t="str">
        <f t="shared" si="37"/>
        <v/>
      </c>
      <c r="T553" s="286" t="str">
        <f>IF($C553= "", T552, IF(ISNA(VLOOKUP($C553,'ABC-S'!$A$5:$A$271,1,FALSE)), "", VLOOKUP($C553,'ABC-S'!$A$5:$A$271,1,FALSE)))</f>
        <v/>
      </c>
      <c r="W553" s="286" t="s">
        <v>951</v>
      </c>
      <c r="X553" s="286" t="s">
        <v>21</v>
      </c>
      <c r="Y553" s="286" t="s">
        <v>423</v>
      </c>
      <c r="Z553" s="335" t="s">
        <v>21</v>
      </c>
      <c r="AA553" s="286" t="s">
        <v>21</v>
      </c>
      <c r="AB553" s="378"/>
      <c r="AC553" s="381">
        <v>5940</v>
      </c>
      <c r="AD553" s="378">
        <v>4.7999999999999996E-3</v>
      </c>
      <c r="AE553" s="378">
        <v>1</v>
      </c>
      <c r="AF553" s="378">
        <v>4.7999999999999996E-3</v>
      </c>
      <c r="AG553" s="378"/>
      <c r="AI553" s="378">
        <v>0</v>
      </c>
      <c r="AJ553" s="378">
        <v>0</v>
      </c>
      <c r="AL553" s="286">
        <v>5942</v>
      </c>
      <c r="AM553" s="286"/>
    </row>
    <row r="554" spans="1:39" s="51" customFormat="1" ht="33.75" hidden="1" x14ac:dyDescent="0.25">
      <c r="A554" s="59" t="s">
        <v>951</v>
      </c>
      <c r="B554" s="59" t="s">
        <v>87</v>
      </c>
      <c r="C554" s="59"/>
      <c r="D554" s="59">
        <v>5942</v>
      </c>
      <c r="E554" s="60" t="s">
        <v>613</v>
      </c>
      <c r="F554" s="59" t="s">
        <v>75</v>
      </c>
      <c r="G554" s="61">
        <v>7.4000000000000003E-3</v>
      </c>
      <c r="H554" s="62">
        <v>49.43</v>
      </c>
      <c r="I554" s="62">
        <f t="shared" si="55"/>
        <v>0.365782</v>
      </c>
      <c r="J554" s="62"/>
      <c r="K554" s="62">
        <v>0.112998</v>
      </c>
      <c r="L554" s="62">
        <v>3.8702000000000007E-2</v>
      </c>
      <c r="M554" s="62">
        <v>0.21408199999999999</v>
      </c>
      <c r="N554" s="62">
        <v>0</v>
      </c>
      <c r="O554" s="62">
        <v>0</v>
      </c>
      <c r="P554" s="298" t="s">
        <v>4160</v>
      </c>
      <c r="Q554" s="60" t="s">
        <v>27</v>
      </c>
      <c r="R554" s="60" t="s">
        <v>27</v>
      </c>
      <c r="S554" s="286" t="str">
        <f t="shared" si="37"/>
        <v/>
      </c>
      <c r="T554" s="286" t="str">
        <f>IF($C554= "", T553, IF(ISNA(VLOOKUP($C554,'ABC-S'!$A$5:$A$271,1,FALSE)), "", VLOOKUP($C554,'ABC-S'!$A$5:$A$271,1,FALSE)))</f>
        <v/>
      </c>
      <c r="W554" s="286" t="s">
        <v>951</v>
      </c>
      <c r="X554" s="286" t="s">
        <v>21</v>
      </c>
      <c r="Y554" s="286" t="s">
        <v>423</v>
      </c>
      <c r="Z554" s="335" t="s">
        <v>21</v>
      </c>
      <c r="AA554" s="286" t="s">
        <v>21</v>
      </c>
      <c r="AB554" s="378"/>
      <c r="AC554" s="381">
        <v>5942</v>
      </c>
      <c r="AD554" s="378">
        <v>7.4000000000000003E-3</v>
      </c>
      <c r="AE554" s="378">
        <v>1</v>
      </c>
      <c r="AF554" s="378">
        <v>7.4000000000000003E-3</v>
      </c>
      <c r="AG554" s="378"/>
      <c r="AI554" s="378">
        <v>0</v>
      </c>
      <c r="AJ554" s="378">
        <v>0</v>
      </c>
      <c r="AL554" s="286">
        <v>7030</v>
      </c>
      <c r="AM554" s="286"/>
    </row>
    <row r="555" spans="1:39" s="51" customFormat="1" ht="22.5" hidden="1" x14ac:dyDescent="0.25">
      <c r="A555" s="59" t="s">
        <v>951</v>
      </c>
      <c r="B555" s="59" t="s">
        <v>87</v>
      </c>
      <c r="C555" s="59"/>
      <c r="D555" s="59">
        <v>7030</v>
      </c>
      <c r="E555" s="60" t="s">
        <v>653</v>
      </c>
      <c r="F555" s="59" t="s">
        <v>76</v>
      </c>
      <c r="G555" s="61">
        <v>2.4400000000000002E-2</v>
      </c>
      <c r="H555" s="62">
        <v>176.84</v>
      </c>
      <c r="I555" s="62">
        <f t="shared" ref="I555" si="56">IF($D555="","",G555*H555)</f>
        <v>4.3148960000000001</v>
      </c>
      <c r="J555" s="62"/>
      <c r="K555" s="62">
        <v>0</v>
      </c>
      <c r="L555" s="62">
        <v>3.9737840000000006</v>
      </c>
      <c r="M555" s="62">
        <v>0.34111200000000003</v>
      </c>
      <c r="N555" s="62">
        <v>0</v>
      </c>
      <c r="O555" s="62">
        <v>-8.8817841970012523E-16</v>
      </c>
      <c r="P555" s="298" t="s">
        <v>4160</v>
      </c>
      <c r="Q555" s="60" t="s">
        <v>27</v>
      </c>
      <c r="R555" s="60" t="s">
        <v>27</v>
      </c>
      <c r="S555" s="286" t="str">
        <f t="shared" si="37"/>
        <v/>
      </c>
      <c r="T555" s="286" t="str">
        <f>IF($C555= "", T554, IF(ISNA(VLOOKUP($C555,'ABC-S'!$A$5:$A$271,1,FALSE)), "", VLOOKUP($C555,'ABC-S'!$A$5:$A$271,1,FALSE)))</f>
        <v/>
      </c>
      <c r="W555" s="286" t="s">
        <v>951</v>
      </c>
      <c r="X555" s="286" t="s">
        <v>21</v>
      </c>
      <c r="Y555" s="286" t="s">
        <v>423</v>
      </c>
      <c r="Z555" s="335" t="s">
        <v>21</v>
      </c>
      <c r="AA555" s="286" t="s">
        <v>21</v>
      </c>
      <c r="AB555" s="378"/>
      <c r="AC555" s="381">
        <v>7030</v>
      </c>
      <c r="AD555" s="378">
        <v>2.4400000000000002E-2</v>
      </c>
      <c r="AE555" s="378">
        <v>0</v>
      </c>
      <c r="AF555" s="378">
        <v>0</v>
      </c>
      <c r="AG555" s="378"/>
      <c r="AI555" s="378">
        <v>0</v>
      </c>
      <c r="AJ555" s="378">
        <v>0</v>
      </c>
      <c r="AL555" s="286">
        <v>7030</v>
      </c>
      <c r="AM555" s="286"/>
    </row>
    <row r="556" spans="1:39" s="51" customFormat="1" ht="22.5" hidden="1" x14ac:dyDescent="0.25">
      <c r="A556" s="59" t="s">
        <v>951</v>
      </c>
      <c r="B556" s="59" t="s">
        <v>86</v>
      </c>
      <c r="C556" s="59"/>
      <c r="D556" s="59" t="s">
        <v>3335</v>
      </c>
      <c r="E556" s="60" t="s">
        <v>3336</v>
      </c>
      <c r="F556" s="59" t="s">
        <v>55</v>
      </c>
      <c r="G556" s="61">
        <f>0.06323 * 0</f>
        <v>0</v>
      </c>
      <c r="H556" s="62">
        <v>4295.6099999999997</v>
      </c>
      <c r="I556" s="62">
        <f t="shared" si="55"/>
        <v>0</v>
      </c>
      <c r="J556" s="62"/>
      <c r="K556" s="62">
        <v>0</v>
      </c>
      <c r="L556" s="62">
        <v>0</v>
      </c>
      <c r="M556" s="62">
        <v>0</v>
      </c>
      <c r="N556" s="62">
        <v>0</v>
      </c>
      <c r="O556" s="62">
        <v>0</v>
      </c>
      <c r="P556" s="298" t="s">
        <v>89</v>
      </c>
      <c r="Q556" s="60" t="s">
        <v>27</v>
      </c>
      <c r="R556" s="60" t="s">
        <v>3340</v>
      </c>
      <c r="S556" s="286" t="str">
        <f t="shared" ref="S556:S622" si="57">IF(T556 &lt;&gt; "", "SIM", "")</f>
        <v/>
      </c>
      <c r="T556" s="286" t="str">
        <f>IF($C556= "", T555, IF(ISNA(VLOOKUP($C556,'ABC-S'!$A$5:$A$271,1,FALSE)), "", VLOOKUP($C556,'ABC-S'!$A$5:$A$271,1,FALSE)))</f>
        <v/>
      </c>
      <c r="W556" s="286" t="s">
        <v>951</v>
      </c>
      <c r="X556" s="286" t="s">
        <v>21</v>
      </c>
      <c r="Y556" s="286" t="s">
        <v>21</v>
      </c>
      <c r="Z556" s="286" t="s">
        <v>21</v>
      </c>
      <c r="AA556" s="286" t="s">
        <v>21</v>
      </c>
      <c r="AB556" s="378"/>
      <c r="AC556" s="381" t="s">
        <v>21</v>
      </c>
      <c r="AD556" s="378" t="s">
        <v>21</v>
      </c>
      <c r="AE556" s="378" t="s">
        <v>21</v>
      </c>
      <c r="AF556" s="378" t="s">
        <v>21</v>
      </c>
      <c r="AG556" s="378"/>
      <c r="AI556" s="378" t="s">
        <v>21</v>
      </c>
      <c r="AJ556" s="378" t="s">
        <v>21</v>
      </c>
      <c r="AL556" s="286"/>
      <c r="AM556" s="286" t="s">
        <v>3335</v>
      </c>
    </row>
    <row r="557" spans="1:39" s="51" customFormat="1" hidden="1" x14ac:dyDescent="0.25">
      <c r="A557" s="59" t="s">
        <v>951</v>
      </c>
      <c r="B557" s="59" t="s">
        <v>87</v>
      </c>
      <c r="C557" s="248"/>
      <c r="D557" s="59">
        <v>88316</v>
      </c>
      <c r="E557" s="60" t="s">
        <v>649</v>
      </c>
      <c r="F557" s="59" t="s">
        <v>46</v>
      </c>
      <c r="G557" s="61">
        <v>2.4400000000000002E-2</v>
      </c>
      <c r="H557" s="62">
        <v>17.61</v>
      </c>
      <c r="I557" s="62">
        <f t="shared" si="55"/>
        <v>0.42968400000000001</v>
      </c>
      <c r="J557" s="62"/>
      <c r="K557" s="62">
        <v>0.28304000000000001</v>
      </c>
      <c r="L557" s="62">
        <v>0.146644</v>
      </c>
      <c r="M557" s="62">
        <v>0</v>
      </c>
      <c r="N557" s="62">
        <v>0</v>
      </c>
      <c r="O557" s="62">
        <v>0</v>
      </c>
      <c r="P557" s="298" t="s">
        <v>4160</v>
      </c>
      <c r="Q557" s="60" t="s">
        <v>27</v>
      </c>
      <c r="R557" s="60" t="s">
        <v>27</v>
      </c>
      <c r="S557" s="286" t="str">
        <f t="shared" si="57"/>
        <v/>
      </c>
      <c r="T557" s="286" t="str">
        <f>IF($C557= "", T556, IF(ISNA(VLOOKUP($C557,'ABC-S'!$A$5:$A$271,1,FALSE)), "", VLOOKUP($C557,'ABC-S'!$A$5:$A$271,1,FALSE)))</f>
        <v/>
      </c>
      <c r="W557" s="286" t="s">
        <v>951</v>
      </c>
      <c r="X557" s="286">
        <v>88316</v>
      </c>
      <c r="Y557" s="286" t="s">
        <v>424</v>
      </c>
      <c r="Z557" s="335">
        <v>0</v>
      </c>
      <c r="AA557" s="286">
        <v>2.4400000000000002E-2</v>
      </c>
      <c r="AB557" s="378"/>
      <c r="AC557" s="381" t="s">
        <v>21</v>
      </c>
      <c r="AD557" s="378" t="s">
        <v>21</v>
      </c>
      <c r="AE557" s="378" t="s">
        <v>21</v>
      </c>
      <c r="AF557" s="378" t="s">
        <v>21</v>
      </c>
      <c r="AG557" s="378"/>
      <c r="AI557" s="378">
        <v>0</v>
      </c>
      <c r="AJ557" s="378">
        <v>0</v>
      </c>
      <c r="AL557" s="286">
        <v>88316</v>
      </c>
      <c r="AM557" s="286"/>
    </row>
    <row r="558" spans="1:39" s="51" customFormat="1" hidden="1" x14ac:dyDescent="0.25">
      <c r="A558" s="59" t="s">
        <v>951</v>
      </c>
      <c r="B558" s="59" t="s">
        <v>87</v>
      </c>
      <c r="C558" s="248"/>
      <c r="D558" s="59">
        <v>90776</v>
      </c>
      <c r="E558" s="60" t="s">
        <v>557</v>
      </c>
      <c r="F558" s="59" t="s">
        <v>46</v>
      </c>
      <c r="G558" s="61">
        <v>1.2200000000000001E-2</v>
      </c>
      <c r="H558" s="62">
        <v>19.41</v>
      </c>
      <c r="I558" s="62">
        <f t="shared" si="55"/>
        <v>0.23680200000000001</v>
      </c>
      <c r="J558" s="62"/>
      <c r="K558" s="62">
        <v>0.21691600000000003</v>
      </c>
      <c r="L558" s="62">
        <v>1.9886000000000001E-2</v>
      </c>
      <c r="M558" s="62">
        <v>0</v>
      </c>
      <c r="N558" s="62">
        <v>0</v>
      </c>
      <c r="O558" s="62">
        <v>0</v>
      </c>
      <c r="P558" s="298" t="s">
        <v>4160</v>
      </c>
      <c r="Q558" s="60" t="s">
        <v>27</v>
      </c>
      <c r="R558" s="60" t="s">
        <v>27</v>
      </c>
      <c r="S558" s="286" t="str">
        <f t="shared" si="57"/>
        <v/>
      </c>
      <c r="T558" s="286" t="str">
        <f>IF($C558= "", T557, IF(ISNA(VLOOKUP($C558,'ABC-S'!$A$5:$A$271,1,FALSE)), "", VLOOKUP($C558,'ABC-S'!$A$5:$A$271,1,FALSE)))</f>
        <v/>
      </c>
      <c r="W558" s="286" t="s">
        <v>951</v>
      </c>
      <c r="X558" s="286">
        <v>90776</v>
      </c>
      <c r="Y558" s="286" t="s">
        <v>424</v>
      </c>
      <c r="Z558" s="335">
        <v>0</v>
      </c>
      <c r="AA558" s="286">
        <v>1.2200000000000001E-2</v>
      </c>
      <c r="AB558" s="378"/>
      <c r="AC558" s="381" t="s">
        <v>21</v>
      </c>
      <c r="AD558" s="378" t="s">
        <v>21</v>
      </c>
      <c r="AE558" s="378" t="s">
        <v>21</v>
      </c>
      <c r="AF558" s="378" t="s">
        <v>21</v>
      </c>
      <c r="AG558" s="378"/>
      <c r="AI558" s="378">
        <v>0</v>
      </c>
      <c r="AJ558" s="378">
        <v>0</v>
      </c>
      <c r="AL558" s="286">
        <v>90776</v>
      </c>
      <c r="AM558" s="286"/>
    </row>
    <row r="559" spans="1:39" s="51" customFormat="1" ht="33.75" hidden="1" x14ac:dyDescent="0.25">
      <c r="A559" s="59" t="s">
        <v>951</v>
      </c>
      <c r="B559" s="59" t="s">
        <v>87</v>
      </c>
      <c r="C559" s="59"/>
      <c r="D559" s="59">
        <v>95872</v>
      </c>
      <c r="E559" s="60" t="s">
        <v>590</v>
      </c>
      <c r="F559" s="59" t="s">
        <v>76</v>
      </c>
      <c r="G559" s="61">
        <v>9.4999999999999998E-3</v>
      </c>
      <c r="H559" s="62">
        <v>219.63</v>
      </c>
      <c r="I559" s="62">
        <f t="shared" si="55"/>
        <v>2.0864849999999997</v>
      </c>
      <c r="J559" s="62"/>
      <c r="K559" s="62">
        <v>0</v>
      </c>
      <c r="L559" s="62">
        <v>1.9770450000000002</v>
      </c>
      <c r="M559" s="62">
        <v>0.10944</v>
      </c>
      <c r="N559" s="62">
        <v>0</v>
      </c>
      <c r="O559" s="62">
        <v>-4.4408920985006262E-16</v>
      </c>
      <c r="P559" s="298" t="s">
        <v>4160</v>
      </c>
      <c r="Q559" s="60" t="s">
        <v>27</v>
      </c>
      <c r="R559" s="60" t="s">
        <v>27</v>
      </c>
      <c r="S559" s="286" t="str">
        <f t="shared" si="57"/>
        <v/>
      </c>
      <c r="T559" s="286" t="str">
        <f>IF($C559= "", T558, IF(ISNA(VLOOKUP($C559,'ABC-S'!$A$5:$A$271,1,FALSE)), "", VLOOKUP($C559,'ABC-S'!$A$5:$A$271,1,FALSE)))</f>
        <v/>
      </c>
      <c r="W559" s="286" t="s">
        <v>951</v>
      </c>
      <c r="X559" s="286" t="s">
        <v>21</v>
      </c>
      <c r="Y559" s="286" t="s">
        <v>423</v>
      </c>
      <c r="Z559" s="335" t="s">
        <v>21</v>
      </c>
      <c r="AA559" s="286" t="s">
        <v>21</v>
      </c>
      <c r="AB559" s="378"/>
      <c r="AC559" s="381">
        <v>95872</v>
      </c>
      <c r="AD559" s="378">
        <v>9.4999999999999998E-3</v>
      </c>
      <c r="AE559" s="378">
        <v>0</v>
      </c>
      <c r="AF559" s="378">
        <v>0</v>
      </c>
      <c r="AG559" s="378"/>
      <c r="AI559" s="378">
        <v>0</v>
      </c>
      <c r="AJ559" s="378">
        <v>0</v>
      </c>
      <c r="AL559" s="286">
        <v>95872</v>
      </c>
      <c r="AM559" s="286"/>
    </row>
    <row r="560" spans="1:39" s="51" customFormat="1" ht="33.75" hidden="1" x14ac:dyDescent="0.25">
      <c r="A560" s="59" t="s">
        <v>951</v>
      </c>
      <c r="B560" s="59" t="s">
        <v>87</v>
      </c>
      <c r="C560" s="59"/>
      <c r="D560" s="59">
        <v>95873</v>
      </c>
      <c r="E560" s="60" t="s">
        <v>589</v>
      </c>
      <c r="F560" s="59" t="s">
        <v>75</v>
      </c>
      <c r="G560" s="61">
        <v>2.7000000000000001E-3</v>
      </c>
      <c r="H560" s="62">
        <v>6.56</v>
      </c>
      <c r="I560" s="62">
        <f t="shared" si="55"/>
        <v>1.7711999999999999E-2</v>
      </c>
      <c r="J560" s="62"/>
      <c r="K560" s="62">
        <v>0</v>
      </c>
      <c r="L560" s="62">
        <v>0</v>
      </c>
      <c r="M560" s="62">
        <v>1.7711999999999999E-2</v>
      </c>
      <c r="N560" s="62">
        <v>0</v>
      </c>
      <c r="O560" s="62">
        <v>0</v>
      </c>
      <c r="P560" s="298" t="s">
        <v>4160</v>
      </c>
      <c r="Q560" s="60" t="s">
        <v>27</v>
      </c>
      <c r="R560" s="60" t="s">
        <v>27</v>
      </c>
      <c r="S560" s="286" t="str">
        <f t="shared" si="57"/>
        <v/>
      </c>
      <c r="T560" s="286" t="str">
        <f>IF($C560= "", T559, IF(ISNA(VLOOKUP($C560,'ABC-S'!$A$5:$A$271,1,FALSE)), "", VLOOKUP($C560,'ABC-S'!$A$5:$A$271,1,FALSE)))</f>
        <v/>
      </c>
      <c r="W560" s="286" t="s">
        <v>951</v>
      </c>
      <c r="X560" s="286" t="s">
        <v>21</v>
      </c>
      <c r="Y560" s="286" t="s">
        <v>423</v>
      </c>
      <c r="Z560" s="335" t="s">
        <v>21</v>
      </c>
      <c r="AA560" s="286" t="s">
        <v>21</v>
      </c>
      <c r="AB560" s="378"/>
      <c r="AC560" s="381">
        <v>95873</v>
      </c>
      <c r="AD560" s="378">
        <v>2.7000000000000001E-3</v>
      </c>
      <c r="AE560" s="378">
        <v>0</v>
      </c>
      <c r="AF560" s="378">
        <v>0</v>
      </c>
      <c r="AG560" s="378"/>
      <c r="AI560" s="378">
        <v>0</v>
      </c>
      <c r="AJ560" s="378">
        <v>0</v>
      </c>
      <c r="AL560" s="286">
        <v>95873</v>
      </c>
      <c r="AM560" s="286"/>
    </row>
    <row r="561" spans="1:39" s="51" customFormat="1" ht="22.5" hidden="1" x14ac:dyDescent="0.25">
      <c r="A561" s="59" t="s">
        <v>951</v>
      </c>
      <c r="B561" s="59" t="s">
        <v>87</v>
      </c>
      <c r="C561" s="59"/>
      <c r="D561" s="59">
        <v>100647</v>
      </c>
      <c r="E561" s="60" t="s">
        <v>668</v>
      </c>
      <c r="F561" s="59" t="s">
        <v>76</v>
      </c>
      <c r="G561" s="61">
        <v>9.4999999999999998E-3</v>
      </c>
      <c r="H561" s="62">
        <v>889.79</v>
      </c>
      <c r="I561" s="62">
        <f t="shared" si="55"/>
        <v>8.4530049999999992</v>
      </c>
      <c r="J561" s="62"/>
      <c r="K561" s="62">
        <v>0.13755999999999999</v>
      </c>
      <c r="L561" s="62">
        <v>4.9685E-2</v>
      </c>
      <c r="M561" s="62">
        <v>6.1662600000000003</v>
      </c>
      <c r="N561" s="62">
        <v>0</v>
      </c>
      <c r="O561" s="62">
        <v>2.099499999999999</v>
      </c>
      <c r="P561" s="298" t="s">
        <v>4160</v>
      </c>
      <c r="Q561" s="60" t="s">
        <v>27</v>
      </c>
      <c r="R561" s="60" t="s">
        <v>27</v>
      </c>
      <c r="S561" s="286" t="str">
        <f t="shared" si="57"/>
        <v/>
      </c>
      <c r="T561" s="286" t="str">
        <f>IF($C561= "", T560, IF(ISNA(VLOOKUP($C561,'ABC-S'!$A$5:$A$271,1,FALSE)), "", VLOOKUP($C561,'ABC-S'!$A$5:$A$271,1,FALSE)))</f>
        <v/>
      </c>
      <c r="W561" s="286" t="s">
        <v>951</v>
      </c>
      <c r="X561" s="286" t="s">
        <v>21</v>
      </c>
      <c r="Y561" s="286" t="s">
        <v>423</v>
      </c>
      <c r="Z561" s="335" t="s">
        <v>21</v>
      </c>
      <c r="AA561" s="286" t="s">
        <v>21</v>
      </c>
      <c r="AB561" s="378"/>
      <c r="AC561" s="381">
        <v>100647</v>
      </c>
      <c r="AD561" s="378">
        <v>9.4999999999999998E-3</v>
      </c>
      <c r="AE561" s="378">
        <v>1</v>
      </c>
      <c r="AF561" s="378">
        <v>9.4999999999999998E-3</v>
      </c>
      <c r="AG561" s="378"/>
      <c r="AI561" s="378">
        <v>0</v>
      </c>
      <c r="AJ561" s="378">
        <v>0</v>
      </c>
      <c r="AL561" s="286">
        <v>100647</v>
      </c>
      <c r="AM561" s="286"/>
    </row>
    <row r="562" spans="1:39" s="51" customFormat="1" ht="22.5" hidden="1" x14ac:dyDescent="0.25">
      <c r="A562" s="59" t="s">
        <v>951</v>
      </c>
      <c r="B562" s="59" t="s">
        <v>87</v>
      </c>
      <c r="C562" s="59"/>
      <c r="D562" s="59">
        <v>100648</v>
      </c>
      <c r="E562" s="60" t="s">
        <v>667</v>
      </c>
      <c r="F562" s="59" t="s">
        <v>75</v>
      </c>
      <c r="G562" s="61">
        <v>2.7000000000000001E-3</v>
      </c>
      <c r="H562" s="62">
        <v>294.47000000000003</v>
      </c>
      <c r="I562" s="62">
        <f t="shared" si="55"/>
        <v>0.79506900000000014</v>
      </c>
      <c r="J562" s="62"/>
      <c r="K562" s="62">
        <v>3.9096000000000006E-2</v>
      </c>
      <c r="L562" s="62">
        <v>1.4121000000000002E-2</v>
      </c>
      <c r="M562" s="62">
        <v>0.74185200000000007</v>
      </c>
      <c r="N562" s="62">
        <v>0</v>
      </c>
      <c r="O562" s="62">
        <v>1.1102230246251565E-16</v>
      </c>
      <c r="P562" s="298" t="s">
        <v>4160</v>
      </c>
      <c r="Q562" s="60" t="s">
        <v>27</v>
      </c>
      <c r="R562" s="60" t="s">
        <v>27</v>
      </c>
      <c r="S562" s="286" t="str">
        <f t="shared" si="57"/>
        <v/>
      </c>
      <c r="T562" s="286" t="str">
        <f>IF($C562= "", T561, IF(ISNA(VLOOKUP($C562,'ABC-S'!$A$5:$A$271,1,FALSE)), "", VLOOKUP($C562,'ABC-S'!$A$5:$A$271,1,FALSE)))</f>
        <v/>
      </c>
      <c r="W562" s="286" t="s">
        <v>951</v>
      </c>
      <c r="X562" s="286" t="s">
        <v>21</v>
      </c>
      <c r="Y562" s="286" t="s">
        <v>423</v>
      </c>
      <c r="Z562" s="335" t="s">
        <v>21</v>
      </c>
      <c r="AA562" s="286" t="s">
        <v>21</v>
      </c>
      <c r="AB562" s="378"/>
      <c r="AC562" s="381">
        <v>100648</v>
      </c>
      <c r="AD562" s="378">
        <v>2.7000000000000001E-3</v>
      </c>
      <c r="AE562" s="378">
        <v>1</v>
      </c>
      <c r="AF562" s="378">
        <v>2.7000000000000001E-3</v>
      </c>
      <c r="AG562" s="378"/>
      <c r="AI562" s="378">
        <v>0</v>
      </c>
      <c r="AJ562" s="378">
        <v>0</v>
      </c>
      <c r="AL562" s="286">
        <v>100648</v>
      </c>
      <c r="AM562" s="286"/>
    </row>
    <row r="563" spans="1:39" s="51" customFormat="1" ht="33.75" hidden="1" x14ac:dyDescent="0.25">
      <c r="A563" s="55" t="s">
        <v>4135</v>
      </c>
      <c r="B563" s="55" t="s">
        <v>138</v>
      </c>
      <c r="C563" s="55" t="s">
        <v>4135</v>
      </c>
      <c r="D563" s="55"/>
      <c r="E563" s="56" t="s">
        <v>4137</v>
      </c>
      <c r="F563" s="55" t="s">
        <v>55</v>
      </c>
      <c r="G563" s="57"/>
      <c r="H563" s="58"/>
      <c r="I563" s="58"/>
      <c r="J563" s="58">
        <f>SUM(I563:I565)</f>
        <v>20.79054054054054</v>
      </c>
      <c r="K563" s="58">
        <v>7.0988175675675684</v>
      </c>
      <c r="L563" s="58">
        <v>10.985641891891893</v>
      </c>
      <c r="M563" s="58">
        <v>2.7060810810810811</v>
      </c>
      <c r="N563" s="58">
        <v>0</v>
      </c>
      <c r="O563" s="58">
        <v>0</v>
      </c>
      <c r="P563" s="58"/>
      <c r="Q563" s="56"/>
      <c r="R563" s="56" t="s">
        <v>4136</v>
      </c>
      <c r="S563" s="286" t="str">
        <f t="shared" si="57"/>
        <v/>
      </c>
      <c r="T563" s="286" t="str">
        <f>IF($C563= "", T562, IF(ISNA(VLOOKUP($C563,'ABC-S'!$A$5:$A$271,1,FALSE)), "", VLOOKUP($C563,'ABC-S'!$A$5:$A$271,1,FALSE)))</f>
        <v/>
      </c>
      <c r="W563" s="286" t="s">
        <v>2574</v>
      </c>
      <c r="X563" s="286"/>
      <c r="Y563" s="286"/>
      <c r="Z563" s="286"/>
      <c r="AA563" s="286" t="s">
        <v>21</v>
      </c>
      <c r="AB563" s="378">
        <v>0.5067567567567568</v>
      </c>
      <c r="AC563" s="378"/>
      <c r="AD563" s="335"/>
      <c r="AE563" s="335"/>
      <c r="AF563" s="335"/>
      <c r="AG563" s="378">
        <v>0.59121621621621623</v>
      </c>
      <c r="AI563" s="378" t="s">
        <v>21</v>
      </c>
      <c r="AJ563" s="378" t="s">
        <v>21</v>
      </c>
      <c r="AL563" s="286"/>
      <c r="AM563" s="286"/>
    </row>
    <row r="564" spans="1:39" s="51" customFormat="1" ht="56.25" hidden="1" x14ac:dyDescent="0.25">
      <c r="A564" s="59" t="s">
        <v>4135</v>
      </c>
      <c r="B564" s="59" t="s">
        <v>87</v>
      </c>
      <c r="C564" s="59"/>
      <c r="D564" s="59">
        <v>5824</v>
      </c>
      <c r="E564" s="60" t="s">
        <v>534</v>
      </c>
      <c r="F564" s="59" t="s">
        <v>76</v>
      </c>
      <c r="G564" s="61">
        <f>1 * 1 / 11.84</f>
        <v>8.4459459459459457E-2</v>
      </c>
      <c r="H564" s="62">
        <v>140.5</v>
      </c>
      <c r="I564" s="62">
        <f t="shared" ref="I564:I565" si="58">IF($D564="","",G564*H564)</f>
        <v>11.866554054054054</v>
      </c>
      <c r="J564" s="62"/>
      <c r="K564" s="62">
        <v>1.220439189189189</v>
      </c>
      <c r="L564" s="62">
        <v>7.9400337837837842</v>
      </c>
      <c r="M564" s="62">
        <v>2.7060810810810811</v>
      </c>
      <c r="N564" s="62">
        <v>0</v>
      </c>
      <c r="O564" s="62">
        <v>0</v>
      </c>
      <c r="P564" s="298" t="s">
        <v>4160</v>
      </c>
      <c r="Q564" s="60" t="s">
        <v>27</v>
      </c>
      <c r="R564" s="60" t="s">
        <v>27</v>
      </c>
      <c r="S564" s="286" t="str">
        <f t="shared" si="57"/>
        <v/>
      </c>
      <c r="T564" s="286" t="str">
        <f>IF($C564= "", T563, IF(ISNA(VLOOKUP($C564,'ABC-S'!$A$5:$A$271,1,FALSE)), "", VLOOKUP($C564,'ABC-S'!$A$5:$A$271,1,FALSE)))</f>
        <v/>
      </c>
      <c r="W564" s="286" t="s">
        <v>2574</v>
      </c>
      <c r="X564" s="286" t="s">
        <v>21</v>
      </c>
      <c r="Y564" s="286" t="s">
        <v>423</v>
      </c>
      <c r="Z564" s="286" t="s">
        <v>21</v>
      </c>
      <c r="AA564" s="286" t="s">
        <v>21</v>
      </c>
      <c r="AB564" s="378"/>
      <c r="AC564" s="381">
        <v>5824</v>
      </c>
      <c r="AD564" s="378">
        <v>8.4459459459459457E-2</v>
      </c>
      <c r="AE564" s="378">
        <v>1</v>
      </c>
      <c r="AF564" s="378">
        <v>8.4459459459459457E-2</v>
      </c>
      <c r="AG564" s="378"/>
      <c r="AI564" s="378">
        <v>0</v>
      </c>
      <c r="AJ564" s="378">
        <v>0</v>
      </c>
      <c r="AL564" s="286"/>
      <c r="AM564" s="286">
        <v>370</v>
      </c>
    </row>
    <row r="565" spans="1:39" s="51" customFormat="1" hidden="1" x14ac:dyDescent="0.25">
      <c r="A565" s="59" t="s">
        <v>4135</v>
      </c>
      <c r="B565" s="59" t="s">
        <v>87</v>
      </c>
      <c r="C565" s="59"/>
      <c r="D565" s="59">
        <v>88316</v>
      </c>
      <c r="E565" s="60" t="s">
        <v>649</v>
      </c>
      <c r="F565" s="59" t="s">
        <v>46</v>
      </c>
      <c r="G565" s="61">
        <f>6 / 11.84</f>
        <v>0.5067567567567568</v>
      </c>
      <c r="H565" s="62">
        <v>17.61</v>
      </c>
      <c r="I565" s="62">
        <f t="shared" si="58"/>
        <v>8.9239864864864877</v>
      </c>
      <c r="J565" s="62"/>
      <c r="K565" s="62">
        <v>5.878378378378379</v>
      </c>
      <c r="L565" s="62">
        <v>3.0456081081081083</v>
      </c>
      <c r="M565" s="62">
        <v>0</v>
      </c>
      <c r="N565" s="62">
        <v>0</v>
      </c>
      <c r="O565" s="62">
        <v>0</v>
      </c>
      <c r="P565" s="298" t="s">
        <v>4160</v>
      </c>
      <c r="Q565" s="60" t="s">
        <v>27</v>
      </c>
      <c r="R565" s="60" t="s">
        <v>27</v>
      </c>
      <c r="S565" s="286" t="str">
        <f t="shared" si="57"/>
        <v/>
      </c>
      <c r="T565" s="286" t="str">
        <f>IF($C565= "", T564, IF(ISNA(VLOOKUP($C565,'ABC-S'!$A$5:$A$271,1,FALSE)), "", VLOOKUP($C565,'ABC-S'!$A$5:$A$271,1,FALSE)))</f>
        <v/>
      </c>
      <c r="W565" s="286" t="s">
        <v>2574</v>
      </c>
      <c r="X565" s="286">
        <v>88316</v>
      </c>
      <c r="Y565" s="286" t="s">
        <v>424</v>
      </c>
      <c r="Z565" s="286">
        <v>13</v>
      </c>
      <c r="AA565" s="286">
        <v>0.5067567567567568</v>
      </c>
      <c r="AB565" s="378"/>
      <c r="AC565" s="381" t="s">
        <v>21</v>
      </c>
      <c r="AD565" s="378" t="s">
        <v>21</v>
      </c>
      <c r="AE565" s="378" t="s">
        <v>21</v>
      </c>
      <c r="AF565" s="378" t="s">
        <v>21</v>
      </c>
      <c r="AG565" s="378"/>
      <c r="AI565" s="378">
        <v>0</v>
      </c>
      <c r="AJ565" s="378">
        <v>0</v>
      </c>
      <c r="AL565" s="286"/>
      <c r="AM565" s="286">
        <v>4741</v>
      </c>
    </row>
    <row r="566" spans="1:39" s="51" customFormat="1" ht="22.5" x14ac:dyDescent="0.25">
      <c r="A566" s="55" t="s">
        <v>3794</v>
      </c>
      <c r="B566" s="55" t="s">
        <v>138</v>
      </c>
      <c r="C566" s="55" t="s">
        <v>3794</v>
      </c>
      <c r="D566" s="55"/>
      <c r="E566" s="56" t="s">
        <v>3796</v>
      </c>
      <c r="F566" s="55" t="s">
        <v>44</v>
      </c>
      <c r="G566" s="57"/>
      <c r="H566" s="58"/>
      <c r="I566" s="58"/>
      <c r="J566" s="58">
        <f>SUM(I566:I573)</f>
        <v>180.81818749999999</v>
      </c>
      <c r="K566" s="58">
        <v>18.477656</v>
      </c>
      <c r="L566" s="58">
        <v>151.25712550000003</v>
      </c>
      <c r="M566" s="58">
        <v>11.083406</v>
      </c>
      <c r="N566" s="58">
        <v>0</v>
      </c>
      <c r="O566" s="58">
        <v>-8.8817841970012523E-16</v>
      </c>
      <c r="P566" s="58"/>
      <c r="Q566" s="56"/>
      <c r="R566" s="56" t="s">
        <v>3795</v>
      </c>
      <c r="S566" s="286" t="str">
        <f t="shared" si="57"/>
        <v>SIM</v>
      </c>
      <c r="T566" s="286" t="str">
        <f>IF($C566= "", T562, IF(ISNA(VLOOKUP($C566,'ABC-S'!$A$5:$A$271,1,FALSE)), "", VLOOKUP($C566,'ABC-S'!$A$5:$A$271,1,FALSE)))</f>
        <v>CP0521</v>
      </c>
      <c r="W566" s="286" t="s">
        <v>951</v>
      </c>
      <c r="X566" s="286"/>
      <c r="Y566" s="286"/>
      <c r="Z566" s="286"/>
      <c r="AA566" s="286" t="s">
        <v>21</v>
      </c>
      <c r="AB566" s="378">
        <v>0.71494999999999997</v>
      </c>
      <c r="AC566" s="378"/>
      <c r="AD566" s="335"/>
      <c r="AE566" s="335"/>
      <c r="AF566" s="335"/>
      <c r="AG566" s="378">
        <v>91.102428099999997</v>
      </c>
      <c r="AI566" s="378" t="s">
        <v>21</v>
      </c>
      <c r="AJ566" s="378" t="s">
        <v>21</v>
      </c>
      <c r="AL566" s="286"/>
      <c r="AM566" s="286"/>
    </row>
    <row r="567" spans="1:39" s="51" customFormat="1" ht="22.5" x14ac:dyDescent="0.25">
      <c r="A567" s="59" t="s">
        <v>3794</v>
      </c>
      <c r="B567" s="59" t="s">
        <v>86</v>
      </c>
      <c r="C567" s="59"/>
      <c r="D567" s="59">
        <v>4718</v>
      </c>
      <c r="E567" s="60" t="s">
        <v>102</v>
      </c>
      <c r="F567" s="59" t="s">
        <v>3670</v>
      </c>
      <c r="G567" s="61">
        <v>1.1000000000000001</v>
      </c>
      <c r="H567" s="62">
        <v>128.37</v>
      </c>
      <c r="I567" s="62">
        <f>IF($D567="","",G567*H567)</f>
        <v>141.20700000000002</v>
      </c>
      <c r="J567" s="62"/>
      <c r="K567" s="62">
        <v>0</v>
      </c>
      <c r="L567" s="62">
        <v>141.20700000000002</v>
      </c>
      <c r="M567" s="62">
        <v>0</v>
      </c>
      <c r="N567" s="62">
        <v>0</v>
      </c>
      <c r="O567" s="62">
        <v>0</v>
      </c>
      <c r="P567" s="298" t="s">
        <v>89</v>
      </c>
      <c r="Q567" s="60" t="s">
        <v>27</v>
      </c>
      <c r="R567" s="60" t="s">
        <v>27</v>
      </c>
      <c r="S567" s="286" t="str">
        <f t="shared" si="57"/>
        <v>SIM</v>
      </c>
      <c r="T567" s="286" t="str">
        <f>IF($C567= "", T566, IF(ISNA(VLOOKUP($C567,'ABC-S'!$A$5:$A$271,1,FALSE)), "", VLOOKUP($C567,'ABC-S'!$A$5:$A$271,1,FALSE)))</f>
        <v>CP0521</v>
      </c>
      <c r="W567" s="286" t="s">
        <v>951</v>
      </c>
      <c r="X567" s="286" t="s">
        <v>21</v>
      </c>
      <c r="Y567" s="286" t="s">
        <v>21</v>
      </c>
      <c r="Z567" s="286" t="s">
        <v>21</v>
      </c>
      <c r="AA567" s="286" t="s">
        <v>21</v>
      </c>
      <c r="AB567" s="378"/>
      <c r="AC567" s="381" t="s">
        <v>21</v>
      </c>
      <c r="AD567" s="378" t="s">
        <v>21</v>
      </c>
      <c r="AE567" s="378" t="s">
        <v>21</v>
      </c>
      <c r="AF567" s="378" t="s">
        <v>21</v>
      </c>
      <c r="AG567" s="378"/>
      <c r="AI567" s="378" t="s">
        <v>21</v>
      </c>
      <c r="AJ567" s="378" t="s">
        <v>21</v>
      </c>
      <c r="AL567" s="286"/>
      <c r="AM567" s="286">
        <v>370</v>
      </c>
    </row>
    <row r="568" spans="1:39" s="51" customFormat="1" ht="56.25" x14ac:dyDescent="0.25">
      <c r="A568" s="59" t="s">
        <v>3794</v>
      </c>
      <c r="B568" s="59" t="s">
        <v>87</v>
      </c>
      <c r="C568" s="59"/>
      <c r="D568" s="59">
        <v>5678</v>
      </c>
      <c r="E568" s="60" t="s">
        <v>428</v>
      </c>
      <c r="F568" s="59" t="s">
        <v>76</v>
      </c>
      <c r="G568" s="61">
        <v>7.9399999999999998E-2</v>
      </c>
      <c r="H568" s="62">
        <v>104.85</v>
      </c>
      <c r="I568" s="62">
        <f t="shared" ref="I568" si="59">IF($D568="","",G568*H568)</f>
        <v>8.3250899999999994</v>
      </c>
      <c r="J568" s="62"/>
      <c r="K568" s="62">
        <v>1.402204</v>
      </c>
      <c r="L568" s="62">
        <v>3.64446</v>
      </c>
      <c r="M568" s="62">
        <v>3.2784260000000001</v>
      </c>
      <c r="N568" s="62">
        <v>0</v>
      </c>
      <c r="O568" s="62">
        <v>0</v>
      </c>
      <c r="P568" s="298" t="s">
        <v>4160</v>
      </c>
      <c r="Q568" s="60" t="s">
        <v>27</v>
      </c>
      <c r="R568" s="60" t="s">
        <v>27</v>
      </c>
      <c r="S568" s="286" t="str">
        <f t="shared" si="57"/>
        <v>SIM</v>
      </c>
      <c r="T568" s="286" t="str">
        <f>IF($C568= "", T567, IF(ISNA(VLOOKUP($C568,'ABC-S'!$A$5:$A$271,1,FALSE)), "", VLOOKUP($C568,'ABC-S'!$A$5:$A$271,1,FALSE)))</f>
        <v>CP0521</v>
      </c>
      <c r="W568" s="286" t="s">
        <v>951</v>
      </c>
      <c r="X568" s="286" t="s">
        <v>21</v>
      </c>
      <c r="Y568" s="286" t="s">
        <v>423</v>
      </c>
      <c r="Z568" s="286" t="s">
        <v>21</v>
      </c>
      <c r="AA568" s="286" t="s">
        <v>21</v>
      </c>
      <c r="AB568" s="378"/>
      <c r="AC568" s="381">
        <v>5678</v>
      </c>
      <c r="AD568" s="378">
        <v>7.9399999999999998E-2</v>
      </c>
      <c r="AE568" s="378">
        <v>1</v>
      </c>
      <c r="AF568" s="378">
        <v>7.9399999999999998E-2</v>
      </c>
      <c r="AG568" s="378"/>
      <c r="AI568" s="378">
        <v>0</v>
      </c>
      <c r="AJ568" s="378">
        <v>0</v>
      </c>
      <c r="AL568" s="286"/>
      <c r="AM568" s="286">
        <v>1106</v>
      </c>
    </row>
    <row r="569" spans="1:39" s="51" customFormat="1" ht="56.25" x14ac:dyDescent="0.25">
      <c r="A569" s="59" t="s">
        <v>3794</v>
      </c>
      <c r="B569" s="59" t="s">
        <v>87</v>
      </c>
      <c r="C569" s="59"/>
      <c r="D569" s="59">
        <v>5679</v>
      </c>
      <c r="E569" s="60" t="s">
        <v>433</v>
      </c>
      <c r="F569" s="59" t="s">
        <v>75</v>
      </c>
      <c r="G569" s="61">
        <v>0.3972</v>
      </c>
      <c r="H569" s="62">
        <v>42.54</v>
      </c>
      <c r="I569" s="62">
        <f>IF($D569="","",G569*H569)</f>
        <v>16.896888000000001</v>
      </c>
      <c r="J569" s="62"/>
      <c r="K569" s="62">
        <v>7.0145520000000001</v>
      </c>
      <c r="L569" s="62">
        <v>2.077356</v>
      </c>
      <c r="M569" s="62">
        <v>7.8049799999999996</v>
      </c>
      <c r="N569" s="62">
        <v>0</v>
      </c>
      <c r="O569" s="62">
        <v>0</v>
      </c>
      <c r="P569" s="298" t="s">
        <v>4160</v>
      </c>
      <c r="Q569" s="60" t="s">
        <v>27</v>
      </c>
      <c r="R569" s="60" t="s">
        <v>27</v>
      </c>
      <c r="S569" s="286" t="str">
        <f t="shared" si="57"/>
        <v>SIM</v>
      </c>
      <c r="T569" s="286" t="str">
        <f>IF($C569= "", T568, IF(ISNA(VLOOKUP($C569,'ABC-S'!$A$5:$A$271,1,FALSE)), "", VLOOKUP($C569,'ABC-S'!$A$5:$A$271,1,FALSE)))</f>
        <v>CP0521</v>
      </c>
      <c r="W569" s="286" t="s">
        <v>951</v>
      </c>
      <c r="X569" s="286" t="s">
        <v>21</v>
      </c>
      <c r="Y569" s="286" t="s">
        <v>423</v>
      </c>
      <c r="Z569" s="286" t="s">
        <v>21</v>
      </c>
      <c r="AA569" s="286" t="s">
        <v>21</v>
      </c>
      <c r="AB569" s="378"/>
      <c r="AC569" s="381">
        <v>5679</v>
      </c>
      <c r="AD569" s="378">
        <v>0.3972</v>
      </c>
      <c r="AE569" s="378">
        <v>1</v>
      </c>
      <c r="AF569" s="378">
        <v>0.3972</v>
      </c>
      <c r="AG569" s="378"/>
      <c r="AI569" s="378">
        <v>0</v>
      </c>
      <c r="AJ569" s="378">
        <v>0</v>
      </c>
      <c r="AL569" s="286"/>
      <c r="AM569" s="286">
        <v>4720</v>
      </c>
    </row>
    <row r="570" spans="1:39" s="51" customFormat="1" ht="22.5" x14ac:dyDescent="0.25">
      <c r="A570" s="59" t="s">
        <v>3794</v>
      </c>
      <c r="B570" s="59" t="s">
        <v>87</v>
      </c>
      <c r="C570" s="59"/>
      <c r="D570" s="59">
        <v>88309</v>
      </c>
      <c r="E570" s="60" t="s">
        <v>617</v>
      </c>
      <c r="F570" s="59" t="s">
        <v>46</v>
      </c>
      <c r="G570" s="61">
        <f>0.572 * 50%</f>
        <v>0.28599999999999998</v>
      </c>
      <c r="H570" s="62">
        <v>23.9</v>
      </c>
      <c r="I570" s="62">
        <f>IF($D570="","",G570*H570)</f>
        <v>6.835399999999999</v>
      </c>
      <c r="J570" s="62"/>
      <c r="K570" s="62">
        <v>5.0850799999999996</v>
      </c>
      <c r="L570" s="62">
        <v>1.7503199999999999</v>
      </c>
      <c r="M570" s="62">
        <v>0</v>
      </c>
      <c r="N570" s="62">
        <v>0</v>
      </c>
      <c r="O570" s="62">
        <v>-8.8817841970012523E-16</v>
      </c>
      <c r="P570" s="298" t="s">
        <v>4160</v>
      </c>
      <c r="Q570" s="60" t="s">
        <v>27</v>
      </c>
      <c r="R570" s="60" t="s">
        <v>995</v>
      </c>
      <c r="S570" s="286" t="str">
        <f t="shared" si="57"/>
        <v>SIM</v>
      </c>
      <c r="T570" s="286" t="str">
        <f>IF($C570= "", T569, IF(ISNA(VLOOKUP($C570,'ABC-S'!$A$5:$A$271,1,FALSE)), "", VLOOKUP($C570,'ABC-S'!$A$5:$A$271,1,FALSE)))</f>
        <v>CP0521</v>
      </c>
      <c r="W570" s="286" t="s">
        <v>951</v>
      </c>
      <c r="X570" s="286">
        <v>88309</v>
      </c>
      <c r="Y570" s="286" t="s">
        <v>424</v>
      </c>
      <c r="Z570" s="335">
        <v>0</v>
      </c>
      <c r="AA570" s="286">
        <v>0.28599999999999998</v>
      </c>
      <c r="AB570" s="378"/>
      <c r="AC570" s="381" t="s">
        <v>21</v>
      </c>
      <c r="AD570" s="378" t="s">
        <v>21</v>
      </c>
      <c r="AE570" s="378" t="s">
        <v>21</v>
      </c>
      <c r="AF570" s="378" t="s">
        <v>21</v>
      </c>
      <c r="AG570" s="378"/>
      <c r="AI570" s="378">
        <v>0</v>
      </c>
      <c r="AJ570" s="378">
        <v>0</v>
      </c>
      <c r="AL570" s="286">
        <v>5940</v>
      </c>
      <c r="AM570" s="286"/>
    </row>
    <row r="571" spans="1:39" s="51" customFormat="1" ht="22.5" x14ac:dyDescent="0.25">
      <c r="A571" s="59" t="s">
        <v>3794</v>
      </c>
      <c r="B571" s="59" t="s">
        <v>87</v>
      </c>
      <c r="C571" s="59"/>
      <c r="D571" s="59">
        <v>88316</v>
      </c>
      <c r="E571" s="60" t="s">
        <v>649</v>
      </c>
      <c r="F571" s="59" t="s">
        <v>46</v>
      </c>
      <c r="G571" s="61">
        <f>0.8579 * 50%</f>
        <v>0.42895</v>
      </c>
      <c r="H571" s="62">
        <v>17.61</v>
      </c>
      <c r="I571" s="62">
        <f t="shared" ref="I571:I573" si="60">IF($D571="","",G571*H571)</f>
        <v>7.5538094999999998</v>
      </c>
      <c r="J571" s="62"/>
      <c r="K571" s="62">
        <v>4.9758199999999997</v>
      </c>
      <c r="L571" s="62">
        <v>2.5779894999999997</v>
      </c>
      <c r="M571" s="62">
        <v>0</v>
      </c>
      <c r="N571" s="62">
        <v>0</v>
      </c>
      <c r="O571" s="62">
        <v>0</v>
      </c>
      <c r="P571" s="298" t="s">
        <v>4160</v>
      </c>
      <c r="Q571" s="60" t="s">
        <v>27</v>
      </c>
      <c r="R571" s="60" t="s">
        <v>995</v>
      </c>
      <c r="S571" s="286" t="str">
        <f t="shared" si="57"/>
        <v>SIM</v>
      </c>
      <c r="T571" s="286" t="str">
        <f>IF($C571= "", T570, IF(ISNA(VLOOKUP($C571,'ABC-S'!$A$5:$A$271,1,FALSE)), "", VLOOKUP($C571,'ABC-S'!$A$5:$A$271,1,FALSE)))</f>
        <v>CP0521</v>
      </c>
      <c r="W571" s="286" t="s">
        <v>951</v>
      </c>
      <c r="X571" s="286">
        <v>88316</v>
      </c>
      <c r="Y571" s="286" t="s">
        <v>424</v>
      </c>
      <c r="Z571" s="335">
        <v>0</v>
      </c>
      <c r="AA571" s="286">
        <v>0.42895</v>
      </c>
      <c r="AB571" s="378"/>
      <c r="AC571" s="381" t="s">
        <v>21</v>
      </c>
      <c r="AD571" s="378" t="s">
        <v>21</v>
      </c>
      <c r="AE571" s="378" t="s">
        <v>21</v>
      </c>
      <c r="AF571" s="378" t="s">
        <v>21</v>
      </c>
      <c r="AG571" s="378"/>
      <c r="AI571" s="378">
        <v>0</v>
      </c>
      <c r="AJ571" s="378">
        <v>0</v>
      </c>
      <c r="AL571" s="286">
        <v>5942</v>
      </c>
      <c r="AM571" s="286"/>
    </row>
    <row r="572" spans="1:39" s="51" customFormat="1" ht="33.75" x14ac:dyDescent="0.25">
      <c r="A572" s="59" t="s">
        <v>3794</v>
      </c>
      <c r="B572" s="59" t="s">
        <v>87</v>
      </c>
      <c r="C572" s="59"/>
      <c r="D572" s="59">
        <v>91533</v>
      </c>
      <c r="E572" s="60" t="s">
        <v>539</v>
      </c>
      <c r="F572" s="59" t="s">
        <v>76</v>
      </c>
      <c r="G572" s="61">
        <f>0.0325 * 0</f>
        <v>0</v>
      </c>
      <c r="H572" s="62">
        <v>26.16</v>
      </c>
      <c r="I572" s="62">
        <f t="shared" si="60"/>
        <v>0</v>
      </c>
      <c r="J572" s="62"/>
      <c r="K572" s="62">
        <v>0</v>
      </c>
      <c r="L572" s="62">
        <v>0</v>
      </c>
      <c r="M572" s="62">
        <v>0</v>
      </c>
      <c r="N572" s="62">
        <v>0</v>
      </c>
      <c r="O572" s="62">
        <v>0</v>
      </c>
      <c r="P572" s="298" t="s">
        <v>4160</v>
      </c>
      <c r="Q572" s="60" t="s">
        <v>27</v>
      </c>
      <c r="R572" s="60" t="s">
        <v>3797</v>
      </c>
      <c r="S572" s="286" t="str">
        <f t="shared" si="57"/>
        <v>SIM</v>
      </c>
      <c r="T572" s="286" t="str">
        <f>IF($C572= "", T571, IF(ISNA(VLOOKUP($C572,'ABC-S'!$A$5:$A$271,1,FALSE)), "", VLOOKUP($C572,'ABC-S'!$A$5:$A$271,1,FALSE)))</f>
        <v>CP0521</v>
      </c>
      <c r="W572" s="286" t="s">
        <v>951</v>
      </c>
      <c r="X572" s="286" t="s">
        <v>21</v>
      </c>
      <c r="Y572" s="286" t="s">
        <v>423</v>
      </c>
      <c r="Z572" s="335" t="s">
        <v>21</v>
      </c>
      <c r="AA572" s="286" t="s">
        <v>21</v>
      </c>
      <c r="AB572" s="378"/>
      <c r="AC572" s="381">
        <v>91533</v>
      </c>
      <c r="AD572" s="378">
        <v>0</v>
      </c>
      <c r="AE572" s="378">
        <v>1</v>
      </c>
      <c r="AF572" s="378">
        <v>0</v>
      </c>
      <c r="AG572" s="378"/>
      <c r="AI572" s="378">
        <v>0</v>
      </c>
      <c r="AJ572" s="378">
        <v>0</v>
      </c>
      <c r="AL572" s="286">
        <v>7030</v>
      </c>
      <c r="AM572" s="286"/>
    </row>
    <row r="573" spans="1:39" s="51" customFormat="1" ht="33.75" x14ac:dyDescent="0.25">
      <c r="A573" s="59" t="s">
        <v>3794</v>
      </c>
      <c r="B573" s="59" t="s">
        <v>87</v>
      </c>
      <c r="C573" s="59"/>
      <c r="D573" s="59">
        <v>91534</v>
      </c>
      <c r="E573" s="60" t="s">
        <v>538</v>
      </c>
      <c r="F573" s="59" t="s">
        <v>75</v>
      </c>
      <c r="G573" s="61">
        <f>0.0302 * 0</f>
        <v>0</v>
      </c>
      <c r="H573" s="62">
        <v>19.399999999999999</v>
      </c>
      <c r="I573" s="62">
        <f t="shared" si="60"/>
        <v>0</v>
      </c>
      <c r="J573" s="62"/>
      <c r="K573" s="62">
        <v>0</v>
      </c>
      <c r="L573" s="62">
        <v>0</v>
      </c>
      <c r="M573" s="62">
        <v>0</v>
      </c>
      <c r="N573" s="62">
        <v>0</v>
      </c>
      <c r="O573" s="62">
        <v>0</v>
      </c>
      <c r="P573" s="298" t="s">
        <v>4160</v>
      </c>
      <c r="Q573" s="60" t="s">
        <v>27</v>
      </c>
      <c r="R573" s="60" t="s">
        <v>3797</v>
      </c>
      <c r="S573" s="286" t="str">
        <f t="shared" si="57"/>
        <v>SIM</v>
      </c>
      <c r="T573" s="286" t="str">
        <f>IF($C573= "", T572, IF(ISNA(VLOOKUP($C573,'ABC-S'!$A$5:$A$271,1,FALSE)), "", VLOOKUP($C573,'ABC-S'!$A$5:$A$271,1,FALSE)))</f>
        <v>CP0521</v>
      </c>
      <c r="W573" s="286" t="s">
        <v>951</v>
      </c>
      <c r="X573" s="286" t="s">
        <v>21</v>
      </c>
      <c r="Y573" s="286" t="s">
        <v>423</v>
      </c>
      <c r="Z573" s="335" t="s">
        <v>21</v>
      </c>
      <c r="AA573" s="286" t="s">
        <v>21</v>
      </c>
      <c r="AB573" s="378"/>
      <c r="AC573" s="381">
        <v>91534</v>
      </c>
      <c r="AD573" s="378">
        <v>0</v>
      </c>
      <c r="AE573" s="378">
        <v>1</v>
      </c>
      <c r="AF573" s="378">
        <v>0</v>
      </c>
      <c r="AG573" s="378"/>
      <c r="AI573" s="378">
        <v>0</v>
      </c>
      <c r="AJ573" s="378">
        <v>0</v>
      </c>
      <c r="AL573" s="286">
        <v>7030</v>
      </c>
      <c r="AM573" s="286"/>
    </row>
    <row r="574" spans="1:39" s="51" customFormat="1" ht="45" x14ac:dyDescent="0.25">
      <c r="A574" s="55" t="s">
        <v>3844</v>
      </c>
      <c r="B574" s="55" t="s">
        <v>138</v>
      </c>
      <c r="C574" s="55" t="s">
        <v>3844</v>
      </c>
      <c r="D574" s="55"/>
      <c r="E574" s="56" t="s">
        <v>3852</v>
      </c>
      <c r="F574" s="55" t="s">
        <v>41</v>
      </c>
      <c r="G574" s="57"/>
      <c r="H574" s="58"/>
      <c r="I574" s="58"/>
      <c r="J574" s="58">
        <f>SUM(I574:I602)</f>
        <v>8274.4325299820612</v>
      </c>
      <c r="K574" s="58">
        <v>1137.723739709</v>
      </c>
      <c r="L574" s="58">
        <v>6486.2656100610639</v>
      </c>
      <c r="M574" s="58">
        <v>648.63133021200008</v>
      </c>
      <c r="N574" s="58">
        <v>0</v>
      </c>
      <c r="O574" s="58">
        <v>1.8118499999999038</v>
      </c>
      <c r="P574" s="58"/>
      <c r="Q574" s="56"/>
      <c r="R574" s="56" t="s">
        <v>138</v>
      </c>
      <c r="S574" s="286" t="str">
        <f t="shared" si="57"/>
        <v>SIM</v>
      </c>
      <c r="T574" s="286" t="str">
        <f>IF($C574= "", T573, IF(ISNA(VLOOKUP($C574,'ABC-S'!$A$5:$A$271,1,FALSE)), "", VLOOKUP($C574,'ABC-S'!$A$5:$A$271,1,FALSE)))</f>
        <v>CP0522</v>
      </c>
      <c r="W574" s="286" t="s">
        <v>951</v>
      </c>
      <c r="X574" s="286"/>
      <c r="Y574" s="286"/>
      <c r="Z574" s="286"/>
      <c r="AA574" s="286" t="s">
        <v>21</v>
      </c>
      <c r="AB574" s="378">
        <v>0</v>
      </c>
      <c r="AC574" s="378"/>
      <c r="AD574" s="335"/>
      <c r="AE574" s="335"/>
      <c r="AF574" s="335"/>
      <c r="AG574" s="378">
        <v>89.910878100000005</v>
      </c>
      <c r="AI574" s="378" t="s">
        <v>21</v>
      </c>
      <c r="AJ574" s="378" t="s">
        <v>21</v>
      </c>
      <c r="AL574" s="286"/>
      <c r="AM574" s="286"/>
    </row>
    <row r="575" spans="1:39" s="51" customFormat="1" ht="67.5" x14ac:dyDescent="0.25">
      <c r="A575" s="59" t="s">
        <v>3844</v>
      </c>
      <c r="B575" s="248" t="s">
        <v>87</v>
      </c>
      <c r="C575" s="248"/>
      <c r="D575" s="248">
        <v>90082</v>
      </c>
      <c r="E575" s="60" t="s">
        <v>1294</v>
      </c>
      <c r="F575" s="59" t="s">
        <v>44</v>
      </c>
      <c r="G575" s="61">
        <f>7.8*1.5</f>
        <v>11.7</v>
      </c>
      <c r="H575" s="62">
        <v>8.0500000000000007</v>
      </c>
      <c r="I575" s="62">
        <f>IF($D575="","",G575*H575)</f>
        <v>94.185000000000002</v>
      </c>
      <c r="J575" s="62"/>
      <c r="K575" s="62">
        <v>22.931999999999999</v>
      </c>
      <c r="L575" s="62">
        <v>26.792999999999999</v>
      </c>
      <c r="M575" s="62">
        <v>44.459999999999994</v>
      </c>
      <c r="N575" s="62">
        <v>0</v>
      </c>
      <c r="O575" s="62">
        <v>1.4210854715202004E-14</v>
      </c>
      <c r="P575" s="298" t="s">
        <v>4160</v>
      </c>
      <c r="Q575" s="60" t="s">
        <v>27</v>
      </c>
      <c r="R575" s="60" t="s">
        <v>138</v>
      </c>
      <c r="S575" s="286" t="str">
        <f t="shared" si="57"/>
        <v>SIM</v>
      </c>
      <c r="T575" s="286" t="str">
        <f>IF($C575= "", T574, IF(ISNA(VLOOKUP($C575,'ABC-S'!$A$5:$A$271,1,FALSE)), "", VLOOKUP($C575,'ABC-S'!$A$5:$A$271,1,FALSE)))</f>
        <v>CP0522</v>
      </c>
      <c r="W575" s="286" t="s">
        <v>951</v>
      </c>
      <c r="X575" s="286" t="s">
        <v>21</v>
      </c>
      <c r="Y575" s="286" t="s">
        <v>1513</v>
      </c>
      <c r="Z575" s="286" t="s">
        <v>21</v>
      </c>
      <c r="AA575" s="286" t="s">
        <v>21</v>
      </c>
      <c r="AB575" s="378"/>
      <c r="AC575" s="381">
        <v>90082</v>
      </c>
      <c r="AD575" s="378">
        <v>11.7</v>
      </c>
      <c r="AE575" s="378">
        <v>0.13430000000000003</v>
      </c>
      <c r="AF575" s="378">
        <v>1.5713100000000002</v>
      </c>
      <c r="AG575" s="378"/>
      <c r="AI575" s="378">
        <v>0</v>
      </c>
      <c r="AJ575" s="378">
        <v>0</v>
      </c>
      <c r="AL575" s="286"/>
      <c r="AM575" s="286">
        <v>370</v>
      </c>
    </row>
    <row r="576" spans="1:39" s="51" customFormat="1" ht="78.75" x14ac:dyDescent="0.25">
      <c r="A576" s="59" t="s">
        <v>3844</v>
      </c>
      <c r="B576" s="248" t="s">
        <v>87</v>
      </c>
      <c r="C576" s="248"/>
      <c r="D576" s="248">
        <v>102278</v>
      </c>
      <c r="E576" s="60" t="s">
        <v>1301</v>
      </c>
      <c r="F576" s="59" t="s">
        <v>44</v>
      </c>
      <c r="G576" s="61">
        <f>7.8*0.35</f>
        <v>2.73</v>
      </c>
      <c r="H576" s="62">
        <v>7</v>
      </c>
      <c r="I576" s="62">
        <f t="shared" ref="I576" si="61">IF($D576="","",G576*H576)</f>
        <v>19.11</v>
      </c>
      <c r="J576" s="62"/>
      <c r="K576" s="62">
        <v>4.1223000000000001</v>
      </c>
      <c r="L576" s="62">
        <v>6.1152000000000006</v>
      </c>
      <c r="M576" s="62">
        <v>8.8725000000000005</v>
      </c>
      <c r="N576" s="62">
        <v>0</v>
      </c>
      <c r="O576" s="62">
        <v>0</v>
      </c>
      <c r="P576" s="298" t="s">
        <v>4160</v>
      </c>
      <c r="Q576" s="60" t="s">
        <v>27</v>
      </c>
      <c r="R576" s="60" t="s">
        <v>138</v>
      </c>
      <c r="S576" s="286" t="str">
        <f t="shared" si="57"/>
        <v>SIM</v>
      </c>
      <c r="T576" s="286" t="str">
        <f>IF($C576= "", T575, IF(ISNA(VLOOKUP($C576,'ABC-S'!$A$5:$A$271,1,FALSE)), "", VLOOKUP($C576,'ABC-S'!$A$5:$A$271,1,FALSE)))</f>
        <v>CP0522</v>
      </c>
      <c r="W576" s="286" t="s">
        <v>951</v>
      </c>
      <c r="X576" s="286" t="s">
        <v>21</v>
      </c>
      <c r="Y576" s="286" t="s">
        <v>1513</v>
      </c>
      <c r="Z576" s="286" t="s">
        <v>21</v>
      </c>
      <c r="AA576" s="286" t="s">
        <v>21</v>
      </c>
      <c r="AB576" s="378"/>
      <c r="AC576" s="381">
        <v>102278</v>
      </c>
      <c r="AD576" s="378">
        <v>2.73</v>
      </c>
      <c r="AE576" s="378">
        <v>0.1036</v>
      </c>
      <c r="AF576" s="378">
        <v>0.28282799999999997</v>
      </c>
      <c r="AG576" s="378"/>
      <c r="AI576" s="378">
        <v>0</v>
      </c>
      <c r="AJ576" s="378">
        <v>0</v>
      </c>
      <c r="AL576" s="286"/>
      <c r="AM576" s="286">
        <v>1106</v>
      </c>
    </row>
    <row r="577" spans="1:39" s="51" customFormat="1" ht="33.75" x14ac:dyDescent="0.25">
      <c r="A577" s="59" t="s">
        <v>3844</v>
      </c>
      <c r="B577" s="248" t="s">
        <v>87</v>
      </c>
      <c r="C577" s="248"/>
      <c r="D577" s="248">
        <v>101617</v>
      </c>
      <c r="E577" s="60" t="s">
        <v>1166</v>
      </c>
      <c r="F577" s="59" t="s">
        <v>51</v>
      </c>
      <c r="G577" s="61">
        <v>7.8</v>
      </c>
      <c r="H577" s="62">
        <v>2.61</v>
      </c>
      <c r="I577" s="62">
        <f>IF($D577="","",G577*H577)</f>
        <v>20.357999999999997</v>
      </c>
      <c r="J577" s="62"/>
      <c r="K577" s="62">
        <v>14.664</v>
      </c>
      <c r="L577" s="62">
        <v>5.694</v>
      </c>
      <c r="M577" s="62">
        <v>0</v>
      </c>
      <c r="N577" s="62">
        <v>0</v>
      </c>
      <c r="O577" s="62">
        <v>-3.5527136788005009E-15</v>
      </c>
      <c r="P577" s="298" t="s">
        <v>4160</v>
      </c>
      <c r="Q577" s="60" t="s">
        <v>27</v>
      </c>
      <c r="R577" s="60" t="s">
        <v>138</v>
      </c>
      <c r="S577" s="286" t="str">
        <f t="shared" si="57"/>
        <v>SIM</v>
      </c>
      <c r="T577" s="286" t="str">
        <f>IF($C577= "", T576, IF(ISNA(VLOOKUP($C577,'ABC-S'!$A$5:$A$271,1,FALSE)), "", VLOOKUP($C577,'ABC-S'!$A$5:$A$271,1,FALSE)))</f>
        <v>CP0522</v>
      </c>
      <c r="W577" s="286" t="s">
        <v>951</v>
      </c>
      <c r="X577" s="286" t="s">
        <v>21</v>
      </c>
      <c r="Y577" s="286" t="s">
        <v>1513</v>
      </c>
      <c r="Z577" s="286" t="s">
        <v>21</v>
      </c>
      <c r="AA577" s="286" t="s">
        <v>21</v>
      </c>
      <c r="AB577" s="378"/>
      <c r="AC577" s="381">
        <v>101617</v>
      </c>
      <c r="AD577" s="378">
        <v>7.8</v>
      </c>
      <c r="AE577" s="378">
        <v>0.12990000000000002</v>
      </c>
      <c r="AF577" s="378">
        <v>1.01322</v>
      </c>
      <c r="AG577" s="378"/>
      <c r="AI577" s="378">
        <v>0</v>
      </c>
      <c r="AJ577" s="378">
        <v>0</v>
      </c>
      <c r="AL577" s="286"/>
      <c r="AM577" s="286">
        <v>4720</v>
      </c>
    </row>
    <row r="578" spans="1:39" s="51" customFormat="1" ht="22.5" x14ac:dyDescent="0.25">
      <c r="A578" s="59" t="s">
        <v>3844</v>
      </c>
      <c r="B578" s="248" t="s">
        <v>87</v>
      </c>
      <c r="C578" s="248"/>
      <c r="D578" s="248">
        <v>96620</v>
      </c>
      <c r="E578" s="60" t="s">
        <v>1308</v>
      </c>
      <c r="F578" s="59" t="s">
        <v>44</v>
      </c>
      <c r="G578" s="61">
        <v>0.39</v>
      </c>
      <c r="H578" s="62">
        <v>525.14</v>
      </c>
      <c r="I578" s="62">
        <f>IF($D578="","",G578*H578)</f>
        <v>204.80459999999999</v>
      </c>
      <c r="J578" s="62"/>
      <c r="K578" s="62">
        <v>62.575499999999998</v>
      </c>
      <c r="L578" s="62">
        <v>140.74709999999999</v>
      </c>
      <c r="M578" s="62">
        <v>0.99449999999999994</v>
      </c>
      <c r="N578" s="62">
        <v>0</v>
      </c>
      <c r="O578" s="62">
        <v>0.48750000000001137</v>
      </c>
      <c r="P578" s="298" t="s">
        <v>4160</v>
      </c>
      <c r="Q578" s="60" t="s">
        <v>27</v>
      </c>
      <c r="R578" s="60" t="s">
        <v>138</v>
      </c>
      <c r="S578" s="286" t="str">
        <f t="shared" si="57"/>
        <v>SIM</v>
      </c>
      <c r="T578" s="286" t="str">
        <f>IF($C578= "", T577, IF(ISNA(VLOOKUP($C578,'ABC-S'!$A$5:$A$271,1,FALSE)), "", VLOOKUP($C578,'ABC-S'!$A$5:$A$271,1,FALSE)))</f>
        <v>CP0522</v>
      </c>
      <c r="W578" s="286" t="s">
        <v>951</v>
      </c>
      <c r="X578" s="286" t="s">
        <v>21</v>
      </c>
      <c r="Y578" s="286" t="s">
        <v>1513</v>
      </c>
      <c r="Z578" s="335" t="s">
        <v>21</v>
      </c>
      <c r="AA578" s="286" t="s">
        <v>21</v>
      </c>
      <c r="AB578" s="378"/>
      <c r="AC578" s="381">
        <v>96620</v>
      </c>
      <c r="AD578" s="378">
        <v>0.39</v>
      </c>
      <c r="AE578" s="378">
        <v>10.804148999999999</v>
      </c>
      <c r="AF578" s="378">
        <v>4.2136181099999996</v>
      </c>
      <c r="AG578" s="378"/>
      <c r="AI578" s="378">
        <v>1.1299999999999999</v>
      </c>
      <c r="AJ578" s="378">
        <v>0.44069999999999998</v>
      </c>
      <c r="AL578" s="286">
        <v>5940</v>
      </c>
      <c r="AM578" s="286"/>
    </row>
    <row r="579" spans="1:39" s="51" customFormat="1" ht="33.75" x14ac:dyDescent="0.25">
      <c r="A579" s="59" t="s">
        <v>3844</v>
      </c>
      <c r="B579" s="248" t="s">
        <v>87</v>
      </c>
      <c r="C579" s="248"/>
      <c r="D579" s="248" t="s">
        <v>3847</v>
      </c>
      <c r="E579" s="60" t="s">
        <v>3853</v>
      </c>
      <c r="F579" s="59" t="s">
        <v>51</v>
      </c>
      <c r="G579" s="61">
        <f>2.91*2</f>
        <v>5.82</v>
      </c>
      <c r="H579" s="62">
        <v>104.38408620999999</v>
      </c>
      <c r="I579" s="62">
        <f t="shared" ref="I579:I598" si="62">IF($D579="","",G579*H579)</f>
        <v>607.51538174220002</v>
      </c>
      <c r="J579" s="62"/>
      <c r="K579" s="62">
        <v>109.03346304000002</v>
      </c>
      <c r="L579" s="62">
        <v>226.45511870220002</v>
      </c>
      <c r="M579" s="62">
        <v>272.02680000000004</v>
      </c>
      <c r="N579" s="62">
        <v>0</v>
      </c>
      <c r="O579" s="62">
        <v>-1.1368683772161603E-13</v>
      </c>
      <c r="P579" s="298" t="s">
        <v>4160</v>
      </c>
      <c r="Q579" s="60" t="s">
        <v>27</v>
      </c>
      <c r="R579" s="60" t="s">
        <v>138</v>
      </c>
      <c r="S579" s="286" t="str">
        <f t="shared" si="57"/>
        <v>SIM</v>
      </c>
      <c r="T579" s="286" t="str">
        <f>IF($C579= "", T578, IF(ISNA(VLOOKUP($C579,'ABC-S'!$A$5:$A$271,1,FALSE)), "", VLOOKUP($C579,'ABC-S'!$A$5:$A$271,1,FALSE)))</f>
        <v>CP0522</v>
      </c>
      <c r="W579" s="286" t="s">
        <v>951</v>
      </c>
      <c r="X579" s="286" t="s">
        <v>21</v>
      </c>
      <c r="Y579" s="286" t="s">
        <v>1513</v>
      </c>
      <c r="Z579" s="335" t="s">
        <v>21</v>
      </c>
      <c r="AA579" s="286" t="s">
        <v>21</v>
      </c>
      <c r="AB579" s="378"/>
      <c r="AC579" s="381" t="s">
        <v>3847</v>
      </c>
      <c r="AD579" s="378">
        <v>5.82</v>
      </c>
      <c r="AE579" s="378">
        <v>1.94414</v>
      </c>
      <c r="AF579" s="378">
        <v>11.314894800000001</v>
      </c>
      <c r="AG579" s="378"/>
      <c r="AI579" s="378" t="s">
        <v>21</v>
      </c>
      <c r="AJ579" s="378" t="s">
        <v>21</v>
      </c>
      <c r="AL579" s="286">
        <v>5940</v>
      </c>
      <c r="AM579" s="286"/>
    </row>
    <row r="580" spans="1:39" s="51" customFormat="1" ht="33.75" x14ac:dyDescent="0.25">
      <c r="A580" s="59" t="s">
        <v>3844</v>
      </c>
      <c r="B580" s="248" t="s">
        <v>87</v>
      </c>
      <c r="C580" s="248"/>
      <c r="D580" s="248">
        <v>89356</v>
      </c>
      <c r="E580" s="60" t="s">
        <v>666</v>
      </c>
      <c r="F580" s="59" t="s">
        <v>22</v>
      </c>
      <c r="G580" s="61">
        <v>1</v>
      </c>
      <c r="H580" s="62">
        <v>19.899999999999999</v>
      </c>
      <c r="I580" s="62">
        <f t="shared" si="62"/>
        <v>19.899999999999999</v>
      </c>
      <c r="J580" s="62"/>
      <c r="K580" s="62">
        <v>11.19</v>
      </c>
      <c r="L580" s="62">
        <v>8.7100000000000009</v>
      </c>
      <c r="M580" s="62">
        <v>0</v>
      </c>
      <c r="N580" s="62">
        <v>0</v>
      </c>
      <c r="O580" s="62">
        <v>0</v>
      </c>
      <c r="P580" s="298" t="s">
        <v>4160</v>
      </c>
      <c r="Q580" s="60" t="s">
        <v>27</v>
      </c>
      <c r="R580" s="60" t="s">
        <v>138</v>
      </c>
      <c r="S580" s="286" t="str">
        <f t="shared" si="57"/>
        <v>SIM</v>
      </c>
      <c r="T580" s="286" t="str">
        <f>IF($C580= "", T579, IF(ISNA(VLOOKUP($C580,'ABC-S'!$A$5:$A$271,1,FALSE)), "", VLOOKUP($C580,'ABC-S'!$A$5:$A$271,1,FALSE)))</f>
        <v>CP0522</v>
      </c>
      <c r="W580" s="286" t="s">
        <v>951</v>
      </c>
      <c r="X580" s="286" t="s">
        <v>21</v>
      </c>
      <c r="Y580" s="286" t="s">
        <v>1513</v>
      </c>
      <c r="Z580" s="335" t="s">
        <v>21</v>
      </c>
      <c r="AA580" s="286" t="s">
        <v>21</v>
      </c>
      <c r="AB580" s="378"/>
      <c r="AC580" s="381">
        <v>89356</v>
      </c>
      <c r="AD580" s="378">
        <v>1</v>
      </c>
      <c r="AE580" s="378">
        <v>0.73799999999999999</v>
      </c>
      <c r="AF580" s="378">
        <v>0.73799999999999999</v>
      </c>
      <c r="AG580" s="378"/>
      <c r="AI580" s="378">
        <v>0</v>
      </c>
      <c r="AJ580" s="378">
        <v>0</v>
      </c>
      <c r="AL580" s="286">
        <v>5940</v>
      </c>
      <c r="AM580" s="286"/>
    </row>
    <row r="581" spans="1:39" s="51" customFormat="1" ht="33.75" x14ac:dyDescent="0.25">
      <c r="A581" s="59" t="s">
        <v>3844</v>
      </c>
      <c r="B581" s="248" t="s">
        <v>87</v>
      </c>
      <c r="C581" s="248"/>
      <c r="D581" s="248">
        <v>92919</v>
      </c>
      <c r="E581" s="60" t="s">
        <v>502</v>
      </c>
      <c r="F581" s="59" t="s">
        <v>54</v>
      </c>
      <c r="G581" s="61">
        <f>(G583*100)*92.5%</f>
        <v>112.38750000000002</v>
      </c>
      <c r="H581" s="62">
        <v>13.76</v>
      </c>
      <c r="I581" s="62">
        <f t="shared" si="62"/>
        <v>1546.4520000000002</v>
      </c>
      <c r="J581" s="62"/>
      <c r="K581" s="62">
        <v>188.81100000000004</v>
      </c>
      <c r="L581" s="62">
        <v>1357.6410000000003</v>
      </c>
      <c r="M581" s="62">
        <v>0</v>
      </c>
      <c r="N581" s="62">
        <v>0</v>
      </c>
      <c r="O581" s="62">
        <v>0</v>
      </c>
      <c r="P581" s="298" t="s">
        <v>4160</v>
      </c>
      <c r="Q581" s="60" t="s">
        <v>27</v>
      </c>
      <c r="R581" s="60" t="s">
        <v>138</v>
      </c>
      <c r="S581" s="286" t="str">
        <f t="shared" si="57"/>
        <v>SIM</v>
      </c>
      <c r="T581" s="286" t="str">
        <f>IF($C581= "", T580, IF(ISNA(VLOOKUP($C581,'ABC-S'!$A$5:$A$271,1,FALSE)), "", VLOOKUP($C581,'ABC-S'!$A$5:$A$271,1,FALSE)))</f>
        <v>CP0522</v>
      </c>
      <c r="W581" s="286" t="s">
        <v>951</v>
      </c>
      <c r="X581" s="286" t="s">
        <v>21</v>
      </c>
      <c r="Y581" s="286" t="s">
        <v>1513</v>
      </c>
      <c r="Z581" s="335" t="s">
        <v>21</v>
      </c>
      <c r="AA581" s="286" t="s">
        <v>21</v>
      </c>
      <c r="AB581" s="378"/>
      <c r="AC581" s="381">
        <v>92919</v>
      </c>
      <c r="AD581" s="378">
        <v>112.38750000000002</v>
      </c>
      <c r="AE581" s="378">
        <v>0.10070000000000001</v>
      </c>
      <c r="AF581" s="378">
        <v>11.317421250000002</v>
      </c>
      <c r="AG581" s="378"/>
      <c r="AI581" s="378">
        <v>0</v>
      </c>
      <c r="AJ581" s="378">
        <v>0</v>
      </c>
      <c r="AL581" s="286">
        <v>5940</v>
      </c>
      <c r="AM581" s="286"/>
    </row>
    <row r="582" spans="1:39" s="51" customFormat="1" ht="33.75" x14ac:dyDescent="0.25">
      <c r="A582" s="59" t="s">
        <v>3844</v>
      </c>
      <c r="B582" s="248" t="s">
        <v>87</v>
      </c>
      <c r="C582" s="248"/>
      <c r="D582" s="248">
        <v>92916</v>
      </c>
      <c r="E582" s="60" t="s">
        <v>507</v>
      </c>
      <c r="F582" s="59" t="s">
        <v>54</v>
      </c>
      <c r="G582" s="61">
        <f>(G583*100)*7.5%</f>
        <v>9.1125000000000007</v>
      </c>
      <c r="H582" s="62">
        <v>16.38</v>
      </c>
      <c r="I582" s="62">
        <f t="shared" si="62"/>
        <v>149.26275000000001</v>
      </c>
      <c r="J582" s="62"/>
      <c r="K582" s="62">
        <v>31.164750000000002</v>
      </c>
      <c r="L582" s="62">
        <v>118.09800000000001</v>
      </c>
      <c r="M582" s="62">
        <v>0</v>
      </c>
      <c r="N582" s="62">
        <v>0</v>
      </c>
      <c r="O582" s="62">
        <v>0</v>
      </c>
      <c r="P582" s="298" t="s">
        <v>4160</v>
      </c>
      <c r="Q582" s="60" t="s">
        <v>27</v>
      </c>
      <c r="R582" s="60" t="s">
        <v>138</v>
      </c>
      <c r="S582" s="286" t="str">
        <f t="shared" si="57"/>
        <v>SIM</v>
      </c>
      <c r="T582" s="286" t="str">
        <f>IF($C582= "", T581, IF(ISNA(VLOOKUP($C582,'ABC-S'!$A$5:$A$271,1,FALSE)), "", VLOOKUP($C582,'ABC-S'!$A$5:$A$271,1,FALSE)))</f>
        <v>CP0522</v>
      </c>
      <c r="W582" s="286" t="s">
        <v>951</v>
      </c>
      <c r="X582" s="286" t="s">
        <v>21</v>
      </c>
      <c r="Y582" s="286" t="s">
        <v>1513</v>
      </c>
      <c r="Z582" s="335" t="s">
        <v>21</v>
      </c>
      <c r="AA582" s="286" t="s">
        <v>21</v>
      </c>
      <c r="AB582" s="378"/>
      <c r="AC582" s="381">
        <v>92916</v>
      </c>
      <c r="AD582" s="378">
        <v>9.1125000000000007</v>
      </c>
      <c r="AE582" s="378">
        <v>0.20269999999999999</v>
      </c>
      <c r="AF582" s="378">
        <v>1.84710375</v>
      </c>
      <c r="AG582" s="378"/>
      <c r="AI582" s="378">
        <v>0</v>
      </c>
      <c r="AJ582" s="378">
        <v>0</v>
      </c>
      <c r="AL582" s="286">
        <v>5940</v>
      </c>
      <c r="AM582" s="286"/>
    </row>
    <row r="583" spans="1:39" s="51" customFormat="1" ht="33.75" x14ac:dyDescent="0.25">
      <c r="A583" s="59" t="s">
        <v>3844</v>
      </c>
      <c r="B583" s="248" t="s">
        <v>87</v>
      </c>
      <c r="C583" s="248"/>
      <c r="D583" s="248">
        <v>94971</v>
      </c>
      <c r="E583" s="60" t="s">
        <v>3662</v>
      </c>
      <c r="F583" s="59" t="s">
        <v>44</v>
      </c>
      <c r="G583" s="61">
        <f>0.78+0.246+0.189</f>
        <v>1.2150000000000001</v>
      </c>
      <c r="H583" s="62">
        <v>397.28</v>
      </c>
      <c r="I583" s="62">
        <f t="shared" si="62"/>
        <v>482.6952</v>
      </c>
      <c r="J583" s="62"/>
      <c r="K583" s="62">
        <v>46.996200000000002</v>
      </c>
      <c r="L583" s="62">
        <v>431.82315000000006</v>
      </c>
      <c r="M583" s="62">
        <v>2.61225</v>
      </c>
      <c r="N583" s="62">
        <v>0</v>
      </c>
      <c r="O583" s="62">
        <v>1.2635999999999399</v>
      </c>
      <c r="P583" s="298" t="s">
        <v>4160</v>
      </c>
      <c r="Q583" s="60" t="s">
        <v>27</v>
      </c>
      <c r="R583" s="60" t="s">
        <v>138</v>
      </c>
      <c r="S583" s="286" t="str">
        <f t="shared" si="57"/>
        <v>SIM</v>
      </c>
      <c r="T583" s="286" t="str">
        <f>IF($C583= "", T582, IF(ISNA(VLOOKUP($C583,'ABC-S'!$A$5:$A$271,1,FALSE)), "", VLOOKUP($C583,'ABC-S'!$A$5:$A$271,1,FALSE)))</f>
        <v>CP0522</v>
      </c>
      <c r="W583" s="286" t="s">
        <v>951</v>
      </c>
      <c r="X583" s="286" t="s">
        <v>21</v>
      </c>
      <c r="Y583" s="286" t="s">
        <v>1513</v>
      </c>
      <c r="Z583" s="335" t="s">
        <v>21</v>
      </c>
      <c r="AA583" s="286" t="s">
        <v>21</v>
      </c>
      <c r="AB583" s="378"/>
      <c r="AC583" s="381">
        <v>94971</v>
      </c>
      <c r="AD583" s="378">
        <v>1.2150000000000001</v>
      </c>
      <c r="AE583" s="378">
        <v>3.2293000000000003</v>
      </c>
      <c r="AF583" s="378">
        <v>3.9235995000000008</v>
      </c>
      <c r="AG583" s="378"/>
      <c r="AI583" s="378">
        <v>2.5002</v>
      </c>
      <c r="AJ583" s="378">
        <v>3.0377430000000003</v>
      </c>
      <c r="AL583" s="286">
        <v>5940</v>
      </c>
      <c r="AM583" s="286"/>
    </row>
    <row r="584" spans="1:39" s="51" customFormat="1" ht="22.5" x14ac:dyDescent="0.25">
      <c r="A584" s="59" t="s">
        <v>3844</v>
      </c>
      <c r="B584" s="248" t="s">
        <v>87</v>
      </c>
      <c r="C584" s="248"/>
      <c r="D584" s="248">
        <v>92874</v>
      </c>
      <c r="E584" s="60" t="s">
        <v>596</v>
      </c>
      <c r="F584" s="59" t="s">
        <v>44</v>
      </c>
      <c r="G584" s="61">
        <f>G583</f>
        <v>1.2150000000000001</v>
      </c>
      <c r="H584" s="62">
        <v>30.6</v>
      </c>
      <c r="I584" s="62">
        <f t="shared" si="62"/>
        <v>37.179000000000002</v>
      </c>
      <c r="J584" s="62"/>
      <c r="K584" s="62">
        <v>25.429950000000002</v>
      </c>
      <c r="L584" s="62">
        <v>11.578950000000001</v>
      </c>
      <c r="M584" s="62">
        <v>0.10935</v>
      </c>
      <c r="N584" s="62">
        <v>0</v>
      </c>
      <c r="O584" s="62">
        <v>6.0749999999998749E-2</v>
      </c>
      <c r="P584" s="298" t="s">
        <v>4160</v>
      </c>
      <c r="Q584" s="60" t="s">
        <v>27</v>
      </c>
      <c r="R584" s="60" t="s">
        <v>138</v>
      </c>
      <c r="S584" s="286" t="str">
        <f t="shared" si="57"/>
        <v>SIM</v>
      </c>
      <c r="T584" s="286" t="str">
        <f>IF($C584= "", T583, IF(ISNA(VLOOKUP($C584,'ABC-S'!$A$5:$A$271,1,FALSE)), "", VLOOKUP($C584,'ABC-S'!$A$5:$A$271,1,FALSE)))</f>
        <v>CP0522</v>
      </c>
      <c r="W584" s="286" t="s">
        <v>951</v>
      </c>
      <c r="X584" s="286" t="s">
        <v>21</v>
      </c>
      <c r="Y584" s="286" t="s">
        <v>1513</v>
      </c>
      <c r="Z584" s="335" t="s">
        <v>21</v>
      </c>
      <c r="AA584" s="286" t="s">
        <v>21</v>
      </c>
      <c r="AB584" s="378"/>
      <c r="AC584" s="381">
        <v>92874</v>
      </c>
      <c r="AD584" s="378">
        <v>1.2150000000000001</v>
      </c>
      <c r="AE584" s="378">
        <v>1.5899999999999999</v>
      </c>
      <c r="AF584" s="378">
        <v>1.9318499999999998</v>
      </c>
      <c r="AG584" s="378"/>
      <c r="AI584" s="378">
        <v>0</v>
      </c>
      <c r="AJ584" s="378">
        <v>0</v>
      </c>
      <c r="AL584" s="286">
        <v>5940</v>
      </c>
      <c r="AM584" s="286"/>
    </row>
    <row r="585" spans="1:39" s="51" customFormat="1" ht="33.75" x14ac:dyDescent="0.25">
      <c r="A585" s="59" t="s">
        <v>3844</v>
      </c>
      <c r="B585" s="248" t="s">
        <v>87</v>
      </c>
      <c r="C585" s="248"/>
      <c r="D585" s="248">
        <v>101621</v>
      </c>
      <c r="E585" s="60" t="s">
        <v>1167</v>
      </c>
      <c r="F585" s="59" t="s">
        <v>44</v>
      </c>
      <c r="G585" s="61">
        <v>0.35199999999999998</v>
      </c>
      <c r="H585" s="62">
        <v>269.70999999999998</v>
      </c>
      <c r="I585" s="62">
        <f t="shared" si="62"/>
        <v>94.937919999999991</v>
      </c>
      <c r="J585" s="62"/>
      <c r="K585" s="62">
        <v>26.414080000000002</v>
      </c>
      <c r="L585" s="62">
        <v>68.502719999999997</v>
      </c>
      <c r="M585" s="62">
        <v>2.1119999999999996E-2</v>
      </c>
      <c r="N585" s="62">
        <v>0</v>
      </c>
      <c r="O585" s="62">
        <v>0</v>
      </c>
      <c r="P585" s="298" t="s">
        <v>4160</v>
      </c>
      <c r="Q585" s="60" t="s">
        <v>27</v>
      </c>
      <c r="R585" s="60" t="s">
        <v>138</v>
      </c>
      <c r="S585" s="286" t="str">
        <f t="shared" si="57"/>
        <v>SIM</v>
      </c>
      <c r="T585" s="286" t="str">
        <f>IF($C585= "", T584, IF(ISNA(VLOOKUP($C585,'ABC-S'!$A$5:$A$271,1,FALSE)), "", VLOOKUP($C585,'ABC-S'!$A$5:$A$271,1,FALSE)))</f>
        <v>CP0522</v>
      </c>
      <c r="W585" s="286" t="s">
        <v>951</v>
      </c>
      <c r="X585" s="286" t="s">
        <v>21</v>
      </c>
      <c r="Y585" s="286" t="s">
        <v>1513</v>
      </c>
      <c r="Z585" s="335" t="s">
        <v>21</v>
      </c>
      <c r="AA585" s="286" t="s">
        <v>21</v>
      </c>
      <c r="AB585" s="378"/>
      <c r="AC585" s="381">
        <v>101621</v>
      </c>
      <c r="AD585" s="378">
        <v>0.35199999999999998</v>
      </c>
      <c r="AE585" s="378">
        <v>5.3356000000000003</v>
      </c>
      <c r="AF585" s="378">
        <v>1.8781312000000001</v>
      </c>
      <c r="AG585" s="378"/>
      <c r="AI585" s="378">
        <v>0</v>
      </c>
      <c r="AJ585" s="378">
        <v>0</v>
      </c>
      <c r="AL585" s="286">
        <v>5940</v>
      </c>
      <c r="AM585" s="286"/>
    </row>
    <row r="586" spans="1:39" s="51" customFormat="1" ht="22.5" x14ac:dyDescent="0.25">
      <c r="A586" s="59" t="s">
        <v>3844</v>
      </c>
      <c r="B586" s="248" t="s">
        <v>87</v>
      </c>
      <c r="C586" s="248"/>
      <c r="D586" s="248" t="s">
        <v>3845</v>
      </c>
      <c r="E586" s="60" t="s">
        <v>3848</v>
      </c>
      <c r="F586" s="59" t="s">
        <v>22</v>
      </c>
      <c r="G586" s="61">
        <v>1.5</v>
      </c>
      <c r="H586" s="62">
        <v>37.012619660000006</v>
      </c>
      <c r="I586" s="62">
        <f t="shared" si="62"/>
        <v>55.518929490000005</v>
      </c>
      <c r="J586" s="62"/>
      <c r="K586" s="62">
        <v>14.439822668999998</v>
      </c>
      <c r="L586" s="62">
        <v>40.817445609000004</v>
      </c>
      <c r="M586" s="62">
        <v>0.26166121200000003</v>
      </c>
      <c r="N586" s="62">
        <v>0</v>
      </c>
      <c r="O586" s="62">
        <v>7.1054273576010019E-15</v>
      </c>
      <c r="P586" s="298" t="s">
        <v>4160</v>
      </c>
      <c r="Q586" s="60" t="s">
        <v>27</v>
      </c>
      <c r="R586" s="60" t="s">
        <v>138</v>
      </c>
      <c r="S586" s="286" t="str">
        <f t="shared" si="57"/>
        <v>SIM</v>
      </c>
      <c r="T586" s="286" t="str">
        <f>IF($C586= "", T585, IF(ISNA(VLOOKUP($C586,'ABC-S'!$A$5:$A$271,1,FALSE)), "", VLOOKUP($C586,'ABC-S'!$A$5:$A$271,1,FALSE)))</f>
        <v>CP0522</v>
      </c>
      <c r="W586" s="286" t="s">
        <v>951</v>
      </c>
      <c r="X586" s="286" t="s">
        <v>21</v>
      </c>
      <c r="Y586" s="286" t="s">
        <v>1513</v>
      </c>
      <c r="Z586" s="335" t="s">
        <v>21</v>
      </c>
      <c r="AA586" s="286" t="s">
        <v>21</v>
      </c>
      <c r="AB586" s="378"/>
      <c r="AC586" s="381" t="s">
        <v>3845</v>
      </c>
      <c r="AD586" s="378">
        <v>1.5</v>
      </c>
      <c r="AE586" s="378">
        <v>2.9241842000000005</v>
      </c>
      <c r="AF586" s="378">
        <v>4.3862763000000005</v>
      </c>
      <c r="AG586" s="378"/>
      <c r="AI586" s="378" t="s">
        <v>21</v>
      </c>
      <c r="AJ586" s="378" t="s">
        <v>21</v>
      </c>
      <c r="AL586" s="286">
        <v>5940</v>
      </c>
      <c r="AM586" s="286"/>
    </row>
    <row r="587" spans="1:39" s="51" customFormat="1" ht="33.75" x14ac:dyDescent="0.25">
      <c r="A587" s="59" t="s">
        <v>3844</v>
      </c>
      <c r="B587" s="248" t="s">
        <v>86</v>
      </c>
      <c r="C587" s="248"/>
      <c r="D587" s="248">
        <v>4012</v>
      </c>
      <c r="E587" s="60" t="s">
        <v>696</v>
      </c>
      <c r="F587" s="59" t="s">
        <v>3665</v>
      </c>
      <c r="G587" s="61">
        <f>((PI()*0.1*1.1)*G586)+(PI()*(1.5^2)/4)</f>
        <v>2.2855086554865744</v>
      </c>
      <c r="H587" s="62">
        <v>11.64</v>
      </c>
      <c r="I587" s="62">
        <f t="shared" si="62"/>
        <v>26.603320749863727</v>
      </c>
      <c r="J587" s="62"/>
      <c r="K587" s="62">
        <v>0</v>
      </c>
      <c r="L587" s="62">
        <v>26.603320749863727</v>
      </c>
      <c r="M587" s="62">
        <v>0</v>
      </c>
      <c r="N587" s="62">
        <v>0</v>
      </c>
      <c r="O587" s="62">
        <v>0</v>
      </c>
      <c r="P587" s="298" t="s">
        <v>89</v>
      </c>
      <c r="Q587" s="60" t="s">
        <v>27</v>
      </c>
      <c r="R587" s="60" t="s">
        <v>138</v>
      </c>
      <c r="S587" s="286" t="str">
        <f t="shared" si="57"/>
        <v>SIM</v>
      </c>
      <c r="T587" s="286" t="str">
        <f>IF($C587= "", T586, IF(ISNA(VLOOKUP($C587,'ABC-S'!$A$5:$A$271,1,FALSE)), "", VLOOKUP($C587,'ABC-S'!$A$5:$A$271,1,FALSE)))</f>
        <v>CP0522</v>
      </c>
      <c r="W587" s="286" t="s">
        <v>951</v>
      </c>
      <c r="X587" s="286" t="s">
        <v>21</v>
      </c>
      <c r="Y587" s="286" t="s">
        <v>21</v>
      </c>
      <c r="Z587" s="335" t="s">
        <v>21</v>
      </c>
      <c r="AA587" s="286" t="s">
        <v>21</v>
      </c>
      <c r="AB587" s="378"/>
      <c r="AC587" s="381" t="s">
        <v>21</v>
      </c>
      <c r="AD587" s="378" t="s">
        <v>21</v>
      </c>
      <c r="AE587" s="378" t="s">
        <v>21</v>
      </c>
      <c r="AF587" s="378" t="s">
        <v>21</v>
      </c>
      <c r="AG587" s="378"/>
      <c r="AI587" s="378" t="s">
        <v>21</v>
      </c>
      <c r="AJ587" s="378" t="s">
        <v>21</v>
      </c>
      <c r="AL587" s="286">
        <v>5940</v>
      </c>
      <c r="AM587" s="286"/>
    </row>
    <row r="588" spans="1:39" s="51" customFormat="1" ht="33.75" x14ac:dyDescent="0.25">
      <c r="A588" s="59" t="s">
        <v>3844</v>
      </c>
      <c r="B588" s="248" t="s">
        <v>87</v>
      </c>
      <c r="C588" s="248"/>
      <c r="D588" s="248">
        <v>95879</v>
      </c>
      <c r="E588" s="60" t="s">
        <v>789</v>
      </c>
      <c r="F588" s="59" t="s">
        <v>42</v>
      </c>
      <c r="G588" s="61">
        <f>ROUND(G585*1.65*33.4,4)</f>
        <v>19.398700000000002</v>
      </c>
      <c r="H588" s="62">
        <v>1.04</v>
      </c>
      <c r="I588" s="62">
        <f t="shared" si="62"/>
        <v>20.174648000000001</v>
      </c>
      <c r="J588" s="62"/>
      <c r="K588" s="62">
        <v>1.3579090000000003</v>
      </c>
      <c r="L588" s="62">
        <v>11.63922</v>
      </c>
      <c r="M588" s="62">
        <v>7.1775190000000002</v>
      </c>
      <c r="N588" s="62">
        <v>0</v>
      </c>
      <c r="O588" s="62">
        <v>0</v>
      </c>
      <c r="P588" s="298" t="s">
        <v>4160</v>
      </c>
      <c r="Q588" s="60" t="s">
        <v>27</v>
      </c>
      <c r="R588" s="60" t="s">
        <v>138</v>
      </c>
      <c r="S588" s="286" t="str">
        <f t="shared" si="57"/>
        <v>SIM</v>
      </c>
      <c r="T588" s="286" t="str">
        <f>IF($C588= "", T587, IF(ISNA(VLOOKUP($C588,'ABC-S'!$A$5:$A$271,1,FALSE)), "", VLOOKUP($C588,'ABC-S'!$A$5:$A$271,1,FALSE)))</f>
        <v>CP0522</v>
      </c>
      <c r="W588" s="286" t="s">
        <v>951</v>
      </c>
      <c r="X588" s="286" t="s">
        <v>21</v>
      </c>
      <c r="Y588" s="286" t="s">
        <v>1098</v>
      </c>
      <c r="Z588" s="335" t="s">
        <v>21</v>
      </c>
      <c r="AA588" s="286" t="s">
        <v>21</v>
      </c>
      <c r="AB588" s="378"/>
      <c r="AC588" s="381">
        <v>95879</v>
      </c>
      <c r="AD588" s="378">
        <v>19.398700000000002</v>
      </c>
      <c r="AE588" s="378">
        <v>5.7000000000000002E-3</v>
      </c>
      <c r="AF588" s="378">
        <v>0.11057259000000001</v>
      </c>
      <c r="AG588" s="378"/>
      <c r="AI588" s="378">
        <v>0</v>
      </c>
      <c r="AJ588" s="378">
        <v>0</v>
      </c>
      <c r="AL588" s="286">
        <v>5940</v>
      </c>
      <c r="AM588" s="286"/>
    </row>
    <row r="589" spans="1:39" s="51" customFormat="1" ht="33.75" x14ac:dyDescent="0.25">
      <c r="A589" s="59" t="s">
        <v>3844</v>
      </c>
      <c r="B589" s="248" t="s">
        <v>86</v>
      </c>
      <c r="C589" s="248"/>
      <c r="D589" s="248">
        <v>7725</v>
      </c>
      <c r="E589" s="60" t="s">
        <v>803</v>
      </c>
      <c r="F589" s="59" t="s">
        <v>3667</v>
      </c>
      <c r="G589" s="61">
        <v>2</v>
      </c>
      <c r="H589" s="62">
        <v>167.52</v>
      </c>
      <c r="I589" s="62">
        <f t="shared" si="62"/>
        <v>335.04</v>
      </c>
      <c r="J589" s="62"/>
      <c r="K589" s="62">
        <v>0</v>
      </c>
      <c r="L589" s="62">
        <v>335.04</v>
      </c>
      <c r="M589" s="62">
        <v>0</v>
      </c>
      <c r="N589" s="62">
        <v>0</v>
      </c>
      <c r="O589" s="62">
        <v>0</v>
      </c>
      <c r="P589" s="298" t="s">
        <v>89</v>
      </c>
      <c r="Q589" s="60" t="s">
        <v>27</v>
      </c>
      <c r="R589" s="60" t="s">
        <v>138</v>
      </c>
      <c r="S589" s="286" t="str">
        <f t="shared" si="57"/>
        <v>SIM</v>
      </c>
      <c r="T589" s="286" t="str">
        <f>IF($C589= "", T588, IF(ISNA(VLOOKUP($C589,'ABC-S'!$A$5:$A$271,1,FALSE)), "", VLOOKUP($C589,'ABC-S'!$A$5:$A$271,1,FALSE)))</f>
        <v>CP0522</v>
      </c>
      <c r="W589" s="286" t="s">
        <v>951</v>
      </c>
      <c r="X589" s="286" t="s">
        <v>21</v>
      </c>
      <c r="Y589" s="286" t="s">
        <v>21</v>
      </c>
      <c r="Z589" s="335" t="s">
        <v>21</v>
      </c>
      <c r="AA589" s="286" t="s">
        <v>21</v>
      </c>
      <c r="AB589" s="378"/>
      <c r="AC589" s="381" t="s">
        <v>21</v>
      </c>
      <c r="AD589" s="378" t="s">
        <v>21</v>
      </c>
      <c r="AE589" s="378" t="s">
        <v>21</v>
      </c>
      <c r="AF589" s="378" t="s">
        <v>21</v>
      </c>
      <c r="AG589" s="378"/>
      <c r="AI589" s="378" t="s">
        <v>21</v>
      </c>
      <c r="AJ589" s="378" t="s">
        <v>21</v>
      </c>
      <c r="AL589" s="286">
        <v>5940</v>
      </c>
      <c r="AM589" s="286"/>
    </row>
    <row r="590" spans="1:39" s="51" customFormat="1" ht="33.75" x14ac:dyDescent="0.25">
      <c r="A590" s="59" t="s">
        <v>3844</v>
      </c>
      <c r="B590" s="248" t="s">
        <v>86</v>
      </c>
      <c r="C590" s="248"/>
      <c r="D590" s="248">
        <v>7758</v>
      </c>
      <c r="E590" s="60" t="s">
        <v>806</v>
      </c>
      <c r="F590" s="59" t="s">
        <v>3667</v>
      </c>
      <c r="G590" s="61">
        <v>4</v>
      </c>
      <c r="H590" s="62">
        <v>706.68</v>
      </c>
      <c r="I590" s="62">
        <f t="shared" si="62"/>
        <v>2826.72</v>
      </c>
      <c r="J590" s="62"/>
      <c r="K590" s="62">
        <v>0</v>
      </c>
      <c r="L590" s="62">
        <v>2826.72</v>
      </c>
      <c r="M590" s="62">
        <v>0</v>
      </c>
      <c r="N590" s="62">
        <v>0</v>
      </c>
      <c r="O590" s="62">
        <v>0</v>
      </c>
      <c r="P590" s="298" t="s">
        <v>89</v>
      </c>
      <c r="Q590" s="60" t="s">
        <v>27</v>
      </c>
      <c r="R590" s="60" t="s">
        <v>138</v>
      </c>
      <c r="S590" s="286" t="str">
        <f t="shared" si="57"/>
        <v>SIM</v>
      </c>
      <c r="T590" s="286" t="str">
        <f>IF($C590= "", T589, IF(ISNA(VLOOKUP($C590,'ABC-S'!$A$5:$A$271,1,FALSE)), "", VLOOKUP($C590,'ABC-S'!$A$5:$A$271,1,FALSE)))</f>
        <v>CP0522</v>
      </c>
      <c r="W590" s="286" t="s">
        <v>951</v>
      </c>
      <c r="X590" s="286" t="s">
        <v>21</v>
      </c>
      <c r="Y590" s="286" t="s">
        <v>21</v>
      </c>
      <c r="Z590" s="335" t="s">
        <v>21</v>
      </c>
      <c r="AA590" s="286" t="s">
        <v>21</v>
      </c>
      <c r="AB590" s="378"/>
      <c r="AC590" s="381" t="s">
        <v>21</v>
      </c>
      <c r="AD590" s="378" t="s">
        <v>21</v>
      </c>
      <c r="AE590" s="378" t="s">
        <v>21</v>
      </c>
      <c r="AF590" s="378" t="s">
        <v>21</v>
      </c>
      <c r="AG590" s="378"/>
      <c r="AI590" s="378" t="s">
        <v>21</v>
      </c>
      <c r="AJ590" s="378" t="s">
        <v>21</v>
      </c>
      <c r="AL590" s="286">
        <v>5940</v>
      </c>
      <c r="AM590" s="286"/>
    </row>
    <row r="591" spans="1:39" s="51" customFormat="1" ht="56.25" x14ac:dyDescent="0.25">
      <c r="A591" s="59" t="s">
        <v>3844</v>
      </c>
      <c r="B591" s="248" t="s">
        <v>87</v>
      </c>
      <c r="C591" s="248"/>
      <c r="D591" s="248">
        <v>92811</v>
      </c>
      <c r="E591" s="60" t="s">
        <v>522</v>
      </c>
      <c r="F591" s="59" t="s">
        <v>22</v>
      </c>
      <c r="G591" s="61">
        <f>G589</f>
        <v>2</v>
      </c>
      <c r="H591" s="62">
        <v>57.83</v>
      </c>
      <c r="I591" s="62">
        <f t="shared" si="62"/>
        <v>115.66</v>
      </c>
      <c r="J591" s="62"/>
      <c r="K591" s="62">
        <v>48.7</v>
      </c>
      <c r="L591" s="62">
        <v>34.619999999999997</v>
      </c>
      <c r="M591" s="62">
        <v>32.340000000000003</v>
      </c>
      <c r="N591" s="62">
        <v>0</v>
      </c>
      <c r="O591" s="62">
        <v>0</v>
      </c>
      <c r="P591" s="298" t="s">
        <v>4160</v>
      </c>
      <c r="Q591" s="60" t="s">
        <v>27</v>
      </c>
      <c r="R591" s="60" t="s">
        <v>138</v>
      </c>
      <c r="S591" s="286" t="str">
        <f t="shared" si="57"/>
        <v>SIM</v>
      </c>
      <c r="T591" s="286" t="str">
        <f>IF($C591= "", T590, IF(ISNA(VLOOKUP($C591,'ABC-S'!$A$5:$A$271,1,FALSE)), "", VLOOKUP($C591,'ABC-S'!$A$5:$A$271,1,FALSE)))</f>
        <v>CP0522</v>
      </c>
      <c r="W591" s="286" t="s">
        <v>951</v>
      </c>
      <c r="X591" s="286" t="s">
        <v>21</v>
      </c>
      <c r="Y591" s="286" t="s">
        <v>1513</v>
      </c>
      <c r="Z591" s="335" t="s">
        <v>21</v>
      </c>
      <c r="AA591" s="286" t="s">
        <v>21</v>
      </c>
      <c r="AB591" s="378"/>
      <c r="AC591" s="381">
        <v>92811</v>
      </c>
      <c r="AD591" s="378">
        <v>2</v>
      </c>
      <c r="AE591" s="378">
        <v>1.8478500000000002</v>
      </c>
      <c r="AF591" s="378">
        <v>3.6957000000000004</v>
      </c>
      <c r="AG591" s="378"/>
      <c r="AI591" s="378">
        <v>0</v>
      </c>
      <c r="AJ591" s="378">
        <v>0</v>
      </c>
      <c r="AL591" s="286">
        <v>5940</v>
      </c>
      <c r="AM591" s="286"/>
    </row>
    <row r="592" spans="1:39" s="51" customFormat="1" ht="56.25" x14ac:dyDescent="0.25">
      <c r="A592" s="59" t="s">
        <v>3844</v>
      </c>
      <c r="B592" s="248" t="s">
        <v>87</v>
      </c>
      <c r="C592" s="248"/>
      <c r="D592" s="248">
        <v>92819</v>
      </c>
      <c r="E592" s="60" t="s">
        <v>518</v>
      </c>
      <c r="F592" s="59" t="s">
        <v>22</v>
      </c>
      <c r="G592" s="61">
        <f>G590</f>
        <v>4</v>
      </c>
      <c r="H592" s="62">
        <v>172.31</v>
      </c>
      <c r="I592" s="62">
        <f t="shared" si="62"/>
        <v>689.24</v>
      </c>
      <c r="J592" s="62"/>
      <c r="K592" s="62">
        <v>274.88</v>
      </c>
      <c r="L592" s="62">
        <v>241.12</v>
      </c>
      <c r="M592" s="62">
        <v>173.24</v>
      </c>
      <c r="N592" s="62">
        <v>0</v>
      </c>
      <c r="O592" s="62">
        <v>0</v>
      </c>
      <c r="P592" s="298" t="s">
        <v>4160</v>
      </c>
      <c r="Q592" s="60" t="s">
        <v>27</v>
      </c>
      <c r="R592" s="60" t="s">
        <v>138</v>
      </c>
      <c r="S592" s="286" t="str">
        <f t="shared" si="57"/>
        <v>SIM</v>
      </c>
      <c r="T592" s="286" t="str">
        <f>IF($C592= "", T591, IF(ISNA(VLOOKUP($C592,'ABC-S'!$A$5:$A$271,1,FALSE)), "", VLOOKUP($C592,'ABC-S'!$A$5:$A$271,1,FALSE)))</f>
        <v>CP0522</v>
      </c>
      <c r="W592" s="286" t="s">
        <v>951</v>
      </c>
      <c r="X592" s="286" t="s">
        <v>21</v>
      </c>
      <c r="Y592" s="286" t="s">
        <v>1513</v>
      </c>
      <c r="Z592" s="335" t="s">
        <v>21</v>
      </c>
      <c r="AA592" s="286" t="s">
        <v>21</v>
      </c>
      <c r="AB592" s="378"/>
      <c r="AC592" s="381">
        <v>92819</v>
      </c>
      <c r="AD592" s="378">
        <v>4</v>
      </c>
      <c r="AE592" s="378">
        <v>5.2546039999999996</v>
      </c>
      <c r="AF592" s="378">
        <v>21.018415999999998</v>
      </c>
      <c r="AG592" s="378"/>
      <c r="AI592" s="378">
        <v>0</v>
      </c>
      <c r="AJ592" s="378">
        <v>0</v>
      </c>
      <c r="AL592" s="286">
        <v>5940</v>
      </c>
      <c r="AM592" s="286"/>
    </row>
    <row r="593" spans="1:39" s="51" customFormat="1" ht="22.5" x14ac:dyDescent="0.25">
      <c r="A593" s="59" t="s">
        <v>3844</v>
      </c>
      <c r="B593" s="248" t="s">
        <v>87</v>
      </c>
      <c r="C593" s="248"/>
      <c r="D593" s="248">
        <v>97628</v>
      </c>
      <c r="E593" s="60" t="s">
        <v>550</v>
      </c>
      <c r="F593" s="59" t="s">
        <v>44</v>
      </c>
      <c r="G593" s="61">
        <f>0.608+0.031+0.04</f>
        <v>0.67900000000000005</v>
      </c>
      <c r="H593" s="62">
        <v>228.87</v>
      </c>
      <c r="I593" s="62">
        <f t="shared" si="62"/>
        <v>155.40273000000002</v>
      </c>
      <c r="J593" s="62"/>
      <c r="K593" s="62">
        <v>103.92774000000001</v>
      </c>
      <c r="L593" s="62">
        <v>51.474990000000005</v>
      </c>
      <c r="M593" s="62">
        <v>0</v>
      </c>
      <c r="N593" s="62">
        <v>0</v>
      </c>
      <c r="O593" s="62">
        <v>0</v>
      </c>
      <c r="P593" s="298" t="s">
        <v>4160</v>
      </c>
      <c r="Q593" s="60" t="s">
        <v>27</v>
      </c>
      <c r="R593" s="60" t="s">
        <v>138</v>
      </c>
      <c r="S593" s="286" t="str">
        <f t="shared" si="57"/>
        <v>SIM</v>
      </c>
      <c r="T593" s="286" t="str">
        <f>IF($C593= "", T592, IF(ISNA(VLOOKUP($C593,'ABC-S'!$A$5:$A$271,1,FALSE)), "", VLOOKUP($C593,'ABC-S'!$A$5:$A$271,1,FALSE)))</f>
        <v>CP0522</v>
      </c>
      <c r="W593" s="286" t="s">
        <v>951</v>
      </c>
      <c r="X593" s="286" t="s">
        <v>21</v>
      </c>
      <c r="Y593" s="286" t="s">
        <v>1513</v>
      </c>
      <c r="Z593" s="335" t="s">
        <v>21</v>
      </c>
      <c r="AA593" s="286" t="s">
        <v>21</v>
      </c>
      <c r="AB593" s="378"/>
      <c r="AC593" s="381">
        <v>97628</v>
      </c>
      <c r="AD593" s="378">
        <v>0.67900000000000005</v>
      </c>
      <c r="AE593" s="378">
        <v>12.600000000000001</v>
      </c>
      <c r="AF593" s="378">
        <v>8.5554000000000023</v>
      </c>
      <c r="AG593" s="378"/>
      <c r="AI593" s="378">
        <v>0</v>
      </c>
      <c r="AJ593" s="378">
        <v>0</v>
      </c>
      <c r="AL593" s="286">
        <v>5940</v>
      </c>
      <c r="AM593" s="286"/>
    </row>
    <row r="594" spans="1:39" s="51" customFormat="1" ht="33.75" x14ac:dyDescent="0.25">
      <c r="A594" s="59" t="s">
        <v>3844</v>
      </c>
      <c r="B594" s="248" t="s">
        <v>86</v>
      </c>
      <c r="C594" s="248"/>
      <c r="D594" s="248">
        <v>7745</v>
      </c>
      <c r="E594" s="60" t="s">
        <v>807</v>
      </c>
      <c r="F594" s="59" t="s">
        <v>3667</v>
      </c>
      <c r="G594" s="61">
        <v>1</v>
      </c>
      <c r="H594" s="62">
        <v>86.57</v>
      </c>
      <c r="I594" s="62">
        <f t="shared" si="62"/>
        <v>86.57</v>
      </c>
      <c r="J594" s="62"/>
      <c r="K594" s="62">
        <v>0</v>
      </c>
      <c r="L594" s="62">
        <v>86.57</v>
      </c>
      <c r="M594" s="62">
        <v>0</v>
      </c>
      <c r="N594" s="62">
        <v>0</v>
      </c>
      <c r="O594" s="62">
        <v>0</v>
      </c>
      <c r="P594" s="298" t="s">
        <v>89</v>
      </c>
      <c r="Q594" s="60" t="s">
        <v>27</v>
      </c>
      <c r="R594" s="60" t="s">
        <v>138</v>
      </c>
      <c r="S594" s="286" t="str">
        <f t="shared" si="57"/>
        <v>SIM</v>
      </c>
      <c r="T594" s="286" t="str">
        <f>IF($C594= "", T593, IF(ISNA(VLOOKUP($C594,'ABC-S'!$A$5:$A$271,1,FALSE)), "", VLOOKUP($C594,'ABC-S'!$A$5:$A$271,1,FALSE)))</f>
        <v>CP0522</v>
      </c>
      <c r="W594" s="286" t="s">
        <v>951</v>
      </c>
      <c r="X594" s="286" t="s">
        <v>21</v>
      </c>
      <c r="Y594" s="286" t="s">
        <v>21</v>
      </c>
      <c r="Z594" s="335" t="s">
        <v>21</v>
      </c>
      <c r="AA594" s="286" t="s">
        <v>21</v>
      </c>
      <c r="AB594" s="378"/>
      <c r="AC594" s="381" t="s">
        <v>21</v>
      </c>
      <c r="AD594" s="378" t="s">
        <v>21</v>
      </c>
      <c r="AE594" s="378" t="s">
        <v>21</v>
      </c>
      <c r="AF594" s="378" t="s">
        <v>21</v>
      </c>
      <c r="AG594" s="378"/>
      <c r="AI594" s="378" t="s">
        <v>21</v>
      </c>
      <c r="AJ594" s="378" t="s">
        <v>21</v>
      </c>
      <c r="AL594" s="286">
        <v>5940</v>
      </c>
      <c r="AM594" s="286"/>
    </row>
    <row r="595" spans="1:39" s="51" customFormat="1" ht="22.5" x14ac:dyDescent="0.25">
      <c r="A595" s="59" t="s">
        <v>3844</v>
      </c>
      <c r="B595" s="248" t="s">
        <v>86</v>
      </c>
      <c r="C595" s="248"/>
      <c r="D595" s="248">
        <v>7164</v>
      </c>
      <c r="E595" s="60" t="s">
        <v>714</v>
      </c>
      <c r="F595" s="59" t="s">
        <v>3665</v>
      </c>
      <c r="G595" s="61">
        <v>1</v>
      </c>
      <c r="H595" s="62">
        <v>42.69</v>
      </c>
      <c r="I595" s="62">
        <f t="shared" si="62"/>
        <v>42.69</v>
      </c>
      <c r="J595" s="62"/>
      <c r="K595" s="62">
        <v>0</v>
      </c>
      <c r="L595" s="62">
        <v>42.69</v>
      </c>
      <c r="M595" s="62">
        <v>0</v>
      </c>
      <c r="N595" s="62">
        <v>0</v>
      </c>
      <c r="O595" s="62">
        <v>0</v>
      </c>
      <c r="P595" s="298" t="s">
        <v>89</v>
      </c>
      <c r="Q595" s="60" t="s">
        <v>27</v>
      </c>
      <c r="R595" s="60" t="s">
        <v>138</v>
      </c>
      <c r="S595" s="286" t="str">
        <f t="shared" si="57"/>
        <v>SIM</v>
      </c>
      <c r="T595" s="286" t="str">
        <f>IF($C595= "", T594, IF(ISNA(VLOOKUP($C595,'ABC-S'!$A$5:$A$271,1,FALSE)), "", VLOOKUP($C595,'ABC-S'!$A$5:$A$271,1,FALSE)))</f>
        <v>CP0522</v>
      </c>
      <c r="W595" s="286" t="s">
        <v>951</v>
      </c>
      <c r="X595" s="286" t="s">
        <v>21</v>
      </c>
      <c r="Y595" s="286" t="s">
        <v>21</v>
      </c>
      <c r="Z595" s="335" t="s">
        <v>21</v>
      </c>
      <c r="AA595" s="286" t="s">
        <v>21</v>
      </c>
      <c r="AB595" s="378"/>
      <c r="AC595" s="381" t="s">
        <v>21</v>
      </c>
      <c r="AD595" s="378" t="s">
        <v>21</v>
      </c>
      <c r="AE595" s="378" t="s">
        <v>21</v>
      </c>
      <c r="AF595" s="378" t="s">
        <v>21</v>
      </c>
      <c r="AG595" s="378"/>
      <c r="AI595" s="378" t="s">
        <v>21</v>
      </c>
      <c r="AJ595" s="378" t="s">
        <v>21</v>
      </c>
      <c r="AL595" s="286">
        <v>5940</v>
      </c>
      <c r="AM595" s="286"/>
    </row>
    <row r="596" spans="1:39" s="51" customFormat="1" ht="33.75" x14ac:dyDescent="0.25">
      <c r="A596" s="59" t="s">
        <v>3844</v>
      </c>
      <c r="B596" s="248" t="s">
        <v>87</v>
      </c>
      <c r="C596" s="248"/>
      <c r="D596" s="248">
        <v>101463</v>
      </c>
      <c r="E596" s="60" t="s">
        <v>780</v>
      </c>
      <c r="F596" s="59" t="s">
        <v>55</v>
      </c>
      <c r="G596" s="61">
        <f>(G589 * '04-MLQ-DR-TIPOL E DIMENS'!$D$9) + (G590 * '04-MLQ-DR-TIPOL E DIMENS'!$I$9) + (G594 * '04-MLQ-DR-TIPOL E DIMENS'!$B$9)</f>
        <v>9.8864999999999998</v>
      </c>
      <c r="H596" s="62">
        <v>30.23</v>
      </c>
      <c r="I596" s="62">
        <f t="shared" si="62"/>
        <v>298.86889500000001</v>
      </c>
      <c r="J596" s="62"/>
      <c r="K596" s="62">
        <v>63.767924999999998</v>
      </c>
      <c r="L596" s="62">
        <v>177.26494499999998</v>
      </c>
      <c r="M596" s="62">
        <v>57.836024999999992</v>
      </c>
      <c r="N596" s="62">
        <v>0</v>
      </c>
      <c r="O596" s="62">
        <v>5.6843418860808015E-14</v>
      </c>
      <c r="P596" s="298" t="s">
        <v>4160</v>
      </c>
      <c r="Q596" s="60" t="s">
        <v>27</v>
      </c>
      <c r="R596" s="60" t="s">
        <v>138</v>
      </c>
      <c r="S596" s="286" t="str">
        <f t="shared" si="57"/>
        <v>SIM</v>
      </c>
      <c r="T596" s="286" t="str">
        <f>IF($C596= "", T595, IF(ISNA(VLOOKUP($C596,'ABC-S'!$A$5:$A$271,1,FALSE)), "", VLOOKUP($C596,'ABC-S'!$A$5:$A$271,1,FALSE)))</f>
        <v>CP0522</v>
      </c>
      <c r="W596" s="286" t="s">
        <v>951</v>
      </c>
      <c r="X596" s="286" t="s">
        <v>21</v>
      </c>
      <c r="Y596" s="286" t="s">
        <v>1513</v>
      </c>
      <c r="Z596" s="335" t="s">
        <v>21</v>
      </c>
      <c r="AA596" s="286" t="s">
        <v>21</v>
      </c>
      <c r="AB596" s="378"/>
      <c r="AC596" s="381">
        <v>101463</v>
      </c>
      <c r="AD596" s="378">
        <v>9.8864999999999998</v>
      </c>
      <c r="AE596" s="378">
        <v>0.52829999999999999</v>
      </c>
      <c r="AF596" s="378">
        <v>5.2230379500000002</v>
      </c>
      <c r="AG596" s="378"/>
      <c r="AI596" s="378">
        <v>0</v>
      </c>
      <c r="AJ596" s="378">
        <v>0</v>
      </c>
      <c r="AL596" s="286">
        <v>5940</v>
      </c>
      <c r="AM596" s="286"/>
    </row>
    <row r="597" spans="1:39" s="51" customFormat="1" ht="45" x14ac:dyDescent="0.25">
      <c r="A597" s="59" t="s">
        <v>3844</v>
      </c>
      <c r="B597" s="248" t="s">
        <v>87</v>
      </c>
      <c r="C597" s="248"/>
      <c r="D597" s="248">
        <v>100952</v>
      </c>
      <c r="E597" s="60" t="s">
        <v>797</v>
      </c>
      <c r="F597" s="59" t="s">
        <v>42</v>
      </c>
      <c r="G597" s="61">
        <f>IF('MLQ-DMT-TR1'!$E$11 &lt; 30, 'MLQ-DMT-TR1'!$E$11, 30) * G596</f>
        <v>79.091999999999999</v>
      </c>
      <c r="H597" s="62">
        <v>1.81</v>
      </c>
      <c r="I597" s="62">
        <f t="shared" si="62"/>
        <v>143.15652</v>
      </c>
      <c r="J597" s="62"/>
      <c r="K597" s="62">
        <v>13.445640000000001</v>
      </c>
      <c r="L597" s="62">
        <v>98.074079999999995</v>
      </c>
      <c r="M597" s="62">
        <v>31.636800000000001</v>
      </c>
      <c r="N597" s="62">
        <v>0</v>
      </c>
      <c r="O597" s="62">
        <v>0</v>
      </c>
      <c r="P597" s="298" t="s">
        <v>4160</v>
      </c>
      <c r="Q597" s="60" t="s">
        <v>27</v>
      </c>
      <c r="R597" s="60" t="s">
        <v>138</v>
      </c>
      <c r="S597" s="286" t="str">
        <f t="shared" si="57"/>
        <v>SIM</v>
      </c>
      <c r="T597" s="286" t="str">
        <f>IF($C597= "", T596, IF(ISNA(VLOOKUP($C597,'ABC-S'!$A$5:$A$271,1,FALSE)), "", VLOOKUP($C597,'ABC-S'!$A$5:$A$271,1,FALSE)))</f>
        <v>CP0522</v>
      </c>
      <c r="W597" s="286" t="s">
        <v>951</v>
      </c>
      <c r="X597" s="286" t="s">
        <v>21</v>
      </c>
      <c r="Y597" s="286" t="s">
        <v>1098</v>
      </c>
      <c r="Z597" s="335" t="s">
        <v>21</v>
      </c>
      <c r="AA597" s="286" t="s">
        <v>21</v>
      </c>
      <c r="AB597" s="378"/>
      <c r="AC597" s="381">
        <v>100952</v>
      </c>
      <c r="AD597" s="378">
        <v>79.091999999999999</v>
      </c>
      <c r="AE597" s="378">
        <v>1.3299999999999999E-2</v>
      </c>
      <c r="AF597" s="378">
        <v>1.0519235999999998</v>
      </c>
      <c r="AG597" s="378"/>
      <c r="AI597" s="378">
        <v>0</v>
      </c>
      <c r="AJ597" s="378">
        <v>0</v>
      </c>
      <c r="AL597" s="286">
        <v>5940</v>
      </c>
      <c r="AM597" s="286"/>
    </row>
    <row r="598" spans="1:39" s="51" customFormat="1" ht="45" x14ac:dyDescent="0.25">
      <c r="A598" s="59" t="s">
        <v>3844</v>
      </c>
      <c r="B598" s="248" t="s">
        <v>87</v>
      </c>
      <c r="C598" s="248"/>
      <c r="D598" s="248">
        <v>100953</v>
      </c>
      <c r="E598" s="60" t="s">
        <v>796</v>
      </c>
      <c r="F598" s="59" t="s">
        <v>42</v>
      </c>
      <c r="G598" s="61">
        <f>IF('MLQ-DMT-TR1'!$E$11 &gt; 30, 'MLQ-DMT-TR1'!$E$11 - 30, 0) * G596</f>
        <v>0</v>
      </c>
      <c r="H598" s="62">
        <v>0.71</v>
      </c>
      <c r="I598" s="62">
        <f t="shared" si="62"/>
        <v>0</v>
      </c>
      <c r="J598" s="62"/>
      <c r="K598" s="62">
        <v>0</v>
      </c>
      <c r="L598" s="62">
        <v>0</v>
      </c>
      <c r="M598" s="62">
        <v>0</v>
      </c>
      <c r="N598" s="62">
        <v>0</v>
      </c>
      <c r="O598" s="62">
        <v>0</v>
      </c>
      <c r="P598" s="298" t="s">
        <v>4160</v>
      </c>
      <c r="Q598" s="60" t="s">
        <v>27</v>
      </c>
      <c r="R598" s="60" t="s">
        <v>138</v>
      </c>
      <c r="S598" s="286" t="str">
        <f t="shared" si="57"/>
        <v>SIM</v>
      </c>
      <c r="T598" s="286" t="str">
        <f>IF($C598= "", T597, IF(ISNA(VLOOKUP($C598,'ABC-S'!$A$5:$A$271,1,FALSE)), "", VLOOKUP($C598,'ABC-S'!$A$5:$A$271,1,FALSE)))</f>
        <v>CP0522</v>
      </c>
      <c r="W598" s="286" t="s">
        <v>951</v>
      </c>
      <c r="X598" s="286" t="s">
        <v>21</v>
      </c>
      <c r="Y598" s="286" t="s">
        <v>1098</v>
      </c>
      <c r="Z598" s="335" t="s">
        <v>21</v>
      </c>
      <c r="AA598" s="286" t="s">
        <v>21</v>
      </c>
      <c r="AB598" s="378"/>
      <c r="AC598" s="381">
        <v>100953</v>
      </c>
      <c r="AD598" s="378">
        <v>0</v>
      </c>
      <c r="AE598" s="378">
        <v>5.3E-3</v>
      </c>
      <c r="AF598" s="378">
        <v>0</v>
      </c>
      <c r="AG598" s="378"/>
      <c r="AI598" s="378">
        <v>0</v>
      </c>
      <c r="AJ598" s="378">
        <v>0</v>
      </c>
      <c r="AL598" s="286">
        <v>5940</v>
      </c>
      <c r="AM598" s="286"/>
    </row>
    <row r="599" spans="1:39" s="51" customFormat="1" ht="45" x14ac:dyDescent="0.25">
      <c r="A599" s="59" t="s">
        <v>3844</v>
      </c>
      <c r="B599" s="248" t="s">
        <v>87</v>
      </c>
      <c r="C599" s="248"/>
      <c r="D599" s="248">
        <v>100954</v>
      </c>
      <c r="E599" s="60" t="s">
        <v>794</v>
      </c>
      <c r="F599" s="59" t="s">
        <v>42</v>
      </c>
      <c r="G599" s="61">
        <f>'MLQ-DMT-TR1'!$E$16 * G596</f>
        <v>9.8864999999999998</v>
      </c>
      <c r="H599" s="62">
        <v>5.41</v>
      </c>
      <c r="I599" s="62">
        <f t="shared" ref="I599:I602" si="63">IF($D599="","",G599*H599)</f>
        <v>53.485965</v>
      </c>
      <c r="J599" s="62"/>
      <c r="K599" s="62">
        <v>5.1409799999999999</v>
      </c>
      <c r="L599" s="62">
        <v>35.5914</v>
      </c>
      <c r="M599" s="62">
        <v>12.753584999999999</v>
      </c>
      <c r="N599" s="62">
        <v>0</v>
      </c>
      <c r="O599" s="62">
        <v>0</v>
      </c>
      <c r="P599" s="298" t="s">
        <v>4160</v>
      </c>
      <c r="Q599" s="60" t="s">
        <v>27</v>
      </c>
      <c r="R599" s="60" t="s">
        <v>138</v>
      </c>
      <c r="S599" s="286" t="str">
        <f t="shared" si="57"/>
        <v>SIM</v>
      </c>
      <c r="T599" s="286" t="str">
        <f>IF($C599= "", T598, IF(ISNA(VLOOKUP($C599,'ABC-S'!$A$5:$A$271,1,FALSE)), "", VLOOKUP($C599,'ABC-S'!$A$5:$A$271,1,FALSE)))</f>
        <v>CP0522</v>
      </c>
      <c r="W599" s="286" t="s">
        <v>951</v>
      </c>
      <c r="X599" s="286" t="s">
        <v>21</v>
      </c>
      <c r="Y599" s="286" t="s">
        <v>1098</v>
      </c>
      <c r="Z599" s="335" t="s">
        <v>21</v>
      </c>
      <c r="AA599" s="286" t="s">
        <v>21</v>
      </c>
      <c r="AB599" s="378"/>
      <c r="AC599" s="381">
        <v>100954</v>
      </c>
      <c r="AD599" s="378">
        <v>9.8864999999999998</v>
      </c>
      <c r="AE599" s="378">
        <v>3.9699999999999999E-2</v>
      </c>
      <c r="AF599" s="378">
        <v>0.39249404999999998</v>
      </c>
      <c r="AG599" s="378"/>
      <c r="AI599" s="378">
        <v>0</v>
      </c>
      <c r="AJ599" s="378">
        <v>0</v>
      </c>
      <c r="AL599" s="286">
        <v>5942</v>
      </c>
      <c r="AM599" s="286"/>
    </row>
    <row r="600" spans="1:39" s="51" customFormat="1" ht="33.75" x14ac:dyDescent="0.25">
      <c r="A600" s="59" t="s">
        <v>3844</v>
      </c>
      <c r="B600" s="248" t="s">
        <v>87</v>
      </c>
      <c r="C600" s="248"/>
      <c r="D600" s="248">
        <v>92795</v>
      </c>
      <c r="E600" s="60" t="s">
        <v>547</v>
      </c>
      <c r="F600" s="59" t="s">
        <v>54</v>
      </c>
      <c r="G600" s="61">
        <f>((0.4+0.1*2)*1)*6</f>
        <v>3.6000000000000005</v>
      </c>
      <c r="H600" s="62">
        <v>9.56</v>
      </c>
      <c r="I600" s="62">
        <f t="shared" si="63"/>
        <v>34.416000000000004</v>
      </c>
      <c r="J600" s="62"/>
      <c r="K600" s="62">
        <v>0.46800000000000008</v>
      </c>
      <c r="L600" s="62">
        <v>33.948000000000008</v>
      </c>
      <c r="M600" s="62">
        <v>0</v>
      </c>
      <c r="N600" s="62">
        <v>0</v>
      </c>
      <c r="O600" s="62">
        <v>-7.1054273576010019E-15</v>
      </c>
      <c r="P600" s="298" t="s">
        <v>4160</v>
      </c>
      <c r="Q600" s="60" t="s">
        <v>27</v>
      </c>
      <c r="R600" s="60" t="s">
        <v>138</v>
      </c>
      <c r="S600" s="286" t="str">
        <f t="shared" si="57"/>
        <v>SIM</v>
      </c>
      <c r="T600" s="286" t="str">
        <f>IF($C600= "", T599, IF(ISNA(VLOOKUP($C600,'ABC-S'!$A$5:$A$271,1,FALSE)), "", VLOOKUP($C600,'ABC-S'!$A$5:$A$271,1,FALSE)))</f>
        <v>CP0522</v>
      </c>
      <c r="W600" s="286" t="s">
        <v>951</v>
      </c>
      <c r="X600" s="286" t="s">
        <v>21</v>
      </c>
      <c r="Y600" s="286" t="s">
        <v>1513</v>
      </c>
      <c r="Z600" s="335" t="s">
        <v>21</v>
      </c>
      <c r="AA600" s="286" t="s">
        <v>21</v>
      </c>
      <c r="AB600" s="378"/>
      <c r="AC600" s="381">
        <v>92795</v>
      </c>
      <c r="AD600" s="378">
        <v>3.6000000000000005</v>
      </c>
      <c r="AE600" s="378">
        <v>8.0000000000000002E-3</v>
      </c>
      <c r="AF600" s="378">
        <v>2.8800000000000006E-2</v>
      </c>
      <c r="AG600" s="378"/>
      <c r="AI600" s="378">
        <v>0</v>
      </c>
      <c r="AJ600" s="378">
        <v>0</v>
      </c>
      <c r="AL600" s="286">
        <v>7030</v>
      </c>
      <c r="AM600" s="286"/>
    </row>
    <row r="601" spans="1:39" s="51" customFormat="1" ht="22.5" x14ac:dyDescent="0.25">
      <c r="A601" s="59" t="s">
        <v>3844</v>
      </c>
      <c r="B601" s="248" t="s">
        <v>87</v>
      </c>
      <c r="C601" s="248"/>
      <c r="D601" s="248">
        <v>93382</v>
      </c>
      <c r="E601" s="60" t="s">
        <v>40</v>
      </c>
      <c r="F601" s="59" t="s">
        <v>44</v>
      </c>
      <c r="G601" s="61">
        <v>4.5629999999999997</v>
      </c>
      <c r="H601" s="62">
        <v>25.09</v>
      </c>
      <c r="I601" s="62">
        <f t="shared" ref="I601" si="64">IF($D601="","",G601*H601)</f>
        <v>114.48567</v>
      </c>
      <c r="J601" s="62"/>
      <c r="K601" s="62">
        <v>68.262479999999996</v>
      </c>
      <c r="L601" s="62">
        <v>41.933969999999995</v>
      </c>
      <c r="M601" s="62">
        <v>4.2892199999999994</v>
      </c>
      <c r="N601" s="62">
        <v>0</v>
      </c>
      <c r="O601" s="62">
        <v>0</v>
      </c>
      <c r="P601" s="298" t="s">
        <v>4160</v>
      </c>
      <c r="Q601" s="60" t="s">
        <v>27</v>
      </c>
      <c r="R601" s="60" t="s">
        <v>138</v>
      </c>
      <c r="S601" s="286" t="str">
        <f t="shared" si="57"/>
        <v>SIM</v>
      </c>
      <c r="T601" s="286" t="str">
        <f>IF($C601= "", T600, IF(ISNA(VLOOKUP($C601,'ABC-S'!$A$5:$A$271,1,FALSE)), "", VLOOKUP($C601,'ABC-S'!$A$5:$A$271,1,FALSE)))</f>
        <v>CP0522</v>
      </c>
      <c r="W601" s="286" t="s">
        <v>951</v>
      </c>
      <c r="X601" s="286" t="s">
        <v>21</v>
      </c>
      <c r="Y601" s="286" t="s">
        <v>1513</v>
      </c>
      <c r="Z601" s="335" t="s">
        <v>21</v>
      </c>
      <c r="AA601" s="286" t="s">
        <v>21</v>
      </c>
      <c r="AB601" s="378"/>
      <c r="AC601" s="381">
        <v>93382</v>
      </c>
      <c r="AD601" s="378">
        <v>4.5629999999999997</v>
      </c>
      <c r="AE601" s="378">
        <v>1.1870000000000001</v>
      </c>
      <c r="AF601" s="378">
        <v>5.4162809999999997</v>
      </c>
      <c r="AG601" s="378"/>
      <c r="AI601" s="378">
        <v>0</v>
      </c>
      <c r="AJ601" s="378">
        <v>0</v>
      </c>
      <c r="AL601" s="286">
        <v>7030</v>
      </c>
      <c r="AM601" s="286"/>
    </row>
    <row r="602" spans="1:39" s="51" customFormat="1" ht="45" x14ac:dyDescent="0.25">
      <c r="A602" s="59" t="s">
        <v>3844</v>
      </c>
      <c r="B602" s="248" t="s">
        <v>87</v>
      </c>
      <c r="C602" s="248"/>
      <c r="D602" s="248" t="s">
        <v>3846</v>
      </c>
      <c r="E602" s="60" t="s">
        <v>3850</v>
      </c>
      <c r="F602" s="59" t="s">
        <v>44</v>
      </c>
      <c r="G602" s="61">
        <f>ROUND(SUM(G575:G576) - (G601*(1+31.4%)),4) * 0</f>
        <v>0</v>
      </c>
      <c r="H602" s="62">
        <v>2.8176000000000001</v>
      </c>
      <c r="I602" s="62">
        <f t="shared" si="63"/>
        <v>0</v>
      </c>
      <c r="J602" s="62"/>
      <c r="K602" s="62">
        <v>0</v>
      </c>
      <c r="L602" s="62">
        <v>0</v>
      </c>
      <c r="M602" s="62">
        <v>0</v>
      </c>
      <c r="N602" s="62">
        <v>0</v>
      </c>
      <c r="O602" s="62">
        <v>0</v>
      </c>
      <c r="P602" s="298" t="s">
        <v>4160</v>
      </c>
      <c r="Q602" s="60" t="s">
        <v>27</v>
      </c>
      <c r="R602" s="60" t="s">
        <v>3858</v>
      </c>
      <c r="S602" s="286" t="str">
        <f t="shared" si="57"/>
        <v>SIM</v>
      </c>
      <c r="T602" s="286" t="str">
        <f>IF($C602= "", T601, IF(ISNA(VLOOKUP($C602,'ABC-S'!$A$5:$A$271,1,FALSE)), "", VLOOKUP($C602,'ABC-S'!$A$5:$A$271,1,FALSE)))</f>
        <v>CP0522</v>
      </c>
      <c r="W602" s="286" t="s">
        <v>951</v>
      </c>
      <c r="X602" s="286" t="s">
        <v>21</v>
      </c>
      <c r="Y602" s="286" t="s">
        <v>1513</v>
      </c>
      <c r="Z602" s="335" t="s">
        <v>21</v>
      </c>
      <c r="AA602" s="286" t="s">
        <v>21</v>
      </c>
      <c r="AB602" s="378"/>
      <c r="AC602" s="381" t="s">
        <v>3846</v>
      </c>
      <c r="AD602" s="378">
        <v>0</v>
      </c>
      <c r="AE602" s="378">
        <v>2.1041400000000001</v>
      </c>
      <c r="AF602" s="378">
        <v>0</v>
      </c>
      <c r="AG602" s="378"/>
      <c r="AI602" s="378" t="s">
        <v>21</v>
      </c>
      <c r="AJ602" s="378" t="s">
        <v>21</v>
      </c>
      <c r="AL602" s="286">
        <v>7030</v>
      </c>
      <c r="AM602" s="286"/>
    </row>
    <row r="603" spans="1:39" s="51" customFormat="1" ht="22.5" hidden="1" x14ac:dyDescent="0.25">
      <c r="A603" s="55" t="s">
        <v>3845</v>
      </c>
      <c r="B603" s="55" t="s">
        <v>138</v>
      </c>
      <c r="C603" s="55" t="s">
        <v>3845</v>
      </c>
      <c r="D603" s="55"/>
      <c r="E603" s="56" t="s">
        <v>3848</v>
      </c>
      <c r="F603" s="55" t="s">
        <v>22</v>
      </c>
      <c r="G603" s="57"/>
      <c r="H603" s="58"/>
      <c r="I603" s="58"/>
      <c r="J603" s="58">
        <f>SUM(I603:I609)</f>
        <v>37.012619660000006</v>
      </c>
      <c r="K603" s="58">
        <v>9.6265484459999993</v>
      </c>
      <c r="L603" s="58">
        <v>27.211630406000001</v>
      </c>
      <c r="M603" s="58">
        <v>0.174440808</v>
      </c>
      <c r="N603" s="58">
        <v>0</v>
      </c>
      <c r="O603" s="58">
        <v>1.8179902028236938E-15</v>
      </c>
      <c r="P603" s="58"/>
      <c r="Q603" s="56"/>
      <c r="R603" s="56" t="s">
        <v>3849</v>
      </c>
      <c r="S603" s="286" t="str">
        <f t="shared" si="57"/>
        <v/>
      </c>
      <c r="T603" s="286" t="str">
        <f>IF($C603= "", T602, IF(ISNA(VLOOKUP($C603,'ABC-S'!$A$5:$A$271,1,FALSE)), "", VLOOKUP($C603,'ABC-S'!$A$5:$A$271,1,FALSE)))</f>
        <v/>
      </c>
      <c r="W603" s="286" t="s">
        <v>479</v>
      </c>
      <c r="X603" s="286"/>
      <c r="Y603" s="286"/>
      <c r="Z603" s="286"/>
      <c r="AA603" s="286" t="s">
        <v>21</v>
      </c>
      <c r="AB603" s="378">
        <v>2.9038000000000004</v>
      </c>
      <c r="AC603" s="378"/>
      <c r="AD603" s="335"/>
      <c r="AE603" s="335"/>
      <c r="AF603" s="335"/>
      <c r="AG603" s="378">
        <v>2.9241842000000005</v>
      </c>
      <c r="AI603" s="378" t="s">
        <v>21</v>
      </c>
      <c r="AJ603" s="378" t="s">
        <v>21</v>
      </c>
      <c r="AL603" s="286"/>
      <c r="AM603" s="286"/>
    </row>
    <row r="604" spans="1:39" s="51" customFormat="1" ht="22.5" hidden="1" x14ac:dyDescent="0.25">
      <c r="A604" s="59" t="s">
        <v>3845</v>
      </c>
      <c r="B604" s="59" t="s">
        <v>86</v>
      </c>
      <c r="C604" s="59"/>
      <c r="D604" s="59">
        <v>4718</v>
      </c>
      <c r="E604" s="60" t="s">
        <v>102</v>
      </c>
      <c r="F604" s="59" t="s">
        <v>3670</v>
      </c>
      <c r="G604" s="61">
        <v>8.2100000000000006E-2</v>
      </c>
      <c r="H604" s="62">
        <v>128.37</v>
      </c>
      <c r="I604" s="62">
        <f>IF($D604="","",G604*H604)</f>
        <v>10.539177</v>
      </c>
      <c r="J604" s="62"/>
      <c r="K604" s="62">
        <v>0</v>
      </c>
      <c r="L604" s="62">
        <v>10.539177</v>
      </c>
      <c r="M604" s="62">
        <v>0</v>
      </c>
      <c r="N604" s="62">
        <v>0</v>
      </c>
      <c r="O604" s="62">
        <v>0</v>
      </c>
      <c r="P604" s="298" t="s">
        <v>89</v>
      </c>
      <c r="Q604" s="60" t="s">
        <v>27</v>
      </c>
      <c r="R604" s="60" t="s">
        <v>27</v>
      </c>
      <c r="S604" s="286" t="str">
        <f t="shared" si="57"/>
        <v/>
      </c>
      <c r="T604" s="286" t="str">
        <f>IF($C604= "", T603, IF(ISNA(VLOOKUP($C604,'ABC-S'!$A$5:$A$271,1,FALSE)), "", VLOOKUP($C604,'ABC-S'!$A$5:$A$271,1,FALSE)))</f>
        <v/>
      </c>
      <c r="W604" s="286" t="s">
        <v>479</v>
      </c>
      <c r="X604" s="286" t="s">
        <v>21</v>
      </c>
      <c r="Y604" s="286" t="s">
        <v>21</v>
      </c>
      <c r="Z604" s="286" t="s">
        <v>21</v>
      </c>
      <c r="AA604" s="286" t="s">
        <v>21</v>
      </c>
      <c r="AB604" s="378"/>
      <c r="AC604" s="381" t="s">
        <v>21</v>
      </c>
      <c r="AD604" s="378" t="s">
        <v>21</v>
      </c>
      <c r="AE604" s="378" t="s">
        <v>21</v>
      </c>
      <c r="AF604" s="378" t="s">
        <v>21</v>
      </c>
      <c r="AG604" s="378"/>
      <c r="AI604" s="378" t="s">
        <v>21</v>
      </c>
      <c r="AJ604" s="378" t="s">
        <v>21</v>
      </c>
      <c r="AL604" s="286"/>
      <c r="AM604" s="286">
        <v>370</v>
      </c>
    </row>
    <row r="605" spans="1:39" s="51" customFormat="1" ht="56.25" hidden="1" x14ac:dyDescent="0.25">
      <c r="A605" s="59" t="s">
        <v>3845</v>
      </c>
      <c r="B605" s="59" t="s">
        <v>87</v>
      </c>
      <c r="C605" s="248"/>
      <c r="D605" s="59">
        <v>5811</v>
      </c>
      <c r="E605" s="60" t="s">
        <v>528</v>
      </c>
      <c r="F605" s="59" t="s">
        <v>76</v>
      </c>
      <c r="G605" s="61">
        <v>3.2442E-3</v>
      </c>
      <c r="H605" s="62">
        <v>147.30000000000001</v>
      </c>
      <c r="I605" s="62">
        <f>IF($D605="","",G605*H605)</f>
        <v>0.47787066000000006</v>
      </c>
      <c r="J605" s="62"/>
      <c r="K605" s="62">
        <v>4.4218446000000002E-2</v>
      </c>
      <c r="L605" s="62">
        <v>0.26741940600000003</v>
      </c>
      <c r="M605" s="62">
        <v>0.16623280800000001</v>
      </c>
      <c r="N605" s="62">
        <v>0</v>
      </c>
      <c r="O605" s="62">
        <v>0</v>
      </c>
      <c r="P605" s="298" t="s">
        <v>4160</v>
      </c>
      <c r="Q605" s="60" t="s">
        <v>27</v>
      </c>
      <c r="R605" s="60" t="s">
        <v>27</v>
      </c>
      <c r="S605" s="286" t="str">
        <f t="shared" si="57"/>
        <v/>
      </c>
      <c r="T605" s="286" t="str">
        <f>IF($C605= "", T604, IF(ISNA(VLOOKUP($C605,'ABC-S'!$A$5:$A$271,1,FALSE)), "", VLOOKUP($C605,'ABC-S'!$A$5:$A$271,1,FALSE)))</f>
        <v/>
      </c>
      <c r="W605" s="286" t="s">
        <v>479</v>
      </c>
      <c r="X605" s="286" t="s">
        <v>21</v>
      </c>
      <c r="Y605" s="286" t="s">
        <v>423</v>
      </c>
      <c r="Z605" s="335" t="s">
        <v>21</v>
      </c>
      <c r="AA605" s="286" t="s">
        <v>21</v>
      </c>
      <c r="AB605" s="378"/>
      <c r="AC605" s="381">
        <v>5811</v>
      </c>
      <c r="AD605" s="378">
        <v>3.2442E-3</v>
      </c>
      <c r="AE605" s="378">
        <v>1</v>
      </c>
      <c r="AF605" s="378">
        <v>3.2442E-3</v>
      </c>
      <c r="AG605" s="378"/>
      <c r="AI605" s="378">
        <v>0</v>
      </c>
      <c r="AJ605" s="378">
        <v>0</v>
      </c>
      <c r="AL605" s="286">
        <v>88309</v>
      </c>
      <c r="AM605" s="286"/>
    </row>
    <row r="606" spans="1:39" s="51" customFormat="1" ht="22.5" hidden="1" x14ac:dyDescent="0.25">
      <c r="A606" s="59" t="s">
        <v>3845</v>
      </c>
      <c r="B606" s="59" t="s">
        <v>86</v>
      </c>
      <c r="C606" s="248"/>
      <c r="D606" s="59">
        <v>9833</v>
      </c>
      <c r="E606" s="60" t="s">
        <v>717</v>
      </c>
      <c r="F606" s="59" t="s">
        <v>3667</v>
      </c>
      <c r="G606" s="61">
        <v>1</v>
      </c>
      <c r="H606" s="62">
        <v>11.44</v>
      </c>
      <c r="I606" s="62">
        <f t="shared" ref="I606:I607" si="65">IF($D606="","",G606*H606)</f>
        <v>11.44</v>
      </c>
      <c r="J606" s="62"/>
      <c r="K606" s="62">
        <v>0</v>
      </c>
      <c r="L606" s="62">
        <v>11.44</v>
      </c>
      <c r="M606" s="62">
        <v>0</v>
      </c>
      <c r="N606" s="62">
        <v>0</v>
      </c>
      <c r="O606" s="62">
        <v>0</v>
      </c>
      <c r="P606" s="298" t="s">
        <v>89</v>
      </c>
      <c r="Q606" s="60" t="s">
        <v>27</v>
      </c>
      <c r="R606" s="60" t="s">
        <v>27</v>
      </c>
      <c r="S606" s="286" t="str">
        <f t="shared" si="57"/>
        <v/>
      </c>
      <c r="T606" s="286" t="str">
        <f>IF($C606= "", T605, IF(ISNA(VLOOKUP($C606,'ABC-S'!$A$5:$A$271,1,FALSE)), "", VLOOKUP($C606,'ABC-S'!$A$5:$A$271,1,FALSE)))</f>
        <v/>
      </c>
      <c r="W606" s="286" t="s">
        <v>479</v>
      </c>
      <c r="X606" s="286" t="s">
        <v>21</v>
      </c>
      <c r="Y606" s="286" t="s">
        <v>21</v>
      </c>
      <c r="Z606" s="335" t="s">
        <v>21</v>
      </c>
      <c r="AA606" s="286" t="s">
        <v>21</v>
      </c>
      <c r="AB606" s="378"/>
      <c r="AC606" s="381" t="s">
        <v>21</v>
      </c>
      <c r="AD606" s="378" t="s">
        <v>21</v>
      </c>
      <c r="AE606" s="378" t="s">
        <v>21</v>
      </c>
      <c r="AF606" s="378" t="s">
        <v>21</v>
      </c>
      <c r="AG606" s="378"/>
      <c r="AI606" s="378" t="s">
        <v>21</v>
      </c>
      <c r="AJ606" s="378" t="s">
        <v>21</v>
      </c>
      <c r="AL606" s="286">
        <v>88309</v>
      </c>
      <c r="AM606" s="286"/>
    </row>
    <row r="607" spans="1:39" s="51" customFormat="1" ht="22.5" hidden="1" x14ac:dyDescent="0.25">
      <c r="A607" s="59" t="s">
        <v>3845</v>
      </c>
      <c r="B607" s="59" t="s">
        <v>87</v>
      </c>
      <c r="C607" s="248"/>
      <c r="D607" s="59">
        <v>88267</v>
      </c>
      <c r="E607" s="60" t="s">
        <v>556</v>
      </c>
      <c r="F607" s="59" t="s">
        <v>46</v>
      </c>
      <c r="G607" s="61">
        <v>1.7500000000000002E-2</v>
      </c>
      <c r="H607" s="62">
        <v>23.41</v>
      </c>
      <c r="I607" s="62">
        <f t="shared" si="65"/>
        <v>0.40967500000000007</v>
      </c>
      <c r="J607" s="62"/>
      <c r="K607" s="62">
        <v>0.31045</v>
      </c>
      <c r="L607" s="62">
        <v>9.9225000000000008E-2</v>
      </c>
      <c r="M607" s="62">
        <v>0</v>
      </c>
      <c r="N607" s="62">
        <v>0</v>
      </c>
      <c r="O607" s="62">
        <v>5.5511151231257827E-17</v>
      </c>
      <c r="P607" s="298" t="s">
        <v>4160</v>
      </c>
      <c r="Q607" s="60" t="s">
        <v>27</v>
      </c>
      <c r="R607" s="60" t="s">
        <v>27</v>
      </c>
      <c r="S607" s="286" t="str">
        <f t="shared" si="57"/>
        <v/>
      </c>
      <c r="T607" s="286" t="str">
        <f>IF($C607= "", T606, IF(ISNA(VLOOKUP($C607,'ABC-S'!$A$5:$A$271,1,FALSE)), "", VLOOKUP($C607,'ABC-S'!$A$5:$A$271,1,FALSE)))</f>
        <v/>
      </c>
      <c r="W607" s="286" t="s">
        <v>479</v>
      </c>
      <c r="X607" s="286">
        <v>88267</v>
      </c>
      <c r="Y607" s="286" t="s">
        <v>424</v>
      </c>
      <c r="Z607" s="335">
        <v>0</v>
      </c>
      <c r="AA607" s="286">
        <v>1.7500000000000002E-2</v>
      </c>
      <c r="AB607" s="378"/>
      <c r="AC607" s="381" t="s">
        <v>21</v>
      </c>
      <c r="AD607" s="378" t="s">
        <v>21</v>
      </c>
      <c r="AE607" s="378" t="s">
        <v>21</v>
      </c>
      <c r="AF607" s="378" t="s">
        <v>21</v>
      </c>
      <c r="AG607" s="378"/>
      <c r="AI607" s="378">
        <v>0</v>
      </c>
      <c r="AJ607" s="378">
        <v>0</v>
      </c>
      <c r="AL607" s="286">
        <v>88309</v>
      </c>
      <c r="AM607" s="286"/>
    </row>
    <row r="608" spans="1:39" s="51" customFormat="1" hidden="1" x14ac:dyDescent="0.25">
      <c r="A608" s="59" t="s">
        <v>3845</v>
      </c>
      <c r="B608" s="59" t="s">
        <v>87</v>
      </c>
      <c r="C608" s="248"/>
      <c r="D608" s="59">
        <v>88316</v>
      </c>
      <c r="E608" s="60" t="s">
        <v>649</v>
      </c>
      <c r="F608" s="59" t="s">
        <v>46</v>
      </c>
      <c r="G608" s="61">
        <v>0.79930000000000001</v>
      </c>
      <c r="H608" s="62">
        <v>17.61</v>
      </c>
      <c r="I608" s="62">
        <f>IF($D608="","",G608*H608)</f>
        <v>14.075673</v>
      </c>
      <c r="J608" s="62"/>
      <c r="K608" s="62">
        <v>9.2718799999999995</v>
      </c>
      <c r="L608" s="62">
        <v>4.8037929999999998</v>
      </c>
      <c r="M608" s="62">
        <v>0</v>
      </c>
      <c r="N608" s="62">
        <v>0</v>
      </c>
      <c r="O608" s="62">
        <v>1.7763568394002505E-15</v>
      </c>
      <c r="P608" s="298" t="s">
        <v>4160</v>
      </c>
      <c r="Q608" s="60" t="s">
        <v>27</v>
      </c>
      <c r="R608" s="60" t="s">
        <v>27</v>
      </c>
      <c r="S608" s="286" t="str">
        <f t="shared" si="57"/>
        <v/>
      </c>
      <c r="T608" s="286" t="str">
        <f>IF($C608= "", T607, IF(ISNA(VLOOKUP($C608,'ABC-S'!$A$5:$A$271,1,FALSE)), "", VLOOKUP($C608,'ABC-S'!$A$5:$A$271,1,FALSE)))</f>
        <v/>
      </c>
      <c r="W608" s="286" t="s">
        <v>479</v>
      </c>
      <c r="X608" s="286">
        <v>88316</v>
      </c>
      <c r="Y608" s="286" t="s">
        <v>424</v>
      </c>
      <c r="Z608" s="335">
        <v>0</v>
      </c>
      <c r="AA608" s="286">
        <v>0.79930000000000001</v>
      </c>
      <c r="AB608" s="378"/>
      <c r="AC608" s="381" t="s">
        <v>21</v>
      </c>
      <c r="AD608" s="378" t="s">
        <v>21</v>
      </c>
      <c r="AE608" s="378" t="s">
        <v>21</v>
      </c>
      <c r="AF608" s="378" t="s">
        <v>21</v>
      </c>
      <c r="AG608" s="378"/>
      <c r="AI608" s="378">
        <v>0</v>
      </c>
      <c r="AJ608" s="378">
        <v>0</v>
      </c>
      <c r="AL608" s="286">
        <v>88316</v>
      </c>
      <c r="AM608" s="286"/>
    </row>
    <row r="609" spans="1:39" s="51" customFormat="1" ht="33.75" hidden="1" x14ac:dyDescent="0.25">
      <c r="A609" s="59" t="s">
        <v>3845</v>
      </c>
      <c r="B609" s="59" t="s">
        <v>87</v>
      </c>
      <c r="C609" s="59"/>
      <c r="D609" s="59">
        <v>91277</v>
      </c>
      <c r="E609" s="60" t="s">
        <v>623</v>
      </c>
      <c r="F609" s="59" t="s">
        <v>76</v>
      </c>
      <c r="G609" s="61">
        <v>7.6E-3</v>
      </c>
      <c r="H609" s="62">
        <v>9.24</v>
      </c>
      <c r="I609" s="62">
        <f>IF($D609="","",G609*H609)</f>
        <v>7.0223999999999995E-2</v>
      </c>
      <c r="J609" s="62"/>
      <c r="K609" s="62">
        <v>0</v>
      </c>
      <c r="L609" s="62">
        <v>6.2016000000000002E-2</v>
      </c>
      <c r="M609" s="62">
        <v>8.208E-3</v>
      </c>
      <c r="N609" s="62">
        <v>0</v>
      </c>
      <c r="O609" s="62">
        <v>-1.3877787807814457E-17</v>
      </c>
      <c r="P609" s="298" t="s">
        <v>4160</v>
      </c>
      <c r="Q609" s="60" t="s">
        <v>27</v>
      </c>
      <c r="R609" s="60" t="s">
        <v>27</v>
      </c>
      <c r="S609" s="286" t="str">
        <f t="shared" si="57"/>
        <v/>
      </c>
      <c r="T609" s="286" t="str">
        <f>IF($C609= "", T608, IF(ISNA(VLOOKUP($C609,'ABC-S'!$A$5:$A$271,1,FALSE)), "", VLOOKUP($C609,'ABC-S'!$A$5:$A$271,1,FALSE)))</f>
        <v/>
      </c>
      <c r="W609" s="286" t="s">
        <v>479</v>
      </c>
      <c r="X609" s="286" t="s">
        <v>21</v>
      </c>
      <c r="Y609" s="286" t="s">
        <v>423</v>
      </c>
      <c r="Z609" s="335" t="s">
        <v>21</v>
      </c>
      <c r="AA609" s="286" t="s">
        <v>21</v>
      </c>
      <c r="AB609" s="378"/>
      <c r="AC609" s="381">
        <v>91277</v>
      </c>
      <c r="AD609" s="378">
        <v>7.6E-3</v>
      </c>
      <c r="AE609" s="378">
        <v>0</v>
      </c>
      <c r="AF609" s="378">
        <v>0</v>
      </c>
      <c r="AG609" s="378"/>
      <c r="AI609" s="378">
        <v>0</v>
      </c>
      <c r="AJ609" s="378">
        <v>0</v>
      </c>
      <c r="AL609" s="286">
        <v>88629</v>
      </c>
      <c r="AM609" s="286"/>
    </row>
    <row r="610" spans="1:39" s="51" customFormat="1" ht="22.5" hidden="1" x14ac:dyDescent="0.25">
      <c r="A610" s="55" t="s">
        <v>3846</v>
      </c>
      <c r="B610" s="55" t="s">
        <v>138</v>
      </c>
      <c r="C610" s="55" t="s">
        <v>3846</v>
      </c>
      <c r="D610" s="55"/>
      <c r="E610" s="56" t="s">
        <v>3850</v>
      </c>
      <c r="F610" s="55" t="s">
        <v>44</v>
      </c>
      <c r="G610" s="57"/>
      <c r="H610" s="58"/>
      <c r="I610" s="58"/>
      <c r="J610" s="58">
        <f>SUM(I610:I611)</f>
        <v>2.8176000000000001</v>
      </c>
      <c r="K610" s="58">
        <v>1.8559999999999999</v>
      </c>
      <c r="L610" s="58">
        <v>0.96160000000000001</v>
      </c>
      <c r="M610" s="58">
        <v>0</v>
      </c>
      <c r="N610" s="58">
        <v>0</v>
      </c>
      <c r="O610" s="58">
        <v>4.4408920985006262E-16</v>
      </c>
      <c r="P610" s="58"/>
      <c r="Q610" s="56"/>
      <c r="R610" s="56" t="s">
        <v>3851</v>
      </c>
      <c r="S610" s="286" t="str">
        <f t="shared" si="57"/>
        <v/>
      </c>
      <c r="T610" s="286" t="str">
        <f>IF($C610= "", T609, IF(ISNA(VLOOKUP($C610,'ABC-S'!$A$5:$A$271,1,FALSE)), "", VLOOKUP($C610,'ABC-S'!$A$5:$A$271,1,FALSE)))</f>
        <v/>
      </c>
      <c r="W610" s="286" t="s">
        <v>479</v>
      </c>
      <c r="X610" s="286"/>
      <c r="Y610" s="286"/>
      <c r="Z610" s="286"/>
      <c r="AA610" s="286" t="s">
        <v>21</v>
      </c>
      <c r="AB610" s="378">
        <v>2.0870000000000002</v>
      </c>
      <c r="AC610" s="378"/>
      <c r="AD610" s="335"/>
      <c r="AE610" s="335"/>
      <c r="AF610" s="335"/>
      <c r="AG610" s="378">
        <v>2.1041400000000001</v>
      </c>
      <c r="AI610" s="378" t="s">
        <v>21</v>
      </c>
      <c r="AJ610" s="378" t="s">
        <v>21</v>
      </c>
      <c r="AL610" s="286"/>
      <c r="AM610" s="286"/>
    </row>
    <row r="611" spans="1:39" s="51" customFormat="1" hidden="1" x14ac:dyDescent="0.25">
      <c r="A611" s="59" t="s">
        <v>3846</v>
      </c>
      <c r="B611" s="59" t="s">
        <v>87</v>
      </c>
      <c r="C611" s="59"/>
      <c r="D611" s="59">
        <v>88316</v>
      </c>
      <c r="E611" s="60" t="s">
        <v>649</v>
      </c>
      <c r="F611" s="59" t="s">
        <v>46</v>
      </c>
      <c r="G611" s="61">
        <v>0.16</v>
      </c>
      <c r="H611" s="62">
        <v>17.61</v>
      </c>
      <c r="I611" s="62">
        <f>IF($D611="","",G611*H611)</f>
        <v>2.8176000000000001</v>
      </c>
      <c r="J611" s="62"/>
      <c r="K611" s="62">
        <v>1.8559999999999999</v>
      </c>
      <c r="L611" s="62">
        <v>0.96160000000000001</v>
      </c>
      <c r="M611" s="62">
        <v>0</v>
      </c>
      <c r="N611" s="62">
        <v>0</v>
      </c>
      <c r="O611" s="62">
        <v>4.4408920985006262E-16</v>
      </c>
      <c r="P611" s="298" t="s">
        <v>4160</v>
      </c>
      <c r="Q611" s="60" t="s">
        <v>27</v>
      </c>
      <c r="R611" s="60" t="s">
        <v>174</v>
      </c>
      <c r="S611" s="286" t="str">
        <f t="shared" si="57"/>
        <v/>
      </c>
      <c r="T611" s="286" t="str">
        <f>IF($C611= "", T610, IF(ISNA(VLOOKUP($C611,'ABC-S'!$A$5:$A$271,1,FALSE)), "", VLOOKUP($C611,'ABC-S'!$A$5:$A$271,1,FALSE)))</f>
        <v/>
      </c>
      <c r="W611" s="286" t="s">
        <v>479</v>
      </c>
      <c r="X611" s="286">
        <v>88316</v>
      </c>
      <c r="Y611" s="286" t="s">
        <v>424</v>
      </c>
      <c r="Z611" s="286">
        <v>0</v>
      </c>
      <c r="AA611" s="286">
        <v>0.16</v>
      </c>
      <c r="AB611" s="378"/>
      <c r="AC611" s="381" t="s">
        <v>21</v>
      </c>
      <c r="AD611" s="378" t="s">
        <v>21</v>
      </c>
      <c r="AE611" s="378" t="s">
        <v>21</v>
      </c>
      <c r="AF611" s="378" t="s">
        <v>21</v>
      </c>
      <c r="AG611" s="378"/>
      <c r="AI611" s="378">
        <v>0</v>
      </c>
      <c r="AJ611" s="378">
        <v>0</v>
      </c>
      <c r="AL611" s="286"/>
      <c r="AM611" s="286">
        <v>370</v>
      </c>
    </row>
    <row r="612" spans="1:39" s="51" customFormat="1" ht="45" hidden="1" x14ac:dyDescent="0.25">
      <c r="A612" s="55" t="s">
        <v>3847</v>
      </c>
      <c r="B612" s="55" t="s">
        <v>138</v>
      </c>
      <c r="C612" s="55" t="s">
        <v>3847</v>
      </c>
      <c r="D612" s="55"/>
      <c r="E612" s="56" t="s">
        <v>3853</v>
      </c>
      <c r="F612" s="55" t="s">
        <v>51</v>
      </c>
      <c r="G612" s="57"/>
      <c r="H612" s="58"/>
      <c r="I612" s="58"/>
      <c r="J612" s="58">
        <f>SUM(I612:I620)</f>
        <v>104.38408620999999</v>
      </c>
      <c r="K612" s="58">
        <v>18.734272000000001</v>
      </c>
      <c r="L612" s="58">
        <v>38.90981421</v>
      </c>
      <c r="M612" s="58">
        <v>46.74</v>
      </c>
      <c r="N612" s="58">
        <v>0</v>
      </c>
      <c r="O612" s="58">
        <v>0</v>
      </c>
      <c r="P612" s="58"/>
      <c r="Q612" s="56"/>
      <c r="R612" s="56" t="s">
        <v>3854</v>
      </c>
      <c r="S612" s="286" t="str">
        <f t="shared" si="57"/>
        <v/>
      </c>
      <c r="T612" s="286" t="str">
        <f>IF($C612= "", T611, IF(ISNA(VLOOKUP($C612,'ABC-S'!$A$5:$A$271,1,FALSE)), "", VLOOKUP($C612,'ABC-S'!$A$5:$A$271,1,FALSE)))</f>
        <v/>
      </c>
      <c r="W612" s="286" t="s">
        <v>479</v>
      </c>
      <c r="X612" s="286"/>
      <c r="Y612" s="286"/>
      <c r="Z612" s="286"/>
      <c r="AA612" s="286" t="s">
        <v>21</v>
      </c>
      <c r="AB612" s="378">
        <v>1.927</v>
      </c>
      <c r="AC612" s="378"/>
      <c r="AD612" s="335"/>
      <c r="AE612" s="335"/>
      <c r="AF612" s="335"/>
      <c r="AG612" s="378">
        <v>1.94414</v>
      </c>
      <c r="AI612" s="378" t="s">
        <v>21</v>
      </c>
      <c r="AJ612" s="378" t="s">
        <v>21</v>
      </c>
      <c r="AL612" s="286"/>
      <c r="AM612" s="286"/>
    </row>
    <row r="613" spans="1:39" s="51" customFormat="1" ht="22.5" hidden="1" x14ac:dyDescent="0.25">
      <c r="A613" s="59" t="s">
        <v>3847</v>
      </c>
      <c r="B613" s="59" t="s">
        <v>87</v>
      </c>
      <c r="C613" s="59"/>
      <c r="D613" s="59">
        <v>88262</v>
      </c>
      <c r="E613" s="60" t="s">
        <v>535</v>
      </c>
      <c r="F613" s="59" t="s">
        <v>46</v>
      </c>
      <c r="G613" s="61">
        <f>ROUND(0.95676/(1+5%),7)</f>
        <v>0.91120000000000001</v>
      </c>
      <c r="H613" s="62">
        <v>23.68</v>
      </c>
      <c r="I613" s="62">
        <f>IF($D613="","",G613*H613)</f>
        <v>21.577216</v>
      </c>
      <c r="J613" s="62"/>
      <c r="K613" s="62">
        <v>16.091792000000002</v>
      </c>
      <c r="L613" s="62">
        <v>5.4854240000000001</v>
      </c>
      <c r="M613" s="62">
        <v>0</v>
      </c>
      <c r="N613" s="62">
        <v>0</v>
      </c>
      <c r="O613" s="62">
        <v>0</v>
      </c>
      <c r="P613" s="298" t="s">
        <v>4160</v>
      </c>
      <c r="Q613" s="60" t="s">
        <v>27</v>
      </c>
      <c r="R613" s="60" t="s">
        <v>1051</v>
      </c>
      <c r="S613" s="286" t="str">
        <f t="shared" si="57"/>
        <v/>
      </c>
      <c r="T613" s="286" t="str">
        <f>IF($C613= "", T612, IF(ISNA(VLOOKUP($C613,'ABC-S'!$A$5:$A$271,1,FALSE)), "", VLOOKUP($C613,'ABC-S'!$A$5:$A$271,1,FALSE)))</f>
        <v/>
      </c>
      <c r="W613" s="286" t="s">
        <v>479</v>
      </c>
      <c r="X613" s="286">
        <v>88262</v>
      </c>
      <c r="Y613" s="286" t="s">
        <v>424</v>
      </c>
      <c r="Z613" s="286">
        <v>0</v>
      </c>
      <c r="AA613" s="286">
        <v>0.91120000000000001</v>
      </c>
      <c r="AB613" s="378"/>
      <c r="AC613" s="381" t="s">
        <v>21</v>
      </c>
      <c r="AD613" s="378" t="s">
        <v>21</v>
      </c>
      <c r="AE613" s="378" t="s">
        <v>21</v>
      </c>
      <c r="AF613" s="378" t="s">
        <v>21</v>
      </c>
      <c r="AG613" s="378"/>
      <c r="AI613" s="378">
        <v>0</v>
      </c>
      <c r="AJ613" s="378">
        <v>0</v>
      </c>
      <c r="AL613" s="286"/>
      <c r="AM613" s="286">
        <v>370</v>
      </c>
    </row>
    <row r="614" spans="1:39" s="51" customFormat="1" hidden="1" x14ac:dyDescent="0.25">
      <c r="A614" s="59" t="s">
        <v>3847</v>
      </c>
      <c r="B614" s="59" t="s">
        <v>87</v>
      </c>
      <c r="C614" s="248"/>
      <c r="D614" s="59">
        <v>88316</v>
      </c>
      <c r="E614" s="60" t="s">
        <v>649</v>
      </c>
      <c r="F614" s="59" t="s">
        <v>46</v>
      </c>
      <c r="G614" s="61">
        <f>ROUND(0.23919/(1+5%),7)</f>
        <v>0.2278</v>
      </c>
      <c r="H614" s="62">
        <v>17.61</v>
      </c>
      <c r="I614" s="62">
        <f>IF($D614="","",G614*H614)</f>
        <v>4.011558</v>
      </c>
      <c r="J614" s="62"/>
      <c r="K614" s="62">
        <v>2.6424799999999999</v>
      </c>
      <c r="L614" s="62">
        <v>1.369078</v>
      </c>
      <c r="M614" s="62">
        <v>0</v>
      </c>
      <c r="N614" s="62">
        <v>0</v>
      </c>
      <c r="O614" s="62">
        <v>0</v>
      </c>
      <c r="P614" s="298" t="s">
        <v>4160</v>
      </c>
      <c r="Q614" s="60" t="s">
        <v>27</v>
      </c>
      <c r="R614" s="60" t="s">
        <v>1051</v>
      </c>
      <c r="S614" s="286" t="str">
        <f t="shared" si="57"/>
        <v/>
      </c>
      <c r="T614" s="286" t="str">
        <f>IF($C614= "", T613, IF(ISNA(VLOOKUP($C614,'ABC-S'!$A$5:$A$271,1,FALSE)), "", VLOOKUP($C614,'ABC-S'!$A$5:$A$271,1,FALSE)))</f>
        <v/>
      </c>
      <c r="W614" s="286" t="s">
        <v>479</v>
      </c>
      <c r="X614" s="286">
        <v>88316</v>
      </c>
      <c r="Y614" s="286" t="s">
        <v>424</v>
      </c>
      <c r="Z614" s="335">
        <v>0</v>
      </c>
      <c r="AA614" s="286">
        <v>0.2278</v>
      </c>
      <c r="AB614" s="378"/>
      <c r="AC614" s="381" t="s">
        <v>21</v>
      </c>
      <c r="AD614" s="378" t="s">
        <v>21</v>
      </c>
      <c r="AE614" s="378" t="s">
        <v>21</v>
      </c>
      <c r="AF614" s="378" t="s">
        <v>21</v>
      </c>
      <c r="AG614" s="378"/>
      <c r="AI614" s="378">
        <v>0</v>
      </c>
      <c r="AJ614" s="378">
        <v>0</v>
      </c>
      <c r="AL614" s="286">
        <v>88309</v>
      </c>
      <c r="AM614" s="286"/>
    </row>
    <row r="615" spans="1:39" s="51" customFormat="1" ht="22.5" hidden="1" x14ac:dyDescent="0.25">
      <c r="A615" s="59" t="s">
        <v>3847</v>
      </c>
      <c r="B615" s="59" t="s">
        <v>86</v>
      </c>
      <c r="C615" s="248"/>
      <c r="D615" s="59">
        <v>3990</v>
      </c>
      <c r="E615" s="60" t="s">
        <v>1475</v>
      </c>
      <c r="F615" s="59" t="s">
        <v>3667</v>
      </c>
      <c r="G615" s="61">
        <v>0.17333299999999999</v>
      </c>
      <c r="H615" s="62">
        <v>20.54</v>
      </c>
      <c r="I615" s="62">
        <f t="shared" ref="I615:I618" si="66">IF($D615="","",G615*H615)</f>
        <v>3.5602598199999997</v>
      </c>
      <c r="J615" s="62"/>
      <c r="K615" s="62">
        <v>0</v>
      </c>
      <c r="L615" s="62">
        <v>3.5602598199999997</v>
      </c>
      <c r="M615" s="62">
        <v>0</v>
      </c>
      <c r="N615" s="62">
        <v>0</v>
      </c>
      <c r="O615" s="62">
        <v>0</v>
      </c>
      <c r="P615" s="298" t="s">
        <v>89</v>
      </c>
      <c r="Q615" s="60" t="s">
        <v>27</v>
      </c>
      <c r="R615" s="60" t="s">
        <v>1051</v>
      </c>
      <c r="S615" s="286" t="str">
        <f t="shared" si="57"/>
        <v/>
      </c>
      <c r="T615" s="286" t="str">
        <f>IF($C615= "", T614, IF(ISNA(VLOOKUP($C615,'ABC-S'!$A$5:$A$271,1,FALSE)), "", VLOOKUP($C615,'ABC-S'!$A$5:$A$271,1,FALSE)))</f>
        <v/>
      </c>
      <c r="W615" s="286" t="s">
        <v>479</v>
      </c>
      <c r="X615" s="286" t="s">
        <v>21</v>
      </c>
      <c r="Y615" s="286" t="s">
        <v>21</v>
      </c>
      <c r="Z615" s="335" t="s">
        <v>21</v>
      </c>
      <c r="AA615" s="286" t="s">
        <v>21</v>
      </c>
      <c r="AB615" s="378"/>
      <c r="AC615" s="381" t="s">
        <v>21</v>
      </c>
      <c r="AD615" s="378" t="s">
        <v>21</v>
      </c>
      <c r="AE615" s="378" t="s">
        <v>21</v>
      </c>
      <c r="AF615" s="378" t="s">
        <v>21</v>
      </c>
      <c r="AG615" s="378"/>
      <c r="AI615" s="378" t="s">
        <v>21</v>
      </c>
      <c r="AJ615" s="378" t="s">
        <v>21</v>
      </c>
      <c r="AL615" s="286">
        <v>88309</v>
      </c>
      <c r="AM615" s="286"/>
    </row>
    <row r="616" spans="1:39" s="51" customFormat="1" ht="22.5" hidden="1" x14ac:dyDescent="0.25">
      <c r="A616" s="59" t="s">
        <v>3847</v>
      </c>
      <c r="B616" s="59" t="s">
        <v>86</v>
      </c>
      <c r="C616" s="248"/>
      <c r="D616" s="59">
        <v>20247</v>
      </c>
      <c r="E616" s="60" t="s">
        <v>92</v>
      </c>
      <c r="F616" s="59" t="s">
        <v>3669</v>
      </c>
      <c r="G616" s="61">
        <v>0.21</v>
      </c>
      <c r="H616" s="62">
        <v>22.41</v>
      </c>
      <c r="I616" s="62">
        <f t="shared" si="66"/>
        <v>4.7061000000000002</v>
      </c>
      <c r="J616" s="62"/>
      <c r="K616" s="62">
        <v>0</v>
      </c>
      <c r="L616" s="62">
        <v>4.7061000000000002</v>
      </c>
      <c r="M616" s="62">
        <v>0</v>
      </c>
      <c r="N616" s="62">
        <v>0</v>
      </c>
      <c r="O616" s="62">
        <v>0</v>
      </c>
      <c r="P616" s="298" t="s">
        <v>89</v>
      </c>
      <c r="Q616" s="60" t="s">
        <v>27</v>
      </c>
      <c r="R616" s="60" t="s">
        <v>1051</v>
      </c>
      <c r="S616" s="286" t="str">
        <f t="shared" si="57"/>
        <v/>
      </c>
      <c r="T616" s="286" t="str">
        <f>IF($C616= "", T615, IF(ISNA(VLOOKUP($C616,'ABC-S'!$A$5:$A$271,1,FALSE)), "", VLOOKUP($C616,'ABC-S'!$A$5:$A$271,1,FALSE)))</f>
        <v/>
      </c>
      <c r="W616" s="286" t="s">
        <v>479</v>
      </c>
      <c r="X616" s="286" t="s">
        <v>21</v>
      </c>
      <c r="Y616" s="286" t="s">
        <v>21</v>
      </c>
      <c r="Z616" s="335" t="s">
        <v>21</v>
      </c>
      <c r="AA616" s="286" t="s">
        <v>21</v>
      </c>
      <c r="AB616" s="378"/>
      <c r="AC616" s="381" t="s">
        <v>21</v>
      </c>
      <c r="AD616" s="378" t="s">
        <v>21</v>
      </c>
      <c r="AE616" s="378" t="s">
        <v>21</v>
      </c>
      <c r="AF616" s="378" t="s">
        <v>21</v>
      </c>
      <c r="AG616" s="378"/>
      <c r="AI616" s="378" t="s">
        <v>21</v>
      </c>
      <c r="AJ616" s="378" t="s">
        <v>21</v>
      </c>
      <c r="AL616" s="286">
        <v>88309</v>
      </c>
      <c r="AM616" s="286"/>
    </row>
    <row r="617" spans="1:39" s="51" customFormat="1" ht="22.5" hidden="1" x14ac:dyDescent="0.25">
      <c r="A617" s="59" t="s">
        <v>3847</v>
      </c>
      <c r="B617" s="59" t="s">
        <v>86</v>
      </c>
      <c r="C617" s="248"/>
      <c r="D617" s="59">
        <v>4517</v>
      </c>
      <c r="E617" s="60" t="s">
        <v>1179</v>
      </c>
      <c r="F617" s="59" t="s">
        <v>3667</v>
      </c>
      <c r="G617" s="61">
        <v>2.75</v>
      </c>
      <c r="H617" s="62">
        <v>2.27</v>
      </c>
      <c r="I617" s="62">
        <f t="shared" si="66"/>
        <v>6.2424999999999997</v>
      </c>
      <c r="J617" s="62"/>
      <c r="K617" s="62">
        <v>0</v>
      </c>
      <c r="L617" s="62">
        <v>6.2424999999999997</v>
      </c>
      <c r="M617" s="62">
        <v>0</v>
      </c>
      <c r="N617" s="62">
        <v>0</v>
      </c>
      <c r="O617" s="62">
        <v>0</v>
      </c>
      <c r="P617" s="298" t="s">
        <v>89</v>
      </c>
      <c r="Q617" s="60" t="s">
        <v>27</v>
      </c>
      <c r="R617" s="60" t="s">
        <v>1051</v>
      </c>
      <c r="S617" s="286" t="str">
        <f t="shared" si="57"/>
        <v/>
      </c>
      <c r="T617" s="286" t="str">
        <f>IF($C617= "", T616, IF(ISNA(VLOOKUP($C617,'ABC-S'!$A$5:$A$271,1,FALSE)), "", VLOOKUP($C617,'ABC-S'!$A$5:$A$271,1,FALSE)))</f>
        <v/>
      </c>
      <c r="W617" s="286" t="s">
        <v>479</v>
      </c>
      <c r="X617" s="286" t="s">
        <v>21</v>
      </c>
      <c r="Y617" s="286" t="s">
        <v>21</v>
      </c>
      <c r="Z617" s="335" t="s">
        <v>21</v>
      </c>
      <c r="AA617" s="286" t="s">
        <v>21</v>
      </c>
      <c r="AB617" s="378"/>
      <c r="AC617" s="381" t="s">
        <v>21</v>
      </c>
      <c r="AD617" s="378" t="s">
        <v>21</v>
      </c>
      <c r="AE617" s="378" t="s">
        <v>21</v>
      </c>
      <c r="AF617" s="378" t="s">
        <v>21</v>
      </c>
      <c r="AG617" s="378"/>
      <c r="AI617" s="378" t="s">
        <v>21</v>
      </c>
      <c r="AJ617" s="378" t="s">
        <v>21</v>
      </c>
      <c r="AL617" s="286">
        <v>88309</v>
      </c>
      <c r="AM617" s="286"/>
    </row>
    <row r="618" spans="1:39" s="51" customFormat="1" ht="22.5" hidden="1" x14ac:dyDescent="0.25">
      <c r="A618" s="59" t="s">
        <v>3847</v>
      </c>
      <c r="B618" s="59" t="s">
        <v>86</v>
      </c>
      <c r="C618" s="248"/>
      <c r="D618" s="59">
        <v>1355</v>
      </c>
      <c r="E618" s="60" t="s">
        <v>689</v>
      </c>
      <c r="F618" s="59" t="s">
        <v>3665</v>
      </c>
      <c r="G618" s="61">
        <f>0.416667</f>
        <v>0.41666700000000001</v>
      </c>
      <c r="H618" s="62">
        <v>36.93</v>
      </c>
      <c r="I618" s="62">
        <f t="shared" si="66"/>
        <v>15.38751231</v>
      </c>
      <c r="J618" s="62"/>
      <c r="K618" s="62">
        <v>0</v>
      </c>
      <c r="L618" s="62">
        <v>15.38751231</v>
      </c>
      <c r="M618" s="62">
        <v>0</v>
      </c>
      <c r="N618" s="62">
        <v>0</v>
      </c>
      <c r="O618" s="62">
        <v>0</v>
      </c>
      <c r="P618" s="298" t="s">
        <v>89</v>
      </c>
      <c r="Q618" s="60" t="s">
        <v>27</v>
      </c>
      <c r="R618" s="60" t="s">
        <v>1051</v>
      </c>
      <c r="S618" s="286" t="str">
        <f t="shared" si="57"/>
        <v/>
      </c>
      <c r="T618" s="286" t="str">
        <f>IF($C618= "", T617, IF(ISNA(VLOOKUP($C618,'ABC-S'!$A$5:$A$271,1,FALSE)), "", VLOOKUP($C618,'ABC-S'!$A$5:$A$271,1,FALSE)))</f>
        <v/>
      </c>
      <c r="W618" s="286" t="s">
        <v>479</v>
      </c>
      <c r="X618" s="286" t="s">
        <v>21</v>
      </c>
      <c r="Y618" s="286" t="s">
        <v>21</v>
      </c>
      <c r="Z618" s="335" t="s">
        <v>21</v>
      </c>
      <c r="AA618" s="286" t="s">
        <v>21</v>
      </c>
      <c r="AB618" s="378"/>
      <c r="AC618" s="381" t="s">
        <v>21</v>
      </c>
      <c r="AD618" s="378" t="s">
        <v>21</v>
      </c>
      <c r="AE618" s="378" t="s">
        <v>21</v>
      </c>
      <c r="AF618" s="378" t="s">
        <v>21</v>
      </c>
      <c r="AG618" s="378"/>
      <c r="AI618" s="378" t="s">
        <v>21</v>
      </c>
      <c r="AJ618" s="378" t="s">
        <v>21</v>
      </c>
      <c r="AL618" s="286">
        <v>88309</v>
      </c>
      <c r="AM618" s="286"/>
    </row>
    <row r="619" spans="1:39" s="51" customFormat="1" ht="33.75" hidden="1" x14ac:dyDescent="0.25">
      <c r="A619" s="59" t="s">
        <v>3847</v>
      </c>
      <c r="B619" s="59" t="s">
        <v>86</v>
      </c>
      <c r="C619" s="248"/>
      <c r="D619" s="59">
        <v>4433</v>
      </c>
      <c r="E619" s="60" t="s">
        <v>1473</v>
      </c>
      <c r="F619" s="59" t="s">
        <v>3667</v>
      </c>
      <c r="G619" s="61">
        <v>2</v>
      </c>
      <c r="H619" s="62">
        <v>23.37</v>
      </c>
      <c r="I619" s="62">
        <f>IF($D619="","",G619*H619)</f>
        <v>46.74</v>
      </c>
      <c r="J619" s="62"/>
      <c r="K619" s="62">
        <v>0</v>
      </c>
      <c r="L619" s="62">
        <v>0</v>
      </c>
      <c r="M619" s="62">
        <v>46.74</v>
      </c>
      <c r="N619" s="62">
        <v>0</v>
      </c>
      <c r="O619" s="62">
        <v>0</v>
      </c>
      <c r="P619" s="298" t="s">
        <v>719</v>
      </c>
      <c r="Q619" s="60" t="s">
        <v>27</v>
      </c>
      <c r="R619" s="60" t="s">
        <v>1051</v>
      </c>
      <c r="S619" s="286" t="str">
        <f t="shared" si="57"/>
        <v/>
      </c>
      <c r="T619" s="286" t="str">
        <f>IF($C619= "", T618, IF(ISNA(VLOOKUP($C619,'ABC-S'!$A$5:$A$271,1,FALSE)), "", VLOOKUP($C619,'ABC-S'!$A$5:$A$271,1,FALSE)))</f>
        <v/>
      </c>
      <c r="W619" s="286" t="s">
        <v>479</v>
      </c>
      <c r="X619" s="286" t="s">
        <v>21</v>
      </c>
      <c r="Y619" s="286" t="s">
        <v>21</v>
      </c>
      <c r="Z619" s="335" t="s">
        <v>21</v>
      </c>
      <c r="AA619" s="286" t="s">
        <v>21</v>
      </c>
      <c r="AB619" s="378"/>
      <c r="AC619" s="381" t="s">
        <v>21</v>
      </c>
      <c r="AD619" s="378" t="s">
        <v>21</v>
      </c>
      <c r="AE619" s="378" t="s">
        <v>21</v>
      </c>
      <c r="AF619" s="378" t="s">
        <v>21</v>
      </c>
      <c r="AG619" s="378"/>
      <c r="AI619" s="378" t="s">
        <v>21</v>
      </c>
      <c r="AJ619" s="378" t="s">
        <v>21</v>
      </c>
      <c r="AL619" s="286">
        <v>88316</v>
      </c>
      <c r="AM619" s="286"/>
    </row>
    <row r="620" spans="1:39" s="51" customFormat="1" hidden="1" x14ac:dyDescent="0.25">
      <c r="A620" s="59" t="s">
        <v>3847</v>
      </c>
      <c r="B620" s="59" t="s">
        <v>86</v>
      </c>
      <c r="C620" s="59"/>
      <c r="D620" s="59">
        <v>5068</v>
      </c>
      <c r="E620" s="60" t="s">
        <v>93</v>
      </c>
      <c r="F620" s="59" t="s">
        <v>3669</v>
      </c>
      <c r="G620" s="61">
        <v>0.106667</v>
      </c>
      <c r="H620" s="62">
        <v>20.239999999999998</v>
      </c>
      <c r="I620" s="62">
        <f>IF($D620="","",G620*H620)</f>
        <v>2.1589400799999998</v>
      </c>
      <c r="J620" s="62"/>
      <c r="K620" s="62">
        <v>0</v>
      </c>
      <c r="L620" s="62">
        <v>2.1589400799999998</v>
      </c>
      <c r="M620" s="62">
        <v>0</v>
      </c>
      <c r="N620" s="62">
        <v>0</v>
      </c>
      <c r="O620" s="62">
        <v>0</v>
      </c>
      <c r="P620" s="298" t="s">
        <v>89</v>
      </c>
      <c r="Q620" s="60" t="s">
        <v>27</v>
      </c>
      <c r="R620" s="60" t="s">
        <v>1051</v>
      </c>
      <c r="S620" s="286" t="str">
        <f t="shared" si="57"/>
        <v/>
      </c>
      <c r="T620" s="286" t="str">
        <f>IF($C620= "", T619, IF(ISNA(VLOOKUP($C620,'ABC-S'!$A$5:$A$271,1,FALSE)), "", VLOOKUP($C620,'ABC-S'!$A$5:$A$271,1,FALSE)))</f>
        <v/>
      </c>
      <c r="W620" s="286" t="s">
        <v>479</v>
      </c>
      <c r="X620" s="286" t="s">
        <v>21</v>
      </c>
      <c r="Y620" s="286" t="s">
        <v>21</v>
      </c>
      <c r="Z620" s="335" t="s">
        <v>21</v>
      </c>
      <c r="AA620" s="286" t="s">
        <v>21</v>
      </c>
      <c r="AB620" s="378"/>
      <c r="AC620" s="381" t="s">
        <v>21</v>
      </c>
      <c r="AD620" s="378" t="s">
        <v>21</v>
      </c>
      <c r="AE620" s="378" t="s">
        <v>21</v>
      </c>
      <c r="AF620" s="378" t="s">
        <v>21</v>
      </c>
      <c r="AG620" s="378"/>
      <c r="AI620" s="378" t="s">
        <v>21</v>
      </c>
      <c r="AJ620" s="378" t="s">
        <v>21</v>
      </c>
      <c r="AL620" s="286">
        <v>88629</v>
      </c>
      <c r="AM620" s="286"/>
    </row>
    <row r="621" spans="1:39" s="51" customFormat="1" ht="45" hidden="1" x14ac:dyDescent="0.25">
      <c r="A621" s="55" t="s">
        <v>479</v>
      </c>
      <c r="B621" s="55" t="s">
        <v>138</v>
      </c>
      <c r="C621" s="55" t="s">
        <v>479</v>
      </c>
      <c r="D621" s="55"/>
      <c r="E621" s="56" t="s">
        <v>961</v>
      </c>
      <c r="F621" s="55" t="s">
        <v>22</v>
      </c>
      <c r="G621" s="57"/>
      <c r="H621" s="58"/>
      <c r="I621" s="58"/>
      <c r="J621" s="58">
        <f>SUM(I621:I625)</f>
        <v>17.978079999999999</v>
      </c>
      <c r="K621" s="58">
        <v>11.774520000000001</v>
      </c>
      <c r="L621" s="58">
        <v>5.5910600000000006</v>
      </c>
      <c r="M621" s="58">
        <v>0.61250000000000004</v>
      </c>
      <c r="N621" s="58">
        <v>0</v>
      </c>
      <c r="O621" s="58">
        <v>-1.7763568394002505E-15</v>
      </c>
      <c r="P621" s="58"/>
      <c r="Q621" s="56"/>
      <c r="R621" s="56" t="s">
        <v>960</v>
      </c>
      <c r="S621" s="286" t="str">
        <f t="shared" si="57"/>
        <v/>
      </c>
      <c r="T621" s="286" t="str">
        <f>IF($C621= "", T620, IF(ISNA(VLOOKUP($C621,'ABC-S'!$A$5:$A$271,1,FALSE)), "", VLOOKUP($C621,'ABC-S'!$A$5:$A$271,1,FALSE)))</f>
        <v/>
      </c>
      <c r="W621" s="286" t="s">
        <v>479</v>
      </c>
      <c r="X621" s="286"/>
      <c r="Y621" s="286"/>
      <c r="Z621" s="286"/>
      <c r="AA621" s="286" t="s">
        <v>21</v>
      </c>
      <c r="AB621" s="378">
        <v>0.78800000000000003</v>
      </c>
      <c r="AC621" s="378"/>
      <c r="AD621" s="335"/>
      <c r="AE621" s="335"/>
      <c r="AF621" s="335"/>
      <c r="AG621" s="378">
        <v>0.80514000000000008</v>
      </c>
      <c r="AI621" s="378" t="s">
        <v>21</v>
      </c>
      <c r="AJ621" s="378" t="s">
        <v>21</v>
      </c>
      <c r="AL621" s="286"/>
      <c r="AM621" s="286"/>
    </row>
    <row r="622" spans="1:39" s="51" customFormat="1" ht="22.5" hidden="1" x14ac:dyDescent="0.25">
      <c r="A622" s="59" t="s">
        <v>479</v>
      </c>
      <c r="B622" s="59" t="s">
        <v>86</v>
      </c>
      <c r="C622" s="59"/>
      <c r="D622" s="59">
        <v>370</v>
      </c>
      <c r="E622" s="60" t="s">
        <v>99</v>
      </c>
      <c r="F622" s="59" t="s">
        <v>3670</v>
      </c>
      <c r="G622" s="61">
        <v>7.0000000000000001E-3</v>
      </c>
      <c r="H622" s="62">
        <v>87.5</v>
      </c>
      <c r="I622" s="62">
        <f>IF($D622="","",G622*H622)</f>
        <v>0.61250000000000004</v>
      </c>
      <c r="J622" s="62"/>
      <c r="K622" s="62">
        <v>0</v>
      </c>
      <c r="L622" s="62">
        <v>0</v>
      </c>
      <c r="M622" s="62">
        <v>0.61250000000000004</v>
      </c>
      <c r="N622" s="62">
        <v>0</v>
      </c>
      <c r="O622" s="62">
        <v>0</v>
      </c>
      <c r="P622" s="298" t="s">
        <v>719</v>
      </c>
      <c r="Q622" s="60" t="s">
        <v>27</v>
      </c>
      <c r="R622" s="60" t="s">
        <v>480</v>
      </c>
      <c r="S622" s="286" t="str">
        <f t="shared" si="57"/>
        <v/>
      </c>
      <c r="T622" s="286" t="str">
        <f>IF($C622= "", T621, IF(ISNA(VLOOKUP($C622,'ABC-S'!$A$5:$A$271,1,FALSE)), "", VLOOKUP($C622,'ABC-S'!$A$5:$A$271,1,FALSE)))</f>
        <v/>
      </c>
      <c r="W622" s="286" t="s">
        <v>479</v>
      </c>
      <c r="X622" s="286" t="s">
        <v>21</v>
      </c>
      <c r="Y622" s="286" t="s">
        <v>21</v>
      </c>
      <c r="Z622" s="286" t="s">
        <v>21</v>
      </c>
      <c r="AA622" s="286" t="s">
        <v>21</v>
      </c>
      <c r="AB622" s="378"/>
      <c r="AC622" s="381" t="s">
        <v>21</v>
      </c>
      <c r="AD622" s="378" t="s">
        <v>21</v>
      </c>
      <c r="AE622" s="378" t="s">
        <v>21</v>
      </c>
      <c r="AF622" s="378" t="s">
        <v>21</v>
      </c>
      <c r="AG622" s="378"/>
      <c r="AI622" s="378" t="s">
        <v>21</v>
      </c>
      <c r="AJ622" s="378" t="s">
        <v>21</v>
      </c>
      <c r="AL622" s="286"/>
      <c r="AM622" s="286">
        <v>370</v>
      </c>
    </row>
    <row r="623" spans="1:39" s="51" customFormat="1" hidden="1" x14ac:dyDescent="0.25">
      <c r="A623" s="59" t="s">
        <v>479</v>
      </c>
      <c r="B623" s="59" t="s">
        <v>87</v>
      </c>
      <c r="C623" s="248"/>
      <c r="D623" s="59">
        <v>88309</v>
      </c>
      <c r="E623" s="60" t="s">
        <v>617</v>
      </c>
      <c r="F623" s="59" t="s">
        <v>46</v>
      </c>
      <c r="G623" s="61">
        <v>0.39400000000000002</v>
      </c>
      <c r="H623" s="62">
        <v>23.9</v>
      </c>
      <c r="I623" s="62">
        <f>IF($D623="","",G623*H623)</f>
        <v>9.416599999999999</v>
      </c>
      <c r="J623" s="62"/>
      <c r="K623" s="62">
        <v>7.0053200000000011</v>
      </c>
      <c r="L623" s="62">
        <v>2.4112800000000001</v>
      </c>
      <c r="M623" s="62">
        <v>0</v>
      </c>
      <c r="N623" s="62">
        <v>0</v>
      </c>
      <c r="O623" s="62">
        <v>-1.7763568394002505E-15</v>
      </c>
      <c r="P623" s="298" t="s">
        <v>4160</v>
      </c>
      <c r="Q623" s="60" t="s">
        <v>27</v>
      </c>
      <c r="R623" s="60" t="s">
        <v>174</v>
      </c>
      <c r="S623" s="286" t="str">
        <f t="shared" ref="S623:S686" si="67">IF(T623 &lt;&gt; "", "SIM", "")</f>
        <v/>
      </c>
      <c r="T623" s="286" t="str">
        <f>IF($C623= "", T622, IF(ISNA(VLOOKUP($C623,'ABC-S'!$A$5:$A$271,1,FALSE)), "", VLOOKUP($C623,'ABC-S'!$A$5:$A$271,1,FALSE)))</f>
        <v/>
      </c>
      <c r="W623" s="286" t="s">
        <v>479</v>
      </c>
      <c r="X623" s="286">
        <v>88309</v>
      </c>
      <c r="Y623" s="286" t="s">
        <v>424</v>
      </c>
      <c r="Z623" s="335">
        <v>0</v>
      </c>
      <c r="AA623" s="286">
        <v>0.39400000000000002</v>
      </c>
      <c r="AB623" s="378"/>
      <c r="AC623" s="381" t="s">
        <v>21</v>
      </c>
      <c r="AD623" s="378" t="s">
        <v>21</v>
      </c>
      <c r="AE623" s="378" t="s">
        <v>21</v>
      </c>
      <c r="AF623" s="378" t="s">
        <v>21</v>
      </c>
      <c r="AG623" s="378"/>
      <c r="AI623" s="378">
        <v>0</v>
      </c>
      <c r="AJ623" s="378">
        <v>0</v>
      </c>
      <c r="AL623" s="286">
        <v>88309</v>
      </c>
      <c r="AM623" s="286"/>
    </row>
    <row r="624" spans="1:39" s="51" customFormat="1" hidden="1" x14ac:dyDescent="0.25">
      <c r="A624" s="59" t="s">
        <v>479</v>
      </c>
      <c r="B624" s="59" t="s">
        <v>87</v>
      </c>
      <c r="C624" s="248"/>
      <c r="D624" s="59">
        <v>88316</v>
      </c>
      <c r="E624" s="60" t="s">
        <v>649</v>
      </c>
      <c r="F624" s="59" t="s">
        <v>46</v>
      </c>
      <c r="G624" s="61">
        <v>0.39400000000000002</v>
      </c>
      <c r="H624" s="62">
        <v>17.61</v>
      </c>
      <c r="I624" s="62">
        <f>IF($D624="","",G624*H624)</f>
        <v>6.9383400000000002</v>
      </c>
      <c r="J624" s="62"/>
      <c r="K624" s="62">
        <v>4.5704000000000002</v>
      </c>
      <c r="L624" s="62">
        <v>2.3679399999999999</v>
      </c>
      <c r="M624" s="62">
        <v>0</v>
      </c>
      <c r="N624" s="62">
        <v>0</v>
      </c>
      <c r="O624" s="62">
        <v>0</v>
      </c>
      <c r="P624" s="298" t="s">
        <v>4160</v>
      </c>
      <c r="Q624" s="60" t="s">
        <v>27</v>
      </c>
      <c r="R624" s="60" t="s">
        <v>174</v>
      </c>
      <c r="S624" s="286" t="str">
        <f t="shared" si="67"/>
        <v/>
      </c>
      <c r="T624" s="286" t="str">
        <f>IF($C624= "", T623, IF(ISNA(VLOOKUP($C624,'ABC-S'!$A$5:$A$271,1,FALSE)), "", VLOOKUP($C624,'ABC-S'!$A$5:$A$271,1,FALSE)))</f>
        <v/>
      </c>
      <c r="W624" s="286" t="s">
        <v>479</v>
      </c>
      <c r="X624" s="286">
        <v>88316</v>
      </c>
      <c r="Y624" s="286" t="s">
        <v>424</v>
      </c>
      <c r="Z624" s="335">
        <v>0</v>
      </c>
      <c r="AA624" s="286">
        <v>0.39400000000000002</v>
      </c>
      <c r="AB624" s="378"/>
      <c r="AC624" s="381" t="s">
        <v>21</v>
      </c>
      <c r="AD624" s="378" t="s">
        <v>21</v>
      </c>
      <c r="AE624" s="378" t="s">
        <v>21</v>
      </c>
      <c r="AF624" s="378" t="s">
        <v>21</v>
      </c>
      <c r="AG624" s="378"/>
      <c r="AI624" s="378">
        <v>0</v>
      </c>
      <c r="AJ624" s="378">
        <v>0</v>
      </c>
      <c r="AL624" s="286">
        <v>88316</v>
      </c>
      <c r="AM624" s="286"/>
    </row>
    <row r="625" spans="1:39" s="51" customFormat="1" ht="22.5" hidden="1" x14ac:dyDescent="0.25">
      <c r="A625" s="59" t="s">
        <v>479</v>
      </c>
      <c r="B625" s="59" t="s">
        <v>87</v>
      </c>
      <c r="C625" s="59"/>
      <c r="D625" s="59">
        <v>88629</v>
      </c>
      <c r="E625" s="60" t="s">
        <v>491</v>
      </c>
      <c r="F625" s="59" t="s">
        <v>44</v>
      </c>
      <c r="G625" s="61">
        <v>2E-3</v>
      </c>
      <c r="H625" s="62">
        <v>505.32</v>
      </c>
      <c r="I625" s="62">
        <f>IF($D625="","",G625*H625)</f>
        <v>1.01064</v>
      </c>
      <c r="J625" s="62"/>
      <c r="K625" s="62">
        <v>0.1988</v>
      </c>
      <c r="L625" s="62">
        <v>0.81184000000000001</v>
      </c>
      <c r="M625" s="62">
        <v>0</v>
      </c>
      <c r="N625" s="62">
        <v>0</v>
      </c>
      <c r="O625" s="62">
        <v>0</v>
      </c>
      <c r="P625" s="298" t="s">
        <v>4160</v>
      </c>
      <c r="Q625" s="60" t="s">
        <v>27</v>
      </c>
      <c r="R625" s="60" t="s">
        <v>480</v>
      </c>
      <c r="S625" s="286" t="str">
        <f t="shared" si="67"/>
        <v/>
      </c>
      <c r="T625" s="286" t="str">
        <f>IF($C625= "", T624, IF(ISNA(VLOOKUP($C625,'ABC-S'!$A$5:$A$271,1,FALSE)), "", VLOOKUP($C625,'ABC-S'!$A$5:$A$271,1,FALSE)))</f>
        <v/>
      </c>
      <c r="W625" s="286" t="s">
        <v>479</v>
      </c>
      <c r="X625" s="286" t="s">
        <v>21</v>
      </c>
      <c r="Y625" s="286" t="s">
        <v>1513</v>
      </c>
      <c r="Z625" s="335" t="s">
        <v>21</v>
      </c>
      <c r="AA625" s="286" t="s">
        <v>21</v>
      </c>
      <c r="AB625" s="378"/>
      <c r="AC625" s="381">
        <v>88629</v>
      </c>
      <c r="AD625" s="378">
        <v>2E-3</v>
      </c>
      <c r="AE625" s="378">
        <v>8.57</v>
      </c>
      <c r="AF625" s="378">
        <v>1.7140000000000002E-2</v>
      </c>
      <c r="AG625" s="378"/>
      <c r="AI625" s="378">
        <v>0</v>
      </c>
      <c r="AJ625" s="378">
        <v>0</v>
      </c>
      <c r="AL625" s="286">
        <v>88629</v>
      </c>
      <c r="AM625" s="286"/>
    </row>
    <row r="626" spans="1:39" s="51" customFormat="1" ht="45" hidden="1" x14ac:dyDescent="0.25">
      <c r="A626" s="55" t="s">
        <v>825</v>
      </c>
      <c r="B626" s="55" t="s">
        <v>138</v>
      </c>
      <c r="C626" s="55" t="s">
        <v>825</v>
      </c>
      <c r="D626" s="55"/>
      <c r="E626" s="56" t="s">
        <v>826</v>
      </c>
      <c r="F626" s="55" t="s">
        <v>41</v>
      </c>
      <c r="G626" s="57"/>
      <c r="H626" s="58"/>
      <c r="I626" s="58"/>
      <c r="J626" s="58">
        <f>SUM(I626:I635)</f>
        <v>52.181757662039637</v>
      </c>
      <c r="K626" s="58">
        <v>2.8675822084586726</v>
      </c>
      <c r="L626" s="58">
        <v>48.141558130412569</v>
      </c>
      <c r="M626" s="58">
        <v>1.1726173231684003</v>
      </c>
      <c r="N626" s="58">
        <v>0</v>
      </c>
      <c r="O626" s="58">
        <v>3.8684333514282798E-16</v>
      </c>
      <c r="P626" s="58"/>
      <c r="Q626" s="56"/>
      <c r="R626" s="56" t="s">
        <v>827</v>
      </c>
      <c r="S626" s="286" t="str">
        <f t="shared" si="67"/>
        <v/>
      </c>
      <c r="T626" s="286" t="str">
        <f>IF($C626= "", T625, IF(ISNA(VLOOKUP($C626,'ABC-S'!$A$5:$A$271,1,FALSE)), "", VLOOKUP($C626,'ABC-S'!$A$5:$A$271,1,FALSE)))</f>
        <v/>
      </c>
      <c r="W626" s="286" t="s">
        <v>825</v>
      </c>
      <c r="X626" s="286"/>
      <c r="Y626" s="286"/>
      <c r="Z626" s="286"/>
      <c r="AA626" s="286" t="s">
        <v>21</v>
      </c>
      <c r="AB626" s="378">
        <v>0.16868147315153217</v>
      </c>
      <c r="AC626" s="378"/>
      <c r="AD626" s="335"/>
      <c r="AE626" s="335"/>
      <c r="AF626" s="335"/>
      <c r="AG626" s="378">
        <v>0.22521863086870958</v>
      </c>
      <c r="AI626" s="378" t="s">
        <v>21</v>
      </c>
      <c r="AJ626" s="378" t="s">
        <v>21</v>
      </c>
      <c r="AL626" s="286"/>
      <c r="AM626" s="286"/>
    </row>
    <row r="627" spans="1:39" s="51" customFormat="1" ht="56.25" hidden="1" x14ac:dyDescent="0.25">
      <c r="A627" s="59" t="s">
        <v>825</v>
      </c>
      <c r="B627" s="59" t="s">
        <v>87</v>
      </c>
      <c r="C627" s="59"/>
      <c r="D627" s="59">
        <v>73467</v>
      </c>
      <c r="E627" s="60" t="s">
        <v>533</v>
      </c>
      <c r="F627" s="59" t="s">
        <v>76</v>
      </c>
      <c r="G627" s="61">
        <f>1/35.57</f>
        <v>2.8113578858588697E-2</v>
      </c>
      <c r="H627" s="62">
        <v>119.7</v>
      </c>
      <c r="I627" s="62">
        <f t="shared" ref="I627:I635" si="68">IF($D627="","",G627*H627)</f>
        <v>3.3651953893730671</v>
      </c>
      <c r="J627" s="62"/>
      <c r="K627" s="62">
        <v>0.40624121450660666</v>
      </c>
      <c r="L627" s="62">
        <v>1.8928872645487769</v>
      </c>
      <c r="M627" s="62">
        <v>1.0660669103176834</v>
      </c>
      <c r="N627" s="62">
        <v>0</v>
      </c>
      <c r="O627" s="62">
        <v>0</v>
      </c>
      <c r="P627" s="298" t="s">
        <v>4160</v>
      </c>
      <c r="Q627" s="60" t="s">
        <v>27</v>
      </c>
      <c r="R627" s="60" t="s">
        <v>174</v>
      </c>
      <c r="S627" s="286" t="str">
        <f t="shared" si="67"/>
        <v/>
      </c>
      <c r="T627" s="286" t="str">
        <f>IF($C627= "", T626, IF(ISNA(VLOOKUP($C627,'ABC-S'!$A$5:$A$271,1,FALSE)), "", VLOOKUP($C627,'ABC-S'!$A$5:$A$271,1,FALSE)))</f>
        <v/>
      </c>
      <c r="W627" s="286" t="s">
        <v>825</v>
      </c>
      <c r="X627" s="286" t="s">
        <v>21</v>
      </c>
      <c r="Y627" s="286" t="s">
        <v>423</v>
      </c>
      <c r="Z627" s="335" t="s">
        <v>21</v>
      </c>
      <c r="AA627" s="286" t="s">
        <v>21</v>
      </c>
      <c r="AB627" s="378"/>
      <c r="AC627" s="381">
        <v>73467</v>
      </c>
      <c r="AD627" s="378">
        <v>2.8113578858588697E-2</v>
      </c>
      <c r="AE627" s="378">
        <v>1</v>
      </c>
      <c r="AF627" s="378">
        <v>2.8113578858588697E-2</v>
      </c>
      <c r="AG627" s="378"/>
      <c r="AI627" s="378">
        <v>0</v>
      </c>
      <c r="AJ627" s="378">
        <v>0</v>
      </c>
      <c r="AL627" s="286">
        <v>73467</v>
      </c>
      <c r="AM627" s="286"/>
    </row>
    <row r="628" spans="1:39" s="51" customFormat="1" ht="33.75" hidden="1" x14ac:dyDescent="0.25">
      <c r="A628" s="59" t="s">
        <v>825</v>
      </c>
      <c r="B628" s="59" t="s">
        <v>87</v>
      </c>
      <c r="C628" s="59"/>
      <c r="D628" s="59">
        <v>93415</v>
      </c>
      <c r="E628" s="60" t="s">
        <v>586</v>
      </c>
      <c r="F628" s="59" t="s">
        <v>76</v>
      </c>
      <c r="G628" s="61">
        <f>G627</f>
        <v>2.8113578858588697E-2</v>
      </c>
      <c r="H628" s="62">
        <v>14.64</v>
      </c>
      <c r="I628" s="62">
        <f t="shared" si="68"/>
        <v>0.41158279448973856</v>
      </c>
      <c r="J628" s="62"/>
      <c r="K628" s="62">
        <v>0</v>
      </c>
      <c r="L628" s="62">
        <v>0.40118077031206067</v>
      </c>
      <c r="M628" s="62">
        <v>1.0402024177677818E-2</v>
      </c>
      <c r="N628" s="62">
        <v>0</v>
      </c>
      <c r="O628" s="62">
        <v>5.5511151231257827E-17</v>
      </c>
      <c r="P628" s="298" t="s">
        <v>4160</v>
      </c>
      <c r="Q628" s="60" t="s">
        <v>27</v>
      </c>
      <c r="R628" s="60" t="s">
        <v>174</v>
      </c>
      <c r="S628" s="286" t="str">
        <f t="shared" si="67"/>
        <v/>
      </c>
      <c r="T628" s="286" t="str">
        <f>IF($C628= "", T627, IF(ISNA(VLOOKUP($C628,'ABC-S'!$A$5:$A$271,1,FALSE)), "", VLOOKUP($C628,'ABC-S'!$A$5:$A$271,1,FALSE)))</f>
        <v/>
      </c>
      <c r="W628" s="286" t="s">
        <v>825</v>
      </c>
      <c r="X628" s="286" t="s">
        <v>21</v>
      </c>
      <c r="Y628" s="286" t="s">
        <v>423</v>
      </c>
      <c r="Z628" s="335" t="s">
        <v>21</v>
      </c>
      <c r="AA628" s="286" t="s">
        <v>21</v>
      </c>
      <c r="AB628" s="378"/>
      <c r="AC628" s="381">
        <v>93415</v>
      </c>
      <c r="AD628" s="378">
        <v>2.8113578858588697E-2</v>
      </c>
      <c r="AE628" s="378">
        <v>0</v>
      </c>
      <c r="AF628" s="378">
        <v>0</v>
      </c>
      <c r="AG628" s="378"/>
      <c r="AI628" s="378">
        <v>0</v>
      </c>
      <c r="AJ628" s="378">
        <v>0</v>
      </c>
      <c r="AL628" s="286">
        <v>93415</v>
      </c>
      <c r="AM628" s="286"/>
    </row>
    <row r="629" spans="1:39" s="51" customFormat="1" ht="22.5" hidden="1" x14ac:dyDescent="0.25">
      <c r="A629" s="59" t="s">
        <v>825</v>
      </c>
      <c r="B629" s="59" t="s">
        <v>87</v>
      </c>
      <c r="C629" s="59"/>
      <c r="D629" s="59">
        <v>5795</v>
      </c>
      <c r="E629" s="60" t="s">
        <v>598</v>
      </c>
      <c r="F629" s="59" t="s">
        <v>76</v>
      </c>
      <c r="G629" s="61">
        <f>G627</f>
        <v>2.8113578858588697E-2</v>
      </c>
      <c r="H629" s="62">
        <v>22.07</v>
      </c>
      <c r="I629" s="62">
        <f t="shared" si="68"/>
        <v>0.62046668540905259</v>
      </c>
      <c r="J629" s="62"/>
      <c r="K629" s="62">
        <v>0.38656170930559458</v>
      </c>
      <c r="L629" s="62">
        <v>0.14703401743041888</v>
      </c>
      <c r="M629" s="62">
        <v>8.6870958673039067E-2</v>
      </c>
      <c r="N629" s="62">
        <v>0</v>
      </c>
      <c r="O629" s="62">
        <v>1.1102230246251565E-16</v>
      </c>
      <c r="P629" s="298" t="s">
        <v>4160</v>
      </c>
      <c r="Q629" s="60" t="s">
        <v>27</v>
      </c>
      <c r="R629" s="60" t="s">
        <v>174</v>
      </c>
      <c r="S629" s="286" t="str">
        <f t="shared" si="67"/>
        <v/>
      </c>
      <c r="T629" s="286" t="str">
        <f>IF($C629= "", T628, IF(ISNA(VLOOKUP($C629,'ABC-S'!$A$5:$A$271,1,FALSE)), "", VLOOKUP($C629,'ABC-S'!$A$5:$A$271,1,FALSE)))</f>
        <v/>
      </c>
      <c r="W629" s="286" t="s">
        <v>825</v>
      </c>
      <c r="X629" s="286" t="s">
        <v>21</v>
      </c>
      <c r="Y629" s="286" t="s">
        <v>423</v>
      </c>
      <c r="Z629" s="335" t="s">
        <v>21</v>
      </c>
      <c r="AA629" s="286" t="s">
        <v>21</v>
      </c>
      <c r="AB629" s="378"/>
      <c r="AC629" s="381">
        <v>5795</v>
      </c>
      <c r="AD629" s="378">
        <v>2.8113578858588697E-2</v>
      </c>
      <c r="AE629" s="378">
        <v>1</v>
      </c>
      <c r="AF629" s="378">
        <v>2.8113578858588697E-2</v>
      </c>
      <c r="AG629" s="378"/>
      <c r="AI629" s="378">
        <v>0</v>
      </c>
      <c r="AJ629" s="378">
        <v>0</v>
      </c>
      <c r="AL629" s="286">
        <v>5795</v>
      </c>
      <c r="AM629" s="286"/>
    </row>
    <row r="630" spans="1:39" s="51" customFormat="1" ht="22.5" hidden="1" x14ac:dyDescent="0.25">
      <c r="A630" s="59" t="s">
        <v>825</v>
      </c>
      <c r="B630" s="59" t="s">
        <v>87</v>
      </c>
      <c r="C630" s="248"/>
      <c r="D630" s="59">
        <v>88277</v>
      </c>
      <c r="E630" s="60" t="s">
        <v>600</v>
      </c>
      <c r="F630" s="59" t="s">
        <v>46</v>
      </c>
      <c r="G630" s="61">
        <f>2/35.57</f>
        <v>5.6227157717177394E-2</v>
      </c>
      <c r="H630" s="62">
        <v>18.850000000000001</v>
      </c>
      <c r="I630" s="62">
        <f t="shared" si="68"/>
        <v>1.0598819229687939</v>
      </c>
      <c r="J630" s="62"/>
      <c r="K630" s="62">
        <v>0.76581388810795603</v>
      </c>
      <c r="L630" s="62">
        <v>0.29406803486083777</v>
      </c>
      <c r="M630" s="62">
        <v>0</v>
      </c>
      <c r="N630" s="62">
        <v>0</v>
      </c>
      <c r="O630" s="62">
        <v>2.2204460492503131E-16</v>
      </c>
      <c r="P630" s="298" t="s">
        <v>4160</v>
      </c>
      <c r="Q630" s="60" t="s">
        <v>27</v>
      </c>
      <c r="R630" s="60" t="s">
        <v>174</v>
      </c>
      <c r="S630" s="286" t="str">
        <f t="shared" si="67"/>
        <v/>
      </c>
      <c r="T630" s="286" t="str">
        <f>IF($C630= "", T629, IF(ISNA(VLOOKUP($C630,'ABC-S'!$A$5:$A$271,1,FALSE)), "", VLOOKUP($C630,'ABC-S'!$A$5:$A$271,1,FALSE)))</f>
        <v/>
      </c>
      <c r="W630" s="286" t="s">
        <v>825</v>
      </c>
      <c r="X630" s="286">
        <v>88277</v>
      </c>
      <c r="Y630" s="286" t="s">
        <v>424</v>
      </c>
      <c r="Z630" s="335">
        <v>0</v>
      </c>
      <c r="AA630" s="286">
        <v>5.6227157717177394E-2</v>
      </c>
      <c r="AB630" s="378"/>
      <c r="AC630" s="381" t="s">
        <v>21</v>
      </c>
      <c r="AD630" s="378" t="s">
        <v>21</v>
      </c>
      <c r="AE630" s="378" t="s">
        <v>21</v>
      </c>
      <c r="AF630" s="378" t="s">
        <v>21</v>
      </c>
      <c r="AG630" s="378"/>
      <c r="AI630" s="378">
        <v>0</v>
      </c>
      <c r="AJ630" s="378">
        <v>0</v>
      </c>
      <c r="AL630" s="286">
        <v>88277</v>
      </c>
      <c r="AM630" s="286"/>
    </row>
    <row r="631" spans="1:39" s="51" customFormat="1" hidden="1" x14ac:dyDescent="0.25">
      <c r="A631" s="59" t="s">
        <v>825</v>
      </c>
      <c r="B631" s="59" t="s">
        <v>87</v>
      </c>
      <c r="C631" s="248"/>
      <c r="D631" s="59">
        <v>88316</v>
      </c>
      <c r="E631" s="60" t="s">
        <v>649</v>
      </c>
      <c r="F631" s="59" t="s">
        <v>46</v>
      </c>
      <c r="G631" s="61">
        <f>4/35.57</f>
        <v>0.11245431543435479</v>
      </c>
      <c r="H631" s="62">
        <v>17.61</v>
      </c>
      <c r="I631" s="62">
        <f t="shared" si="68"/>
        <v>1.9803204947989876</v>
      </c>
      <c r="J631" s="62"/>
      <c r="K631" s="62">
        <v>1.3044700590385154</v>
      </c>
      <c r="L631" s="62">
        <v>0.67585043576047221</v>
      </c>
      <c r="M631" s="62">
        <v>0</v>
      </c>
      <c r="N631" s="62">
        <v>0</v>
      </c>
      <c r="O631" s="62">
        <v>0</v>
      </c>
      <c r="P631" s="298" t="s">
        <v>4160</v>
      </c>
      <c r="Q631" s="60" t="s">
        <v>27</v>
      </c>
      <c r="R631" s="60" t="s">
        <v>174</v>
      </c>
      <c r="S631" s="286" t="str">
        <f t="shared" si="67"/>
        <v/>
      </c>
      <c r="T631" s="286" t="str">
        <f>IF($C631= "", T630, IF(ISNA(VLOOKUP($C631,'ABC-S'!$A$5:$A$271,1,FALSE)), "", VLOOKUP($C631,'ABC-S'!$A$5:$A$271,1,FALSE)))</f>
        <v/>
      </c>
      <c r="W631" s="286" t="s">
        <v>825</v>
      </c>
      <c r="X631" s="286">
        <v>88316</v>
      </c>
      <c r="Y631" s="286" t="s">
        <v>424</v>
      </c>
      <c r="Z631" s="335">
        <v>0</v>
      </c>
      <c r="AA631" s="286">
        <v>0.11245431543435479</v>
      </c>
      <c r="AB631" s="378"/>
      <c r="AC631" s="381" t="s">
        <v>21</v>
      </c>
      <c r="AD631" s="378" t="s">
        <v>21</v>
      </c>
      <c r="AE631" s="378" t="s">
        <v>21</v>
      </c>
      <c r="AF631" s="378" t="s">
        <v>21</v>
      </c>
      <c r="AG631" s="378"/>
      <c r="AI631" s="378">
        <v>0</v>
      </c>
      <c r="AJ631" s="378">
        <v>0</v>
      </c>
      <c r="AL631" s="286">
        <v>88316</v>
      </c>
      <c r="AM631" s="286"/>
    </row>
    <row r="632" spans="1:39" s="51" customFormat="1" ht="22.5" hidden="1" x14ac:dyDescent="0.25">
      <c r="A632" s="59" t="s">
        <v>825</v>
      </c>
      <c r="B632" s="59" t="s">
        <v>86</v>
      </c>
      <c r="C632" s="59"/>
      <c r="D632" s="59">
        <v>3410</v>
      </c>
      <c r="E632" s="60" t="s">
        <v>681</v>
      </c>
      <c r="F632" s="59" t="s">
        <v>3669</v>
      </c>
      <c r="G632" s="61">
        <v>0.2</v>
      </c>
      <c r="H632" s="62">
        <v>27.22</v>
      </c>
      <c r="I632" s="62">
        <f t="shared" si="68"/>
        <v>5.444</v>
      </c>
      <c r="J632" s="62"/>
      <c r="K632" s="62">
        <v>0</v>
      </c>
      <c r="L632" s="62">
        <v>5.444</v>
      </c>
      <c r="M632" s="62">
        <v>0</v>
      </c>
      <c r="N632" s="62">
        <v>0</v>
      </c>
      <c r="O632" s="62">
        <v>0</v>
      </c>
      <c r="P632" s="298" t="s">
        <v>89</v>
      </c>
      <c r="Q632" s="60" t="s">
        <v>27</v>
      </c>
      <c r="R632" s="60" t="s">
        <v>174</v>
      </c>
      <c r="S632" s="286" t="str">
        <f t="shared" si="67"/>
        <v/>
      </c>
      <c r="T632" s="286" t="str">
        <f>IF($C632= "", T631, IF(ISNA(VLOOKUP($C632,'ABC-S'!$A$5:$A$271,1,FALSE)), "", VLOOKUP($C632,'ABC-S'!$A$5:$A$271,1,FALSE)))</f>
        <v/>
      </c>
      <c r="W632" s="286" t="s">
        <v>825</v>
      </c>
      <c r="X632" s="286" t="s">
        <v>21</v>
      </c>
      <c r="Y632" s="286" t="s">
        <v>21</v>
      </c>
      <c r="Z632" s="286" t="s">
        <v>21</v>
      </c>
      <c r="AA632" s="286" t="s">
        <v>21</v>
      </c>
      <c r="AB632" s="378"/>
      <c r="AC632" s="381" t="s">
        <v>21</v>
      </c>
      <c r="AD632" s="378" t="s">
        <v>21</v>
      </c>
      <c r="AE632" s="378" t="s">
        <v>21</v>
      </c>
      <c r="AF632" s="378" t="s">
        <v>21</v>
      </c>
      <c r="AG632" s="378"/>
      <c r="AI632" s="378" t="s">
        <v>21</v>
      </c>
      <c r="AJ632" s="378" t="s">
        <v>21</v>
      </c>
      <c r="AL632" s="286"/>
      <c r="AM632" s="286">
        <v>3410</v>
      </c>
    </row>
    <row r="633" spans="1:39" s="51" customFormat="1" hidden="1" x14ac:dyDescent="0.25">
      <c r="A633" s="59" t="s">
        <v>825</v>
      </c>
      <c r="B633" s="59" t="s">
        <v>86</v>
      </c>
      <c r="C633" s="59"/>
      <c r="D633" s="59" t="s">
        <v>828</v>
      </c>
      <c r="E633" s="60" t="s">
        <v>829</v>
      </c>
      <c r="F633" s="59" t="s">
        <v>41</v>
      </c>
      <c r="G633" s="61">
        <v>1</v>
      </c>
      <c r="H633" s="62">
        <v>39.26</v>
      </c>
      <c r="I633" s="62">
        <f t="shared" si="68"/>
        <v>39.26</v>
      </c>
      <c r="J633" s="62"/>
      <c r="K633" s="62">
        <v>0</v>
      </c>
      <c r="L633" s="62">
        <v>39.26</v>
      </c>
      <c r="M633" s="62">
        <v>0</v>
      </c>
      <c r="N633" s="62">
        <v>0</v>
      </c>
      <c r="O633" s="62">
        <v>0</v>
      </c>
      <c r="P633" s="298" t="s">
        <v>89</v>
      </c>
      <c r="Q633" s="60" t="s">
        <v>174</v>
      </c>
      <c r="R633" s="60" t="s">
        <v>174</v>
      </c>
      <c r="S633" s="286" t="str">
        <f t="shared" si="67"/>
        <v/>
      </c>
      <c r="T633" s="286" t="str">
        <f>IF($C633= "", T632, IF(ISNA(VLOOKUP($C633,'ABC-S'!$A$5:$A$271,1,FALSE)), "", VLOOKUP($C633,'ABC-S'!$A$5:$A$271,1,FALSE)))</f>
        <v/>
      </c>
      <c r="W633" s="286" t="s">
        <v>825</v>
      </c>
      <c r="X633" s="286" t="s">
        <v>21</v>
      </c>
      <c r="Y633" s="286" t="s">
        <v>21</v>
      </c>
      <c r="Z633" s="286" t="s">
        <v>21</v>
      </c>
      <c r="AA633" s="286" t="s">
        <v>21</v>
      </c>
      <c r="AB633" s="378"/>
      <c r="AC633" s="381" t="s">
        <v>21</v>
      </c>
      <c r="AD633" s="378" t="s">
        <v>21</v>
      </c>
      <c r="AE633" s="378" t="s">
        <v>21</v>
      </c>
      <c r="AF633" s="378" t="s">
        <v>21</v>
      </c>
      <c r="AG633" s="378"/>
      <c r="AI633" s="378" t="s">
        <v>21</v>
      </c>
      <c r="AJ633" s="378" t="s">
        <v>21</v>
      </c>
      <c r="AL633" s="286"/>
      <c r="AM633" s="286" t="s">
        <v>828</v>
      </c>
    </row>
    <row r="634" spans="1:39" s="51" customFormat="1" ht="33.75" hidden="1" x14ac:dyDescent="0.25">
      <c r="A634" s="59" t="s">
        <v>825</v>
      </c>
      <c r="B634" s="59" t="s">
        <v>87</v>
      </c>
      <c r="C634" s="59"/>
      <c r="D634" s="59">
        <v>72850</v>
      </c>
      <c r="E634" s="60" t="s">
        <v>1312</v>
      </c>
      <c r="F634" s="59" t="s">
        <v>55</v>
      </c>
      <c r="G634" s="61">
        <v>2.5000000000000001E-3</v>
      </c>
      <c r="H634" s="62">
        <v>11.844150000000001</v>
      </c>
      <c r="I634" s="62">
        <f t="shared" si="68"/>
        <v>2.9610375000000001E-2</v>
      </c>
      <c r="J634" s="62"/>
      <c r="K634" s="62">
        <v>3.0453375000000001E-3</v>
      </c>
      <c r="L634" s="62">
        <v>1.9812607500000003E-2</v>
      </c>
      <c r="M634" s="62">
        <v>6.7524299999999994E-3</v>
      </c>
      <c r="N634" s="62">
        <v>0</v>
      </c>
      <c r="O634" s="62">
        <v>-3.4694469519536142E-18</v>
      </c>
      <c r="P634" s="298" t="s">
        <v>4160</v>
      </c>
      <c r="Q634" s="60" t="s">
        <v>27</v>
      </c>
      <c r="R634" s="60" t="s">
        <v>174</v>
      </c>
      <c r="S634" s="286" t="str">
        <f t="shared" si="67"/>
        <v/>
      </c>
      <c r="T634" s="286" t="str">
        <f>IF($C634= "", T633, IF(ISNA(VLOOKUP($C634,'ABC-S'!$A$5:$A$271,1,FALSE)), "", VLOOKUP($C634,'ABC-S'!$A$5:$A$271,1,FALSE)))</f>
        <v/>
      </c>
      <c r="W634" s="286" t="s">
        <v>825</v>
      </c>
      <c r="X634" s="286" t="s">
        <v>21</v>
      </c>
      <c r="Y634" s="286" t="s">
        <v>1513</v>
      </c>
      <c r="Z634" s="335" t="s">
        <v>21</v>
      </c>
      <c r="AA634" s="286" t="s">
        <v>21</v>
      </c>
      <c r="AB634" s="378"/>
      <c r="AC634" s="381">
        <v>72850</v>
      </c>
      <c r="AD634" s="378">
        <v>2.5000000000000001E-3</v>
      </c>
      <c r="AE634" s="378">
        <v>8.43E-2</v>
      </c>
      <c r="AF634" s="378">
        <v>2.1075E-4</v>
      </c>
      <c r="AG634" s="378"/>
      <c r="AI634" s="378" t="s">
        <v>21</v>
      </c>
      <c r="AJ634" s="378" t="s">
        <v>21</v>
      </c>
      <c r="AL634" s="286">
        <v>72850</v>
      </c>
      <c r="AM634" s="286"/>
    </row>
    <row r="635" spans="1:39" s="51" customFormat="1" ht="33.75" hidden="1" x14ac:dyDescent="0.25">
      <c r="A635" s="59" t="s">
        <v>825</v>
      </c>
      <c r="B635" s="59" t="s">
        <v>87</v>
      </c>
      <c r="C635" s="59"/>
      <c r="D635" s="59">
        <v>100949</v>
      </c>
      <c r="E635" s="60" t="s">
        <v>791</v>
      </c>
      <c r="F635" s="59" t="s">
        <v>42</v>
      </c>
      <c r="G635" s="61">
        <f>G634</f>
        <v>2.5000000000000001E-3</v>
      </c>
      <c r="H635" s="62">
        <v>4.28</v>
      </c>
      <c r="I635" s="62">
        <f t="shared" si="68"/>
        <v>1.0700000000000001E-2</v>
      </c>
      <c r="J635" s="62"/>
      <c r="K635" s="62">
        <v>1.4499999999999999E-3</v>
      </c>
      <c r="L635" s="62">
        <v>6.7250000000000001E-3</v>
      </c>
      <c r="M635" s="62">
        <v>2.5249999999999999E-3</v>
      </c>
      <c r="N635" s="62">
        <v>0</v>
      </c>
      <c r="O635" s="62">
        <v>1.7347234759768071E-18</v>
      </c>
      <c r="P635" s="298" t="s">
        <v>4160</v>
      </c>
      <c r="Q635" s="60" t="s">
        <v>27</v>
      </c>
      <c r="R635" s="60" t="s">
        <v>174</v>
      </c>
      <c r="S635" s="286" t="str">
        <f t="shared" si="67"/>
        <v/>
      </c>
      <c r="T635" s="286" t="str">
        <f>IF($C635= "", T634, IF(ISNA(VLOOKUP($C635,'ABC-S'!$A$5:$A$271,1,FALSE)), "", VLOOKUP($C635,'ABC-S'!$A$5:$A$271,1,FALSE)))</f>
        <v/>
      </c>
      <c r="W635" s="286" t="s">
        <v>825</v>
      </c>
      <c r="X635" s="286" t="s">
        <v>21</v>
      </c>
      <c r="Y635" s="286" t="s">
        <v>1098</v>
      </c>
      <c r="Z635" s="335" t="s">
        <v>21</v>
      </c>
      <c r="AA635" s="286" t="s">
        <v>21</v>
      </c>
      <c r="AB635" s="378"/>
      <c r="AC635" s="381">
        <v>100949</v>
      </c>
      <c r="AD635" s="378">
        <v>2.5000000000000001E-3</v>
      </c>
      <c r="AE635" s="378">
        <v>3.9699999999999999E-2</v>
      </c>
      <c r="AF635" s="378">
        <v>9.925E-5</v>
      </c>
      <c r="AG635" s="378"/>
      <c r="AI635" s="378">
        <v>0</v>
      </c>
      <c r="AJ635" s="378">
        <v>0</v>
      </c>
      <c r="AL635" s="286">
        <v>100949</v>
      </c>
      <c r="AM635" s="286"/>
    </row>
    <row r="636" spans="1:39" s="51" customFormat="1" ht="45" hidden="1" x14ac:dyDescent="0.25">
      <c r="A636" s="55" t="s">
        <v>830</v>
      </c>
      <c r="B636" s="55" t="s">
        <v>138</v>
      </c>
      <c r="C636" s="55" t="s">
        <v>830</v>
      </c>
      <c r="D636" s="55"/>
      <c r="E636" s="56" t="s">
        <v>831</v>
      </c>
      <c r="F636" s="55" t="s">
        <v>41</v>
      </c>
      <c r="G636" s="57"/>
      <c r="H636" s="58"/>
      <c r="I636" s="58"/>
      <c r="J636" s="58">
        <f>SUM(I636:I645)</f>
        <v>53.70175766203964</v>
      </c>
      <c r="K636" s="58">
        <v>2.8675822084586726</v>
      </c>
      <c r="L636" s="58">
        <v>49.661558130412573</v>
      </c>
      <c r="M636" s="58">
        <v>1.1726173231684003</v>
      </c>
      <c r="N636" s="58">
        <v>0</v>
      </c>
      <c r="O636" s="58">
        <v>3.8684333514282798E-16</v>
      </c>
      <c r="P636" s="58"/>
      <c r="Q636" s="56"/>
      <c r="R636" s="56" t="s">
        <v>827</v>
      </c>
      <c r="S636" s="286" t="str">
        <f t="shared" si="67"/>
        <v/>
      </c>
      <c r="T636" s="286" t="str">
        <f>IF($C636= "", T635, IF(ISNA(VLOOKUP($C636,'ABC-S'!$A$5:$A$271,1,FALSE)), "", VLOOKUP($C636,'ABC-S'!$A$5:$A$271,1,FALSE)))</f>
        <v/>
      </c>
      <c r="W636" s="286" t="s">
        <v>830</v>
      </c>
      <c r="X636" s="286"/>
      <c r="Y636" s="286"/>
      <c r="Z636" s="286"/>
      <c r="AA636" s="286" t="s">
        <v>21</v>
      </c>
      <c r="AB636" s="378">
        <v>0.16868147315153217</v>
      </c>
      <c r="AC636" s="378"/>
      <c r="AD636" s="335"/>
      <c r="AE636" s="335"/>
      <c r="AF636" s="335"/>
      <c r="AG636" s="378">
        <v>0.22521863086870958</v>
      </c>
      <c r="AI636" s="378" t="s">
        <v>21</v>
      </c>
      <c r="AJ636" s="378" t="s">
        <v>21</v>
      </c>
      <c r="AL636" s="286"/>
      <c r="AM636" s="286"/>
    </row>
    <row r="637" spans="1:39" s="51" customFormat="1" ht="56.25" hidden="1" x14ac:dyDescent="0.25">
      <c r="A637" s="59" t="s">
        <v>830</v>
      </c>
      <c r="B637" s="59" t="s">
        <v>87</v>
      </c>
      <c r="C637" s="59"/>
      <c r="D637" s="59">
        <v>73467</v>
      </c>
      <c r="E637" s="60" t="s">
        <v>533</v>
      </c>
      <c r="F637" s="59" t="s">
        <v>76</v>
      </c>
      <c r="G637" s="61">
        <f>1/35.57</f>
        <v>2.8113578858588697E-2</v>
      </c>
      <c r="H637" s="62">
        <v>119.7</v>
      </c>
      <c r="I637" s="62">
        <f>IF($D637="","",G637*H637)</f>
        <v>3.3651953893730671</v>
      </c>
      <c r="J637" s="62"/>
      <c r="K637" s="62">
        <v>0.40624121450660666</v>
      </c>
      <c r="L637" s="62">
        <v>1.8928872645487769</v>
      </c>
      <c r="M637" s="62">
        <v>1.0660669103176834</v>
      </c>
      <c r="N637" s="62">
        <v>0</v>
      </c>
      <c r="O637" s="62">
        <v>0</v>
      </c>
      <c r="P637" s="298" t="s">
        <v>4160</v>
      </c>
      <c r="Q637" s="60" t="s">
        <v>27</v>
      </c>
      <c r="R637" s="60" t="s">
        <v>174</v>
      </c>
      <c r="S637" s="286" t="str">
        <f t="shared" si="67"/>
        <v/>
      </c>
      <c r="T637" s="286" t="str">
        <f>IF($C637= "", T636, IF(ISNA(VLOOKUP($C637,'ABC-S'!$A$5:$A$271,1,FALSE)), "", VLOOKUP($C637,'ABC-S'!$A$5:$A$271,1,FALSE)))</f>
        <v/>
      </c>
      <c r="W637" s="286" t="s">
        <v>830</v>
      </c>
      <c r="X637" s="286" t="s">
        <v>21</v>
      </c>
      <c r="Y637" s="286" t="s">
        <v>423</v>
      </c>
      <c r="Z637" s="335" t="s">
        <v>21</v>
      </c>
      <c r="AA637" s="286" t="s">
        <v>21</v>
      </c>
      <c r="AB637" s="378"/>
      <c r="AC637" s="381">
        <v>73467</v>
      </c>
      <c r="AD637" s="378">
        <v>2.8113578858588697E-2</v>
      </c>
      <c r="AE637" s="378">
        <v>1</v>
      </c>
      <c r="AF637" s="378">
        <v>2.8113578858588697E-2</v>
      </c>
      <c r="AG637" s="378"/>
      <c r="AI637" s="378">
        <v>0</v>
      </c>
      <c r="AJ637" s="378">
        <v>0</v>
      </c>
      <c r="AL637" s="286">
        <v>73467</v>
      </c>
      <c r="AM637" s="286"/>
    </row>
    <row r="638" spans="1:39" s="51" customFormat="1" ht="33.75" hidden="1" x14ac:dyDescent="0.25">
      <c r="A638" s="59" t="s">
        <v>830</v>
      </c>
      <c r="B638" s="59" t="s">
        <v>87</v>
      </c>
      <c r="C638" s="59"/>
      <c r="D638" s="59">
        <v>93415</v>
      </c>
      <c r="E638" s="60" t="s">
        <v>586</v>
      </c>
      <c r="F638" s="59" t="s">
        <v>76</v>
      </c>
      <c r="G638" s="61">
        <f>G637</f>
        <v>2.8113578858588697E-2</v>
      </c>
      <c r="H638" s="62">
        <v>14.64</v>
      </c>
      <c r="I638" s="62">
        <f t="shared" ref="I638:I645" si="69">IF($D638="","",G638*H638)</f>
        <v>0.41158279448973856</v>
      </c>
      <c r="J638" s="62"/>
      <c r="K638" s="62">
        <v>0</v>
      </c>
      <c r="L638" s="62">
        <v>0.40118077031206067</v>
      </c>
      <c r="M638" s="62">
        <v>1.0402024177677818E-2</v>
      </c>
      <c r="N638" s="62">
        <v>0</v>
      </c>
      <c r="O638" s="62">
        <v>5.5511151231257827E-17</v>
      </c>
      <c r="P638" s="298" t="s">
        <v>4160</v>
      </c>
      <c r="Q638" s="60" t="s">
        <v>27</v>
      </c>
      <c r="R638" s="60" t="s">
        <v>174</v>
      </c>
      <c r="S638" s="286" t="str">
        <f t="shared" si="67"/>
        <v/>
      </c>
      <c r="T638" s="286" t="str">
        <f>IF($C638= "", T637, IF(ISNA(VLOOKUP($C638,'ABC-S'!$A$5:$A$271,1,FALSE)), "", VLOOKUP($C638,'ABC-S'!$A$5:$A$271,1,FALSE)))</f>
        <v/>
      </c>
      <c r="W638" s="286" t="s">
        <v>830</v>
      </c>
      <c r="X638" s="286" t="s">
        <v>21</v>
      </c>
      <c r="Y638" s="286" t="s">
        <v>423</v>
      </c>
      <c r="Z638" s="335" t="s">
        <v>21</v>
      </c>
      <c r="AA638" s="286" t="s">
        <v>21</v>
      </c>
      <c r="AB638" s="378"/>
      <c r="AC638" s="381">
        <v>93415</v>
      </c>
      <c r="AD638" s="378">
        <v>2.8113578858588697E-2</v>
      </c>
      <c r="AE638" s="378">
        <v>0</v>
      </c>
      <c r="AF638" s="378">
        <v>0</v>
      </c>
      <c r="AG638" s="378"/>
      <c r="AI638" s="378">
        <v>0</v>
      </c>
      <c r="AJ638" s="378">
        <v>0</v>
      </c>
      <c r="AL638" s="286">
        <v>93415</v>
      </c>
      <c r="AM638" s="286"/>
    </row>
    <row r="639" spans="1:39" s="51" customFormat="1" ht="22.5" hidden="1" x14ac:dyDescent="0.25">
      <c r="A639" s="59" t="s">
        <v>830</v>
      </c>
      <c r="B639" s="59" t="s">
        <v>87</v>
      </c>
      <c r="C639" s="59"/>
      <c r="D639" s="59">
        <v>5795</v>
      </c>
      <c r="E639" s="60" t="s">
        <v>598</v>
      </c>
      <c r="F639" s="59" t="s">
        <v>76</v>
      </c>
      <c r="G639" s="61">
        <f>G637</f>
        <v>2.8113578858588697E-2</v>
      </c>
      <c r="H639" s="62">
        <v>22.07</v>
      </c>
      <c r="I639" s="62">
        <f t="shared" si="69"/>
        <v>0.62046668540905259</v>
      </c>
      <c r="J639" s="62"/>
      <c r="K639" s="62">
        <v>0.38656170930559458</v>
      </c>
      <c r="L639" s="62">
        <v>0.14703401743041888</v>
      </c>
      <c r="M639" s="62">
        <v>8.6870958673039067E-2</v>
      </c>
      <c r="N639" s="62">
        <v>0</v>
      </c>
      <c r="O639" s="62">
        <v>1.1102230246251565E-16</v>
      </c>
      <c r="P639" s="298" t="s">
        <v>4160</v>
      </c>
      <c r="Q639" s="60" t="s">
        <v>27</v>
      </c>
      <c r="R639" s="60" t="s">
        <v>174</v>
      </c>
      <c r="S639" s="286" t="str">
        <f t="shared" si="67"/>
        <v/>
      </c>
      <c r="T639" s="286" t="str">
        <f>IF($C639= "", T638, IF(ISNA(VLOOKUP($C639,'ABC-S'!$A$5:$A$271,1,FALSE)), "", VLOOKUP($C639,'ABC-S'!$A$5:$A$271,1,FALSE)))</f>
        <v/>
      </c>
      <c r="W639" s="286" t="s">
        <v>830</v>
      </c>
      <c r="X639" s="286" t="s">
        <v>21</v>
      </c>
      <c r="Y639" s="286" t="s">
        <v>423</v>
      </c>
      <c r="Z639" s="335" t="s">
        <v>21</v>
      </c>
      <c r="AA639" s="286" t="s">
        <v>21</v>
      </c>
      <c r="AB639" s="378"/>
      <c r="AC639" s="381">
        <v>5795</v>
      </c>
      <c r="AD639" s="378">
        <v>2.8113578858588697E-2</v>
      </c>
      <c r="AE639" s="378">
        <v>1</v>
      </c>
      <c r="AF639" s="378">
        <v>2.8113578858588697E-2</v>
      </c>
      <c r="AG639" s="378"/>
      <c r="AI639" s="378">
        <v>0</v>
      </c>
      <c r="AJ639" s="378">
        <v>0</v>
      </c>
      <c r="AL639" s="286">
        <v>5795</v>
      </c>
      <c r="AM639" s="286"/>
    </row>
    <row r="640" spans="1:39" s="51" customFormat="1" ht="22.5" hidden="1" x14ac:dyDescent="0.25">
      <c r="A640" s="59" t="s">
        <v>830</v>
      </c>
      <c r="B640" s="59" t="s">
        <v>87</v>
      </c>
      <c r="C640" s="248"/>
      <c r="D640" s="59">
        <v>88277</v>
      </c>
      <c r="E640" s="60" t="s">
        <v>600</v>
      </c>
      <c r="F640" s="59" t="s">
        <v>46</v>
      </c>
      <c r="G640" s="61">
        <f>2/35.57</f>
        <v>5.6227157717177394E-2</v>
      </c>
      <c r="H640" s="62">
        <v>18.850000000000001</v>
      </c>
      <c r="I640" s="62">
        <f t="shared" si="69"/>
        <v>1.0598819229687939</v>
      </c>
      <c r="J640" s="62"/>
      <c r="K640" s="62">
        <v>0.76581388810795603</v>
      </c>
      <c r="L640" s="62">
        <v>0.29406803486083777</v>
      </c>
      <c r="M640" s="62">
        <v>0</v>
      </c>
      <c r="N640" s="62">
        <v>0</v>
      </c>
      <c r="O640" s="62">
        <v>2.2204460492503131E-16</v>
      </c>
      <c r="P640" s="298" t="s">
        <v>4160</v>
      </c>
      <c r="Q640" s="60" t="s">
        <v>27</v>
      </c>
      <c r="R640" s="60" t="s">
        <v>174</v>
      </c>
      <c r="S640" s="286" t="str">
        <f t="shared" si="67"/>
        <v/>
      </c>
      <c r="T640" s="286" t="str">
        <f>IF($C640= "", T639, IF(ISNA(VLOOKUP($C640,'ABC-S'!$A$5:$A$271,1,FALSE)), "", VLOOKUP($C640,'ABC-S'!$A$5:$A$271,1,FALSE)))</f>
        <v/>
      </c>
      <c r="W640" s="286" t="s">
        <v>830</v>
      </c>
      <c r="X640" s="286">
        <v>88277</v>
      </c>
      <c r="Y640" s="286" t="s">
        <v>424</v>
      </c>
      <c r="Z640" s="335">
        <v>0</v>
      </c>
      <c r="AA640" s="286">
        <v>5.6227157717177394E-2</v>
      </c>
      <c r="AB640" s="378"/>
      <c r="AC640" s="381" t="s">
        <v>21</v>
      </c>
      <c r="AD640" s="378" t="s">
        <v>21</v>
      </c>
      <c r="AE640" s="378" t="s">
        <v>21</v>
      </c>
      <c r="AF640" s="378" t="s">
        <v>21</v>
      </c>
      <c r="AG640" s="378"/>
      <c r="AI640" s="378">
        <v>0</v>
      </c>
      <c r="AJ640" s="378">
        <v>0</v>
      </c>
      <c r="AL640" s="286">
        <v>88277</v>
      </c>
      <c r="AM640" s="286"/>
    </row>
    <row r="641" spans="1:39" s="51" customFormat="1" hidden="1" x14ac:dyDescent="0.25">
      <c r="A641" s="59" t="s">
        <v>830</v>
      </c>
      <c r="B641" s="59" t="s">
        <v>87</v>
      </c>
      <c r="C641" s="248"/>
      <c r="D641" s="59">
        <v>88316</v>
      </c>
      <c r="E641" s="60" t="s">
        <v>649</v>
      </c>
      <c r="F641" s="59" t="s">
        <v>46</v>
      </c>
      <c r="G641" s="61">
        <f>4/35.57</f>
        <v>0.11245431543435479</v>
      </c>
      <c r="H641" s="62">
        <v>17.61</v>
      </c>
      <c r="I641" s="62">
        <f t="shared" si="69"/>
        <v>1.9803204947989876</v>
      </c>
      <c r="J641" s="62"/>
      <c r="K641" s="62">
        <v>1.3044700590385154</v>
      </c>
      <c r="L641" s="62">
        <v>0.67585043576047221</v>
      </c>
      <c r="M641" s="62">
        <v>0</v>
      </c>
      <c r="N641" s="62">
        <v>0</v>
      </c>
      <c r="O641" s="62">
        <v>0</v>
      </c>
      <c r="P641" s="298" t="s">
        <v>4160</v>
      </c>
      <c r="Q641" s="60" t="s">
        <v>27</v>
      </c>
      <c r="R641" s="60" t="s">
        <v>174</v>
      </c>
      <c r="S641" s="286" t="str">
        <f t="shared" si="67"/>
        <v/>
      </c>
      <c r="T641" s="286" t="str">
        <f>IF($C641= "", T640, IF(ISNA(VLOOKUP($C641,'ABC-S'!$A$5:$A$271,1,FALSE)), "", VLOOKUP($C641,'ABC-S'!$A$5:$A$271,1,FALSE)))</f>
        <v/>
      </c>
      <c r="W641" s="286" t="s">
        <v>830</v>
      </c>
      <c r="X641" s="286">
        <v>88316</v>
      </c>
      <c r="Y641" s="286" t="s">
        <v>424</v>
      </c>
      <c r="Z641" s="335">
        <v>0</v>
      </c>
      <c r="AA641" s="286">
        <v>0.11245431543435479</v>
      </c>
      <c r="AB641" s="378"/>
      <c r="AC641" s="381" t="s">
        <v>21</v>
      </c>
      <c r="AD641" s="378" t="s">
        <v>21</v>
      </c>
      <c r="AE641" s="378" t="s">
        <v>21</v>
      </c>
      <c r="AF641" s="378" t="s">
        <v>21</v>
      </c>
      <c r="AG641" s="378"/>
      <c r="AI641" s="378">
        <v>0</v>
      </c>
      <c r="AJ641" s="378">
        <v>0</v>
      </c>
      <c r="AL641" s="286">
        <v>88316</v>
      </c>
      <c r="AM641" s="286"/>
    </row>
    <row r="642" spans="1:39" s="51" customFormat="1" ht="22.5" hidden="1" x14ac:dyDescent="0.25">
      <c r="A642" s="59" t="s">
        <v>830</v>
      </c>
      <c r="B642" s="59" t="s">
        <v>86</v>
      </c>
      <c r="C642" s="59"/>
      <c r="D642" s="59">
        <v>3410</v>
      </c>
      <c r="E642" s="60" t="s">
        <v>681</v>
      </c>
      <c r="F642" s="59" t="s">
        <v>3669</v>
      </c>
      <c r="G642" s="61">
        <v>0.2</v>
      </c>
      <c r="H642" s="62">
        <v>27.22</v>
      </c>
      <c r="I642" s="62">
        <f t="shared" si="69"/>
        <v>5.444</v>
      </c>
      <c r="J642" s="62"/>
      <c r="K642" s="62">
        <v>0</v>
      </c>
      <c r="L642" s="62">
        <v>5.444</v>
      </c>
      <c r="M642" s="62">
        <v>0</v>
      </c>
      <c r="N642" s="62">
        <v>0</v>
      </c>
      <c r="O642" s="62">
        <v>0</v>
      </c>
      <c r="P642" s="298" t="s">
        <v>89</v>
      </c>
      <c r="Q642" s="60" t="s">
        <v>27</v>
      </c>
      <c r="R642" s="60" t="s">
        <v>174</v>
      </c>
      <c r="S642" s="286" t="str">
        <f t="shared" si="67"/>
        <v/>
      </c>
      <c r="T642" s="286" t="str">
        <f>IF($C642= "", T641, IF(ISNA(VLOOKUP($C642,'ABC-S'!$A$5:$A$271,1,FALSE)), "", VLOOKUP($C642,'ABC-S'!$A$5:$A$271,1,FALSE)))</f>
        <v/>
      </c>
      <c r="W642" s="286" t="s">
        <v>830</v>
      </c>
      <c r="X642" s="286" t="s">
        <v>21</v>
      </c>
      <c r="Y642" s="286" t="s">
        <v>21</v>
      </c>
      <c r="Z642" s="286" t="s">
        <v>21</v>
      </c>
      <c r="AA642" s="286" t="s">
        <v>21</v>
      </c>
      <c r="AB642" s="378"/>
      <c r="AC642" s="381" t="s">
        <v>21</v>
      </c>
      <c r="AD642" s="378" t="s">
        <v>21</v>
      </c>
      <c r="AE642" s="378" t="s">
        <v>21</v>
      </c>
      <c r="AF642" s="378" t="s">
        <v>21</v>
      </c>
      <c r="AG642" s="378"/>
      <c r="AI642" s="378" t="s">
        <v>21</v>
      </c>
      <c r="AJ642" s="378" t="s">
        <v>21</v>
      </c>
      <c r="AL642" s="286"/>
      <c r="AM642" s="286">
        <v>3410</v>
      </c>
    </row>
    <row r="643" spans="1:39" s="51" customFormat="1" hidden="1" x14ac:dyDescent="0.25">
      <c r="A643" s="59" t="s">
        <v>830</v>
      </c>
      <c r="B643" s="59" t="s">
        <v>86</v>
      </c>
      <c r="C643" s="59"/>
      <c r="D643" s="59" t="s">
        <v>832</v>
      </c>
      <c r="E643" s="60" t="s">
        <v>833</v>
      </c>
      <c r="F643" s="59" t="s">
        <v>41</v>
      </c>
      <c r="G643" s="61">
        <v>1</v>
      </c>
      <c r="H643" s="62">
        <v>40.78</v>
      </c>
      <c r="I643" s="62">
        <f t="shared" si="69"/>
        <v>40.78</v>
      </c>
      <c r="J643" s="62"/>
      <c r="K643" s="62">
        <v>0</v>
      </c>
      <c r="L643" s="62">
        <v>40.78</v>
      </c>
      <c r="M643" s="62">
        <v>0</v>
      </c>
      <c r="N643" s="62">
        <v>0</v>
      </c>
      <c r="O643" s="62">
        <v>0</v>
      </c>
      <c r="P643" s="298" t="s">
        <v>89</v>
      </c>
      <c r="Q643" s="60" t="s">
        <v>174</v>
      </c>
      <c r="R643" s="60" t="s">
        <v>174</v>
      </c>
      <c r="S643" s="286" t="str">
        <f t="shared" si="67"/>
        <v/>
      </c>
      <c r="T643" s="286" t="str">
        <f>IF($C643= "", T642, IF(ISNA(VLOOKUP($C643,'ABC-S'!$A$5:$A$271,1,FALSE)), "", VLOOKUP($C643,'ABC-S'!$A$5:$A$271,1,FALSE)))</f>
        <v/>
      </c>
      <c r="W643" s="286" t="s">
        <v>830</v>
      </c>
      <c r="X643" s="286" t="s">
        <v>21</v>
      </c>
      <c r="Y643" s="286" t="s">
        <v>21</v>
      </c>
      <c r="Z643" s="286" t="s">
        <v>21</v>
      </c>
      <c r="AA643" s="286" t="s">
        <v>21</v>
      </c>
      <c r="AB643" s="378"/>
      <c r="AC643" s="381" t="s">
        <v>21</v>
      </c>
      <c r="AD643" s="378" t="s">
        <v>21</v>
      </c>
      <c r="AE643" s="378" t="s">
        <v>21</v>
      </c>
      <c r="AF643" s="378" t="s">
        <v>21</v>
      </c>
      <c r="AG643" s="378"/>
      <c r="AI643" s="378" t="s">
        <v>21</v>
      </c>
      <c r="AJ643" s="378" t="s">
        <v>21</v>
      </c>
      <c r="AL643" s="286"/>
      <c r="AM643" s="286" t="s">
        <v>832</v>
      </c>
    </row>
    <row r="644" spans="1:39" s="51" customFormat="1" ht="33.75" hidden="1" x14ac:dyDescent="0.25">
      <c r="A644" s="59" t="s">
        <v>830</v>
      </c>
      <c r="B644" s="59" t="s">
        <v>87</v>
      </c>
      <c r="C644" s="59"/>
      <c r="D644" s="59">
        <v>72850</v>
      </c>
      <c r="E644" s="60" t="s">
        <v>1312</v>
      </c>
      <c r="F644" s="59" t="s">
        <v>55</v>
      </c>
      <c r="G644" s="61">
        <v>2.5000000000000001E-3</v>
      </c>
      <c r="H644" s="62">
        <v>11.844150000000001</v>
      </c>
      <c r="I644" s="62">
        <f t="shared" si="69"/>
        <v>2.9610375000000001E-2</v>
      </c>
      <c r="J644" s="62"/>
      <c r="K644" s="62">
        <v>3.0453375000000001E-3</v>
      </c>
      <c r="L644" s="62">
        <v>1.9812607500000003E-2</v>
      </c>
      <c r="M644" s="62">
        <v>6.7524299999999994E-3</v>
      </c>
      <c r="N644" s="62">
        <v>0</v>
      </c>
      <c r="O644" s="62">
        <v>-3.4694469519536142E-18</v>
      </c>
      <c r="P644" s="298" t="s">
        <v>4160</v>
      </c>
      <c r="Q644" s="60" t="s">
        <v>27</v>
      </c>
      <c r="R644" s="60" t="s">
        <v>174</v>
      </c>
      <c r="S644" s="286" t="str">
        <f t="shared" si="67"/>
        <v/>
      </c>
      <c r="T644" s="286" t="str">
        <f>IF($C644= "", T643, IF(ISNA(VLOOKUP($C644,'ABC-S'!$A$5:$A$271,1,FALSE)), "", VLOOKUP($C644,'ABC-S'!$A$5:$A$271,1,FALSE)))</f>
        <v/>
      </c>
      <c r="W644" s="286" t="s">
        <v>830</v>
      </c>
      <c r="X644" s="286" t="s">
        <v>21</v>
      </c>
      <c r="Y644" s="286" t="s">
        <v>1513</v>
      </c>
      <c r="Z644" s="335" t="s">
        <v>21</v>
      </c>
      <c r="AA644" s="286" t="s">
        <v>21</v>
      </c>
      <c r="AB644" s="378"/>
      <c r="AC644" s="381">
        <v>72850</v>
      </c>
      <c r="AD644" s="378">
        <v>2.5000000000000001E-3</v>
      </c>
      <c r="AE644" s="378">
        <v>8.43E-2</v>
      </c>
      <c r="AF644" s="378">
        <v>2.1075E-4</v>
      </c>
      <c r="AG644" s="378"/>
      <c r="AI644" s="378" t="s">
        <v>21</v>
      </c>
      <c r="AJ644" s="378" t="s">
        <v>21</v>
      </c>
      <c r="AL644" s="286">
        <v>72850</v>
      </c>
      <c r="AM644" s="286"/>
    </row>
    <row r="645" spans="1:39" s="51" customFormat="1" ht="33.75" hidden="1" x14ac:dyDescent="0.25">
      <c r="A645" s="59" t="s">
        <v>830</v>
      </c>
      <c r="B645" s="59" t="s">
        <v>87</v>
      </c>
      <c r="C645" s="59"/>
      <c r="D645" s="59">
        <v>100949</v>
      </c>
      <c r="E645" s="60" t="s">
        <v>791</v>
      </c>
      <c r="F645" s="59" t="s">
        <v>42</v>
      </c>
      <c r="G645" s="61">
        <f>G644</f>
        <v>2.5000000000000001E-3</v>
      </c>
      <c r="H645" s="62">
        <v>4.28</v>
      </c>
      <c r="I645" s="62">
        <f t="shared" si="69"/>
        <v>1.0700000000000001E-2</v>
      </c>
      <c r="J645" s="62"/>
      <c r="K645" s="62">
        <v>1.4499999999999999E-3</v>
      </c>
      <c r="L645" s="62">
        <v>6.7250000000000001E-3</v>
      </c>
      <c r="M645" s="62">
        <v>2.5249999999999999E-3</v>
      </c>
      <c r="N645" s="62">
        <v>0</v>
      </c>
      <c r="O645" s="62">
        <v>1.7347234759768071E-18</v>
      </c>
      <c r="P645" s="298" t="s">
        <v>4160</v>
      </c>
      <c r="Q645" s="60" t="s">
        <v>27</v>
      </c>
      <c r="R645" s="60" t="s">
        <v>174</v>
      </c>
      <c r="S645" s="286" t="str">
        <f t="shared" si="67"/>
        <v/>
      </c>
      <c r="T645" s="286" t="str">
        <f>IF($C645= "", T644, IF(ISNA(VLOOKUP($C645,'ABC-S'!$A$5:$A$271,1,FALSE)), "", VLOOKUP($C645,'ABC-S'!$A$5:$A$271,1,FALSE)))</f>
        <v/>
      </c>
      <c r="W645" s="286" t="s">
        <v>830</v>
      </c>
      <c r="X645" s="286" t="s">
        <v>21</v>
      </c>
      <c r="Y645" s="286" t="s">
        <v>1098</v>
      </c>
      <c r="Z645" s="335" t="s">
        <v>21</v>
      </c>
      <c r="AA645" s="286" t="s">
        <v>21</v>
      </c>
      <c r="AB645" s="378"/>
      <c r="AC645" s="381">
        <v>100949</v>
      </c>
      <c r="AD645" s="378">
        <v>2.5000000000000001E-3</v>
      </c>
      <c r="AE645" s="378">
        <v>3.9699999999999999E-2</v>
      </c>
      <c r="AF645" s="378">
        <v>9.925E-5</v>
      </c>
      <c r="AG645" s="378"/>
      <c r="AI645" s="378">
        <v>0</v>
      </c>
      <c r="AJ645" s="378">
        <v>0</v>
      </c>
      <c r="AL645" s="286">
        <v>100949</v>
      </c>
      <c r="AM645" s="286"/>
    </row>
    <row r="646" spans="1:39" s="51" customFormat="1" ht="45" x14ac:dyDescent="0.25">
      <c r="A646" s="55" t="s">
        <v>834</v>
      </c>
      <c r="B646" s="55" t="s">
        <v>138</v>
      </c>
      <c r="C646" s="55" t="s">
        <v>834</v>
      </c>
      <c r="D646" s="55"/>
      <c r="E646" s="56" t="s">
        <v>835</v>
      </c>
      <c r="F646" s="55" t="s">
        <v>41</v>
      </c>
      <c r="G646" s="57"/>
      <c r="H646" s="58"/>
      <c r="I646" s="58"/>
      <c r="J646" s="58">
        <f>SUM(I646:I658)</f>
        <v>245.53878725184802</v>
      </c>
      <c r="K646" s="58">
        <v>11.824940682231199</v>
      </c>
      <c r="L646" s="58">
        <v>229.08585072062414</v>
      </c>
      <c r="M646" s="58">
        <v>4.5991958489926397</v>
      </c>
      <c r="N646" s="58">
        <v>0</v>
      </c>
      <c r="O646" s="58">
        <v>2.8800000000001734E-2</v>
      </c>
      <c r="P646" s="58"/>
      <c r="Q646" s="56"/>
      <c r="R646" s="56" t="s">
        <v>827</v>
      </c>
      <c r="S646" s="286" t="str">
        <f t="shared" si="67"/>
        <v>SIM</v>
      </c>
      <c r="T646" s="286" t="str">
        <f>IF($C646= "", T645, IF(ISNA(VLOOKUP($C646,'ABC-S'!$A$5:$A$271,1,FALSE)), "", VLOOKUP($C646,'ABC-S'!$A$5:$A$271,1,FALSE)))</f>
        <v>CP0573</v>
      </c>
      <c r="W646" s="286" t="s">
        <v>834</v>
      </c>
      <c r="X646" s="286"/>
      <c r="Y646" s="286"/>
      <c r="Z646" s="286"/>
      <c r="AA646" s="286" t="s">
        <v>21</v>
      </c>
      <c r="AB646" s="378">
        <v>0.4</v>
      </c>
      <c r="AC646" s="378"/>
      <c r="AD646" s="335"/>
      <c r="AE646" s="335"/>
      <c r="AF646" s="335"/>
      <c r="AG646" s="378">
        <v>0.82812918187999995</v>
      </c>
      <c r="AI646" s="378" t="s">
        <v>21</v>
      </c>
      <c r="AJ646" s="378" t="s">
        <v>21</v>
      </c>
      <c r="AL646" s="286"/>
      <c r="AM646" s="286"/>
    </row>
    <row r="647" spans="1:39" s="51" customFormat="1" ht="56.25" x14ac:dyDescent="0.25">
      <c r="A647" s="59" t="s">
        <v>834</v>
      </c>
      <c r="B647" s="59" t="s">
        <v>87</v>
      </c>
      <c r="C647" s="59"/>
      <c r="D647" s="59">
        <v>73467</v>
      </c>
      <c r="E647" s="60" t="s">
        <v>533</v>
      </c>
      <c r="F647" s="59" t="s">
        <v>76</v>
      </c>
      <c r="G647" s="61">
        <f>(1*0.3)/5</f>
        <v>0.06</v>
      </c>
      <c r="H647" s="62">
        <v>119.7</v>
      </c>
      <c r="I647" s="62">
        <f>IF($D647="","",G647*H647)</f>
        <v>7.1819999999999995</v>
      </c>
      <c r="J647" s="62"/>
      <c r="K647" s="62">
        <v>0.86699999999999988</v>
      </c>
      <c r="L647" s="62">
        <v>4.0397999999999996</v>
      </c>
      <c r="M647" s="62">
        <v>2.2751999999999999</v>
      </c>
      <c r="N647" s="62">
        <v>0</v>
      </c>
      <c r="O647" s="62">
        <v>0</v>
      </c>
      <c r="P647" s="298" t="s">
        <v>4160</v>
      </c>
      <c r="Q647" s="60" t="s">
        <v>27</v>
      </c>
      <c r="R647" s="60" t="s">
        <v>174</v>
      </c>
      <c r="S647" s="286" t="str">
        <f t="shared" si="67"/>
        <v>SIM</v>
      </c>
      <c r="T647" s="286" t="str">
        <f>IF($C647= "", T646, IF(ISNA(VLOOKUP($C647,'ABC-S'!$A$5:$A$271,1,FALSE)), "", VLOOKUP($C647,'ABC-S'!$A$5:$A$271,1,FALSE)))</f>
        <v>CP0573</v>
      </c>
      <c r="W647" s="286" t="s">
        <v>834</v>
      </c>
      <c r="X647" s="286" t="s">
        <v>21</v>
      </c>
      <c r="Y647" s="286" t="s">
        <v>423</v>
      </c>
      <c r="Z647" s="335" t="s">
        <v>21</v>
      </c>
      <c r="AA647" s="286" t="s">
        <v>21</v>
      </c>
      <c r="AB647" s="378"/>
      <c r="AC647" s="381">
        <v>73467</v>
      </c>
      <c r="AD647" s="378">
        <v>0.06</v>
      </c>
      <c r="AE647" s="378">
        <v>1</v>
      </c>
      <c r="AF647" s="378">
        <v>0.06</v>
      </c>
      <c r="AG647" s="378"/>
      <c r="AI647" s="378">
        <v>0</v>
      </c>
      <c r="AJ647" s="378">
        <v>0</v>
      </c>
      <c r="AL647" s="286">
        <v>73467</v>
      </c>
      <c r="AM647" s="286"/>
    </row>
    <row r="648" spans="1:39" s="51" customFormat="1" ht="56.25" x14ac:dyDescent="0.25">
      <c r="A648" s="59" t="s">
        <v>834</v>
      </c>
      <c r="B648" s="59" t="s">
        <v>87</v>
      </c>
      <c r="C648" s="59"/>
      <c r="D648" s="59">
        <v>91395</v>
      </c>
      <c r="E648" s="60" t="s">
        <v>532</v>
      </c>
      <c r="F648" s="59" t="s">
        <v>75</v>
      </c>
      <c r="G648" s="61">
        <f>(1*0.7)/5</f>
        <v>0.13999999999999999</v>
      </c>
      <c r="H648" s="62">
        <v>35.119999999999997</v>
      </c>
      <c r="I648" s="62">
        <f>IF($D648="","",G648*H648)</f>
        <v>4.9167999999999994</v>
      </c>
      <c r="J648" s="62"/>
      <c r="K648" s="62">
        <v>2.0229999999999997</v>
      </c>
      <c r="L648" s="62">
        <v>0.73219999999999996</v>
      </c>
      <c r="M648" s="62">
        <v>2.1615999999999995</v>
      </c>
      <c r="N648" s="62">
        <v>0</v>
      </c>
      <c r="O648" s="62">
        <v>8.8817841970012523E-16</v>
      </c>
      <c r="P648" s="298" t="s">
        <v>4160</v>
      </c>
      <c r="Q648" s="60" t="s">
        <v>27</v>
      </c>
      <c r="R648" s="60" t="s">
        <v>174</v>
      </c>
      <c r="S648" s="286" t="str">
        <f t="shared" si="67"/>
        <v>SIM</v>
      </c>
      <c r="T648" s="286" t="str">
        <f>IF($C648= "", T647, IF(ISNA(VLOOKUP($C648,'ABC-S'!$A$5:$A$271,1,FALSE)), "", VLOOKUP($C648,'ABC-S'!$A$5:$A$271,1,FALSE)))</f>
        <v>CP0573</v>
      </c>
      <c r="W648" s="286" t="s">
        <v>834</v>
      </c>
      <c r="X648" s="286" t="s">
        <v>21</v>
      </c>
      <c r="Y648" s="286" t="s">
        <v>423</v>
      </c>
      <c r="Z648" s="335" t="s">
        <v>21</v>
      </c>
      <c r="AA648" s="286" t="s">
        <v>21</v>
      </c>
      <c r="AB648" s="378"/>
      <c r="AC648" s="381">
        <v>91395</v>
      </c>
      <c r="AD648" s="378">
        <v>0.13999999999999999</v>
      </c>
      <c r="AE648" s="378">
        <v>1</v>
      </c>
      <c r="AF648" s="378">
        <v>0.13999999999999999</v>
      </c>
      <c r="AG648" s="378"/>
      <c r="AI648" s="378">
        <v>0</v>
      </c>
      <c r="AJ648" s="378">
        <v>0</v>
      </c>
      <c r="AL648" s="286">
        <v>91395</v>
      </c>
      <c r="AM648" s="286"/>
    </row>
    <row r="649" spans="1:39" s="51" customFormat="1" x14ac:dyDescent="0.25">
      <c r="A649" s="59" t="s">
        <v>834</v>
      </c>
      <c r="B649" s="59" t="s">
        <v>87</v>
      </c>
      <c r="C649" s="248"/>
      <c r="D649" s="59">
        <v>88315</v>
      </c>
      <c r="E649" s="60" t="s">
        <v>648</v>
      </c>
      <c r="F649" s="59" t="s">
        <v>46</v>
      </c>
      <c r="G649" s="61">
        <f>1/5</f>
        <v>0.2</v>
      </c>
      <c r="H649" s="62">
        <v>23.78</v>
      </c>
      <c r="I649" s="62">
        <f t="shared" ref="I649:I658" si="70">IF($D649="","",G649*H649)</f>
        <v>4.7560000000000002</v>
      </c>
      <c r="J649" s="62"/>
      <c r="K649" s="62">
        <v>3.532</v>
      </c>
      <c r="L649" s="62">
        <v>1.2240000000000002</v>
      </c>
      <c r="M649" s="62">
        <v>0</v>
      </c>
      <c r="N649" s="62">
        <v>0</v>
      </c>
      <c r="O649" s="62">
        <v>0</v>
      </c>
      <c r="P649" s="298" t="s">
        <v>4160</v>
      </c>
      <c r="Q649" s="60" t="s">
        <v>27</v>
      </c>
      <c r="R649" s="60" t="s">
        <v>174</v>
      </c>
      <c r="S649" s="286" t="str">
        <f t="shared" si="67"/>
        <v>SIM</v>
      </c>
      <c r="T649" s="286" t="str">
        <f>IF($C649= "", T648, IF(ISNA(VLOOKUP($C649,'ABC-S'!$A$5:$A$271,1,FALSE)), "", VLOOKUP($C649,'ABC-S'!$A$5:$A$271,1,FALSE)))</f>
        <v>CP0573</v>
      </c>
      <c r="W649" s="286" t="s">
        <v>834</v>
      </c>
      <c r="X649" s="286">
        <v>88315</v>
      </c>
      <c r="Y649" s="286" t="s">
        <v>424</v>
      </c>
      <c r="Z649" s="335">
        <v>341</v>
      </c>
      <c r="AA649" s="286">
        <v>0.2</v>
      </c>
      <c r="AB649" s="378"/>
      <c r="AC649" s="381" t="s">
        <v>21</v>
      </c>
      <c r="AD649" s="378" t="s">
        <v>21</v>
      </c>
      <c r="AE649" s="378" t="s">
        <v>21</v>
      </c>
      <c r="AF649" s="378" t="s">
        <v>21</v>
      </c>
      <c r="AG649" s="378"/>
      <c r="AI649" s="378">
        <v>0</v>
      </c>
      <c r="AJ649" s="378">
        <v>0</v>
      </c>
      <c r="AL649" s="286">
        <v>88315</v>
      </c>
      <c r="AM649" s="286"/>
    </row>
    <row r="650" spans="1:39" s="51" customFormat="1" x14ac:dyDescent="0.25">
      <c r="A650" s="59" t="s">
        <v>834</v>
      </c>
      <c r="B650" s="59" t="s">
        <v>87</v>
      </c>
      <c r="C650" s="248"/>
      <c r="D650" s="59">
        <v>88316</v>
      </c>
      <c r="E650" s="60" t="s">
        <v>649</v>
      </c>
      <c r="F650" s="59" t="s">
        <v>46</v>
      </c>
      <c r="G650" s="61">
        <f>1/5</f>
        <v>0.2</v>
      </c>
      <c r="H650" s="62">
        <v>17.61</v>
      </c>
      <c r="I650" s="62">
        <f t="shared" si="70"/>
        <v>3.5220000000000002</v>
      </c>
      <c r="J650" s="62"/>
      <c r="K650" s="62">
        <v>2.3199999999999998</v>
      </c>
      <c r="L650" s="62">
        <v>1.202</v>
      </c>
      <c r="M650" s="62">
        <v>0</v>
      </c>
      <c r="N650" s="62">
        <v>0</v>
      </c>
      <c r="O650" s="62">
        <v>4.4408920985006262E-16</v>
      </c>
      <c r="P650" s="298" t="s">
        <v>4160</v>
      </c>
      <c r="Q650" s="60" t="s">
        <v>27</v>
      </c>
      <c r="R650" s="60" t="s">
        <v>174</v>
      </c>
      <c r="S650" s="286" t="str">
        <f t="shared" si="67"/>
        <v>SIM</v>
      </c>
      <c r="T650" s="286" t="str">
        <f>IF($C650= "", T649, IF(ISNA(VLOOKUP($C650,'ABC-S'!$A$5:$A$271,1,FALSE)), "", VLOOKUP($C650,'ABC-S'!$A$5:$A$271,1,FALSE)))</f>
        <v>CP0573</v>
      </c>
      <c r="W650" s="286" t="s">
        <v>834</v>
      </c>
      <c r="X650" s="286">
        <v>88316</v>
      </c>
      <c r="Y650" s="286" t="s">
        <v>424</v>
      </c>
      <c r="Z650" s="335">
        <v>341</v>
      </c>
      <c r="AA650" s="286">
        <v>0.2</v>
      </c>
      <c r="AB650" s="378"/>
      <c r="AC650" s="381" t="s">
        <v>21</v>
      </c>
      <c r="AD650" s="378" t="s">
        <v>21</v>
      </c>
      <c r="AE650" s="378" t="s">
        <v>21</v>
      </c>
      <c r="AF650" s="378" t="s">
        <v>21</v>
      </c>
      <c r="AG650" s="378"/>
      <c r="AI650" s="378">
        <v>0</v>
      </c>
      <c r="AJ650" s="378">
        <v>0</v>
      </c>
      <c r="AL650" s="286">
        <v>88316</v>
      </c>
      <c r="AM650" s="286"/>
    </row>
    <row r="651" spans="1:39" s="51" customFormat="1" ht="22.5" x14ac:dyDescent="0.25">
      <c r="A651" s="59" t="s">
        <v>834</v>
      </c>
      <c r="B651" s="59" t="s">
        <v>86</v>
      </c>
      <c r="C651" s="59"/>
      <c r="D651" s="59" t="s">
        <v>836</v>
      </c>
      <c r="E651" s="60" t="s">
        <v>269</v>
      </c>
      <c r="F651" s="59" t="s">
        <v>54</v>
      </c>
      <c r="G651" s="61">
        <v>1.0581199999999999</v>
      </c>
      <c r="H651" s="62">
        <v>12.43</v>
      </c>
      <c r="I651" s="62">
        <f t="shared" si="70"/>
        <v>13.1524316</v>
      </c>
      <c r="J651" s="62"/>
      <c r="K651" s="62">
        <v>0</v>
      </c>
      <c r="L651" s="62">
        <v>13.1524316</v>
      </c>
      <c r="M651" s="62">
        <v>0</v>
      </c>
      <c r="N651" s="62">
        <v>0</v>
      </c>
      <c r="O651" s="62">
        <v>0</v>
      </c>
      <c r="P651" s="298" t="s">
        <v>89</v>
      </c>
      <c r="Q651" s="60" t="s">
        <v>27</v>
      </c>
      <c r="R651" s="60" t="s">
        <v>174</v>
      </c>
      <c r="S651" s="286" t="str">
        <f t="shared" si="67"/>
        <v>SIM</v>
      </c>
      <c r="T651" s="286" t="str">
        <f>IF($C651= "", T650, IF(ISNA(VLOOKUP($C651,'ABC-S'!$A$5:$A$271,1,FALSE)), "", VLOOKUP($C651,'ABC-S'!$A$5:$A$271,1,FALSE)))</f>
        <v>CP0573</v>
      </c>
      <c r="W651" s="286" t="s">
        <v>834</v>
      </c>
      <c r="X651" s="286" t="s">
        <v>21</v>
      </c>
      <c r="Y651" s="286" t="s">
        <v>21</v>
      </c>
      <c r="Z651" s="286" t="s">
        <v>21</v>
      </c>
      <c r="AA651" s="286" t="s">
        <v>21</v>
      </c>
      <c r="AB651" s="378"/>
      <c r="AC651" s="381" t="s">
        <v>21</v>
      </c>
      <c r="AD651" s="378" t="s">
        <v>21</v>
      </c>
      <c r="AE651" s="378" t="s">
        <v>21</v>
      </c>
      <c r="AF651" s="378" t="s">
        <v>21</v>
      </c>
      <c r="AG651" s="378"/>
      <c r="AI651" s="378" t="s">
        <v>21</v>
      </c>
      <c r="AJ651" s="378" t="s">
        <v>21</v>
      </c>
      <c r="AL651" s="286"/>
      <c r="AM651" s="286" t="s">
        <v>836</v>
      </c>
    </row>
    <row r="652" spans="1:39" s="51" customFormat="1" x14ac:dyDescent="0.25">
      <c r="A652" s="59" t="s">
        <v>834</v>
      </c>
      <c r="B652" s="59" t="s">
        <v>86</v>
      </c>
      <c r="C652" s="59"/>
      <c r="D652" s="59" t="s">
        <v>837</v>
      </c>
      <c r="E652" s="60" t="s">
        <v>415</v>
      </c>
      <c r="F652" s="59" t="s">
        <v>54</v>
      </c>
      <c r="G652" s="61">
        <v>11.775</v>
      </c>
      <c r="H652" s="62">
        <v>17.11</v>
      </c>
      <c r="I652" s="62">
        <f t="shared" si="70"/>
        <v>201.47024999999999</v>
      </c>
      <c r="J652" s="62"/>
      <c r="K652" s="62">
        <v>0</v>
      </c>
      <c r="L652" s="62">
        <v>201.47024999999999</v>
      </c>
      <c r="M652" s="62">
        <v>0</v>
      </c>
      <c r="N652" s="62">
        <v>0</v>
      </c>
      <c r="O652" s="62">
        <v>0</v>
      </c>
      <c r="P652" s="298" t="s">
        <v>89</v>
      </c>
      <c r="Q652" s="60" t="s">
        <v>27</v>
      </c>
      <c r="R652" s="60" t="s">
        <v>174</v>
      </c>
      <c r="S652" s="286" t="str">
        <f t="shared" si="67"/>
        <v>SIM</v>
      </c>
      <c r="T652" s="286" t="str">
        <f>IF($C652= "", T651, IF(ISNA(VLOOKUP($C652,'ABC-S'!$A$5:$A$271,1,FALSE)), "", VLOOKUP($C652,'ABC-S'!$A$5:$A$271,1,FALSE)))</f>
        <v>CP0573</v>
      </c>
      <c r="W652" s="286" t="s">
        <v>834</v>
      </c>
      <c r="X652" s="286" t="s">
        <v>21</v>
      </c>
      <c r="Y652" s="286" t="s">
        <v>21</v>
      </c>
      <c r="Z652" s="286" t="s">
        <v>21</v>
      </c>
      <c r="AA652" s="286" t="s">
        <v>21</v>
      </c>
      <c r="AB652" s="378"/>
      <c r="AC652" s="381" t="s">
        <v>21</v>
      </c>
      <c r="AD652" s="378" t="s">
        <v>21</v>
      </c>
      <c r="AE652" s="378" t="s">
        <v>21</v>
      </c>
      <c r="AF652" s="378" t="s">
        <v>21</v>
      </c>
      <c r="AG652" s="378"/>
      <c r="AI652" s="378" t="s">
        <v>21</v>
      </c>
      <c r="AJ652" s="378" t="s">
        <v>21</v>
      </c>
      <c r="AL652" s="286"/>
      <c r="AM652" s="286" t="s">
        <v>837</v>
      </c>
    </row>
    <row r="653" spans="1:39" s="51" customFormat="1" ht="33.75" x14ac:dyDescent="0.25">
      <c r="A653" s="59" t="s">
        <v>834</v>
      </c>
      <c r="B653" s="59" t="s">
        <v>87</v>
      </c>
      <c r="C653" s="59"/>
      <c r="D653" s="59">
        <v>94970</v>
      </c>
      <c r="E653" s="60" t="s">
        <v>3661</v>
      </c>
      <c r="F653" s="59" t="s">
        <v>44</v>
      </c>
      <c r="G653" s="61">
        <v>1.7999999999999999E-2</v>
      </c>
      <c r="H653" s="62">
        <v>379.35</v>
      </c>
      <c r="I653" s="62">
        <f t="shared" si="70"/>
        <v>6.8282999999999996</v>
      </c>
      <c r="J653" s="62"/>
      <c r="K653" s="62">
        <v>0.71226</v>
      </c>
      <c r="L653" s="62">
        <v>6.0575399999999995</v>
      </c>
      <c r="M653" s="62">
        <v>3.9419999999999997E-2</v>
      </c>
      <c r="N653" s="62">
        <v>0</v>
      </c>
      <c r="O653" s="62">
        <v>1.9080000000000652E-2</v>
      </c>
      <c r="P653" s="298" t="s">
        <v>4160</v>
      </c>
      <c r="Q653" s="60" t="s">
        <v>27</v>
      </c>
      <c r="R653" s="60" t="s">
        <v>174</v>
      </c>
      <c r="S653" s="286" t="str">
        <f t="shared" si="67"/>
        <v>SIM</v>
      </c>
      <c r="T653" s="286" t="str">
        <f>IF($C653= "", T652, IF(ISNA(VLOOKUP($C653,'ABC-S'!$A$5:$A$271,1,FALSE)), "", VLOOKUP($C653,'ABC-S'!$A$5:$A$271,1,FALSE)))</f>
        <v>CP0573</v>
      </c>
      <c r="W653" s="286" t="s">
        <v>834</v>
      </c>
      <c r="X653" s="286" t="s">
        <v>21</v>
      </c>
      <c r="Y653" s="286" t="s">
        <v>1513</v>
      </c>
      <c r="Z653" s="335" t="s">
        <v>21</v>
      </c>
      <c r="AA653" s="286" t="s">
        <v>21</v>
      </c>
      <c r="AB653" s="378"/>
      <c r="AC653" s="381">
        <v>94970</v>
      </c>
      <c r="AD653" s="378">
        <v>1.7999999999999999E-2</v>
      </c>
      <c r="AE653" s="378">
        <v>3.3034999999999997</v>
      </c>
      <c r="AF653" s="378">
        <v>5.9462999999999988E-2</v>
      </c>
      <c r="AG653" s="378"/>
      <c r="AI653" s="378">
        <v>2.5537000000000001</v>
      </c>
      <c r="AJ653" s="378">
        <v>4.5966599999999996E-2</v>
      </c>
      <c r="AL653" s="286">
        <v>94970</v>
      </c>
      <c r="AM653" s="286"/>
    </row>
    <row r="654" spans="1:39" s="51" customFormat="1" ht="22.5" x14ac:dyDescent="0.25">
      <c r="A654" s="59" t="s">
        <v>834</v>
      </c>
      <c r="B654" s="59" t="s">
        <v>87</v>
      </c>
      <c r="C654" s="59"/>
      <c r="D654" s="59">
        <v>92873</v>
      </c>
      <c r="E654" s="60" t="s">
        <v>595</v>
      </c>
      <c r="F654" s="59" t="s">
        <v>44</v>
      </c>
      <c r="G654" s="61">
        <f>G653</f>
        <v>1.7999999999999999E-2</v>
      </c>
      <c r="H654" s="62">
        <v>186.89</v>
      </c>
      <c r="I654" s="62">
        <f t="shared" si="70"/>
        <v>3.3640199999999996</v>
      </c>
      <c r="J654" s="62"/>
      <c r="K654" s="62">
        <v>2.3347799999999999</v>
      </c>
      <c r="L654" s="62">
        <v>1.0018799999999999</v>
      </c>
      <c r="M654" s="62">
        <v>1.7639999999999999E-2</v>
      </c>
      <c r="N654" s="62">
        <v>0</v>
      </c>
      <c r="O654" s="62">
        <v>9.7199999999997289E-3</v>
      </c>
      <c r="P654" s="298" t="s">
        <v>4160</v>
      </c>
      <c r="Q654" s="60" t="s">
        <v>27</v>
      </c>
      <c r="R654" s="60" t="s">
        <v>174</v>
      </c>
      <c r="S654" s="286" t="str">
        <f t="shared" si="67"/>
        <v>SIM</v>
      </c>
      <c r="T654" s="286" t="str">
        <f>IF($C654= "", T653, IF(ISNA(VLOOKUP($C654,'ABC-S'!$A$5:$A$271,1,FALSE)), "", VLOOKUP($C654,'ABC-S'!$A$5:$A$271,1,FALSE)))</f>
        <v>CP0573</v>
      </c>
      <c r="W654" s="286" t="s">
        <v>834</v>
      </c>
      <c r="X654" s="286" t="s">
        <v>21</v>
      </c>
      <c r="Y654" s="286" t="s">
        <v>1513</v>
      </c>
      <c r="Z654" s="335" t="s">
        <v>21</v>
      </c>
      <c r="AA654" s="286" t="s">
        <v>21</v>
      </c>
      <c r="AB654" s="378"/>
      <c r="AC654" s="381">
        <v>92873</v>
      </c>
      <c r="AD654" s="378">
        <v>1.7999999999999999E-2</v>
      </c>
      <c r="AE654" s="378">
        <v>9.23</v>
      </c>
      <c r="AF654" s="378">
        <v>0.16613999999999998</v>
      </c>
      <c r="AG654" s="378"/>
      <c r="AI654" s="378">
        <v>0</v>
      </c>
      <c r="AJ654" s="378">
        <v>0</v>
      </c>
      <c r="AL654" s="286">
        <v>92873</v>
      </c>
      <c r="AM654" s="286"/>
    </row>
    <row r="655" spans="1:39" s="51" customFormat="1" ht="33.75" x14ac:dyDescent="0.25">
      <c r="A655" s="59" t="s">
        <v>834</v>
      </c>
      <c r="B655" s="59" t="s">
        <v>87</v>
      </c>
      <c r="C655" s="59"/>
      <c r="D655" s="248">
        <v>72850</v>
      </c>
      <c r="E655" s="395" t="s">
        <v>1312</v>
      </c>
      <c r="F655" s="248" t="s">
        <v>55</v>
      </c>
      <c r="G655" s="280">
        <f>SUM(G651:G652)/1000</f>
        <v>1.2833120000000002E-2</v>
      </c>
      <c r="H655" s="396">
        <v>11.844150000000001</v>
      </c>
      <c r="I655" s="396">
        <f>IF($D655="","",G655*H655)</f>
        <v>0.15199739824800004</v>
      </c>
      <c r="J655" s="396"/>
      <c r="K655" s="396">
        <v>1.56324726312E-2</v>
      </c>
      <c r="L655" s="396">
        <v>0.10170302782416002</v>
      </c>
      <c r="M655" s="396">
        <v>3.4661897792639999E-2</v>
      </c>
      <c r="N655" s="396">
        <v>0</v>
      </c>
      <c r="O655" s="396">
        <v>2.7755575615628914E-17</v>
      </c>
      <c r="P655" s="298" t="s">
        <v>4160</v>
      </c>
      <c r="Q655" s="60" t="s">
        <v>27</v>
      </c>
      <c r="R655" s="60" t="s">
        <v>174</v>
      </c>
      <c r="S655" s="286" t="str">
        <f t="shared" si="67"/>
        <v>SIM</v>
      </c>
      <c r="T655" s="286" t="str">
        <f>IF($C655= "", T654, IF(ISNA(VLOOKUP($C655,'ABC-S'!$A$5:$A$271,1,FALSE)), "", VLOOKUP($C655,'ABC-S'!$A$5:$A$271,1,FALSE)))</f>
        <v>CP0573</v>
      </c>
      <c r="W655" s="286" t="s">
        <v>834</v>
      </c>
      <c r="X655" s="286" t="s">
        <v>21</v>
      </c>
      <c r="Y655" s="286" t="s">
        <v>1513</v>
      </c>
      <c r="Z655" s="335" t="s">
        <v>21</v>
      </c>
      <c r="AA655" s="286" t="s">
        <v>21</v>
      </c>
      <c r="AB655" s="378"/>
      <c r="AC655" s="381">
        <v>72850</v>
      </c>
      <c r="AD655" s="378">
        <v>1.2833120000000002E-2</v>
      </c>
      <c r="AE655" s="378">
        <v>8.43E-2</v>
      </c>
      <c r="AF655" s="378">
        <v>1.0818320160000002E-3</v>
      </c>
      <c r="AG655" s="378"/>
      <c r="AI655" s="378" t="s">
        <v>21</v>
      </c>
      <c r="AJ655" s="378" t="s">
        <v>21</v>
      </c>
      <c r="AL655" s="286">
        <v>72850</v>
      </c>
      <c r="AM655" s="286"/>
    </row>
    <row r="656" spans="1:39" s="51" customFormat="1" ht="33.75" x14ac:dyDescent="0.25">
      <c r="A656" s="59" t="s">
        <v>834</v>
      </c>
      <c r="B656" s="59" t="s">
        <v>87</v>
      </c>
      <c r="C656" s="59"/>
      <c r="D656" s="59">
        <v>100949</v>
      </c>
      <c r="E656" s="60" t="s">
        <v>791</v>
      </c>
      <c r="F656" s="59" t="s">
        <v>42</v>
      </c>
      <c r="G656" s="61">
        <f>G655</f>
        <v>1.2833120000000002E-2</v>
      </c>
      <c r="H656" s="62">
        <v>4.28</v>
      </c>
      <c r="I656" s="62">
        <f>IF($D656="","",G656*H656)</f>
        <v>5.4925753600000009E-2</v>
      </c>
      <c r="J656" s="62"/>
      <c r="K656" s="62">
        <v>7.4432096000000003E-3</v>
      </c>
      <c r="L656" s="62">
        <v>3.4521092800000007E-2</v>
      </c>
      <c r="M656" s="62">
        <v>1.2961451200000002E-2</v>
      </c>
      <c r="N656" s="62">
        <v>0</v>
      </c>
      <c r="O656" s="62">
        <v>0</v>
      </c>
      <c r="P656" s="298" t="s">
        <v>4160</v>
      </c>
      <c r="Q656" s="60" t="s">
        <v>27</v>
      </c>
      <c r="R656" s="60" t="s">
        <v>174</v>
      </c>
      <c r="S656" s="286" t="str">
        <f t="shared" si="67"/>
        <v>SIM</v>
      </c>
      <c r="T656" s="286" t="str">
        <f>IF($C656= "", T655, IF(ISNA(VLOOKUP($C656,'ABC-S'!$A$5:$A$271,1,FALSE)), "", VLOOKUP($C656,'ABC-S'!$A$5:$A$271,1,FALSE)))</f>
        <v>CP0573</v>
      </c>
      <c r="W656" s="286" t="s">
        <v>834</v>
      </c>
      <c r="X656" s="286" t="s">
        <v>21</v>
      </c>
      <c r="Y656" s="286" t="s">
        <v>1098</v>
      </c>
      <c r="Z656" s="335" t="s">
        <v>21</v>
      </c>
      <c r="AA656" s="286" t="s">
        <v>21</v>
      </c>
      <c r="AB656" s="378"/>
      <c r="AC656" s="381">
        <v>100949</v>
      </c>
      <c r="AD656" s="378">
        <v>1.2833120000000002E-2</v>
      </c>
      <c r="AE656" s="378">
        <v>3.9699999999999999E-2</v>
      </c>
      <c r="AF656" s="378">
        <v>5.0947486400000001E-4</v>
      </c>
      <c r="AG656" s="378"/>
      <c r="AI656" s="378">
        <v>0</v>
      </c>
      <c r="AJ656" s="378">
        <v>0</v>
      </c>
      <c r="AL656" s="286">
        <v>100949</v>
      </c>
      <c r="AM656" s="286"/>
    </row>
    <row r="657" spans="1:39" s="51" customFormat="1" ht="56.25" x14ac:dyDescent="0.25">
      <c r="A657" s="59" t="s">
        <v>834</v>
      </c>
      <c r="B657" s="59" t="s">
        <v>87</v>
      </c>
      <c r="C657" s="59"/>
      <c r="D657" s="59">
        <v>100995</v>
      </c>
      <c r="E657" s="60" t="s">
        <v>773</v>
      </c>
      <c r="F657" s="59" t="s">
        <v>55</v>
      </c>
      <c r="G657" s="61">
        <v>3.3750000000000002E-2</v>
      </c>
      <c r="H657" s="62">
        <v>3.11</v>
      </c>
      <c r="I657" s="62">
        <f t="shared" si="70"/>
        <v>0.1049625</v>
      </c>
      <c r="J657" s="62"/>
      <c r="K657" s="62">
        <v>1.0462500000000001E-2</v>
      </c>
      <c r="L657" s="62">
        <v>4.9274999999999999E-2</v>
      </c>
      <c r="M657" s="62">
        <v>4.5225000000000008E-2</v>
      </c>
      <c r="N657" s="62">
        <v>0</v>
      </c>
      <c r="O657" s="62">
        <v>-1.3877787807814457E-17</v>
      </c>
      <c r="P657" s="298" t="s">
        <v>4160</v>
      </c>
      <c r="Q657" s="60" t="s">
        <v>27</v>
      </c>
      <c r="R657" s="60" t="s">
        <v>174</v>
      </c>
      <c r="S657" s="286" t="str">
        <f t="shared" si="67"/>
        <v>SIM</v>
      </c>
      <c r="T657" s="286" t="str">
        <f>IF($C657= "", T656, IF(ISNA(VLOOKUP($C657,'ABC-S'!$A$5:$A$271,1,FALSE)), "", VLOOKUP($C657,'ABC-S'!$A$5:$A$271,1,FALSE)))</f>
        <v>CP0573</v>
      </c>
      <c r="W657" s="286" t="s">
        <v>834</v>
      </c>
      <c r="X657" s="286" t="s">
        <v>21</v>
      </c>
      <c r="Y657" s="286" t="s">
        <v>1513</v>
      </c>
      <c r="Z657" s="335" t="s">
        <v>21</v>
      </c>
      <c r="AA657" s="286" t="s">
        <v>21</v>
      </c>
      <c r="AB657" s="378"/>
      <c r="AC657" s="381">
        <v>100995</v>
      </c>
      <c r="AD657" s="378">
        <v>3.3750000000000002E-2</v>
      </c>
      <c r="AE657" s="378">
        <v>2.2000000000000002E-2</v>
      </c>
      <c r="AF657" s="378">
        <v>7.425000000000001E-4</v>
      </c>
      <c r="AG657" s="378"/>
      <c r="AI657" s="378">
        <v>0</v>
      </c>
      <c r="AJ657" s="378">
        <v>0</v>
      </c>
      <c r="AL657" s="286">
        <v>100995</v>
      </c>
      <c r="AM657" s="286"/>
    </row>
    <row r="658" spans="1:39" s="51" customFormat="1" ht="33.75" x14ac:dyDescent="0.25">
      <c r="A658" s="59" t="s">
        <v>834</v>
      </c>
      <c r="B658" s="59" t="s">
        <v>87</v>
      </c>
      <c r="C658" s="59"/>
      <c r="D658" s="59">
        <v>95879</v>
      </c>
      <c r="E658" s="60" t="s">
        <v>789</v>
      </c>
      <c r="F658" s="59" t="s">
        <v>42</v>
      </c>
      <c r="G658" s="61">
        <f>G657</f>
        <v>3.3750000000000002E-2</v>
      </c>
      <c r="H658" s="62">
        <v>1.04</v>
      </c>
      <c r="I658" s="62">
        <f t="shared" si="70"/>
        <v>3.5100000000000006E-2</v>
      </c>
      <c r="J658" s="62"/>
      <c r="K658" s="62">
        <v>2.3625000000000005E-3</v>
      </c>
      <c r="L658" s="62">
        <v>2.0250000000000001E-2</v>
      </c>
      <c r="M658" s="62">
        <v>1.24875E-2</v>
      </c>
      <c r="N658" s="62">
        <v>0</v>
      </c>
      <c r="O658" s="62">
        <v>6.9388939039072284E-18</v>
      </c>
      <c r="P658" s="298" t="s">
        <v>4160</v>
      </c>
      <c r="Q658" s="60" t="s">
        <v>27</v>
      </c>
      <c r="R658" s="60" t="s">
        <v>174</v>
      </c>
      <c r="S658" s="286" t="str">
        <f t="shared" si="67"/>
        <v>SIM</v>
      </c>
      <c r="T658" s="286" t="str">
        <f>IF($C658= "", T657, IF(ISNA(VLOOKUP($C658,'ABC-S'!$A$5:$A$271,1,FALSE)), "", VLOOKUP($C658,'ABC-S'!$A$5:$A$271,1,FALSE)))</f>
        <v>CP0573</v>
      </c>
      <c r="W658" s="286" t="s">
        <v>834</v>
      </c>
      <c r="X658" s="286" t="s">
        <v>21</v>
      </c>
      <c r="Y658" s="286" t="s">
        <v>1098</v>
      </c>
      <c r="Z658" s="335" t="s">
        <v>21</v>
      </c>
      <c r="AA658" s="286" t="s">
        <v>21</v>
      </c>
      <c r="AB658" s="378"/>
      <c r="AC658" s="381">
        <v>95879</v>
      </c>
      <c r="AD658" s="378">
        <v>3.3750000000000002E-2</v>
      </c>
      <c r="AE658" s="378">
        <v>5.7000000000000002E-3</v>
      </c>
      <c r="AF658" s="378">
        <v>1.9237500000000003E-4</v>
      </c>
      <c r="AG658" s="378"/>
      <c r="AI658" s="378">
        <v>0</v>
      </c>
      <c r="AJ658" s="378">
        <v>0</v>
      </c>
      <c r="AL658" s="286">
        <v>95879</v>
      </c>
      <c r="AM658" s="286"/>
    </row>
    <row r="659" spans="1:39" s="51" customFormat="1" ht="67.5" hidden="1" x14ac:dyDescent="0.25">
      <c r="A659" s="55" t="s">
        <v>841</v>
      </c>
      <c r="B659" s="55" t="s">
        <v>138</v>
      </c>
      <c r="C659" s="55" t="s">
        <v>841</v>
      </c>
      <c r="D659" s="55"/>
      <c r="E659" s="56" t="s">
        <v>842</v>
      </c>
      <c r="F659" s="55" t="s">
        <v>51</v>
      </c>
      <c r="G659" s="57"/>
      <c r="H659" s="58"/>
      <c r="I659" s="58"/>
      <c r="J659" s="58">
        <f>SUM(I659:I671)</f>
        <v>451.8740417615</v>
      </c>
      <c r="K659" s="58">
        <v>22.317135041849998</v>
      </c>
      <c r="L659" s="58">
        <v>428.30520645432995</v>
      </c>
      <c r="M659" s="58">
        <v>1.2517002653200002</v>
      </c>
      <c r="N659" s="58">
        <v>0</v>
      </c>
      <c r="O659" s="58">
        <v>1.9914625504213745E-15</v>
      </c>
      <c r="P659" s="58"/>
      <c r="Q659" s="56"/>
      <c r="R659" s="56" t="s">
        <v>845</v>
      </c>
      <c r="S659" s="286" t="str">
        <f t="shared" si="67"/>
        <v/>
      </c>
      <c r="T659" s="286" t="str">
        <f>IF($C659= "", T658, IF(ISNA(VLOOKUP($C659,'ABC-S'!$A$5:$A$271,1,FALSE)), "", VLOOKUP($C659,'ABC-S'!$A$5:$A$271,1,FALSE)))</f>
        <v/>
      </c>
      <c r="W659" s="286" t="s">
        <v>841</v>
      </c>
      <c r="X659" s="286"/>
      <c r="Y659" s="286"/>
      <c r="Z659" s="286"/>
      <c r="AA659" s="286" t="s">
        <v>21</v>
      </c>
      <c r="AB659" s="378">
        <v>1.5</v>
      </c>
      <c r="AC659" s="378"/>
      <c r="AD659" s="335"/>
      <c r="AE659" s="335"/>
      <c r="AF659" s="335"/>
      <c r="AG659" s="378">
        <v>1.56502644</v>
      </c>
      <c r="AI659" s="378" t="s">
        <v>21</v>
      </c>
      <c r="AJ659" s="378" t="s">
        <v>21</v>
      </c>
      <c r="AL659" s="286"/>
      <c r="AM659" s="286"/>
    </row>
    <row r="660" spans="1:39" s="51" customFormat="1" ht="33.75" hidden="1" x14ac:dyDescent="0.25">
      <c r="A660" s="59" t="s">
        <v>841</v>
      </c>
      <c r="B660" s="59" t="s">
        <v>87</v>
      </c>
      <c r="C660" s="59"/>
      <c r="D660" s="59">
        <v>93415</v>
      </c>
      <c r="E660" s="60" t="s">
        <v>586</v>
      </c>
      <c r="F660" s="59" t="s">
        <v>76</v>
      </c>
      <c r="G660" s="61">
        <f>(0.48193*1)/4</f>
        <v>0.12048250000000001</v>
      </c>
      <c r="H660" s="62">
        <v>14.64</v>
      </c>
      <c r="I660" s="62">
        <f t="shared" ref="I660:I671" si="71">IF($D660="","",G660*H660)</f>
        <v>1.7638638000000002</v>
      </c>
      <c r="J660" s="62"/>
      <c r="K660" s="62">
        <v>0</v>
      </c>
      <c r="L660" s="62">
        <v>1.7192852750000001</v>
      </c>
      <c r="M660" s="62">
        <v>4.4578525000000001E-2</v>
      </c>
      <c r="N660" s="62">
        <v>0</v>
      </c>
      <c r="O660" s="62">
        <v>2.2204460492503131E-16</v>
      </c>
      <c r="P660" s="298" t="s">
        <v>4160</v>
      </c>
      <c r="Q660" s="60" t="s">
        <v>27</v>
      </c>
      <c r="R660" s="60" t="s">
        <v>174</v>
      </c>
      <c r="S660" s="286" t="str">
        <f t="shared" si="67"/>
        <v/>
      </c>
      <c r="T660" s="286" t="str">
        <f>IF($C660= "", T659, IF(ISNA(VLOOKUP($C660,'ABC-S'!$A$5:$A$271,1,FALSE)), "", VLOOKUP($C660,'ABC-S'!$A$5:$A$271,1,FALSE)))</f>
        <v/>
      </c>
      <c r="W660" s="286" t="s">
        <v>841</v>
      </c>
      <c r="X660" s="286" t="s">
        <v>21</v>
      </c>
      <c r="Y660" s="286" t="s">
        <v>423</v>
      </c>
      <c r="Z660" s="335" t="s">
        <v>21</v>
      </c>
      <c r="AA660" s="286" t="s">
        <v>21</v>
      </c>
      <c r="AB660" s="378"/>
      <c r="AC660" s="381">
        <v>93415</v>
      </c>
      <c r="AD660" s="378">
        <v>0.12048250000000001</v>
      </c>
      <c r="AE660" s="378">
        <v>0</v>
      </c>
      <c r="AF660" s="378">
        <v>0</v>
      </c>
      <c r="AG660" s="378"/>
      <c r="AI660" s="378">
        <v>0</v>
      </c>
      <c r="AJ660" s="378">
        <v>0</v>
      </c>
      <c r="AL660" s="286">
        <v>93415</v>
      </c>
      <c r="AM660" s="286"/>
    </row>
    <row r="661" spans="1:39" s="51" customFormat="1" hidden="1" x14ac:dyDescent="0.25">
      <c r="A661" s="59" t="s">
        <v>841</v>
      </c>
      <c r="B661" s="59" t="s">
        <v>86</v>
      </c>
      <c r="C661" s="248"/>
      <c r="D661" s="59" t="s">
        <v>282</v>
      </c>
      <c r="E661" s="60" t="s">
        <v>4154</v>
      </c>
      <c r="F661" s="59" t="s">
        <v>46</v>
      </c>
      <c r="G661" s="61">
        <f>(0.2008*1)/4</f>
        <v>5.0200000000000002E-2</v>
      </c>
      <c r="H661" s="62">
        <v>11.16</v>
      </c>
      <c r="I661" s="62">
        <f t="shared" si="71"/>
        <v>0.56023200000000006</v>
      </c>
      <c r="J661" s="62"/>
      <c r="K661" s="62">
        <v>0</v>
      </c>
      <c r="L661" s="62">
        <v>0</v>
      </c>
      <c r="M661" s="62">
        <v>0.56023200000000006</v>
      </c>
      <c r="N661" s="62">
        <v>0</v>
      </c>
      <c r="O661" s="62">
        <v>0</v>
      </c>
      <c r="P661" s="298" t="s">
        <v>423</v>
      </c>
      <c r="Q661" s="60" t="s">
        <v>27</v>
      </c>
      <c r="R661" s="60" t="s">
        <v>174</v>
      </c>
      <c r="S661" s="286" t="str">
        <f t="shared" si="67"/>
        <v/>
      </c>
      <c r="T661" s="286" t="str">
        <f>IF($C661= "", T660, IF(ISNA(VLOOKUP($C661,'ABC-S'!$A$5:$A$271,1,FALSE)), "", VLOOKUP($C661,'ABC-S'!$A$5:$A$271,1,FALSE)))</f>
        <v/>
      </c>
      <c r="W661" s="286" t="s">
        <v>841</v>
      </c>
      <c r="X661" s="286" t="s">
        <v>21</v>
      </c>
      <c r="Y661" s="286" t="s">
        <v>21</v>
      </c>
      <c r="Z661" s="286" t="s">
        <v>21</v>
      </c>
      <c r="AA661" s="286" t="s">
        <v>21</v>
      </c>
      <c r="AB661" s="378"/>
      <c r="AC661" s="381" t="s">
        <v>21</v>
      </c>
      <c r="AD661" s="378" t="s">
        <v>21</v>
      </c>
      <c r="AE661" s="378" t="s">
        <v>21</v>
      </c>
      <c r="AF661" s="378" t="s">
        <v>21</v>
      </c>
      <c r="AG661" s="378"/>
      <c r="AI661" s="378" t="s">
        <v>21</v>
      </c>
      <c r="AJ661" s="378" t="s">
        <v>21</v>
      </c>
      <c r="AL661" s="286"/>
      <c r="AM661" s="286" t="s">
        <v>282</v>
      </c>
    </row>
    <row r="662" spans="1:39" s="51" customFormat="1" ht="22.5" hidden="1" x14ac:dyDescent="0.25">
      <c r="A662" s="59" t="s">
        <v>841</v>
      </c>
      <c r="B662" s="59" t="s">
        <v>86</v>
      </c>
      <c r="C662" s="248"/>
      <c r="D662" s="59" t="s">
        <v>283</v>
      </c>
      <c r="E662" s="60" t="s">
        <v>4155</v>
      </c>
      <c r="F662" s="59" t="s">
        <v>46</v>
      </c>
      <c r="G662" s="61">
        <f>(0.48193*1)/4</f>
        <v>0.12048250000000001</v>
      </c>
      <c r="H662" s="62">
        <v>4.99</v>
      </c>
      <c r="I662" s="62">
        <f t="shared" si="71"/>
        <v>0.60120767500000005</v>
      </c>
      <c r="J662" s="62"/>
      <c r="K662" s="62">
        <v>0</v>
      </c>
      <c r="L662" s="62">
        <v>0</v>
      </c>
      <c r="M662" s="62">
        <v>0.60120767500000005</v>
      </c>
      <c r="N662" s="62">
        <v>0</v>
      </c>
      <c r="O662" s="62">
        <v>0</v>
      </c>
      <c r="P662" s="298" t="s">
        <v>423</v>
      </c>
      <c r="Q662" s="60" t="s">
        <v>27</v>
      </c>
      <c r="R662" s="60" t="s">
        <v>174</v>
      </c>
      <c r="S662" s="286" t="str">
        <f t="shared" si="67"/>
        <v/>
      </c>
      <c r="T662" s="286" t="str">
        <f>IF($C662= "", T661, IF(ISNA(VLOOKUP($C662,'ABC-S'!$A$5:$A$271,1,FALSE)), "", VLOOKUP($C662,'ABC-S'!$A$5:$A$271,1,FALSE)))</f>
        <v/>
      </c>
      <c r="W662" s="286" t="s">
        <v>841</v>
      </c>
      <c r="X662" s="286" t="s">
        <v>21</v>
      </c>
      <c r="Y662" s="286" t="s">
        <v>21</v>
      </c>
      <c r="Z662" s="286" t="s">
        <v>21</v>
      </c>
      <c r="AA662" s="286" t="s">
        <v>21</v>
      </c>
      <c r="AB662" s="378"/>
      <c r="AC662" s="381" t="s">
        <v>21</v>
      </c>
      <c r="AD662" s="378" t="s">
        <v>21</v>
      </c>
      <c r="AE662" s="378" t="s">
        <v>21</v>
      </c>
      <c r="AF662" s="378" t="s">
        <v>21</v>
      </c>
      <c r="AG662" s="378"/>
      <c r="AI662" s="378" t="s">
        <v>21</v>
      </c>
      <c r="AJ662" s="378" t="s">
        <v>21</v>
      </c>
      <c r="AL662" s="286"/>
      <c r="AM662" s="286" t="s">
        <v>283</v>
      </c>
    </row>
    <row r="663" spans="1:39" s="51" customFormat="1" ht="22.5" hidden="1" x14ac:dyDescent="0.25">
      <c r="A663" s="59" t="s">
        <v>841</v>
      </c>
      <c r="B663" s="59" t="s">
        <v>87</v>
      </c>
      <c r="C663" s="248"/>
      <c r="D663" s="59">
        <v>88243</v>
      </c>
      <c r="E663" s="60" t="s">
        <v>485</v>
      </c>
      <c r="F663" s="59" t="s">
        <v>46</v>
      </c>
      <c r="G663" s="61">
        <f>2/4</f>
        <v>0.5</v>
      </c>
      <c r="H663" s="62">
        <v>20.96</v>
      </c>
      <c r="I663" s="62">
        <f t="shared" si="71"/>
        <v>10.48</v>
      </c>
      <c r="J663" s="62"/>
      <c r="K663" s="62">
        <v>7.4749999999999996</v>
      </c>
      <c r="L663" s="62">
        <v>3.0049999999999999</v>
      </c>
      <c r="M663" s="62">
        <v>0</v>
      </c>
      <c r="N663" s="62">
        <v>0</v>
      </c>
      <c r="O663" s="62">
        <v>0</v>
      </c>
      <c r="P663" s="298" t="s">
        <v>4160</v>
      </c>
      <c r="Q663" s="60" t="s">
        <v>27</v>
      </c>
      <c r="R663" s="60" t="s">
        <v>174</v>
      </c>
      <c r="S663" s="286" t="str">
        <f t="shared" si="67"/>
        <v/>
      </c>
      <c r="T663" s="286" t="str">
        <f>IF($C663= "", T662, IF(ISNA(VLOOKUP($C663,'ABC-S'!$A$5:$A$271,1,FALSE)), "", VLOOKUP($C663,'ABC-S'!$A$5:$A$271,1,FALSE)))</f>
        <v/>
      </c>
      <c r="W663" s="286" t="s">
        <v>841</v>
      </c>
      <c r="X663" s="286">
        <v>88243</v>
      </c>
      <c r="Y663" s="286" t="s">
        <v>424</v>
      </c>
      <c r="Z663" s="335">
        <v>0</v>
      </c>
      <c r="AA663" s="286">
        <v>0.5</v>
      </c>
      <c r="AB663" s="378"/>
      <c r="AC663" s="381" t="s">
        <v>21</v>
      </c>
      <c r="AD663" s="378" t="s">
        <v>21</v>
      </c>
      <c r="AE663" s="378" t="s">
        <v>21</v>
      </c>
      <c r="AF663" s="378" t="s">
        <v>21</v>
      </c>
      <c r="AG663" s="378"/>
      <c r="AI663" s="378">
        <v>0</v>
      </c>
      <c r="AJ663" s="378">
        <v>0</v>
      </c>
      <c r="AL663" s="286">
        <v>88243</v>
      </c>
      <c r="AM663" s="286"/>
    </row>
    <row r="664" spans="1:39" s="51" customFormat="1" ht="22.5" hidden="1" x14ac:dyDescent="0.25">
      <c r="A664" s="59" t="s">
        <v>841</v>
      </c>
      <c r="B664" s="59" t="s">
        <v>87</v>
      </c>
      <c r="C664" s="248"/>
      <c r="D664" s="59">
        <v>88277</v>
      </c>
      <c r="E664" s="60" t="s">
        <v>600</v>
      </c>
      <c r="F664" s="59" t="s">
        <v>46</v>
      </c>
      <c r="G664" s="61">
        <f>1/4</f>
        <v>0.25</v>
      </c>
      <c r="H664" s="62">
        <v>18.850000000000001</v>
      </c>
      <c r="I664" s="62">
        <f t="shared" si="71"/>
        <v>4.7125000000000004</v>
      </c>
      <c r="J664" s="62"/>
      <c r="K664" s="62">
        <v>3.4049999999999998</v>
      </c>
      <c r="L664" s="62">
        <v>1.3075000000000001</v>
      </c>
      <c r="M664" s="62">
        <v>0</v>
      </c>
      <c r="N664" s="62">
        <v>0</v>
      </c>
      <c r="O664" s="62">
        <v>0</v>
      </c>
      <c r="P664" s="298" t="s">
        <v>4160</v>
      </c>
      <c r="Q664" s="60" t="s">
        <v>27</v>
      </c>
      <c r="R664" s="60" t="s">
        <v>174</v>
      </c>
      <c r="S664" s="286" t="str">
        <f t="shared" si="67"/>
        <v/>
      </c>
      <c r="T664" s="286" t="str">
        <f>IF($C664= "", T663, IF(ISNA(VLOOKUP($C664,'ABC-S'!$A$5:$A$271,1,FALSE)), "", VLOOKUP($C664,'ABC-S'!$A$5:$A$271,1,FALSE)))</f>
        <v/>
      </c>
      <c r="W664" s="286" t="s">
        <v>841</v>
      </c>
      <c r="X664" s="286">
        <v>88277</v>
      </c>
      <c r="Y664" s="286" t="s">
        <v>424</v>
      </c>
      <c r="Z664" s="335">
        <v>0</v>
      </c>
      <c r="AA664" s="286">
        <v>0.25</v>
      </c>
      <c r="AB664" s="378"/>
      <c r="AC664" s="381" t="s">
        <v>21</v>
      </c>
      <c r="AD664" s="378" t="s">
        <v>21</v>
      </c>
      <c r="AE664" s="378" t="s">
        <v>21</v>
      </c>
      <c r="AF664" s="378" t="s">
        <v>21</v>
      </c>
      <c r="AG664" s="378"/>
      <c r="AI664" s="378">
        <v>0</v>
      </c>
      <c r="AJ664" s="378">
        <v>0</v>
      </c>
      <c r="AL664" s="286">
        <v>88277</v>
      </c>
      <c r="AM664" s="286"/>
    </row>
    <row r="665" spans="1:39" s="51" customFormat="1" hidden="1" x14ac:dyDescent="0.25">
      <c r="A665" s="59" t="s">
        <v>841</v>
      </c>
      <c r="B665" s="59" t="s">
        <v>87</v>
      </c>
      <c r="C665" s="248"/>
      <c r="D665" s="59">
        <v>88315</v>
      </c>
      <c r="E665" s="60" t="s">
        <v>648</v>
      </c>
      <c r="F665" s="59" t="s">
        <v>46</v>
      </c>
      <c r="G665" s="61">
        <f>1/4</f>
        <v>0.25</v>
      </c>
      <c r="H665" s="62">
        <v>23.78</v>
      </c>
      <c r="I665" s="62">
        <f t="shared" si="71"/>
        <v>5.9450000000000003</v>
      </c>
      <c r="J665" s="62"/>
      <c r="K665" s="62">
        <v>4.415</v>
      </c>
      <c r="L665" s="62">
        <v>1.53</v>
      </c>
      <c r="M665" s="62">
        <v>0</v>
      </c>
      <c r="N665" s="62">
        <v>0</v>
      </c>
      <c r="O665" s="62">
        <v>0</v>
      </c>
      <c r="P665" s="298" t="s">
        <v>4160</v>
      </c>
      <c r="Q665" s="60" t="s">
        <v>27</v>
      </c>
      <c r="R665" s="60" t="s">
        <v>174</v>
      </c>
      <c r="S665" s="286" t="str">
        <f t="shared" si="67"/>
        <v/>
      </c>
      <c r="T665" s="286" t="str">
        <f>IF($C665= "", T664, IF(ISNA(VLOOKUP($C665,'ABC-S'!$A$5:$A$271,1,FALSE)), "", VLOOKUP($C665,'ABC-S'!$A$5:$A$271,1,FALSE)))</f>
        <v/>
      </c>
      <c r="W665" s="286" t="s">
        <v>841</v>
      </c>
      <c r="X665" s="286">
        <v>88315</v>
      </c>
      <c r="Y665" s="286" t="s">
        <v>424</v>
      </c>
      <c r="Z665" s="335">
        <v>0</v>
      </c>
      <c r="AA665" s="286">
        <v>0.25</v>
      </c>
      <c r="AB665" s="378"/>
      <c r="AC665" s="381" t="s">
        <v>21</v>
      </c>
      <c r="AD665" s="378" t="s">
        <v>21</v>
      </c>
      <c r="AE665" s="378" t="s">
        <v>21</v>
      </c>
      <c r="AF665" s="378" t="s">
        <v>21</v>
      </c>
      <c r="AG665" s="378"/>
      <c r="AI665" s="378">
        <v>0</v>
      </c>
      <c r="AJ665" s="378">
        <v>0</v>
      </c>
      <c r="AL665" s="286">
        <v>88315</v>
      </c>
      <c r="AM665" s="286"/>
    </row>
    <row r="666" spans="1:39" s="51" customFormat="1" hidden="1" x14ac:dyDescent="0.25">
      <c r="A666" s="59" t="s">
        <v>841</v>
      </c>
      <c r="B666" s="59" t="s">
        <v>87</v>
      </c>
      <c r="C666" s="248"/>
      <c r="D666" s="59">
        <v>88316</v>
      </c>
      <c r="E666" s="60" t="s">
        <v>649</v>
      </c>
      <c r="F666" s="59" t="s">
        <v>46</v>
      </c>
      <c r="G666" s="61">
        <f>2/4</f>
        <v>0.5</v>
      </c>
      <c r="H666" s="62">
        <v>17.61</v>
      </c>
      <c r="I666" s="62">
        <f>IF($D666="","",G666*H666)</f>
        <v>8.8049999999999997</v>
      </c>
      <c r="J666" s="62"/>
      <c r="K666" s="62">
        <v>5.8</v>
      </c>
      <c r="L666" s="62">
        <v>3.0049999999999999</v>
      </c>
      <c r="M666" s="62">
        <v>0</v>
      </c>
      <c r="N666" s="62">
        <v>0</v>
      </c>
      <c r="O666" s="62">
        <v>0</v>
      </c>
      <c r="P666" s="298" t="s">
        <v>4160</v>
      </c>
      <c r="Q666" s="60" t="s">
        <v>27</v>
      </c>
      <c r="R666" s="60" t="s">
        <v>174</v>
      </c>
      <c r="S666" s="286" t="str">
        <f t="shared" si="67"/>
        <v/>
      </c>
      <c r="T666" s="286" t="str">
        <f>IF($C666= "", T665, IF(ISNA(VLOOKUP($C666,'ABC-S'!$A$5:$A$271,1,FALSE)), "", VLOOKUP($C666,'ABC-S'!$A$5:$A$271,1,FALSE)))</f>
        <v/>
      </c>
      <c r="W666" s="286" t="s">
        <v>841</v>
      </c>
      <c r="X666" s="286">
        <v>88316</v>
      </c>
      <c r="Y666" s="286" t="s">
        <v>424</v>
      </c>
      <c r="Z666" s="335">
        <v>0</v>
      </c>
      <c r="AA666" s="286">
        <v>0.5</v>
      </c>
      <c r="AB666" s="378"/>
      <c r="AC666" s="381" t="s">
        <v>21</v>
      </c>
      <c r="AD666" s="378" t="s">
        <v>21</v>
      </c>
      <c r="AE666" s="378" t="s">
        <v>21</v>
      </c>
      <c r="AF666" s="378" t="s">
        <v>21</v>
      </c>
      <c r="AG666" s="378"/>
      <c r="AI666" s="378">
        <v>0</v>
      </c>
      <c r="AJ666" s="378">
        <v>0</v>
      </c>
      <c r="AL666" s="286">
        <v>88316</v>
      </c>
      <c r="AM666" s="286"/>
    </row>
    <row r="667" spans="1:39" s="51" customFormat="1" hidden="1" x14ac:dyDescent="0.25">
      <c r="A667" s="59" t="s">
        <v>841</v>
      </c>
      <c r="B667" s="59" t="s">
        <v>86</v>
      </c>
      <c r="C667" s="59"/>
      <c r="D667" s="59" t="s">
        <v>854</v>
      </c>
      <c r="E667" s="60" t="s">
        <v>342</v>
      </c>
      <c r="F667" s="59" t="s">
        <v>54</v>
      </c>
      <c r="G667" s="61">
        <v>11.775</v>
      </c>
      <c r="H667" s="62">
        <v>8.01</v>
      </c>
      <c r="I667" s="62">
        <f>IF($D667="","",G667*H667)</f>
        <v>94.317750000000004</v>
      </c>
      <c r="J667" s="62"/>
      <c r="K667" s="62">
        <v>0</v>
      </c>
      <c r="L667" s="62">
        <v>94.317750000000004</v>
      </c>
      <c r="M667" s="62">
        <v>0</v>
      </c>
      <c r="N667" s="62">
        <v>0</v>
      </c>
      <c r="O667" s="62">
        <v>0</v>
      </c>
      <c r="P667" s="298" t="s">
        <v>89</v>
      </c>
      <c r="Q667" s="60" t="s">
        <v>27</v>
      </c>
      <c r="R667" s="60" t="s">
        <v>174</v>
      </c>
      <c r="S667" s="286" t="str">
        <f t="shared" si="67"/>
        <v/>
      </c>
      <c r="T667" s="286" t="str">
        <f>IF($C667= "", T666, IF(ISNA(VLOOKUP($C667,'ABC-S'!$A$5:$A$271,1,FALSE)), "", VLOOKUP($C667,'ABC-S'!$A$5:$A$271,1,FALSE)))</f>
        <v/>
      </c>
      <c r="W667" s="286" t="s">
        <v>841</v>
      </c>
      <c r="X667" s="286" t="s">
        <v>21</v>
      </c>
      <c r="Y667" s="286" t="s">
        <v>21</v>
      </c>
      <c r="Z667" s="286" t="s">
        <v>21</v>
      </c>
      <c r="AA667" s="286" t="s">
        <v>21</v>
      </c>
      <c r="AB667" s="378"/>
      <c r="AC667" s="381" t="s">
        <v>21</v>
      </c>
      <c r="AD667" s="378" t="s">
        <v>21</v>
      </c>
      <c r="AE667" s="378" t="s">
        <v>21</v>
      </c>
      <c r="AF667" s="378" t="s">
        <v>21</v>
      </c>
      <c r="AG667" s="378"/>
      <c r="AI667" s="378" t="s">
        <v>21</v>
      </c>
      <c r="AJ667" s="378" t="s">
        <v>21</v>
      </c>
      <c r="AL667" s="286"/>
      <c r="AM667" s="286" t="s">
        <v>854</v>
      </c>
    </row>
    <row r="668" spans="1:39" s="51" customFormat="1" hidden="1" x14ac:dyDescent="0.25">
      <c r="A668" s="59" t="s">
        <v>841</v>
      </c>
      <c r="B668" s="59" t="s">
        <v>86</v>
      </c>
      <c r="C668" s="59"/>
      <c r="D668" s="59" t="s">
        <v>856</v>
      </c>
      <c r="E668" s="60" t="s">
        <v>344</v>
      </c>
      <c r="F668" s="59" t="s">
        <v>51</v>
      </c>
      <c r="G668" s="61">
        <v>1</v>
      </c>
      <c r="H668" s="62">
        <v>309.27</v>
      </c>
      <c r="I668" s="62">
        <f>IF($D668="","",G668*H668)</f>
        <v>309.27</v>
      </c>
      <c r="J668" s="62"/>
      <c r="K668" s="62">
        <v>0</v>
      </c>
      <c r="L668" s="62">
        <v>309.27</v>
      </c>
      <c r="M668" s="62">
        <v>0</v>
      </c>
      <c r="N668" s="62">
        <v>0</v>
      </c>
      <c r="O668" s="62">
        <v>0</v>
      </c>
      <c r="P668" s="298" t="s">
        <v>89</v>
      </c>
      <c r="Q668" s="60" t="s">
        <v>27</v>
      </c>
      <c r="R668" s="60" t="s">
        <v>174</v>
      </c>
      <c r="S668" s="286" t="str">
        <f t="shared" si="67"/>
        <v/>
      </c>
      <c r="T668" s="286" t="str">
        <f>IF($C668= "", T667, IF(ISNA(VLOOKUP($C668,'ABC-S'!$A$5:$A$271,1,FALSE)), "", VLOOKUP($C668,'ABC-S'!$A$5:$A$271,1,FALSE)))</f>
        <v/>
      </c>
      <c r="W668" s="286" t="s">
        <v>841</v>
      </c>
      <c r="X668" s="286" t="s">
        <v>21</v>
      </c>
      <c r="Y668" s="286" t="s">
        <v>21</v>
      </c>
      <c r="Z668" s="286" t="s">
        <v>21</v>
      </c>
      <c r="AA668" s="286" t="s">
        <v>21</v>
      </c>
      <c r="AB668" s="378"/>
      <c r="AC668" s="381" t="s">
        <v>21</v>
      </c>
      <c r="AD668" s="378" t="s">
        <v>21</v>
      </c>
      <c r="AE668" s="378" t="s">
        <v>21</v>
      </c>
      <c r="AF668" s="378" t="s">
        <v>21</v>
      </c>
      <c r="AG668" s="378"/>
      <c r="AI668" s="378" t="s">
        <v>21</v>
      </c>
      <c r="AJ668" s="378" t="s">
        <v>21</v>
      </c>
      <c r="AL668" s="286"/>
      <c r="AM668" s="286" t="s">
        <v>856</v>
      </c>
    </row>
    <row r="669" spans="1:39" s="51" customFormat="1" ht="33.75" hidden="1" x14ac:dyDescent="0.25">
      <c r="A669" s="59" t="s">
        <v>841</v>
      </c>
      <c r="B669" s="59" t="s">
        <v>87</v>
      </c>
      <c r="C669" s="59"/>
      <c r="D669" s="59">
        <v>100729</v>
      </c>
      <c r="E669" s="60" t="s">
        <v>3664</v>
      </c>
      <c r="F669" s="59" t="s">
        <v>51</v>
      </c>
      <c r="G669" s="61">
        <v>1</v>
      </c>
      <c r="H669" s="62">
        <v>15.22</v>
      </c>
      <c r="I669" s="62">
        <f>IF($D669="","",G669*H669)</f>
        <v>15.22</v>
      </c>
      <c r="J669" s="62"/>
      <c r="K669" s="62">
        <v>1.2</v>
      </c>
      <c r="L669" s="62">
        <v>14.02</v>
      </c>
      <c r="M669" s="62">
        <v>0</v>
      </c>
      <c r="N669" s="62">
        <v>0</v>
      </c>
      <c r="O669" s="62">
        <v>1.7763568394002505E-15</v>
      </c>
      <c r="P669" s="298" t="s">
        <v>4160</v>
      </c>
      <c r="Q669" s="60" t="s">
        <v>27</v>
      </c>
      <c r="R669" s="60" t="s">
        <v>174</v>
      </c>
      <c r="S669" s="286" t="str">
        <f t="shared" si="67"/>
        <v/>
      </c>
      <c r="T669" s="286" t="str">
        <f>IF($C669= "", T668, IF(ISNA(VLOOKUP($C669,'ABC-S'!$A$5:$A$271,1,FALSE)), "", VLOOKUP($C669,'ABC-S'!$A$5:$A$271,1,FALSE)))</f>
        <v/>
      </c>
      <c r="W669" s="286" t="s">
        <v>841</v>
      </c>
      <c r="X669" s="286" t="s">
        <v>21</v>
      </c>
      <c r="Y669" s="286" t="s">
        <v>1513</v>
      </c>
      <c r="Z669" s="335" t="s">
        <v>21</v>
      </c>
      <c r="AA669" s="286" t="s">
        <v>21</v>
      </c>
      <c r="AB669" s="378"/>
      <c r="AC669" s="381">
        <v>100729</v>
      </c>
      <c r="AD669" s="378">
        <v>1</v>
      </c>
      <c r="AE669" s="378">
        <v>6.3500000000000001E-2</v>
      </c>
      <c r="AF669" s="378">
        <v>6.3500000000000001E-2</v>
      </c>
      <c r="AG669" s="378"/>
      <c r="AI669" s="378">
        <v>0</v>
      </c>
      <c r="AJ669" s="378">
        <v>0</v>
      </c>
      <c r="AL669" s="286">
        <v>100729</v>
      </c>
      <c r="AM669" s="286"/>
    </row>
    <row r="670" spans="1:39" s="51" customFormat="1" ht="33.75" hidden="1" x14ac:dyDescent="0.25">
      <c r="A670" s="59" t="s">
        <v>841</v>
      </c>
      <c r="B670" s="59" t="s">
        <v>87</v>
      </c>
      <c r="C670" s="59"/>
      <c r="D670" s="248">
        <v>72850</v>
      </c>
      <c r="E670" s="395" t="s">
        <v>1312</v>
      </c>
      <c r="F670" s="248" t="s">
        <v>55</v>
      </c>
      <c r="G670" s="280">
        <f>0.01178+0.00053</f>
        <v>1.231E-2</v>
      </c>
      <c r="H670" s="396">
        <v>11.844150000000001</v>
      </c>
      <c r="I670" s="396">
        <f>IF($D670="","",G670*H670)</f>
        <v>0.14580148649999999</v>
      </c>
      <c r="J670" s="396"/>
      <c r="K670" s="396">
        <v>1.4995241849999999E-2</v>
      </c>
      <c r="L670" s="396">
        <v>9.755727933000001E-2</v>
      </c>
      <c r="M670" s="396">
        <v>3.3248965319999997E-2</v>
      </c>
      <c r="N670" s="396">
        <v>0</v>
      </c>
      <c r="O670" s="396">
        <v>0</v>
      </c>
      <c r="P670" s="298" t="s">
        <v>4160</v>
      </c>
      <c r="Q670" s="60" t="s">
        <v>27</v>
      </c>
      <c r="R670" s="60" t="s">
        <v>174</v>
      </c>
      <c r="S670" s="286" t="str">
        <f t="shared" si="67"/>
        <v/>
      </c>
      <c r="T670" s="286" t="str">
        <f>IF($C670= "", T669, IF(ISNA(VLOOKUP($C670,'ABC-S'!$A$5:$A$271,1,FALSE)), "", VLOOKUP($C670,'ABC-S'!$A$5:$A$271,1,FALSE)))</f>
        <v/>
      </c>
      <c r="W670" s="286" t="s">
        <v>841</v>
      </c>
      <c r="X670" s="286" t="s">
        <v>21</v>
      </c>
      <c r="Y670" s="286" t="s">
        <v>1513</v>
      </c>
      <c r="Z670" s="335" t="s">
        <v>21</v>
      </c>
      <c r="AA670" s="286" t="s">
        <v>21</v>
      </c>
      <c r="AB670" s="378"/>
      <c r="AC670" s="381">
        <v>72850</v>
      </c>
      <c r="AD670" s="378">
        <v>1.231E-2</v>
      </c>
      <c r="AE670" s="378">
        <v>8.43E-2</v>
      </c>
      <c r="AF670" s="378">
        <v>1.0377329999999999E-3</v>
      </c>
      <c r="AG670" s="378"/>
      <c r="AI670" s="378" t="s">
        <v>21</v>
      </c>
      <c r="AJ670" s="378" t="s">
        <v>21</v>
      </c>
      <c r="AL670" s="286">
        <v>72850</v>
      </c>
      <c r="AM670" s="286"/>
    </row>
    <row r="671" spans="1:39" s="51" customFormat="1" ht="33.75" hidden="1" x14ac:dyDescent="0.25">
      <c r="A671" s="59" t="s">
        <v>841</v>
      </c>
      <c r="B671" s="59" t="s">
        <v>87</v>
      </c>
      <c r="C671" s="59"/>
      <c r="D671" s="59">
        <v>100949</v>
      </c>
      <c r="E671" s="60" t="s">
        <v>791</v>
      </c>
      <c r="F671" s="59" t="s">
        <v>42</v>
      </c>
      <c r="G671" s="61">
        <f>G670</f>
        <v>1.231E-2</v>
      </c>
      <c r="H671" s="62">
        <v>4.28</v>
      </c>
      <c r="I671" s="62">
        <f t="shared" si="71"/>
        <v>5.2686799999999999E-2</v>
      </c>
      <c r="J671" s="62"/>
      <c r="K671" s="62">
        <v>7.1397999999999991E-3</v>
      </c>
      <c r="L671" s="62">
        <v>3.3113900000000002E-2</v>
      </c>
      <c r="M671" s="62">
        <v>1.2433099999999999E-2</v>
      </c>
      <c r="N671" s="62">
        <v>0</v>
      </c>
      <c r="O671" s="62">
        <v>-6.9388939039072284E-18</v>
      </c>
      <c r="P671" s="298" t="s">
        <v>4160</v>
      </c>
      <c r="Q671" s="60" t="s">
        <v>27</v>
      </c>
      <c r="R671" s="60" t="s">
        <v>174</v>
      </c>
      <c r="S671" s="286" t="str">
        <f t="shared" si="67"/>
        <v/>
      </c>
      <c r="T671" s="286" t="str">
        <f>IF($C671= "", T670, IF(ISNA(VLOOKUP($C671,'ABC-S'!$A$5:$A$271,1,FALSE)), "", VLOOKUP($C671,'ABC-S'!$A$5:$A$271,1,FALSE)))</f>
        <v/>
      </c>
      <c r="W671" s="286" t="s">
        <v>841</v>
      </c>
      <c r="X671" s="286" t="s">
        <v>21</v>
      </c>
      <c r="Y671" s="286" t="s">
        <v>1098</v>
      </c>
      <c r="Z671" s="335" t="s">
        <v>21</v>
      </c>
      <c r="AA671" s="286" t="s">
        <v>21</v>
      </c>
      <c r="AB671" s="378"/>
      <c r="AC671" s="381">
        <v>100949</v>
      </c>
      <c r="AD671" s="378">
        <v>1.231E-2</v>
      </c>
      <c r="AE671" s="378">
        <v>3.9699999999999999E-2</v>
      </c>
      <c r="AF671" s="378">
        <v>4.8870700000000001E-4</v>
      </c>
      <c r="AG671" s="378"/>
      <c r="AI671" s="378">
        <v>0</v>
      </c>
      <c r="AJ671" s="378">
        <v>0</v>
      </c>
      <c r="AL671" s="286">
        <v>100949</v>
      </c>
      <c r="AM671" s="286"/>
    </row>
    <row r="672" spans="1:39" s="51" customFormat="1" ht="45" x14ac:dyDescent="0.25">
      <c r="A672" s="55" t="s">
        <v>843</v>
      </c>
      <c r="B672" s="55" t="s">
        <v>138</v>
      </c>
      <c r="C672" s="55" t="s">
        <v>843</v>
      </c>
      <c r="D672" s="55"/>
      <c r="E672" s="56" t="s">
        <v>844</v>
      </c>
      <c r="F672" s="55" t="s">
        <v>41</v>
      </c>
      <c r="G672" s="57"/>
      <c r="H672" s="58"/>
      <c r="I672" s="58"/>
      <c r="J672" s="58">
        <f>SUM(I672:I679)</f>
        <v>166.01133213014651</v>
      </c>
      <c r="K672" s="58">
        <v>23.406689767982666</v>
      </c>
      <c r="L672" s="58">
        <v>134.84215381748058</v>
      </c>
      <c r="M672" s="58">
        <v>7.7624885446832419</v>
      </c>
      <c r="N672" s="58">
        <v>0</v>
      </c>
      <c r="O672" s="58">
        <v>2.7537000457655836E-14</v>
      </c>
      <c r="P672" s="58"/>
      <c r="Q672" s="56"/>
      <c r="R672" s="56" t="s">
        <v>859</v>
      </c>
      <c r="S672" s="286" t="str">
        <f t="shared" si="67"/>
        <v>SIM</v>
      </c>
      <c r="T672" s="286" t="str">
        <f>IF($C672= "", T671, IF(ISNA(VLOOKUP($C672,'ABC-S'!$A$5:$A$271,1,FALSE)), "", VLOOKUP($C672,'ABC-S'!$A$5:$A$271,1,FALSE)))</f>
        <v>CP0575</v>
      </c>
      <c r="W672" s="286" t="s">
        <v>843</v>
      </c>
      <c r="X672" s="286"/>
      <c r="Y672" s="286"/>
      <c r="Z672" s="286"/>
      <c r="AA672" s="286" t="s">
        <v>21</v>
      </c>
      <c r="AB672" s="378">
        <v>1</v>
      </c>
      <c r="AC672" s="378"/>
      <c r="AD672" s="335"/>
      <c r="AE672" s="335"/>
      <c r="AF672" s="335"/>
      <c r="AG672" s="378">
        <v>1.7762939089789334</v>
      </c>
      <c r="AI672" s="378" t="s">
        <v>21</v>
      </c>
      <c r="AJ672" s="378" t="s">
        <v>21</v>
      </c>
      <c r="AL672" s="286"/>
      <c r="AM672" s="286"/>
    </row>
    <row r="673" spans="1:39" s="51" customFormat="1" ht="56.25" x14ac:dyDescent="0.25">
      <c r="A673" s="59" t="s">
        <v>843</v>
      </c>
      <c r="B673" s="59" t="s">
        <v>87</v>
      </c>
      <c r="C673" s="59"/>
      <c r="D673" s="59">
        <v>73467</v>
      </c>
      <c r="E673" s="60" t="s">
        <v>533</v>
      </c>
      <c r="F673" s="59" t="s">
        <v>76</v>
      </c>
      <c r="G673" s="61">
        <f>(1*0.3)/3</f>
        <v>9.9999999999999992E-2</v>
      </c>
      <c r="H673" s="62">
        <v>119.7</v>
      </c>
      <c r="I673" s="62">
        <f t="shared" ref="I673:I679" si="72">IF($D673="","",G673*H673)</f>
        <v>11.969999999999999</v>
      </c>
      <c r="J673" s="62"/>
      <c r="K673" s="62">
        <v>1.4449999999999998</v>
      </c>
      <c r="L673" s="62">
        <v>6.7329999999999997</v>
      </c>
      <c r="M673" s="62">
        <v>3.7919999999999998</v>
      </c>
      <c r="N673" s="62">
        <v>0</v>
      </c>
      <c r="O673" s="62">
        <v>0</v>
      </c>
      <c r="P673" s="298" t="s">
        <v>4160</v>
      </c>
      <c r="Q673" s="60" t="s">
        <v>27</v>
      </c>
      <c r="R673" s="60" t="s">
        <v>174</v>
      </c>
      <c r="S673" s="286" t="str">
        <f t="shared" si="67"/>
        <v>SIM</v>
      </c>
      <c r="T673" s="286" t="str">
        <f>IF($C673= "", T672, IF(ISNA(VLOOKUP($C673,'ABC-S'!$A$5:$A$271,1,FALSE)), "", VLOOKUP($C673,'ABC-S'!$A$5:$A$271,1,FALSE)))</f>
        <v>CP0575</v>
      </c>
      <c r="W673" s="286" t="s">
        <v>843</v>
      </c>
      <c r="X673" s="286" t="s">
        <v>21</v>
      </c>
      <c r="Y673" s="286" t="s">
        <v>423</v>
      </c>
      <c r="Z673" s="335" t="s">
        <v>21</v>
      </c>
      <c r="AA673" s="286" t="s">
        <v>21</v>
      </c>
      <c r="AB673" s="378"/>
      <c r="AC673" s="381">
        <v>73467</v>
      </c>
      <c r="AD673" s="378">
        <v>9.9999999999999992E-2</v>
      </c>
      <c r="AE673" s="378">
        <v>1</v>
      </c>
      <c r="AF673" s="378">
        <v>9.9999999999999992E-2</v>
      </c>
      <c r="AG673" s="378"/>
      <c r="AI673" s="378">
        <v>0</v>
      </c>
      <c r="AJ673" s="378">
        <v>0</v>
      </c>
      <c r="AL673" s="286">
        <v>73467</v>
      </c>
      <c r="AM673" s="286"/>
    </row>
    <row r="674" spans="1:39" s="51" customFormat="1" ht="56.25" x14ac:dyDescent="0.25">
      <c r="A674" s="59" t="s">
        <v>843</v>
      </c>
      <c r="B674" s="59" t="s">
        <v>87</v>
      </c>
      <c r="C674" s="59"/>
      <c r="D674" s="59">
        <v>91395</v>
      </c>
      <c r="E674" s="60" t="s">
        <v>532</v>
      </c>
      <c r="F674" s="59" t="s">
        <v>75</v>
      </c>
      <c r="G674" s="61">
        <f>(1*0.7)/3</f>
        <v>0.23333333333333331</v>
      </c>
      <c r="H674" s="62">
        <v>35.119999999999997</v>
      </c>
      <c r="I674" s="62">
        <f t="shared" si="72"/>
        <v>8.1946666666666648</v>
      </c>
      <c r="J674" s="62"/>
      <c r="K674" s="62">
        <v>3.3716666666666661</v>
      </c>
      <c r="L674" s="62">
        <v>1.2203333333333333</v>
      </c>
      <c r="M674" s="62">
        <v>3.602666666666666</v>
      </c>
      <c r="N674" s="62">
        <v>0</v>
      </c>
      <c r="O674" s="62">
        <v>-1.7763568394002505E-15</v>
      </c>
      <c r="P674" s="298" t="s">
        <v>4160</v>
      </c>
      <c r="Q674" s="60" t="s">
        <v>27</v>
      </c>
      <c r="R674" s="60" t="s">
        <v>174</v>
      </c>
      <c r="S674" s="286" t="str">
        <f t="shared" si="67"/>
        <v>SIM</v>
      </c>
      <c r="T674" s="286" t="str">
        <f>IF($C674= "", T673, IF(ISNA(VLOOKUP($C674,'ABC-S'!$A$5:$A$271,1,FALSE)), "", VLOOKUP($C674,'ABC-S'!$A$5:$A$271,1,FALSE)))</f>
        <v>CP0575</v>
      </c>
      <c r="W674" s="286" t="s">
        <v>843</v>
      </c>
      <c r="X674" s="286" t="s">
        <v>21</v>
      </c>
      <c r="Y674" s="286" t="s">
        <v>423</v>
      </c>
      <c r="Z674" s="335" t="s">
        <v>21</v>
      </c>
      <c r="AA674" s="286" t="s">
        <v>21</v>
      </c>
      <c r="AB674" s="378"/>
      <c r="AC674" s="381">
        <v>91395</v>
      </c>
      <c r="AD674" s="378">
        <v>0.23333333333333331</v>
      </c>
      <c r="AE674" s="378">
        <v>1</v>
      </c>
      <c r="AF674" s="378">
        <v>0.23333333333333331</v>
      </c>
      <c r="AG674" s="378"/>
      <c r="AI674" s="378">
        <v>0</v>
      </c>
      <c r="AJ674" s="378">
        <v>0</v>
      </c>
      <c r="AL674" s="286">
        <v>91395</v>
      </c>
      <c r="AM674" s="286"/>
    </row>
    <row r="675" spans="1:39" s="51" customFormat="1" ht="22.5" x14ac:dyDescent="0.25">
      <c r="A675" s="59" t="s">
        <v>843</v>
      </c>
      <c r="B675" s="59" t="s">
        <v>87</v>
      </c>
      <c r="C675" s="248"/>
      <c r="D675" s="59">
        <v>88277</v>
      </c>
      <c r="E675" s="60" t="s">
        <v>600</v>
      </c>
      <c r="F675" s="59" t="s">
        <v>46</v>
      </c>
      <c r="G675" s="61">
        <f>1/3</f>
        <v>0.33333333333333331</v>
      </c>
      <c r="H675" s="62">
        <v>18.850000000000001</v>
      </c>
      <c r="I675" s="62">
        <f t="shared" si="72"/>
        <v>6.2833333333333332</v>
      </c>
      <c r="J675" s="62"/>
      <c r="K675" s="62">
        <v>4.5399999999999991</v>
      </c>
      <c r="L675" s="62">
        <v>1.7433333333333334</v>
      </c>
      <c r="M675" s="62">
        <v>0</v>
      </c>
      <c r="N675" s="62">
        <v>0</v>
      </c>
      <c r="O675" s="62">
        <v>8.8817841970012523E-16</v>
      </c>
      <c r="P675" s="298" t="s">
        <v>4160</v>
      </c>
      <c r="Q675" s="60" t="s">
        <v>27</v>
      </c>
      <c r="R675" s="60" t="s">
        <v>174</v>
      </c>
      <c r="S675" s="286" t="str">
        <f t="shared" si="67"/>
        <v>SIM</v>
      </c>
      <c r="T675" s="286" t="str">
        <f>IF($C675= "", T674, IF(ISNA(VLOOKUP($C675,'ABC-S'!$A$5:$A$271,1,FALSE)), "", VLOOKUP($C675,'ABC-S'!$A$5:$A$271,1,FALSE)))</f>
        <v>CP0575</v>
      </c>
      <c r="W675" s="286" t="s">
        <v>843</v>
      </c>
      <c r="X675" s="286">
        <v>88277</v>
      </c>
      <c r="Y675" s="286" t="s">
        <v>424</v>
      </c>
      <c r="Z675" s="335">
        <v>339</v>
      </c>
      <c r="AA675" s="286">
        <v>0.33333333333333331</v>
      </c>
      <c r="AB675" s="378"/>
      <c r="AC675" s="381" t="s">
        <v>21</v>
      </c>
      <c r="AD675" s="378" t="s">
        <v>21</v>
      </c>
      <c r="AE675" s="378" t="s">
        <v>21</v>
      </c>
      <c r="AF675" s="378" t="s">
        <v>21</v>
      </c>
      <c r="AG675" s="378"/>
      <c r="AI675" s="378">
        <v>0</v>
      </c>
      <c r="AJ675" s="378">
        <v>0</v>
      </c>
      <c r="AL675" s="286">
        <v>88277</v>
      </c>
      <c r="AM675" s="286"/>
    </row>
    <row r="676" spans="1:39" s="51" customFormat="1" x14ac:dyDescent="0.25">
      <c r="A676" s="59" t="s">
        <v>843</v>
      </c>
      <c r="B676" s="59" t="s">
        <v>87</v>
      </c>
      <c r="C676" s="248"/>
      <c r="D676" s="59">
        <v>88316</v>
      </c>
      <c r="E676" s="60" t="s">
        <v>649</v>
      </c>
      <c r="F676" s="59" t="s">
        <v>46</v>
      </c>
      <c r="G676" s="61">
        <f>2/3</f>
        <v>0.66666666666666663</v>
      </c>
      <c r="H676" s="62">
        <v>17.61</v>
      </c>
      <c r="I676" s="62">
        <f t="shared" si="72"/>
        <v>11.739999999999998</v>
      </c>
      <c r="J676" s="62"/>
      <c r="K676" s="62">
        <v>7.7333333333333325</v>
      </c>
      <c r="L676" s="62">
        <v>4.0066666666666659</v>
      </c>
      <c r="M676" s="62">
        <v>0</v>
      </c>
      <c r="N676" s="62">
        <v>0</v>
      </c>
      <c r="O676" s="62">
        <v>0</v>
      </c>
      <c r="P676" s="298" t="s">
        <v>4160</v>
      </c>
      <c r="Q676" s="60" t="s">
        <v>27</v>
      </c>
      <c r="R676" s="60" t="s">
        <v>174</v>
      </c>
      <c r="S676" s="286" t="str">
        <f t="shared" si="67"/>
        <v>SIM</v>
      </c>
      <c r="T676" s="286" t="str">
        <f>IF($C676= "", T675, IF(ISNA(VLOOKUP($C676,'ABC-S'!$A$5:$A$271,1,FALSE)), "", VLOOKUP($C676,'ABC-S'!$A$5:$A$271,1,FALSE)))</f>
        <v>CP0575</v>
      </c>
      <c r="W676" s="286" t="s">
        <v>843</v>
      </c>
      <c r="X676" s="286">
        <v>88316</v>
      </c>
      <c r="Y676" s="286" t="s">
        <v>424</v>
      </c>
      <c r="Z676" s="335">
        <v>339</v>
      </c>
      <c r="AA676" s="286">
        <v>0.66666666666666663</v>
      </c>
      <c r="AB676" s="378"/>
      <c r="AC676" s="381" t="s">
        <v>21</v>
      </c>
      <c r="AD676" s="378" t="s">
        <v>21</v>
      </c>
      <c r="AE676" s="378" t="s">
        <v>21</v>
      </c>
      <c r="AF676" s="378" t="s">
        <v>21</v>
      </c>
      <c r="AG676" s="378"/>
      <c r="AI676" s="378">
        <v>0</v>
      </c>
      <c r="AJ676" s="378">
        <v>0</v>
      </c>
      <c r="AL676" s="286">
        <v>88316</v>
      </c>
      <c r="AM676" s="286"/>
    </row>
    <row r="677" spans="1:39" s="51" customFormat="1" ht="22.5" x14ac:dyDescent="0.25">
      <c r="A677" s="59" t="s">
        <v>843</v>
      </c>
      <c r="B677" s="59" t="s">
        <v>87</v>
      </c>
      <c r="C677" s="59"/>
      <c r="D677" s="59" t="s">
        <v>841</v>
      </c>
      <c r="E677" s="60" t="s">
        <v>842</v>
      </c>
      <c r="F677" s="59" t="s">
        <v>51</v>
      </c>
      <c r="G677" s="61">
        <v>0.28273999999999999</v>
      </c>
      <c r="H677" s="62">
        <v>451.8740417615</v>
      </c>
      <c r="I677" s="62">
        <f t="shared" si="72"/>
        <v>127.76286656764651</v>
      </c>
      <c r="J677" s="62"/>
      <c r="K677" s="62">
        <v>6.3099467617326681</v>
      </c>
      <c r="L677" s="62">
        <v>121.09901407289725</v>
      </c>
      <c r="M677" s="62">
        <v>0.35390573301657685</v>
      </c>
      <c r="N677" s="62">
        <v>0</v>
      </c>
      <c r="O677" s="62">
        <v>2.8421709430404007E-14</v>
      </c>
      <c r="P677" s="298" t="s">
        <v>4160</v>
      </c>
      <c r="Q677" s="60" t="s">
        <v>27</v>
      </c>
      <c r="R677" s="60" t="s">
        <v>174</v>
      </c>
      <c r="S677" s="286" t="str">
        <f t="shared" si="67"/>
        <v>SIM</v>
      </c>
      <c r="T677" s="286" t="str">
        <f>IF($C677= "", T676, IF(ISNA(VLOOKUP($C677,'ABC-S'!$A$5:$A$271,1,FALSE)), "", VLOOKUP($C677,'ABC-S'!$A$5:$A$271,1,FALSE)))</f>
        <v>CP0575</v>
      </c>
      <c r="W677" s="286" t="s">
        <v>843</v>
      </c>
      <c r="X677" s="286" t="s">
        <v>21</v>
      </c>
      <c r="Y677" s="286" t="s">
        <v>1513</v>
      </c>
      <c r="Z677" s="335" t="s">
        <v>21</v>
      </c>
      <c r="AA677" s="286" t="s">
        <v>21</v>
      </c>
      <c r="AB677" s="378"/>
      <c r="AC677" s="381" t="s">
        <v>841</v>
      </c>
      <c r="AD677" s="378">
        <v>0.28273999999999999</v>
      </c>
      <c r="AE677" s="378">
        <v>1.56502644</v>
      </c>
      <c r="AF677" s="378">
        <v>0.44249557564559999</v>
      </c>
      <c r="AG677" s="378"/>
      <c r="AI677" s="378" t="s">
        <v>21</v>
      </c>
      <c r="AJ677" s="378" t="s">
        <v>21</v>
      </c>
      <c r="AL677" s="286" t="s">
        <v>841</v>
      </c>
      <c r="AM677" s="286"/>
    </row>
    <row r="678" spans="1:39" s="51" customFormat="1" ht="33.75" x14ac:dyDescent="0.25">
      <c r="A678" s="59" t="s">
        <v>843</v>
      </c>
      <c r="B678" s="59" t="s">
        <v>87</v>
      </c>
      <c r="C678" s="59"/>
      <c r="D678" s="248">
        <v>72850</v>
      </c>
      <c r="E678" s="395" t="s">
        <v>1312</v>
      </c>
      <c r="F678" s="248" t="s">
        <v>55</v>
      </c>
      <c r="G678" s="280">
        <v>3.7499999999999999E-3</v>
      </c>
      <c r="H678" s="396">
        <v>11.844150000000001</v>
      </c>
      <c r="I678" s="396">
        <f>IF($D678="","",G678*H678)</f>
        <v>4.4415562499999998E-2</v>
      </c>
      <c r="J678" s="396"/>
      <c r="K678" s="396">
        <v>4.5680062499999993E-3</v>
      </c>
      <c r="L678" s="396">
        <v>2.9718911250000001E-2</v>
      </c>
      <c r="M678" s="396">
        <v>1.0128644999999999E-2</v>
      </c>
      <c r="N678" s="396">
        <v>0</v>
      </c>
      <c r="O678" s="396">
        <v>0</v>
      </c>
      <c r="P678" s="298" t="s">
        <v>4160</v>
      </c>
      <c r="Q678" s="60" t="s">
        <v>27</v>
      </c>
      <c r="R678" s="60" t="s">
        <v>174</v>
      </c>
      <c r="S678" s="286" t="str">
        <f t="shared" si="67"/>
        <v>SIM</v>
      </c>
      <c r="T678" s="286" t="str">
        <f>IF($C678= "", T677, IF(ISNA(VLOOKUP($C678,'ABC-S'!$A$5:$A$271,1,FALSE)), "", VLOOKUP($C678,'ABC-S'!$A$5:$A$271,1,FALSE)))</f>
        <v>CP0575</v>
      </c>
      <c r="W678" s="286" t="s">
        <v>843</v>
      </c>
      <c r="X678" s="286" t="s">
        <v>21</v>
      </c>
      <c r="Y678" s="286" t="s">
        <v>1513</v>
      </c>
      <c r="Z678" s="335" t="s">
        <v>21</v>
      </c>
      <c r="AA678" s="286" t="s">
        <v>21</v>
      </c>
      <c r="AB678" s="378"/>
      <c r="AC678" s="381">
        <v>72850</v>
      </c>
      <c r="AD678" s="378">
        <v>3.7499999999999999E-3</v>
      </c>
      <c r="AE678" s="378">
        <v>8.43E-2</v>
      </c>
      <c r="AF678" s="378">
        <v>3.16125E-4</v>
      </c>
      <c r="AG678" s="378"/>
      <c r="AI678" s="378" t="s">
        <v>21</v>
      </c>
      <c r="AJ678" s="378" t="s">
        <v>21</v>
      </c>
      <c r="AL678" s="286">
        <v>72850</v>
      </c>
      <c r="AM678" s="286"/>
    </row>
    <row r="679" spans="1:39" s="51" customFormat="1" ht="33.75" x14ac:dyDescent="0.25">
      <c r="A679" s="59" t="s">
        <v>843</v>
      </c>
      <c r="B679" s="59" t="s">
        <v>87</v>
      </c>
      <c r="C679" s="59"/>
      <c r="D679" s="59">
        <v>100949</v>
      </c>
      <c r="E679" s="60" t="s">
        <v>791</v>
      </c>
      <c r="F679" s="59" t="s">
        <v>42</v>
      </c>
      <c r="G679" s="61">
        <f>G678</f>
        <v>3.7499999999999999E-3</v>
      </c>
      <c r="H679" s="62">
        <v>4.28</v>
      </c>
      <c r="I679" s="62">
        <f t="shared" si="72"/>
        <v>1.6050000000000002E-2</v>
      </c>
      <c r="J679" s="62"/>
      <c r="K679" s="62">
        <v>2.1749999999999999E-3</v>
      </c>
      <c r="L679" s="62">
        <v>1.0087499999999999E-2</v>
      </c>
      <c r="M679" s="62">
        <v>3.7875000000000001E-3</v>
      </c>
      <c r="N679" s="62">
        <v>0</v>
      </c>
      <c r="O679" s="62">
        <v>3.4694469519536142E-18</v>
      </c>
      <c r="P679" s="298" t="s">
        <v>4160</v>
      </c>
      <c r="Q679" s="60" t="s">
        <v>27</v>
      </c>
      <c r="R679" s="60" t="s">
        <v>174</v>
      </c>
      <c r="S679" s="286" t="str">
        <f t="shared" si="67"/>
        <v>SIM</v>
      </c>
      <c r="T679" s="286" t="str">
        <f>IF($C679= "", T678, IF(ISNA(VLOOKUP($C679,'ABC-S'!$A$5:$A$271,1,FALSE)), "", VLOOKUP($C679,'ABC-S'!$A$5:$A$271,1,FALSE)))</f>
        <v>CP0575</v>
      </c>
      <c r="W679" s="286" t="s">
        <v>843</v>
      </c>
      <c r="X679" s="286" t="s">
        <v>21</v>
      </c>
      <c r="Y679" s="286" t="s">
        <v>1098</v>
      </c>
      <c r="Z679" s="335" t="s">
        <v>21</v>
      </c>
      <c r="AA679" s="286" t="s">
        <v>21</v>
      </c>
      <c r="AB679" s="378"/>
      <c r="AC679" s="381">
        <v>100949</v>
      </c>
      <c r="AD679" s="378">
        <v>3.7499999999999999E-3</v>
      </c>
      <c r="AE679" s="378">
        <v>3.9699999999999999E-2</v>
      </c>
      <c r="AF679" s="378">
        <v>1.48875E-4</v>
      </c>
      <c r="AG679" s="378"/>
      <c r="AI679" s="378">
        <v>0</v>
      </c>
      <c r="AJ679" s="378">
        <v>0</v>
      </c>
      <c r="AL679" s="286">
        <v>100949</v>
      </c>
      <c r="AM679" s="286"/>
    </row>
    <row r="680" spans="1:39" s="51" customFormat="1" ht="45" x14ac:dyDescent="0.25">
      <c r="A680" s="55" t="s">
        <v>858</v>
      </c>
      <c r="B680" s="55" t="s">
        <v>138</v>
      </c>
      <c r="C680" s="55" t="s">
        <v>858</v>
      </c>
      <c r="D680" s="55"/>
      <c r="E680" s="56" t="s">
        <v>860</v>
      </c>
      <c r="F680" s="55" t="s">
        <v>41</v>
      </c>
      <c r="G680" s="57"/>
      <c r="H680" s="58"/>
      <c r="I680" s="58"/>
      <c r="J680" s="58">
        <f>SUM(I680:I687)</f>
        <v>200.93972847113997</v>
      </c>
      <c r="K680" s="58">
        <v>25.132763700365999</v>
      </c>
      <c r="L680" s="58">
        <v>167.94394756243213</v>
      </c>
      <c r="M680" s="58">
        <v>7.8630172083418657</v>
      </c>
      <c r="N680" s="58">
        <v>0</v>
      </c>
      <c r="O680" s="58">
        <v>2.7540469904607789E-14</v>
      </c>
      <c r="P680" s="58"/>
      <c r="Q680" s="56"/>
      <c r="R680" s="56" t="s">
        <v>861</v>
      </c>
      <c r="S680" s="286" t="str">
        <f t="shared" si="67"/>
        <v>SIM</v>
      </c>
      <c r="T680" s="286" t="str">
        <f>IF($C680= "", T679, IF(ISNA(VLOOKUP($C680,'ABC-S'!$A$5:$A$271,1,FALSE)), "", VLOOKUP($C680,'ABC-S'!$A$5:$A$271,1,FALSE)))</f>
        <v>CP0576</v>
      </c>
      <c r="W680" s="286" t="s">
        <v>858</v>
      </c>
      <c r="X680" s="286"/>
      <c r="Y680" s="286"/>
      <c r="Z680" s="286"/>
      <c r="AA680" s="286" t="s">
        <v>21</v>
      </c>
      <c r="AB680" s="378">
        <v>1</v>
      </c>
      <c r="AC680" s="378"/>
      <c r="AD680" s="335"/>
      <c r="AE680" s="335"/>
      <c r="AF680" s="335"/>
      <c r="AG680" s="378">
        <v>1.8973355717333333</v>
      </c>
      <c r="AI680" s="378" t="s">
        <v>21</v>
      </c>
      <c r="AJ680" s="378" t="s">
        <v>21</v>
      </c>
      <c r="AL680" s="286"/>
      <c r="AM680" s="286"/>
    </row>
    <row r="681" spans="1:39" s="51" customFormat="1" ht="56.25" x14ac:dyDescent="0.25">
      <c r="A681" s="59" t="s">
        <v>858</v>
      </c>
      <c r="B681" s="59" t="s">
        <v>87</v>
      </c>
      <c r="C681" s="59"/>
      <c r="D681" s="59">
        <v>73467</v>
      </c>
      <c r="E681" s="60" t="s">
        <v>533</v>
      </c>
      <c r="F681" s="59" t="s">
        <v>76</v>
      </c>
      <c r="G681" s="61">
        <f>(1*0.3)/3</f>
        <v>9.9999999999999992E-2</v>
      </c>
      <c r="H681" s="62">
        <v>119.7</v>
      </c>
      <c r="I681" s="62">
        <f t="shared" ref="I681:I687" si="73">IF($D681="","",G681*H681)</f>
        <v>11.969999999999999</v>
      </c>
      <c r="J681" s="62"/>
      <c r="K681" s="62">
        <v>1.4449999999999998</v>
      </c>
      <c r="L681" s="62">
        <v>6.7329999999999997</v>
      </c>
      <c r="M681" s="62">
        <v>3.7919999999999998</v>
      </c>
      <c r="N681" s="62">
        <v>0</v>
      </c>
      <c r="O681" s="62">
        <v>0</v>
      </c>
      <c r="P681" s="298" t="s">
        <v>4160</v>
      </c>
      <c r="Q681" s="60" t="s">
        <v>27</v>
      </c>
      <c r="R681" s="60" t="s">
        <v>174</v>
      </c>
      <c r="S681" s="286" t="str">
        <f t="shared" si="67"/>
        <v>SIM</v>
      </c>
      <c r="T681" s="286" t="str">
        <f>IF($C681= "", T680, IF(ISNA(VLOOKUP($C681,'ABC-S'!$A$5:$A$271,1,FALSE)), "", VLOOKUP($C681,'ABC-S'!$A$5:$A$271,1,FALSE)))</f>
        <v>CP0576</v>
      </c>
      <c r="W681" s="286" t="s">
        <v>858</v>
      </c>
      <c r="X681" s="286" t="s">
        <v>21</v>
      </c>
      <c r="Y681" s="286" t="s">
        <v>423</v>
      </c>
      <c r="Z681" s="335" t="s">
        <v>21</v>
      </c>
      <c r="AA681" s="286" t="s">
        <v>21</v>
      </c>
      <c r="AB681" s="378"/>
      <c r="AC681" s="381">
        <v>73467</v>
      </c>
      <c r="AD681" s="378">
        <v>9.9999999999999992E-2</v>
      </c>
      <c r="AE681" s="378">
        <v>1</v>
      </c>
      <c r="AF681" s="378">
        <v>9.9999999999999992E-2</v>
      </c>
      <c r="AG681" s="378"/>
      <c r="AI681" s="378">
        <v>0</v>
      </c>
      <c r="AJ681" s="378">
        <v>0</v>
      </c>
      <c r="AL681" s="286">
        <v>73467</v>
      </c>
      <c r="AM681" s="286"/>
    </row>
    <row r="682" spans="1:39" s="51" customFormat="1" ht="56.25" x14ac:dyDescent="0.25">
      <c r="A682" s="59" t="s">
        <v>858</v>
      </c>
      <c r="B682" s="59" t="s">
        <v>87</v>
      </c>
      <c r="C682" s="59"/>
      <c r="D682" s="59">
        <v>91395</v>
      </c>
      <c r="E682" s="60" t="s">
        <v>532</v>
      </c>
      <c r="F682" s="59" t="s">
        <v>75</v>
      </c>
      <c r="G682" s="61">
        <f>(1*0.7)/3</f>
        <v>0.23333333333333331</v>
      </c>
      <c r="H682" s="62">
        <v>35.119999999999997</v>
      </c>
      <c r="I682" s="62">
        <f t="shared" si="73"/>
        <v>8.1946666666666648</v>
      </c>
      <c r="J682" s="62"/>
      <c r="K682" s="62">
        <v>3.3716666666666661</v>
      </c>
      <c r="L682" s="62">
        <v>1.2203333333333333</v>
      </c>
      <c r="M682" s="62">
        <v>3.602666666666666</v>
      </c>
      <c r="N682" s="62">
        <v>0</v>
      </c>
      <c r="O682" s="62">
        <v>-1.7763568394002505E-15</v>
      </c>
      <c r="P682" s="298" t="s">
        <v>4160</v>
      </c>
      <c r="Q682" s="60" t="s">
        <v>27</v>
      </c>
      <c r="R682" s="60" t="s">
        <v>174</v>
      </c>
      <c r="S682" s="286" t="str">
        <f t="shared" si="67"/>
        <v>SIM</v>
      </c>
      <c r="T682" s="286" t="str">
        <f>IF($C682= "", T681, IF(ISNA(VLOOKUP($C682,'ABC-S'!$A$5:$A$271,1,FALSE)), "", VLOOKUP($C682,'ABC-S'!$A$5:$A$271,1,FALSE)))</f>
        <v>CP0576</v>
      </c>
      <c r="W682" s="286" t="s">
        <v>858</v>
      </c>
      <c r="X682" s="286" t="s">
        <v>21</v>
      </c>
      <c r="Y682" s="286" t="s">
        <v>423</v>
      </c>
      <c r="Z682" s="335" t="s">
        <v>21</v>
      </c>
      <c r="AA682" s="286" t="s">
        <v>21</v>
      </c>
      <c r="AB682" s="378"/>
      <c r="AC682" s="381">
        <v>91395</v>
      </c>
      <c r="AD682" s="378">
        <v>0.23333333333333331</v>
      </c>
      <c r="AE682" s="378">
        <v>1</v>
      </c>
      <c r="AF682" s="378">
        <v>0.23333333333333331</v>
      </c>
      <c r="AG682" s="378"/>
      <c r="AI682" s="378">
        <v>0</v>
      </c>
      <c r="AJ682" s="378">
        <v>0</v>
      </c>
      <c r="AL682" s="286">
        <v>91395</v>
      </c>
      <c r="AM682" s="286"/>
    </row>
    <row r="683" spans="1:39" s="51" customFormat="1" ht="22.5" x14ac:dyDescent="0.25">
      <c r="A683" s="59" t="s">
        <v>858</v>
      </c>
      <c r="B683" s="59" t="s">
        <v>87</v>
      </c>
      <c r="C683" s="248"/>
      <c r="D683" s="59">
        <v>88277</v>
      </c>
      <c r="E683" s="60" t="s">
        <v>600</v>
      </c>
      <c r="F683" s="59" t="s">
        <v>46</v>
      </c>
      <c r="G683" s="61">
        <f>1/3</f>
        <v>0.33333333333333331</v>
      </c>
      <c r="H683" s="62">
        <v>18.850000000000001</v>
      </c>
      <c r="I683" s="62">
        <f t="shared" si="73"/>
        <v>6.2833333333333332</v>
      </c>
      <c r="J683" s="62"/>
      <c r="K683" s="62">
        <v>4.5399999999999991</v>
      </c>
      <c r="L683" s="62">
        <v>1.7433333333333334</v>
      </c>
      <c r="M683" s="62">
        <v>0</v>
      </c>
      <c r="N683" s="62">
        <v>0</v>
      </c>
      <c r="O683" s="62">
        <v>8.8817841970012523E-16</v>
      </c>
      <c r="P683" s="298" t="s">
        <v>4160</v>
      </c>
      <c r="Q683" s="60" t="s">
        <v>27</v>
      </c>
      <c r="R683" s="60" t="s">
        <v>174</v>
      </c>
      <c r="S683" s="286" t="str">
        <f t="shared" si="67"/>
        <v>SIM</v>
      </c>
      <c r="T683" s="286" t="str">
        <f>IF($C683= "", T682, IF(ISNA(VLOOKUP($C683,'ABC-S'!$A$5:$A$271,1,FALSE)), "", VLOOKUP($C683,'ABC-S'!$A$5:$A$271,1,FALSE)))</f>
        <v>CP0576</v>
      </c>
      <c r="W683" s="286" t="s">
        <v>858</v>
      </c>
      <c r="X683" s="286">
        <v>88277</v>
      </c>
      <c r="Y683" s="286" t="s">
        <v>424</v>
      </c>
      <c r="Z683" s="335">
        <v>0</v>
      </c>
      <c r="AA683" s="286">
        <v>0.33333333333333331</v>
      </c>
      <c r="AB683" s="378"/>
      <c r="AC683" s="381" t="s">
        <v>21</v>
      </c>
      <c r="AD683" s="378" t="s">
        <v>21</v>
      </c>
      <c r="AE683" s="378" t="s">
        <v>21</v>
      </c>
      <c r="AF683" s="378" t="s">
        <v>21</v>
      </c>
      <c r="AG683" s="378"/>
      <c r="AI683" s="378">
        <v>0</v>
      </c>
      <c r="AJ683" s="378">
        <v>0</v>
      </c>
      <c r="AL683" s="286">
        <v>88277</v>
      </c>
      <c r="AM683" s="286"/>
    </row>
    <row r="684" spans="1:39" s="51" customFormat="1" x14ac:dyDescent="0.25">
      <c r="A684" s="59" t="s">
        <v>858</v>
      </c>
      <c r="B684" s="59" t="s">
        <v>87</v>
      </c>
      <c r="C684" s="248"/>
      <c r="D684" s="59">
        <v>88316</v>
      </c>
      <c r="E684" s="60" t="s">
        <v>649</v>
      </c>
      <c r="F684" s="59" t="s">
        <v>46</v>
      </c>
      <c r="G684" s="61">
        <f>2/3</f>
        <v>0.66666666666666663</v>
      </c>
      <c r="H684" s="62">
        <v>17.61</v>
      </c>
      <c r="I684" s="62">
        <f t="shared" si="73"/>
        <v>11.739999999999998</v>
      </c>
      <c r="J684" s="62"/>
      <c r="K684" s="62">
        <v>7.7333333333333325</v>
      </c>
      <c r="L684" s="62">
        <v>4.0066666666666659</v>
      </c>
      <c r="M684" s="62">
        <v>0</v>
      </c>
      <c r="N684" s="62">
        <v>0</v>
      </c>
      <c r="O684" s="62">
        <v>0</v>
      </c>
      <c r="P684" s="298" t="s">
        <v>4160</v>
      </c>
      <c r="Q684" s="60" t="s">
        <v>27</v>
      </c>
      <c r="R684" s="60" t="s">
        <v>174</v>
      </c>
      <c r="S684" s="286" t="str">
        <f t="shared" si="67"/>
        <v>SIM</v>
      </c>
      <c r="T684" s="286" t="str">
        <f>IF($C684= "", T683, IF(ISNA(VLOOKUP($C684,'ABC-S'!$A$5:$A$271,1,FALSE)), "", VLOOKUP($C684,'ABC-S'!$A$5:$A$271,1,FALSE)))</f>
        <v>CP0576</v>
      </c>
      <c r="W684" s="286" t="s">
        <v>858</v>
      </c>
      <c r="X684" s="286">
        <v>88316</v>
      </c>
      <c r="Y684" s="286" t="s">
        <v>424</v>
      </c>
      <c r="Z684" s="335">
        <v>0</v>
      </c>
      <c r="AA684" s="286">
        <v>0.66666666666666663</v>
      </c>
      <c r="AB684" s="378"/>
      <c r="AC684" s="381" t="s">
        <v>21</v>
      </c>
      <c r="AD684" s="378" t="s">
        <v>21</v>
      </c>
      <c r="AE684" s="378" t="s">
        <v>21</v>
      </c>
      <c r="AF684" s="378" t="s">
        <v>21</v>
      </c>
      <c r="AG684" s="378"/>
      <c r="AI684" s="378">
        <v>0</v>
      </c>
      <c r="AJ684" s="378">
        <v>0</v>
      </c>
      <c r="AL684" s="286">
        <v>88316</v>
      </c>
      <c r="AM684" s="286"/>
    </row>
    <row r="685" spans="1:39" s="51" customFormat="1" ht="22.5" x14ac:dyDescent="0.25">
      <c r="A685" s="59" t="s">
        <v>858</v>
      </c>
      <c r="B685" s="59" t="s">
        <v>87</v>
      </c>
      <c r="C685" s="59"/>
      <c r="D685" s="59" t="s">
        <v>841</v>
      </c>
      <c r="E685" s="60" t="s">
        <v>842</v>
      </c>
      <c r="F685" s="59" t="s">
        <v>51</v>
      </c>
      <c r="G685" s="61">
        <v>0.36</v>
      </c>
      <c r="H685" s="62">
        <v>451.8740417615</v>
      </c>
      <c r="I685" s="62">
        <f t="shared" si="73"/>
        <v>162.67465503413999</v>
      </c>
      <c r="J685" s="62"/>
      <c r="K685" s="62">
        <v>8.0341686150659992</v>
      </c>
      <c r="L685" s="62">
        <v>154.18987432355877</v>
      </c>
      <c r="M685" s="62">
        <v>0.45061209551520004</v>
      </c>
      <c r="N685" s="62">
        <v>0</v>
      </c>
      <c r="O685" s="62">
        <v>2.8421709430404007E-14</v>
      </c>
      <c r="P685" s="298" t="s">
        <v>4160</v>
      </c>
      <c r="Q685" s="60" t="s">
        <v>27</v>
      </c>
      <c r="R685" s="60" t="s">
        <v>174</v>
      </c>
      <c r="S685" s="286" t="str">
        <f t="shared" si="67"/>
        <v>SIM</v>
      </c>
      <c r="T685" s="286" t="str">
        <f>IF($C685= "", T684, IF(ISNA(VLOOKUP($C685,'ABC-S'!$A$5:$A$271,1,FALSE)), "", VLOOKUP($C685,'ABC-S'!$A$5:$A$271,1,FALSE)))</f>
        <v>CP0576</v>
      </c>
      <c r="W685" s="286" t="s">
        <v>858</v>
      </c>
      <c r="X685" s="286" t="s">
        <v>21</v>
      </c>
      <c r="Y685" s="286" t="s">
        <v>1513</v>
      </c>
      <c r="Z685" s="335" t="s">
        <v>21</v>
      </c>
      <c r="AA685" s="286" t="s">
        <v>21</v>
      </c>
      <c r="AB685" s="378"/>
      <c r="AC685" s="381" t="s">
        <v>841</v>
      </c>
      <c r="AD685" s="378">
        <v>0.36</v>
      </c>
      <c r="AE685" s="378">
        <v>1.56502644</v>
      </c>
      <c r="AF685" s="378">
        <v>0.56340951839999998</v>
      </c>
      <c r="AG685" s="378"/>
      <c r="AI685" s="378" t="s">
        <v>21</v>
      </c>
      <c r="AJ685" s="378" t="s">
        <v>21</v>
      </c>
      <c r="AL685" s="286" t="s">
        <v>841</v>
      </c>
      <c r="AM685" s="286"/>
    </row>
    <row r="686" spans="1:39" s="51" customFormat="1" ht="33.75" x14ac:dyDescent="0.25">
      <c r="A686" s="59" t="s">
        <v>858</v>
      </c>
      <c r="B686" s="59" t="s">
        <v>87</v>
      </c>
      <c r="C686" s="59"/>
      <c r="D686" s="248">
        <v>72850</v>
      </c>
      <c r="E686" s="395" t="s">
        <v>1312</v>
      </c>
      <c r="F686" s="248" t="s">
        <v>55</v>
      </c>
      <c r="G686" s="280">
        <v>4.7800000000000004E-3</v>
      </c>
      <c r="H686" s="396">
        <v>11.844150000000001</v>
      </c>
      <c r="I686" s="396">
        <f>IF($D686="","",G686*H686)</f>
        <v>5.6615037000000007E-2</v>
      </c>
      <c r="J686" s="396"/>
      <c r="K686" s="396">
        <v>5.8226853000000007E-3</v>
      </c>
      <c r="L686" s="396">
        <v>3.7881705540000005E-2</v>
      </c>
      <c r="M686" s="396">
        <v>1.2910646159999999E-2</v>
      </c>
      <c r="N686" s="396">
        <v>0</v>
      </c>
      <c r="O686" s="396">
        <v>6.9388939039072284E-18</v>
      </c>
      <c r="P686" s="298" t="s">
        <v>4160</v>
      </c>
      <c r="Q686" s="60" t="s">
        <v>27</v>
      </c>
      <c r="R686" s="60" t="s">
        <v>174</v>
      </c>
      <c r="S686" s="286" t="str">
        <f t="shared" si="67"/>
        <v>SIM</v>
      </c>
      <c r="T686" s="286" t="str">
        <f>IF($C686= "", T685, IF(ISNA(VLOOKUP($C686,'ABC-S'!$A$5:$A$271,1,FALSE)), "", VLOOKUP($C686,'ABC-S'!$A$5:$A$271,1,FALSE)))</f>
        <v>CP0576</v>
      </c>
      <c r="W686" s="286" t="s">
        <v>858</v>
      </c>
      <c r="X686" s="286" t="s">
        <v>21</v>
      </c>
      <c r="Y686" s="286" t="s">
        <v>1513</v>
      </c>
      <c r="Z686" s="335" t="s">
        <v>21</v>
      </c>
      <c r="AA686" s="286" t="s">
        <v>21</v>
      </c>
      <c r="AB686" s="378"/>
      <c r="AC686" s="381">
        <v>72850</v>
      </c>
      <c r="AD686" s="378">
        <v>4.7800000000000004E-3</v>
      </c>
      <c r="AE686" s="378">
        <v>8.43E-2</v>
      </c>
      <c r="AF686" s="378">
        <v>4.0295400000000002E-4</v>
      </c>
      <c r="AG686" s="378"/>
      <c r="AI686" s="378" t="s">
        <v>21</v>
      </c>
      <c r="AJ686" s="378" t="s">
        <v>21</v>
      </c>
      <c r="AL686" s="286">
        <v>72850</v>
      </c>
      <c r="AM686" s="286"/>
    </row>
    <row r="687" spans="1:39" s="51" customFormat="1" ht="33.75" x14ac:dyDescent="0.25">
      <c r="A687" s="59" t="s">
        <v>858</v>
      </c>
      <c r="B687" s="59" t="s">
        <v>87</v>
      </c>
      <c r="C687" s="59"/>
      <c r="D687" s="59">
        <v>100949</v>
      </c>
      <c r="E687" s="60" t="s">
        <v>791</v>
      </c>
      <c r="F687" s="59" t="s">
        <v>42</v>
      </c>
      <c r="G687" s="61">
        <f>G686</f>
        <v>4.7800000000000004E-3</v>
      </c>
      <c r="H687" s="62">
        <v>4.28</v>
      </c>
      <c r="I687" s="62">
        <f t="shared" si="73"/>
        <v>2.0458400000000002E-2</v>
      </c>
      <c r="J687" s="62"/>
      <c r="K687" s="62">
        <v>2.7724E-3</v>
      </c>
      <c r="L687" s="62">
        <v>1.28582E-2</v>
      </c>
      <c r="M687" s="62">
        <v>4.8278000000000001E-3</v>
      </c>
      <c r="N687" s="62">
        <v>0</v>
      </c>
      <c r="O687" s="62">
        <v>0</v>
      </c>
      <c r="P687" s="298" t="s">
        <v>4160</v>
      </c>
      <c r="Q687" s="60" t="s">
        <v>27</v>
      </c>
      <c r="R687" s="60" t="s">
        <v>174</v>
      </c>
      <c r="S687" s="286" t="str">
        <f t="shared" ref="S687:S757" si="74">IF(T687 &lt;&gt; "", "SIM", "")</f>
        <v>SIM</v>
      </c>
      <c r="T687" s="286" t="str">
        <f>IF($C687= "", T686, IF(ISNA(VLOOKUP($C687,'ABC-S'!$A$5:$A$271,1,FALSE)), "", VLOOKUP($C687,'ABC-S'!$A$5:$A$271,1,FALSE)))</f>
        <v>CP0576</v>
      </c>
      <c r="W687" s="286" t="s">
        <v>858</v>
      </c>
      <c r="X687" s="286" t="s">
        <v>21</v>
      </c>
      <c r="Y687" s="286" t="s">
        <v>1098</v>
      </c>
      <c r="Z687" s="335" t="s">
        <v>21</v>
      </c>
      <c r="AA687" s="286" t="s">
        <v>21</v>
      </c>
      <c r="AB687" s="378"/>
      <c r="AC687" s="381">
        <v>100949</v>
      </c>
      <c r="AD687" s="378">
        <v>4.7800000000000004E-3</v>
      </c>
      <c r="AE687" s="378">
        <v>3.9699999999999999E-2</v>
      </c>
      <c r="AF687" s="378">
        <v>1.8976600000000001E-4</v>
      </c>
      <c r="AG687" s="378"/>
      <c r="AI687" s="378">
        <v>0</v>
      </c>
      <c r="AJ687" s="378">
        <v>0</v>
      </c>
      <c r="AL687" s="286">
        <v>100949</v>
      </c>
      <c r="AM687" s="286"/>
    </row>
    <row r="688" spans="1:39" s="51" customFormat="1" ht="67.5" hidden="1" x14ac:dyDescent="0.25">
      <c r="A688" s="55" t="s">
        <v>865</v>
      </c>
      <c r="B688" s="55" t="s">
        <v>138</v>
      </c>
      <c r="C688" s="55" t="s">
        <v>865</v>
      </c>
      <c r="D688" s="55"/>
      <c r="E688" s="56" t="s">
        <v>866</v>
      </c>
      <c r="F688" s="55" t="s">
        <v>51</v>
      </c>
      <c r="G688" s="57"/>
      <c r="H688" s="58"/>
      <c r="I688" s="58"/>
      <c r="J688" s="58">
        <f>SUM(I688:I701)</f>
        <v>305.67371502450004</v>
      </c>
      <c r="K688" s="58">
        <v>22.317530631549999</v>
      </c>
      <c r="L688" s="58">
        <v>280.80754176378997</v>
      </c>
      <c r="M688" s="58">
        <v>2.5486426291600002</v>
      </c>
      <c r="N688" s="58">
        <v>0</v>
      </c>
      <c r="O688" s="58">
        <v>1.9984014443252818E-15</v>
      </c>
      <c r="P688" s="58"/>
      <c r="Q688" s="56"/>
      <c r="R688" s="56" t="s">
        <v>867</v>
      </c>
      <c r="S688" s="286" t="str">
        <f t="shared" si="74"/>
        <v/>
      </c>
      <c r="T688" s="286" t="str">
        <f>IF($C688= "", T687, IF(ISNA(VLOOKUP($C688,'ABC-S'!$A$5:$A$271,1,FALSE)), "", VLOOKUP($C688,'ABC-S'!$A$5:$A$271,1,FALSE)))</f>
        <v/>
      </c>
      <c r="W688" s="286" t="s">
        <v>865</v>
      </c>
      <c r="X688" s="286"/>
      <c r="Y688" s="286"/>
      <c r="Z688" s="286"/>
      <c r="AA688" s="286" t="s">
        <v>21</v>
      </c>
      <c r="AB688" s="378">
        <v>1.5</v>
      </c>
      <c r="AC688" s="378"/>
      <c r="AD688" s="335"/>
      <c r="AE688" s="335"/>
      <c r="AF688" s="335"/>
      <c r="AG688" s="378">
        <v>1.5650537200000001</v>
      </c>
      <c r="AI688" s="378" t="s">
        <v>21</v>
      </c>
      <c r="AJ688" s="378" t="s">
        <v>21</v>
      </c>
      <c r="AL688" s="286"/>
      <c r="AM688" s="286"/>
    </row>
    <row r="689" spans="1:39" s="51" customFormat="1" hidden="1" x14ac:dyDescent="0.25">
      <c r="A689" s="59" t="s">
        <v>865</v>
      </c>
      <c r="B689" s="59" t="s">
        <v>86</v>
      </c>
      <c r="C689" s="248"/>
      <c r="D689" s="59" t="s">
        <v>286</v>
      </c>
      <c r="E689" s="60" t="s">
        <v>4156</v>
      </c>
      <c r="F689" s="59" t="s">
        <v>46</v>
      </c>
      <c r="G689" s="61">
        <f>(0.50729*1)/4</f>
        <v>0.1268225</v>
      </c>
      <c r="H689" s="62">
        <v>10.220000000000001</v>
      </c>
      <c r="I689" s="62">
        <f t="shared" ref="I689:I701" si="75">IF($D689="","",G689*H689)</f>
        <v>1.2961259500000002</v>
      </c>
      <c r="J689" s="62"/>
      <c r="K689" s="62">
        <v>0</v>
      </c>
      <c r="L689" s="62">
        <v>0</v>
      </c>
      <c r="M689" s="62">
        <v>1.2961259500000002</v>
      </c>
      <c r="N689" s="62">
        <v>0</v>
      </c>
      <c r="O689" s="62">
        <v>0</v>
      </c>
      <c r="P689" s="298" t="s">
        <v>423</v>
      </c>
      <c r="Q689" s="60" t="s">
        <v>27</v>
      </c>
      <c r="R689" s="60" t="s">
        <v>174</v>
      </c>
      <c r="S689" s="286" t="str">
        <f t="shared" si="74"/>
        <v/>
      </c>
      <c r="T689" s="286" t="str">
        <f>IF($C689= "", T688, IF(ISNA(VLOOKUP($C689,'ABC-S'!$A$5:$A$271,1,FALSE)), "", VLOOKUP($C689,'ABC-S'!$A$5:$A$271,1,FALSE)))</f>
        <v/>
      </c>
      <c r="W689" s="286" t="s">
        <v>865</v>
      </c>
      <c r="X689" s="286" t="s">
        <v>21</v>
      </c>
      <c r="Y689" s="286" t="s">
        <v>21</v>
      </c>
      <c r="Z689" s="286" t="s">
        <v>21</v>
      </c>
      <c r="AA689" s="286" t="s">
        <v>21</v>
      </c>
      <c r="AB689" s="378"/>
      <c r="AC689" s="381" t="s">
        <v>21</v>
      </c>
      <c r="AD689" s="378" t="s">
        <v>21</v>
      </c>
      <c r="AE689" s="378" t="s">
        <v>21</v>
      </c>
      <c r="AF689" s="378" t="s">
        <v>21</v>
      </c>
      <c r="AG689" s="378"/>
      <c r="AI689" s="378" t="s">
        <v>21</v>
      </c>
      <c r="AJ689" s="378" t="s">
        <v>21</v>
      </c>
      <c r="AL689" s="286"/>
      <c r="AM689" s="286" t="s">
        <v>286</v>
      </c>
    </row>
    <row r="690" spans="1:39" s="51" customFormat="1" ht="33.75" hidden="1" x14ac:dyDescent="0.25">
      <c r="A690" s="59" t="s">
        <v>865</v>
      </c>
      <c r="B690" s="59" t="s">
        <v>87</v>
      </c>
      <c r="C690" s="59"/>
      <c r="D690" s="59">
        <v>93415</v>
      </c>
      <c r="E690" s="60" t="s">
        <v>586</v>
      </c>
      <c r="F690" s="59" t="s">
        <v>76</v>
      </c>
      <c r="G690" s="61">
        <f>(0.48193*1)/4</f>
        <v>0.12048250000000001</v>
      </c>
      <c r="H690" s="62">
        <v>14.64</v>
      </c>
      <c r="I690" s="62">
        <f>IF($D690="","",G690*H690)</f>
        <v>1.7638638000000002</v>
      </c>
      <c r="J690" s="62"/>
      <c r="K690" s="62">
        <v>0</v>
      </c>
      <c r="L690" s="62">
        <v>1.7192852750000001</v>
      </c>
      <c r="M690" s="62">
        <v>4.4578525000000001E-2</v>
      </c>
      <c r="N690" s="62">
        <v>0</v>
      </c>
      <c r="O690" s="62">
        <v>2.2204460492503131E-16</v>
      </c>
      <c r="P690" s="298" t="s">
        <v>4160</v>
      </c>
      <c r="Q690" s="60" t="s">
        <v>27</v>
      </c>
      <c r="R690" s="60" t="s">
        <v>174</v>
      </c>
      <c r="S690" s="286" t="str">
        <f t="shared" si="74"/>
        <v/>
      </c>
      <c r="T690" s="286" t="str">
        <f>IF($C690= "", T689, IF(ISNA(VLOOKUP($C690,'ABC-S'!$A$5:$A$271,1,FALSE)), "", VLOOKUP($C690,'ABC-S'!$A$5:$A$271,1,FALSE)))</f>
        <v/>
      </c>
      <c r="W690" s="286" t="s">
        <v>865</v>
      </c>
      <c r="X690" s="286" t="s">
        <v>21</v>
      </c>
      <c r="Y690" s="286" t="s">
        <v>423</v>
      </c>
      <c r="Z690" s="335" t="s">
        <v>21</v>
      </c>
      <c r="AA690" s="286" t="s">
        <v>21</v>
      </c>
      <c r="AB690" s="378"/>
      <c r="AC690" s="381">
        <v>93415</v>
      </c>
      <c r="AD690" s="378">
        <v>0.12048250000000001</v>
      </c>
      <c r="AE690" s="378">
        <v>0</v>
      </c>
      <c r="AF690" s="378">
        <v>0</v>
      </c>
      <c r="AG690" s="378"/>
      <c r="AI690" s="378">
        <v>0</v>
      </c>
      <c r="AJ690" s="378">
        <v>0</v>
      </c>
      <c r="AL690" s="286">
        <v>93415</v>
      </c>
      <c r="AM690" s="286"/>
    </row>
    <row r="691" spans="1:39" s="51" customFormat="1" hidden="1" x14ac:dyDescent="0.25">
      <c r="A691" s="59" t="s">
        <v>865</v>
      </c>
      <c r="B691" s="59" t="s">
        <v>86</v>
      </c>
      <c r="C691" s="248"/>
      <c r="D691" s="59" t="s">
        <v>282</v>
      </c>
      <c r="E691" s="60" t="s">
        <v>4154</v>
      </c>
      <c r="F691" s="59" t="s">
        <v>46</v>
      </c>
      <c r="G691" s="61">
        <f>(0.2008*1)/4</f>
        <v>5.0200000000000002E-2</v>
      </c>
      <c r="H691" s="62">
        <v>11.16</v>
      </c>
      <c r="I691" s="62">
        <f t="shared" si="75"/>
        <v>0.56023200000000006</v>
      </c>
      <c r="J691" s="62"/>
      <c r="K691" s="62">
        <v>0</v>
      </c>
      <c r="L691" s="62">
        <v>0</v>
      </c>
      <c r="M691" s="62">
        <v>0.56023200000000006</v>
      </c>
      <c r="N691" s="62">
        <v>0</v>
      </c>
      <c r="O691" s="62">
        <v>0</v>
      </c>
      <c r="P691" s="298" t="s">
        <v>423</v>
      </c>
      <c r="Q691" s="60" t="s">
        <v>27</v>
      </c>
      <c r="R691" s="60" t="s">
        <v>174</v>
      </c>
      <c r="S691" s="286" t="str">
        <f t="shared" si="74"/>
        <v/>
      </c>
      <c r="T691" s="286" t="str">
        <f>IF($C691= "", T690, IF(ISNA(VLOOKUP($C691,'ABC-S'!$A$5:$A$271,1,FALSE)), "", VLOOKUP($C691,'ABC-S'!$A$5:$A$271,1,FALSE)))</f>
        <v/>
      </c>
      <c r="W691" s="286" t="s">
        <v>865</v>
      </c>
      <c r="X691" s="286" t="s">
        <v>21</v>
      </c>
      <c r="Y691" s="286" t="s">
        <v>21</v>
      </c>
      <c r="Z691" s="286" t="s">
        <v>21</v>
      </c>
      <c r="AA691" s="286" t="s">
        <v>21</v>
      </c>
      <c r="AB691" s="378"/>
      <c r="AC691" s="381" t="s">
        <v>21</v>
      </c>
      <c r="AD691" s="378" t="s">
        <v>21</v>
      </c>
      <c r="AE691" s="378" t="s">
        <v>21</v>
      </c>
      <c r="AF691" s="378" t="s">
        <v>21</v>
      </c>
      <c r="AG691" s="378"/>
      <c r="AI691" s="378" t="s">
        <v>21</v>
      </c>
      <c r="AJ691" s="378" t="s">
        <v>21</v>
      </c>
      <c r="AL691" s="286"/>
      <c r="AM691" s="286" t="s">
        <v>282</v>
      </c>
    </row>
    <row r="692" spans="1:39" s="51" customFormat="1" ht="22.5" hidden="1" x14ac:dyDescent="0.25">
      <c r="A692" s="59" t="s">
        <v>865</v>
      </c>
      <c r="B692" s="59" t="s">
        <v>86</v>
      </c>
      <c r="C692" s="248"/>
      <c r="D692" s="59" t="s">
        <v>283</v>
      </c>
      <c r="E692" s="60" t="s">
        <v>4155</v>
      </c>
      <c r="F692" s="59" t="s">
        <v>46</v>
      </c>
      <c r="G692" s="61">
        <f>(0.48193*1)/4</f>
        <v>0.12048250000000001</v>
      </c>
      <c r="H692" s="62">
        <v>4.99</v>
      </c>
      <c r="I692" s="62">
        <f t="shared" si="75"/>
        <v>0.60120767500000005</v>
      </c>
      <c r="J692" s="62"/>
      <c r="K692" s="62">
        <v>0</v>
      </c>
      <c r="L692" s="62">
        <v>0</v>
      </c>
      <c r="M692" s="62">
        <v>0.60120767500000005</v>
      </c>
      <c r="N692" s="62">
        <v>0</v>
      </c>
      <c r="O692" s="62">
        <v>0</v>
      </c>
      <c r="P692" s="298" t="s">
        <v>423</v>
      </c>
      <c r="Q692" s="60" t="s">
        <v>27</v>
      </c>
      <c r="R692" s="60" t="s">
        <v>174</v>
      </c>
      <c r="S692" s="286" t="str">
        <f t="shared" si="74"/>
        <v/>
      </c>
      <c r="T692" s="286" t="str">
        <f>IF($C692= "", T691, IF(ISNA(VLOOKUP($C692,'ABC-S'!$A$5:$A$271,1,FALSE)), "", VLOOKUP($C692,'ABC-S'!$A$5:$A$271,1,FALSE)))</f>
        <v/>
      </c>
      <c r="W692" s="286" t="s">
        <v>865</v>
      </c>
      <c r="X692" s="286" t="s">
        <v>21</v>
      </c>
      <c r="Y692" s="286" t="s">
        <v>21</v>
      </c>
      <c r="Z692" s="286" t="s">
        <v>21</v>
      </c>
      <c r="AA692" s="286" t="s">
        <v>21</v>
      </c>
      <c r="AB692" s="378"/>
      <c r="AC692" s="381" t="s">
        <v>21</v>
      </c>
      <c r="AD692" s="378" t="s">
        <v>21</v>
      </c>
      <c r="AE692" s="378" t="s">
        <v>21</v>
      </c>
      <c r="AF692" s="378" t="s">
        <v>21</v>
      </c>
      <c r="AG692" s="378"/>
      <c r="AI692" s="378" t="s">
        <v>21</v>
      </c>
      <c r="AJ692" s="378" t="s">
        <v>21</v>
      </c>
      <c r="AL692" s="286"/>
      <c r="AM692" s="286" t="s">
        <v>283</v>
      </c>
    </row>
    <row r="693" spans="1:39" s="51" customFormat="1" ht="22.5" hidden="1" x14ac:dyDescent="0.25">
      <c r="A693" s="59" t="s">
        <v>865</v>
      </c>
      <c r="B693" s="59" t="s">
        <v>87</v>
      </c>
      <c r="C693" s="248"/>
      <c r="D693" s="59">
        <v>88243</v>
      </c>
      <c r="E693" s="60" t="s">
        <v>485</v>
      </c>
      <c r="F693" s="59" t="s">
        <v>46</v>
      </c>
      <c r="G693" s="61">
        <f>2/4</f>
        <v>0.5</v>
      </c>
      <c r="H693" s="62">
        <v>20.96</v>
      </c>
      <c r="I693" s="62">
        <f t="shared" si="75"/>
        <v>10.48</v>
      </c>
      <c r="J693" s="62"/>
      <c r="K693" s="62">
        <v>7.4749999999999996</v>
      </c>
      <c r="L693" s="62">
        <v>3.0049999999999999</v>
      </c>
      <c r="M693" s="62">
        <v>0</v>
      </c>
      <c r="N693" s="62">
        <v>0</v>
      </c>
      <c r="O693" s="62">
        <v>0</v>
      </c>
      <c r="P693" s="298" t="s">
        <v>4160</v>
      </c>
      <c r="Q693" s="60" t="s">
        <v>27</v>
      </c>
      <c r="R693" s="60" t="s">
        <v>174</v>
      </c>
      <c r="S693" s="286" t="str">
        <f t="shared" si="74"/>
        <v/>
      </c>
      <c r="T693" s="286" t="str">
        <f>IF($C693= "", T692, IF(ISNA(VLOOKUP($C693,'ABC-S'!$A$5:$A$271,1,FALSE)), "", VLOOKUP($C693,'ABC-S'!$A$5:$A$271,1,FALSE)))</f>
        <v/>
      </c>
      <c r="W693" s="286" t="s">
        <v>865</v>
      </c>
      <c r="X693" s="286">
        <v>88243</v>
      </c>
      <c r="Y693" s="286" t="s">
        <v>424</v>
      </c>
      <c r="Z693" s="335">
        <v>0</v>
      </c>
      <c r="AA693" s="286">
        <v>0.5</v>
      </c>
      <c r="AB693" s="378"/>
      <c r="AC693" s="381" t="s">
        <v>21</v>
      </c>
      <c r="AD693" s="378" t="s">
        <v>21</v>
      </c>
      <c r="AE693" s="378" t="s">
        <v>21</v>
      </c>
      <c r="AF693" s="378" t="s">
        <v>21</v>
      </c>
      <c r="AG693" s="378"/>
      <c r="AI693" s="378">
        <v>0</v>
      </c>
      <c r="AJ693" s="378">
        <v>0</v>
      </c>
      <c r="AL693" s="286">
        <v>88243</v>
      </c>
      <c r="AM693" s="286"/>
    </row>
    <row r="694" spans="1:39" s="51" customFormat="1" ht="22.5" hidden="1" x14ac:dyDescent="0.25">
      <c r="A694" s="59" t="s">
        <v>865</v>
      </c>
      <c r="B694" s="59" t="s">
        <v>87</v>
      </c>
      <c r="C694" s="248"/>
      <c r="D694" s="59">
        <v>88277</v>
      </c>
      <c r="E694" s="60" t="s">
        <v>600</v>
      </c>
      <c r="F694" s="59" t="s">
        <v>46</v>
      </c>
      <c r="G694" s="61">
        <f>1/4</f>
        <v>0.25</v>
      </c>
      <c r="H694" s="62">
        <v>18.850000000000001</v>
      </c>
      <c r="I694" s="62">
        <f t="shared" si="75"/>
        <v>4.7125000000000004</v>
      </c>
      <c r="J694" s="62"/>
      <c r="K694" s="62">
        <v>3.4049999999999998</v>
      </c>
      <c r="L694" s="62">
        <v>1.3075000000000001</v>
      </c>
      <c r="M694" s="62">
        <v>0</v>
      </c>
      <c r="N694" s="62">
        <v>0</v>
      </c>
      <c r="O694" s="62">
        <v>0</v>
      </c>
      <c r="P694" s="298" t="s">
        <v>4160</v>
      </c>
      <c r="Q694" s="60" t="s">
        <v>27</v>
      </c>
      <c r="R694" s="60" t="s">
        <v>174</v>
      </c>
      <c r="S694" s="286" t="str">
        <f t="shared" si="74"/>
        <v/>
      </c>
      <c r="T694" s="286" t="str">
        <f>IF($C694= "", T693, IF(ISNA(VLOOKUP($C694,'ABC-S'!$A$5:$A$271,1,FALSE)), "", VLOOKUP($C694,'ABC-S'!$A$5:$A$271,1,FALSE)))</f>
        <v/>
      </c>
      <c r="W694" s="286" t="s">
        <v>865</v>
      </c>
      <c r="X694" s="286">
        <v>88277</v>
      </c>
      <c r="Y694" s="286" t="s">
        <v>424</v>
      </c>
      <c r="Z694" s="335">
        <v>0</v>
      </c>
      <c r="AA694" s="286">
        <v>0.25</v>
      </c>
      <c r="AB694" s="378"/>
      <c r="AC694" s="381" t="s">
        <v>21</v>
      </c>
      <c r="AD694" s="378" t="s">
        <v>21</v>
      </c>
      <c r="AE694" s="378" t="s">
        <v>21</v>
      </c>
      <c r="AF694" s="378" t="s">
        <v>21</v>
      </c>
      <c r="AG694" s="378"/>
      <c r="AI694" s="378">
        <v>0</v>
      </c>
      <c r="AJ694" s="378">
        <v>0</v>
      </c>
      <c r="AL694" s="286">
        <v>88277</v>
      </c>
      <c r="AM694" s="286"/>
    </row>
    <row r="695" spans="1:39" s="51" customFormat="1" hidden="1" x14ac:dyDescent="0.25">
      <c r="A695" s="59" t="s">
        <v>865</v>
      </c>
      <c r="B695" s="59" t="s">
        <v>87</v>
      </c>
      <c r="C695" s="248"/>
      <c r="D695" s="59">
        <v>88315</v>
      </c>
      <c r="E695" s="60" t="s">
        <v>648</v>
      </c>
      <c r="F695" s="59" t="s">
        <v>46</v>
      </c>
      <c r="G695" s="61">
        <f>1/4</f>
        <v>0.25</v>
      </c>
      <c r="H695" s="62">
        <v>23.78</v>
      </c>
      <c r="I695" s="62">
        <f t="shared" si="75"/>
        <v>5.9450000000000003</v>
      </c>
      <c r="J695" s="62"/>
      <c r="K695" s="62">
        <v>4.415</v>
      </c>
      <c r="L695" s="62">
        <v>1.53</v>
      </c>
      <c r="M695" s="62">
        <v>0</v>
      </c>
      <c r="N695" s="62">
        <v>0</v>
      </c>
      <c r="O695" s="62">
        <v>0</v>
      </c>
      <c r="P695" s="298" t="s">
        <v>4160</v>
      </c>
      <c r="Q695" s="60" t="s">
        <v>27</v>
      </c>
      <c r="R695" s="60" t="s">
        <v>174</v>
      </c>
      <c r="S695" s="286" t="str">
        <f t="shared" si="74"/>
        <v/>
      </c>
      <c r="T695" s="286" t="str">
        <f>IF($C695= "", T694, IF(ISNA(VLOOKUP($C695,'ABC-S'!$A$5:$A$271,1,FALSE)), "", VLOOKUP($C695,'ABC-S'!$A$5:$A$271,1,FALSE)))</f>
        <v/>
      </c>
      <c r="W695" s="286" t="s">
        <v>865</v>
      </c>
      <c r="X695" s="286">
        <v>88315</v>
      </c>
      <c r="Y695" s="286" t="s">
        <v>424</v>
      </c>
      <c r="Z695" s="335">
        <v>0</v>
      </c>
      <c r="AA695" s="286">
        <v>0.25</v>
      </c>
      <c r="AB695" s="378"/>
      <c r="AC695" s="381" t="s">
        <v>21</v>
      </c>
      <c r="AD695" s="378" t="s">
        <v>21</v>
      </c>
      <c r="AE695" s="378" t="s">
        <v>21</v>
      </c>
      <c r="AF695" s="378" t="s">
        <v>21</v>
      </c>
      <c r="AG695" s="378"/>
      <c r="AI695" s="378">
        <v>0</v>
      </c>
      <c r="AJ695" s="378">
        <v>0</v>
      </c>
      <c r="AL695" s="286">
        <v>88315</v>
      </c>
      <c r="AM695" s="286"/>
    </row>
    <row r="696" spans="1:39" s="51" customFormat="1" hidden="1" x14ac:dyDescent="0.25">
      <c r="A696" s="59" t="s">
        <v>865</v>
      </c>
      <c r="B696" s="59" t="s">
        <v>87</v>
      </c>
      <c r="C696" s="248"/>
      <c r="D696" s="59">
        <v>88316</v>
      </c>
      <c r="E696" s="60" t="s">
        <v>649</v>
      </c>
      <c r="F696" s="59" t="s">
        <v>46</v>
      </c>
      <c r="G696" s="61">
        <f>2/4</f>
        <v>0.5</v>
      </c>
      <c r="H696" s="62">
        <v>17.61</v>
      </c>
      <c r="I696" s="62">
        <f t="shared" si="75"/>
        <v>8.8049999999999997</v>
      </c>
      <c r="J696" s="62"/>
      <c r="K696" s="62">
        <v>5.8</v>
      </c>
      <c r="L696" s="62">
        <v>3.0049999999999999</v>
      </c>
      <c r="M696" s="62">
        <v>0</v>
      </c>
      <c r="N696" s="62">
        <v>0</v>
      </c>
      <c r="O696" s="62">
        <v>0</v>
      </c>
      <c r="P696" s="298" t="s">
        <v>4160</v>
      </c>
      <c r="Q696" s="60" t="s">
        <v>27</v>
      </c>
      <c r="R696" s="60" t="s">
        <v>174</v>
      </c>
      <c r="S696" s="286" t="str">
        <f t="shared" si="74"/>
        <v/>
      </c>
      <c r="T696" s="286" t="str">
        <f>IF($C696= "", T695, IF(ISNA(VLOOKUP($C696,'ABC-S'!$A$5:$A$271,1,FALSE)), "", VLOOKUP($C696,'ABC-S'!$A$5:$A$271,1,FALSE)))</f>
        <v/>
      </c>
      <c r="W696" s="286" t="s">
        <v>865</v>
      </c>
      <c r="X696" s="286">
        <v>88316</v>
      </c>
      <c r="Y696" s="286" t="s">
        <v>424</v>
      </c>
      <c r="Z696" s="335">
        <v>0</v>
      </c>
      <c r="AA696" s="286">
        <v>0.5</v>
      </c>
      <c r="AB696" s="378"/>
      <c r="AC696" s="381" t="s">
        <v>21</v>
      </c>
      <c r="AD696" s="378" t="s">
        <v>21</v>
      </c>
      <c r="AE696" s="378" t="s">
        <v>21</v>
      </c>
      <c r="AF696" s="378" t="s">
        <v>21</v>
      </c>
      <c r="AG696" s="378"/>
      <c r="AI696" s="378">
        <v>0</v>
      </c>
      <c r="AJ696" s="378">
        <v>0</v>
      </c>
      <c r="AL696" s="286">
        <v>88316</v>
      </c>
      <c r="AM696" s="286"/>
    </row>
    <row r="697" spans="1:39" s="51" customFormat="1" hidden="1" x14ac:dyDescent="0.25">
      <c r="A697" s="59" t="s">
        <v>865</v>
      </c>
      <c r="B697" s="59" t="s">
        <v>86</v>
      </c>
      <c r="C697" s="59"/>
      <c r="D697" s="59" t="s">
        <v>854</v>
      </c>
      <c r="E697" s="60" t="s">
        <v>342</v>
      </c>
      <c r="F697" s="59" t="s">
        <v>54</v>
      </c>
      <c r="G697" s="61">
        <v>11.775</v>
      </c>
      <c r="H697" s="62">
        <v>8.01</v>
      </c>
      <c r="I697" s="62">
        <f t="shared" si="75"/>
        <v>94.317750000000004</v>
      </c>
      <c r="J697" s="62"/>
      <c r="K697" s="62">
        <v>0</v>
      </c>
      <c r="L697" s="62">
        <v>94.317750000000004</v>
      </c>
      <c r="M697" s="62">
        <v>0</v>
      </c>
      <c r="N697" s="62">
        <v>0</v>
      </c>
      <c r="O697" s="62">
        <v>0</v>
      </c>
      <c r="P697" s="298" t="s">
        <v>89</v>
      </c>
      <c r="Q697" s="60" t="s">
        <v>174</v>
      </c>
      <c r="R697" s="60" t="s">
        <v>174</v>
      </c>
      <c r="S697" s="286" t="str">
        <f t="shared" si="74"/>
        <v/>
      </c>
      <c r="T697" s="286" t="str">
        <f>IF($C697= "", T696, IF(ISNA(VLOOKUP($C697,'ABC-S'!$A$5:$A$271,1,FALSE)), "", VLOOKUP($C697,'ABC-S'!$A$5:$A$271,1,FALSE)))</f>
        <v/>
      </c>
      <c r="W697" s="286" t="s">
        <v>865</v>
      </c>
      <c r="X697" s="286" t="s">
        <v>21</v>
      </c>
      <c r="Y697" s="286" t="s">
        <v>21</v>
      </c>
      <c r="Z697" s="286" t="s">
        <v>21</v>
      </c>
      <c r="AA697" s="286" t="s">
        <v>21</v>
      </c>
      <c r="AB697" s="378"/>
      <c r="AC697" s="381" t="s">
        <v>21</v>
      </c>
      <c r="AD697" s="378" t="s">
        <v>21</v>
      </c>
      <c r="AE697" s="378" t="s">
        <v>21</v>
      </c>
      <c r="AF697" s="378" t="s">
        <v>21</v>
      </c>
      <c r="AG697" s="378"/>
      <c r="AI697" s="378" t="s">
        <v>21</v>
      </c>
      <c r="AJ697" s="378" t="s">
        <v>21</v>
      </c>
      <c r="AL697" s="286"/>
      <c r="AM697" s="286" t="s">
        <v>854</v>
      </c>
    </row>
    <row r="698" spans="1:39" s="51" customFormat="1" hidden="1" x14ac:dyDescent="0.25">
      <c r="A698" s="59" t="s">
        <v>865</v>
      </c>
      <c r="B698" s="59" t="s">
        <v>86</v>
      </c>
      <c r="C698" s="59"/>
      <c r="D698" s="59" t="s">
        <v>868</v>
      </c>
      <c r="E698" s="60" t="s">
        <v>345</v>
      </c>
      <c r="F698" s="59" t="s">
        <v>51</v>
      </c>
      <c r="G698" s="61">
        <v>1.4</v>
      </c>
      <c r="H698" s="62">
        <v>115.55</v>
      </c>
      <c r="I698" s="62">
        <f t="shared" si="75"/>
        <v>161.76999999999998</v>
      </c>
      <c r="J698" s="62"/>
      <c r="K698" s="62">
        <v>0</v>
      </c>
      <c r="L698" s="62">
        <v>161.76999999999998</v>
      </c>
      <c r="M698" s="62">
        <v>0</v>
      </c>
      <c r="N698" s="62">
        <v>0</v>
      </c>
      <c r="O698" s="62">
        <v>0</v>
      </c>
      <c r="P698" s="298" t="s">
        <v>89</v>
      </c>
      <c r="Q698" s="60" t="s">
        <v>174</v>
      </c>
      <c r="R698" s="60" t="s">
        <v>174</v>
      </c>
      <c r="S698" s="286" t="str">
        <f t="shared" si="74"/>
        <v/>
      </c>
      <c r="T698" s="286" t="str">
        <f>IF($C698= "", T697, IF(ISNA(VLOOKUP($C698,'ABC-S'!$A$5:$A$271,1,FALSE)), "", VLOOKUP($C698,'ABC-S'!$A$5:$A$271,1,FALSE)))</f>
        <v/>
      </c>
      <c r="W698" s="286" t="s">
        <v>865</v>
      </c>
      <c r="X698" s="286" t="s">
        <v>21</v>
      </c>
      <c r="Y698" s="286" t="s">
        <v>21</v>
      </c>
      <c r="Z698" s="286" t="s">
        <v>21</v>
      </c>
      <c r="AA698" s="286" t="s">
        <v>21</v>
      </c>
      <c r="AB698" s="378"/>
      <c r="AC698" s="381" t="s">
        <v>21</v>
      </c>
      <c r="AD698" s="378" t="s">
        <v>21</v>
      </c>
      <c r="AE698" s="378" t="s">
        <v>21</v>
      </c>
      <c r="AF698" s="378" t="s">
        <v>21</v>
      </c>
      <c r="AG698" s="378"/>
      <c r="AI698" s="378" t="s">
        <v>21</v>
      </c>
      <c r="AJ698" s="378" t="s">
        <v>21</v>
      </c>
      <c r="AL698" s="286"/>
      <c r="AM698" s="286" t="s">
        <v>868</v>
      </c>
    </row>
    <row r="699" spans="1:39" s="51" customFormat="1" ht="33.75" hidden="1" x14ac:dyDescent="0.25">
      <c r="A699" s="59" t="s">
        <v>865</v>
      </c>
      <c r="B699" s="59" t="s">
        <v>87</v>
      </c>
      <c r="C699" s="59"/>
      <c r="D699" s="59">
        <v>100729</v>
      </c>
      <c r="E699" s="60" t="s">
        <v>3664</v>
      </c>
      <c r="F699" s="59" t="s">
        <v>51</v>
      </c>
      <c r="G699" s="61">
        <v>1</v>
      </c>
      <c r="H699" s="62">
        <v>15.22</v>
      </c>
      <c r="I699" s="62">
        <f t="shared" si="75"/>
        <v>15.22</v>
      </c>
      <c r="J699" s="62"/>
      <c r="K699" s="62">
        <v>1.2</v>
      </c>
      <c r="L699" s="62">
        <v>14.02</v>
      </c>
      <c r="M699" s="62">
        <v>0</v>
      </c>
      <c r="N699" s="62">
        <v>0</v>
      </c>
      <c r="O699" s="62">
        <v>1.7763568394002505E-15</v>
      </c>
      <c r="P699" s="298" t="s">
        <v>4160</v>
      </c>
      <c r="Q699" s="60" t="s">
        <v>27</v>
      </c>
      <c r="R699" s="60" t="s">
        <v>174</v>
      </c>
      <c r="S699" s="286" t="str">
        <f t="shared" si="74"/>
        <v/>
      </c>
      <c r="T699" s="286" t="str">
        <f>IF($C699= "", T698, IF(ISNA(VLOOKUP($C699,'ABC-S'!$A$5:$A$271,1,FALSE)), "", VLOOKUP($C699,'ABC-S'!$A$5:$A$271,1,FALSE)))</f>
        <v/>
      </c>
      <c r="W699" s="286" t="s">
        <v>865</v>
      </c>
      <c r="X699" s="286" t="s">
        <v>21</v>
      </c>
      <c r="Y699" s="286" t="s">
        <v>1513</v>
      </c>
      <c r="Z699" s="335" t="s">
        <v>21</v>
      </c>
      <c r="AA699" s="286" t="s">
        <v>21</v>
      </c>
      <c r="AB699" s="378"/>
      <c r="AC699" s="381">
        <v>100729</v>
      </c>
      <c r="AD699" s="378">
        <v>1</v>
      </c>
      <c r="AE699" s="378">
        <v>6.3500000000000001E-2</v>
      </c>
      <c r="AF699" s="378">
        <v>6.3500000000000001E-2</v>
      </c>
      <c r="AG699" s="378"/>
      <c r="AI699" s="378">
        <v>0</v>
      </c>
      <c r="AJ699" s="378">
        <v>0</v>
      </c>
      <c r="AL699" s="286">
        <v>100729</v>
      </c>
      <c r="AM699" s="286"/>
    </row>
    <row r="700" spans="1:39" s="51" customFormat="1" ht="33.75" hidden="1" x14ac:dyDescent="0.25">
      <c r="A700" s="59" t="s">
        <v>865</v>
      </c>
      <c r="B700" s="59" t="s">
        <v>87</v>
      </c>
      <c r="C700" s="59"/>
      <c r="D700" s="248">
        <v>72850</v>
      </c>
      <c r="E700" s="395" t="s">
        <v>1312</v>
      </c>
      <c r="F700" s="248" t="s">
        <v>55</v>
      </c>
      <c r="G700" s="280">
        <f>0.01178+0.00075</f>
        <v>1.2530000000000001E-2</v>
      </c>
      <c r="H700" s="396">
        <v>11.844150000000001</v>
      </c>
      <c r="I700" s="396">
        <f>IF($D700="","",G700*H700)</f>
        <v>0.14840719950000003</v>
      </c>
      <c r="J700" s="396"/>
      <c r="K700" s="396">
        <v>1.5263231550000001E-2</v>
      </c>
      <c r="L700" s="396">
        <v>9.9300788790000011E-2</v>
      </c>
      <c r="M700" s="396">
        <v>3.384317916E-2</v>
      </c>
      <c r="N700" s="396">
        <v>0</v>
      </c>
      <c r="O700" s="396">
        <v>0</v>
      </c>
      <c r="P700" s="298" t="s">
        <v>4160</v>
      </c>
      <c r="Q700" s="60" t="s">
        <v>27</v>
      </c>
      <c r="R700" s="60" t="s">
        <v>174</v>
      </c>
      <c r="S700" s="286" t="str">
        <f t="shared" si="74"/>
        <v/>
      </c>
      <c r="T700" s="286" t="str">
        <f>IF($C700= "", T699, IF(ISNA(VLOOKUP($C700,'ABC-S'!$A$5:$A$271,1,FALSE)), "", VLOOKUP($C700,'ABC-S'!$A$5:$A$271,1,FALSE)))</f>
        <v/>
      </c>
      <c r="W700" s="286" t="s">
        <v>865</v>
      </c>
      <c r="X700" s="286" t="s">
        <v>21</v>
      </c>
      <c r="Y700" s="286" t="s">
        <v>1513</v>
      </c>
      <c r="Z700" s="335" t="s">
        <v>21</v>
      </c>
      <c r="AA700" s="286" t="s">
        <v>21</v>
      </c>
      <c r="AB700" s="378"/>
      <c r="AC700" s="381">
        <v>72850</v>
      </c>
      <c r="AD700" s="378">
        <v>1.2530000000000001E-2</v>
      </c>
      <c r="AE700" s="378">
        <v>8.43E-2</v>
      </c>
      <c r="AF700" s="378">
        <v>1.056279E-3</v>
      </c>
      <c r="AG700" s="378"/>
      <c r="AI700" s="378" t="s">
        <v>21</v>
      </c>
      <c r="AJ700" s="378" t="s">
        <v>21</v>
      </c>
      <c r="AL700" s="286">
        <v>72850</v>
      </c>
      <c r="AM700" s="286"/>
    </row>
    <row r="701" spans="1:39" s="51" customFormat="1" ht="33.75" hidden="1" x14ac:dyDescent="0.25">
      <c r="A701" s="59" t="s">
        <v>865</v>
      </c>
      <c r="B701" s="59" t="s">
        <v>87</v>
      </c>
      <c r="C701" s="59"/>
      <c r="D701" s="59">
        <v>100949</v>
      </c>
      <c r="E701" s="60" t="s">
        <v>791</v>
      </c>
      <c r="F701" s="59" t="s">
        <v>42</v>
      </c>
      <c r="G701" s="61">
        <f>G700</f>
        <v>1.2530000000000001E-2</v>
      </c>
      <c r="H701" s="62">
        <v>4.28</v>
      </c>
      <c r="I701" s="62">
        <f t="shared" si="75"/>
        <v>5.3628400000000007E-2</v>
      </c>
      <c r="J701" s="62"/>
      <c r="K701" s="62">
        <v>7.2674000000000002E-3</v>
      </c>
      <c r="L701" s="62">
        <v>3.3705700000000005E-2</v>
      </c>
      <c r="M701" s="62">
        <v>1.2655300000000001E-2</v>
      </c>
      <c r="N701" s="62">
        <v>0</v>
      </c>
      <c r="O701" s="62">
        <v>0</v>
      </c>
      <c r="P701" s="298" t="s">
        <v>4160</v>
      </c>
      <c r="Q701" s="60" t="s">
        <v>27</v>
      </c>
      <c r="R701" s="60" t="s">
        <v>174</v>
      </c>
      <c r="S701" s="286" t="str">
        <f t="shared" si="74"/>
        <v/>
      </c>
      <c r="T701" s="286" t="str">
        <f>IF($C701= "", T700, IF(ISNA(VLOOKUP($C701,'ABC-S'!$A$5:$A$271,1,FALSE)), "", VLOOKUP($C701,'ABC-S'!$A$5:$A$271,1,FALSE)))</f>
        <v/>
      </c>
      <c r="W701" s="286" t="s">
        <v>865</v>
      </c>
      <c r="X701" s="286" t="s">
        <v>21</v>
      </c>
      <c r="Y701" s="286" t="s">
        <v>1098</v>
      </c>
      <c r="Z701" s="335" t="s">
        <v>21</v>
      </c>
      <c r="AA701" s="286" t="s">
        <v>21</v>
      </c>
      <c r="AB701" s="378"/>
      <c r="AC701" s="381">
        <v>100949</v>
      </c>
      <c r="AD701" s="378">
        <v>1.2530000000000001E-2</v>
      </c>
      <c r="AE701" s="378">
        <v>3.9699999999999999E-2</v>
      </c>
      <c r="AF701" s="378">
        <v>4.9744100000000005E-4</v>
      </c>
      <c r="AG701" s="378"/>
      <c r="AI701" s="378">
        <v>0</v>
      </c>
      <c r="AJ701" s="378">
        <v>0</v>
      </c>
      <c r="AL701" s="286">
        <v>100949</v>
      </c>
      <c r="AM701" s="286"/>
    </row>
    <row r="702" spans="1:39" s="51" customFormat="1" ht="45" x14ac:dyDescent="0.25">
      <c r="A702" s="55" t="s">
        <v>870</v>
      </c>
      <c r="B702" s="55" t="s">
        <v>138</v>
      </c>
      <c r="C702" s="55" t="s">
        <v>870</v>
      </c>
      <c r="D702" s="55"/>
      <c r="E702" s="56" t="s">
        <v>862</v>
      </c>
      <c r="F702" s="55" t="s">
        <v>51</v>
      </c>
      <c r="G702" s="57"/>
      <c r="H702" s="58"/>
      <c r="I702" s="58"/>
      <c r="J702" s="58">
        <f>SUM(I702:I709)</f>
        <v>344.07793987600002</v>
      </c>
      <c r="K702" s="58">
        <v>39.431643621899994</v>
      </c>
      <c r="L702" s="58">
        <v>294.65322282375331</v>
      </c>
      <c r="M702" s="58">
        <v>9.9930734303466657</v>
      </c>
      <c r="N702" s="58">
        <v>0</v>
      </c>
      <c r="O702" s="58">
        <v>5.5962179335011797E-14</v>
      </c>
      <c r="P702" s="58"/>
      <c r="Q702" s="56"/>
      <c r="R702" s="56" t="s">
        <v>863</v>
      </c>
      <c r="S702" s="286" t="str">
        <f t="shared" si="74"/>
        <v>SIM</v>
      </c>
      <c r="T702" s="286" t="str">
        <f>IF($C702= "", T701, IF(ISNA(VLOOKUP($C702,'ABC-S'!$A$5:$A$271,1,FALSE)), "", VLOOKUP($C702,'ABC-S'!$A$5:$A$271,1,FALSE)))</f>
        <v>CP0578</v>
      </c>
      <c r="W702" s="286" t="s">
        <v>870</v>
      </c>
      <c r="X702" s="286"/>
      <c r="Y702" s="286"/>
      <c r="Z702" s="286"/>
      <c r="AA702" s="286" t="s">
        <v>21</v>
      </c>
      <c r="AB702" s="378">
        <v>1</v>
      </c>
      <c r="AC702" s="378"/>
      <c r="AD702" s="335"/>
      <c r="AE702" s="335"/>
      <c r="AF702" s="335"/>
      <c r="AG702" s="378">
        <v>2.9000498933333336</v>
      </c>
      <c r="AI702" s="378" t="s">
        <v>21</v>
      </c>
      <c r="AJ702" s="378" t="s">
        <v>21</v>
      </c>
      <c r="AL702" s="286"/>
      <c r="AM702" s="286"/>
    </row>
    <row r="703" spans="1:39" s="51" customFormat="1" ht="56.25" x14ac:dyDescent="0.25">
      <c r="A703" s="59" t="s">
        <v>870</v>
      </c>
      <c r="B703" s="59" t="s">
        <v>87</v>
      </c>
      <c r="C703" s="59"/>
      <c r="D703" s="59">
        <v>73467</v>
      </c>
      <c r="E703" s="60" t="s">
        <v>533</v>
      </c>
      <c r="F703" s="59" t="s">
        <v>76</v>
      </c>
      <c r="G703" s="61">
        <f>(1*0.3)/3</f>
        <v>9.9999999999999992E-2</v>
      </c>
      <c r="H703" s="62">
        <v>119.7</v>
      </c>
      <c r="I703" s="62">
        <f t="shared" ref="I703:I709" si="76">IF($D703="","",G703*H703)</f>
        <v>11.969999999999999</v>
      </c>
      <c r="J703" s="62"/>
      <c r="K703" s="62">
        <v>1.4449999999999998</v>
      </c>
      <c r="L703" s="62">
        <v>6.7329999999999997</v>
      </c>
      <c r="M703" s="62">
        <v>3.7919999999999998</v>
      </c>
      <c r="N703" s="62">
        <v>0</v>
      </c>
      <c r="O703" s="62">
        <v>0</v>
      </c>
      <c r="P703" s="298" t="s">
        <v>4160</v>
      </c>
      <c r="Q703" s="60" t="s">
        <v>27</v>
      </c>
      <c r="R703" s="60" t="s">
        <v>174</v>
      </c>
      <c r="S703" s="286" t="str">
        <f t="shared" si="74"/>
        <v>SIM</v>
      </c>
      <c r="T703" s="286" t="str">
        <f>IF($C703= "", T702, IF(ISNA(VLOOKUP($C703,'ABC-S'!$A$5:$A$271,1,FALSE)), "", VLOOKUP($C703,'ABC-S'!$A$5:$A$271,1,FALSE)))</f>
        <v>CP0578</v>
      </c>
      <c r="W703" s="286" t="s">
        <v>870</v>
      </c>
      <c r="X703" s="286" t="s">
        <v>21</v>
      </c>
      <c r="Y703" s="286" t="s">
        <v>423</v>
      </c>
      <c r="Z703" s="335" t="s">
        <v>21</v>
      </c>
      <c r="AA703" s="286" t="s">
        <v>21</v>
      </c>
      <c r="AB703" s="378"/>
      <c r="AC703" s="381">
        <v>73467</v>
      </c>
      <c r="AD703" s="378">
        <v>9.9999999999999992E-2</v>
      </c>
      <c r="AE703" s="378">
        <v>1</v>
      </c>
      <c r="AF703" s="378">
        <v>9.9999999999999992E-2</v>
      </c>
      <c r="AG703" s="378"/>
      <c r="AI703" s="378">
        <v>0</v>
      </c>
      <c r="AJ703" s="378">
        <v>0</v>
      </c>
      <c r="AL703" s="286">
        <v>73467</v>
      </c>
      <c r="AM703" s="286"/>
    </row>
    <row r="704" spans="1:39" s="51" customFormat="1" ht="56.25" x14ac:dyDescent="0.25">
      <c r="A704" s="59" t="s">
        <v>870</v>
      </c>
      <c r="B704" s="59" t="s">
        <v>87</v>
      </c>
      <c r="C704" s="59"/>
      <c r="D704" s="59">
        <v>91395</v>
      </c>
      <c r="E704" s="60" t="s">
        <v>532</v>
      </c>
      <c r="F704" s="59" t="s">
        <v>75</v>
      </c>
      <c r="G704" s="61">
        <f>(1*0.7)/3</f>
        <v>0.23333333333333331</v>
      </c>
      <c r="H704" s="62">
        <v>35.119999999999997</v>
      </c>
      <c r="I704" s="62">
        <f t="shared" si="76"/>
        <v>8.1946666666666648</v>
      </c>
      <c r="J704" s="62"/>
      <c r="K704" s="62">
        <v>3.3716666666666661</v>
      </c>
      <c r="L704" s="62">
        <v>1.2203333333333333</v>
      </c>
      <c r="M704" s="62">
        <v>3.602666666666666</v>
      </c>
      <c r="N704" s="62">
        <v>0</v>
      </c>
      <c r="O704" s="62">
        <v>-1.7763568394002505E-15</v>
      </c>
      <c r="P704" s="298" t="s">
        <v>4160</v>
      </c>
      <c r="Q704" s="60" t="s">
        <v>27</v>
      </c>
      <c r="R704" s="60" t="s">
        <v>174</v>
      </c>
      <c r="S704" s="286" t="str">
        <f t="shared" si="74"/>
        <v>SIM</v>
      </c>
      <c r="T704" s="286" t="str">
        <f>IF($C704= "", T703, IF(ISNA(VLOOKUP($C704,'ABC-S'!$A$5:$A$271,1,FALSE)), "", VLOOKUP($C704,'ABC-S'!$A$5:$A$271,1,FALSE)))</f>
        <v>CP0578</v>
      </c>
      <c r="W704" s="286" t="s">
        <v>870</v>
      </c>
      <c r="X704" s="286" t="s">
        <v>21</v>
      </c>
      <c r="Y704" s="286" t="s">
        <v>423</v>
      </c>
      <c r="Z704" s="335" t="s">
        <v>21</v>
      </c>
      <c r="AA704" s="286" t="s">
        <v>21</v>
      </c>
      <c r="AB704" s="378"/>
      <c r="AC704" s="381">
        <v>91395</v>
      </c>
      <c r="AD704" s="378">
        <v>0.23333333333333331</v>
      </c>
      <c r="AE704" s="378">
        <v>1</v>
      </c>
      <c r="AF704" s="378">
        <v>0.23333333333333331</v>
      </c>
      <c r="AG704" s="378"/>
      <c r="AI704" s="378">
        <v>0</v>
      </c>
      <c r="AJ704" s="378">
        <v>0</v>
      </c>
      <c r="AL704" s="286">
        <v>91395</v>
      </c>
      <c r="AM704" s="286"/>
    </row>
    <row r="705" spans="1:39" s="51" customFormat="1" ht="22.5" x14ac:dyDescent="0.25">
      <c r="A705" s="59" t="s">
        <v>870</v>
      </c>
      <c r="B705" s="59" t="s">
        <v>87</v>
      </c>
      <c r="C705" s="248"/>
      <c r="D705" s="59">
        <v>88277</v>
      </c>
      <c r="E705" s="60" t="s">
        <v>600</v>
      </c>
      <c r="F705" s="59" t="s">
        <v>46</v>
      </c>
      <c r="G705" s="61">
        <f>1/3</f>
        <v>0.33333333333333331</v>
      </c>
      <c r="H705" s="62">
        <v>18.850000000000001</v>
      </c>
      <c r="I705" s="62">
        <f t="shared" si="76"/>
        <v>6.2833333333333332</v>
      </c>
      <c r="J705" s="62"/>
      <c r="K705" s="62">
        <v>4.5399999999999991</v>
      </c>
      <c r="L705" s="62">
        <v>1.7433333333333334</v>
      </c>
      <c r="M705" s="62">
        <v>0</v>
      </c>
      <c r="N705" s="62">
        <v>0</v>
      </c>
      <c r="O705" s="62">
        <v>8.8817841970012523E-16</v>
      </c>
      <c r="P705" s="298" t="s">
        <v>4160</v>
      </c>
      <c r="Q705" s="60" t="s">
        <v>27</v>
      </c>
      <c r="R705" s="60" t="s">
        <v>174</v>
      </c>
      <c r="S705" s="286" t="str">
        <f t="shared" si="74"/>
        <v>SIM</v>
      </c>
      <c r="T705" s="286" t="str">
        <f>IF($C705= "", T704, IF(ISNA(VLOOKUP($C705,'ABC-S'!$A$5:$A$271,1,FALSE)), "", VLOOKUP($C705,'ABC-S'!$A$5:$A$271,1,FALSE)))</f>
        <v>CP0578</v>
      </c>
      <c r="W705" s="286" t="s">
        <v>870</v>
      </c>
      <c r="X705" s="286">
        <v>88277</v>
      </c>
      <c r="Y705" s="286" t="s">
        <v>424</v>
      </c>
      <c r="Z705" s="335">
        <v>0.75</v>
      </c>
      <c r="AA705" s="286">
        <v>0.33333333333333331</v>
      </c>
      <c r="AB705" s="378"/>
      <c r="AC705" s="381" t="s">
        <v>21</v>
      </c>
      <c r="AD705" s="378" t="s">
        <v>21</v>
      </c>
      <c r="AE705" s="378" t="s">
        <v>21</v>
      </c>
      <c r="AF705" s="378" t="s">
        <v>21</v>
      </c>
      <c r="AG705" s="378"/>
      <c r="AI705" s="378">
        <v>0</v>
      </c>
      <c r="AJ705" s="378">
        <v>0</v>
      </c>
      <c r="AL705" s="286">
        <v>88277</v>
      </c>
      <c r="AM705" s="286"/>
    </row>
    <row r="706" spans="1:39" s="51" customFormat="1" x14ac:dyDescent="0.25">
      <c r="A706" s="59" t="s">
        <v>870</v>
      </c>
      <c r="B706" s="59" t="s">
        <v>87</v>
      </c>
      <c r="C706" s="248"/>
      <c r="D706" s="59">
        <v>88316</v>
      </c>
      <c r="E706" s="60" t="s">
        <v>649</v>
      </c>
      <c r="F706" s="59" t="s">
        <v>46</v>
      </c>
      <c r="G706" s="61">
        <f>2/3</f>
        <v>0.66666666666666663</v>
      </c>
      <c r="H706" s="62">
        <v>17.61</v>
      </c>
      <c r="I706" s="62">
        <f t="shared" si="76"/>
        <v>11.739999999999998</v>
      </c>
      <c r="J706" s="62"/>
      <c r="K706" s="62">
        <v>7.7333333333333325</v>
      </c>
      <c r="L706" s="62">
        <v>4.0066666666666659</v>
      </c>
      <c r="M706" s="62">
        <v>0</v>
      </c>
      <c r="N706" s="62">
        <v>0</v>
      </c>
      <c r="O706" s="62">
        <v>0</v>
      </c>
      <c r="P706" s="298" t="s">
        <v>4160</v>
      </c>
      <c r="Q706" s="60" t="s">
        <v>27</v>
      </c>
      <c r="R706" s="60" t="s">
        <v>174</v>
      </c>
      <c r="S706" s="286" t="str">
        <f t="shared" si="74"/>
        <v>SIM</v>
      </c>
      <c r="T706" s="286" t="str">
        <f>IF($C706= "", T705, IF(ISNA(VLOOKUP($C706,'ABC-S'!$A$5:$A$271,1,FALSE)), "", VLOOKUP($C706,'ABC-S'!$A$5:$A$271,1,FALSE)))</f>
        <v>CP0578</v>
      </c>
      <c r="W706" s="286" t="s">
        <v>870</v>
      </c>
      <c r="X706" s="286">
        <v>88316</v>
      </c>
      <c r="Y706" s="286" t="s">
        <v>424</v>
      </c>
      <c r="Z706" s="335">
        <v>0.75</v>
      </c>
      <c r="AA706" s="286">
        <v>0.66666666666666663</v>
      </c>
      <c r="AB706" s="378"/>
      <c r="AC706" s="381" t="s">
        <v>21</v>
      </c>
      <c r="AD706" s="378" t="s">
        <v>21</v>
      </c>
      <c r="AE706" s="378" t="s">
        <v>21</v>
      </c>
      <c r="AF706" s="378" t="s">
        <v>21</v>
      </c>
      <c r="AG706" s="378"/>
      <c r="AI706" s="378">
        <v>0</v>
      </c>
      <c r="AJ706" s="378">
        <v>0</v>
      </c>
      <c r="AL706" s="286">
        <v>88316</v>
      </c>
      <c r="AM706" s="286"/>
    </row>
    <row r="707" spans="1:39" s="51" customFormat="1" ht="22.5" x14ac:dyDescent="0.25">
      <c r="A707" s="59" t="s">
        <v>870</v>
      </c>
      <c r="B707" s="59" t="s">
        <v>87</v>
      </c>
      <c r="C707" s="59"/>
      <c r="D707" s="248" t="s">
        <v>865</v>
      </c>
      <c r="E707" s="60" t="s">
        <v>866</v>
      </c>
      <c r="F707" s="59" t="s">
        <v>51</v>
      </c>
      <c r="G707" s="61">
        <v>1</v>
      </c>
      <c r="H707" s="62">
        <v>305.67371502450004</v>
      </c>
      <c r="I707" s="62">
        <f t="shared" si="76"/>
        <v>305.67371502450004</v>
      </c>
      <c r="J707" s="62"/>
      <c r="K707" s="62">
        <v>22.317530631549999</v>
      </c>
      <c r="L707" s="62">
        <v>280.80754176378997</v>
      </c>
      <c r="M707" s="62">
        <v>2.5486426291600002</v>
      </c>
      <c r="N707" s="62">
        <v>0</v>
      </c>
      <c r="O707" s="62">
        <v>5.6843418860808015E-14</v>
      </c>
      <c r="P707" s="298" t="s">
        <v>4160</v>
      </c>
      <c r="Q707" s="60" t="s">
        <v>27</v>
      </c>
      <c r="R707" s="60" t="s">
        <v>174</v>
      </c>
      <c r="S707" s="286" t="str">
        <f t="shared" si="74"/>
        <v>SIM</v>
      </c>
      <c r="T707" s="286" t="str">
        <f>IF($C707= "", T706, IF(ISNA(VLOOKUP($C707,'ABC-S'!$A$5:$A$271,1,FALSE)), "", VLOOKUP($C707,'ABC-S'!$A$5:$A$271,1,FALSE)))</f>
        <v>CP0578</v>
      </c>
      <c r="W707" s="286" t="s">
        <v>870</v>
      </c>
      <c r="X707" s="286" t="s">
        <v>21</v>
      </c>
      <c r="Y707" s="286" t="s">
        <v>1513</v>
      </c>
      <c r="Z707" s="335" t="s">
        <v>21</v>
      </c>
      <c r="AA707" s="286" t="s">
        <v>21</v>
      </c>
      <c r="AB707" s="378"/>
      <c r="AC707" s="381" t="s">
        <v>865</v>
      </c>
      <c r="AD707" s="378">
        <v>1</v>
      </c>
      <c r="AE707" s="378">
        <v>1.5650537200000001</v>
      </c>
      <c r="AF707" s="378">
        <v>1.5650537200000001</v>
      </c>
      <c r="AG707" s="378"/>
      <c r="AI707" s="378" t="s">
        <v>21</v>
      </c>
      <c r="AJ707" s="378" t="s">
        <v>21</v>
      </c>
      <c r="AL707" s="286" t="s">
        <v>865</v>
      </c>
      <c r="AM707" s="286"/>
    </row>
    <row r="708" spans="1:39" s="51" customFormat="1" ht="33.75" x14ac:dyDescent="0.25">
      <c r="A708" s="59" t="s">
        <v>870</v>
      </c>
      <c r="B708" s="59" t="s">
        <v>87</v>
      </c>
      <c r="C708" s="59"/>
      <c r="D708" s="248">
        <v>72850</v>
      </c>
      <c r="E708" s="395" t="s">
        <v>1312</v>
      </c>
      <c r="F708" s="248" t="s">
        <v>55</v>
      </c>
      <c r="G708" s="280">
        <v>1.341E-2</v>
      </c>
      <c r="H708" s="396">
        <v>11.844150000000001</v>
      </c>
      <c r="I708" s="396">
        <f>IF($D708="","",G708*H708)</f>
        <v>0.15883005150000001</v>
      </c>
      <c r="J708" s="396"/>
      <c r="K708" s="396">
        <v>1.6335190350000001E-2</v>
      </c>
      <c r="L708" s="396">
        <v>0.10627482663000001</v>
      </c>
      <c r="M708" s="396">
        <v>3.622003452E-2</v>
      </c>
      <c r="N708" s="396">
        <v>0</v>
      </c>
      <c r="O708" s="396">
        <v>0</v>
      </c>
      <c r="P708" s="298" t="s">
        <v>4160</v>
      </c>
      <c r="Q708" s="60" t="s">
        <v>27</v>
      </c>
      <c r="R708" s="60" t="s">
        <v>174</v>
      </c>
      <c r="S708" s="286" t="str">
        <f t="shared" si="74"/>
        <v>SIM</v>
      </c>
      <c r="T708" s="286" t="str">
        <f>IF($C708= "", T707, IF(ISNA(VLOOKUP($C708,'ABC-S'!$A$5:$A$271,1,FALSE)), "", VLOOKUP($C708,'ABC-S'!$A$5:$A$271,1,FALSE)))</f>
        <v>CP0578</v>
      </c>
      <c r="W708" s="286" t="s">
        <v>870</v>
      </c>
      <c r="X708" s="286" t="s">
        <v>21</v>
      </c>
      <c r="Y708" s="286" t="s">
        <v>1513</v>
      </c>
      <c r="Z708" s="335" t="s">
        <v>21</v>
      </c>
      <c r="AA708" s="286" t="s">
        <v>21</v>
      </c>
      <c r="AB708" s="378"/>
      <c r="AC708" s="381">
        <v>72850</v>
      </c>
      <c r="AD708" s="378">
        <v>1.341E-2</v>
      </c>
      <c r="AE708" s="378">
        <v>8.43E-2</v>
      </c>
      <c r="AF708" s="378">
        <v>1.130463E-3</v>
      </c>
      <c r="AG708" s="378"/>
      <c r="AI708" s="378" t="s">
        <v>21</v>
      </c>
      <c r="AJ708" s="378" t="s">
        <v>21</v>
      </c>
      <c r="AL708" s="286">
        <v>72850</v>
      </c>
      <c r="AM708" s="286"/>
    </row>
    <row r="709" spans="1:39" s="51" customFormat="1" ht="33.75" x14ac:dyDescent="0.25">
      <c r="A709" s="59" t="s">
        <v>870</v>
      </c>
      <c r="B709" s="59" t="s">
        <v>87</v>
      </c>
      <c r="C709" s="59"/>
      <c r="D709" s="59">
        <v>100949</v>
      </c>
      <c r="E709" s="60" t="s">
        <v>791</v>
      </c>
      <c r="F709" s="59" t="s">
        <v>42</v>
      </c>
      <c r="G709" s="61">
        <f>G708</f>
        <v>1.341E-2</v>
      </c>
      <c r="H709" s="62">
        <v>4.28</v>
      </c>
      <c r="I709" s="62">
        <f t="shared" si="76"/>
        <v>5.7394800000000003E-2</v>
      </c>
      <c r="J709" s="62"/>
      <c r="K709" s="62">
        <v>7.7777999999999996E-3</v>
      </c>
      <c r="L709" s="62">
        <v>3.6072899999999998E-2</v>
      </c>
      <c r="M709" s="62">
        <v>1.35441E-2</v>
      </c>
      <c r="N709" s="62">
        <v>0</v>
      </c>
      <c r="O709" s="62">
        <v>6.9388939039072284E-18</v>
      </c>
      <c r="P709" s="298" t="s">
        <v>4160</v>
      </c>
      <c r="Q709" s="60" t="s">
        <v>27</v>
      </c>
      <c r="R709" s="60" t="s">
        <v>174</v>
      </c>
      <c r="S709" s="286" t="str">
        <f t="shared" si="74"/>
        <v>SIM</v>
      </c>
      <c r="T709" s="286" t="str">
        <f>IF($C709= "", T708, IF(ISNA(VLOOKUP($C709,'ABC-S'!$A$5:$A$271,1,FALSE)), "", VLOOKUP($C709,'ABC-S'!$A$5:$A$271,1,FALSE)))</f>
        <v>CP0578</v>
      </c>
      <c r="W709" s="286" t="s">
        <v>870</v>
      </c>
      <c r="X709" s="286" t="s">
        <v>21</v>
      </c>
      <c r="Y709" s="286" t="s">
        <v>1098</v>
      </c>
      <c r="Z709" s="335" t="s">
        <v>21</v>
      </c>
      <c r="AA709" s="286" t="s">
        <v>21</v>
      </c>
      <c r="AB709" s="378"/>
      <c r="AC709" s="381">
        <v>100949</v>
      </c>
      <c r="AD709" s="378">
        <v>1.341E-2</v>
      </c>
      <c r="AE709" s="378">
        <v>3.9699999999999999E-2</v>
      </c>
      <c r="AF709" s="378">
        <v>5.32377E-4</v>
      </c>
      <c r="AG709" s="378"/>
      <c r="AI709" s="378">
        <v>0</v>
      </c>
      <c r="AJ709" s="378">
        <v>0</v>
      </c>
      <c r="AL709" s="286">
        <v>100949</v>
      </c>
      <c r="AM709" s="286"/>
    </row>
    <row r="710" spans="1:39" s="51" customFormat="1" ht="45" x14ac:dyDescent="0.25">
      <c r="A710" s="55" t="s">
        <v>4096</v>
      </c>
      <c r="B710" s="55" t="s">
        <v>138</v>
      </c>
      <c r="C710" s="55" t="s">
        <v>4096</v>
      </c>
      <c r="D710" s="55"/>
      <c r="E710" s="56" t="s">
        <v>4098</v>
      </c>
      <c r="F710" s="55" t="s">
        <v>51</v>
      </c>
      <c r="G710" s="57"/>
      <c r="H710" s="58"/>
      <c r="I710" s="58"/>
      <c r="J710" s="58">
        <f>SUM(I710:I716)</f>
        <v>302.61359999999996</v>
      </c>
      <c r="K710" s="58">
        <v>2.6128</v>
      </c>
      <c r="L710" s="58">
        <v>298.93359999999996</v>
      </c>
      <c r="M710" s="58">
        <v>1.0672000000000001</v>
      </c>
      <c r="N710" s="58">
        <v>0</v>
      </c>
      <c r="O710" s="58">
        <v>-1.1102230246251565E-16</v>
      </c>
      <c r="P710" s="58"/>
      <c r="Q710" s="56"/>
      <c r="R710" s="56" t="s">
        <v>4097</v>
      </c>
      <c r="S710" s="286" t="str">
        <f t="shared" ref="S710:S716" si="77">IF(T710 &lt;&gt; "", "SIM", "")</f>
        <v>SIM</v>
      </c>
      <c r="T710" s="286" t="str">
        <f>IF($C710= "", T709, IF(ISNA(VLOOKUP($C710,'ABC-S'!$A$5:$A$271,1,FALSE)), "", VLOOKUP($C710,'ABC-S'!$A$5:$A$271,1,FALSE)))</f>
        <v>CP0579</v>
      </c>
      <c r="W710" s="286" t="s">
        <v>4096</v>
      </c>
      <c r="X710" s="286"/>
      <c r="Y710" s="286"/>
      <c r="Z710" s="286"/>
      <c r="AA710" s="286" t="s">
        <v>21</v>
      </c>
      <c r="AB710" s="378">
        <v>0.16</v>
      </c>
      <c r="AC710" s="378"/>
      <c r="AD710" s="335"/>
      <c r="AE710" s="335"/>
      <c r="AF710" s="335"/>
      <c r="AG710" s="378">
        <v>0.2</v>
      </c>
      <c r="AI710" s="378" t="s">
        <v>21</v>
      </c>
      <c r="AJ710" s="378" t="s">
        <v>21</v>
      </c>
      <c r="AL710" s="286"/>
      <c r="AM710" s="286"/>
    </row>
    <row r="711" spans="1:39" s="51" customFormat="1" ht="56.25" x14ac:dyDescent="0.25">
      <c r="A711" s="59" t="s">
        <v>4096</v>
      </c>
      <c r="B711" s="59" t="s">
        <v>87</v>
      </c>
      <c r="C711" s="59"/>
      <c r="D711" s="59">
        <v>73467</v>
      </c>
      <c r="E711" s="60" t="s">
        <v>533</v>
      </c>
      <c r="F711" s="59" t="s">
        <v>76</v>
      </c>
      <c r="G711" s="61">
        <f t="shared" ref="G711:G712" si="78">(1 * 0.5) / 25</f>
        <v>0.02</v>
      </c>
      <c r="H711" s="62">
        <v>119.7</v>
      </c>
      <c r="I711" s="62">
        <f t="shared" ref="I711:I715" si="79">IF($D711="","",G711*H711)</f>
        <v>2.3940000000000001</v>
      </c>
      <c r="J711" s="62"/>
      <c r="K711" s="62">
        <v>0.28899999999999998</v>
      </c>
      <c r="L711" s="62">
        <v>1.3466</v>
      </c>
      <c r="M711" s="62">
        <v>0.75840000000000007</v>
      </c>
      <c r="N711" s="62">
        <v>0</v>
      </c>
      <c r="O711" s="62">
        <v>0</v>
      </c>
      <c r="P711" s="298" t="s">
        <v>4160</v>
      </c>
      <c r="Q711" s="60" t="s">
        <v>27</v>
      </c>
      <c r="R711" s="60" t="s">
        <v>174</v>
      </c>
      <c r="S711" s="286" t="str">
        <f t="shared" si="77"/>
        <v>SIM</v>
      </c>
      <c r="T711" s="286" t="str">
        <f>IF($C711= "", T710, IF(ISNA(VLOOKUP($C711,'ABC-S'!$A$5:$A$271,1,FALSE)), "", VLOOKUP($C711,'ABC-S'!$A$5:$A$271,1,FALSE)))</f>
        <v>CP0579</v>
      </c>
      <c r="W711" s="286" t="s">
        <v>4096</v>
      </c>
      <c r="X711" s="286" t="s">
        <v>21</v>
      </c>
      <c r="Y711" s="286" t="s">
        <v>423</v>
      </c>
      <c r="Z711" s="335" t="s">
        <v>21</v>
      </c>
      <c r="AA711" s="286" t="s">
        <v>21</v>
      </c>
      <c r="AB711" s="378"/>
      <c r="AC711" s="381">
        <v>73467</v>
      </c>
      <c r="AD711" s="378">
        <v>0.02</v>
      </c>
      <c r="AE711" s="378">
        <v>1</v>
      </c>
      <c r="AF711" s="378">
        <v>0.02</v>
      </c>
      <c r="AG711" s="378"/>
      <c r="AI711" s="378">
        <v>0</v>
      </c>
      <c r="AJ711" s="378">
        <v>0</v>
      </c>
      <c r="AL711" s="286">
        <v>73467</v>
      </c>
      <c r="AM711" s="286"/>
    </row>
    <row r="712" spans="1:39" s="51" customFormat="1" ht="56.25" x14ac:dyDescent="0.25">
      <c r="A712" s="59" t="s">
        <v>4096</v>
      </c>
      <c r="B712" s="59" t="s">
        <v>87</v>
      </c>
      <c r="C712" s="59"/>
      <c r="D712" s="59">
        <v>91395</v>
      </c>
      <c r="E712" s="60" t="s">
        <v>532</v>
      </c>
      <c r="F712" s="59" t="s">
        <v>75</v>
      </c>
      <c r="G712" s="61">
        <f t="shared" si="78"/>
        <v>0.02</v>
      </c>
      <c r="H712" s="62">
        <v>35.119999999999997</v>
      </c>
      <c r="I712" s="62">
        <f t="shared" si="79"/>
        <v>0.70239999999999991</v>
      </c>
      <c r="J712" s="62"/>
      <c r="K712" s="62">
        <v>0.28899999999999998</v>
      </c>
      <c r="L712" s="62">
        <v>0.10460000000000001</v>
      </c>
      <c r="M712" s="62">
        <v>0.30880000000000002</v>
      </c>
      <c r="N712" s="62">
        <v>0</v>
      </c>
      <c r="O712" s="62">
        <v>-1.1102230246251565E-16</v>
      </c>
      <c r="P712" s="298" t="s">
        <v>4160</v>
      </c>
      <c r="Q712" s="60" t="s">
        <v>27</v>
      </c>
      <c r="R712" s="60" t="s">
        <v>174</v>
      </c>
      <c r="S712" s="286" t="str">
        <f t="shared" si="77"/>
        <v>SIM</v>
      </c>
      <c r="T712" s="286" t="str">
        <f>IF($C712= "", T711, IF(ISNA(VLOOKUP($C712,'ABC-S'!$A$5:$A$271,1,FALSE)), "", VLOOKUP($C712,'ABC-S'!$A$5:$A$271,1,FALSE)))</f>
        <v>CP0579</v>
      </c>
      <c r="W712" s="286" t="s">
        <v>4096</v>
      </c>
      <c r="X712" s="286" t="s">
        <v>21</v>
      </c>
      <c r="Y712" s="286" t="s">
        <v>423</v>
      </c>
      <c r="Z712" s="335" t="s">
        <v>21</v>
      </c>
      <c r="AA712" s="286" t="s">
        <v>21</v>
      </c>
      <c r="AB712" s="378"/>
      <c r="AC712" s="381">
        <v>91395</v>
      </c>
      <c r="AD712" s="378">
        <v>0.02</v>
      </c>
      <c r="AE712" s="378">
        <v>1</v>
      </c>
      <c r="AF712" s="378">
        <v>0.02</v>
      </c>
      <c r="AG712" s="378"/>
      <c r="AI712" s="378">
        <v>0</v>
      </c>
      <c r="AJ712" s="378">
        <v>0</v>
      </c>
      <c r="AL712" s="286">
        <v>91395</v>
      </c>
      <c r="AM712" s="286"/>
    </row>
    <row r="713" spans="1:39" s="51" customFormat="1" ht="22.5" x14ac:dyDescent="0.25">
      <c r="A713" s="59" t="s">
        <v>4096</v>
      </c>
      <c r="B713" s="59" t="s">
        <v>87</v>
      </c>
      <c r="C713" s="248"/>
      <c r="D713" s="59">
        <v>88293</v>
      </c>
      <c r="E713" s="60" t="s">
        <v>612</v>
      </c>
      <c r="F713" s="59" t="s">
        <v>46</v>
      </c>
      <c r="G713" s="61">
        <f>1 / 25</f>
        <v>0.04</v>
      </c>
      <c r="H713" s="62">
        <v>21.3</v>
      </c>
      <c r="I713" s="62">
        <f t="shared" si="79"/>
        <v>0.85200000000000009</v>
      </c>
      <c r="J713" s="62"/>
      <c r="K713" s="62">
        <v>0.64280000000000004</v>
      </c>
      <c r="L713" s="62">
        <v>0.20920000000000002</v>
      </c>
      <c r="M713" s="62">
        <v>0</v>
      </c>
      <c r="N713" s="62">
        <v>0</v>
      </c>
      <c r="O713" s="62">
        <v>0</v>
      </c>
      <c r="P713" s="298" t="s">
        <v>4160</v>
      </c>
      <c r="Q713" s="60" t="s">
        <v>27</v>
      </c>
      <c r="R713" s="60" t="s">
        <v>174</v>
      </c>
      <c r="S713" s="286" t="str">
        <f t="shared" si="77"/>
        <v>SIM</v>
      </c>
      <c r="T713" s="286" t="str">
        <f>IF($C713= "", T712, IF(ISNA(VLOOKUP($C713,'ABC-S'!$A$5:$A$271,1,FALSE)), "", VLOOKUP($C713,'ABC-S'!$A$5:$A$271,1,FALSE)))</f>
        <v>CP0579</v>
      </c>
      <c r="W713" s="286" t="s">
        <v>4096</v>
      </c>
      <c r="X713" s="286">
        <v>88293</v>
      </c>
      <c r="Y713" s="286" t="s">
        <v>424</v>
      </c>
      <c r="Z713" s="335">
        <v>161</v>
      </c>
      <c r="AA713" s="286">
        <v>0.04</v>
      </c>
      <c r="AB713" s="378"/>
      <c r="AC713" s="381" t="s">
        <v>21</v>
      </c>
      <c r="AD713" s="378" t="s">
        <v>21</v>
      </c>
      <c r="AE713" s="378" t="s">
        <v>21</v>
      </c>
      <c r="AF713" s="378" t="s">
        <v>21</v>
      </c>
      <c r="AG713" s="378"/>
      <c r="AI713" s="378">
        <v>0</v>
      </c>
      <c r="AJ713" s="378">
        <v>0</v>
      </c>
      <c r="AL713" s="286">
        <v>88277</v>
      </c>
      <c r="AM713" s="286"/>
    </row>
    <row r="714" spans="1:39" s="51" customFormat="1" x14ac:dyDescent="0.25">
      <c r="A714" s="59" t="s">
        <v>4096</v>
      </c>
      <c r="B714" s="59" t="s">
        <v>87</v>
      </c>
      <c r="C714" s="248"/>
      <c r="D714" s="59">
        <v>88316</v>
      </c>
      <c r="E714" s="60" t="s">
        <v>649</v>
      </c>
      <c r="F714" s="59" t="s">
        <v>46</v>
      </c>
      <c r="G714" s="61">
        <f>3 / 25</f>
        <v>0.12</v>
      </c>
      <c r="H714" s="62">
        <v>17.61</v>
      </c>
      <c r="I714" s="62">
        <f t="shared" si="79"/>
        <v>2.1132</v>
      </c>
      <c r="J714" s="62"/>
      <c r="K714" s="62">
        <v>1.3919999999999999</v>
      </c>
      <c r="L714" s="62">
        <v>0.72119999999999995</v>
      </c>
      <c r="M714" s="62">
        <v>0</v>
      </c>
      <c r="N714" s="62">
        <v>0</v>
      </c>
      <c r="O714" s="62">
        <v>0</v>
      </c>
      <c r="P714" s="298" t="s">
        <v>4160</v>
      </c>
      <c r="Q714" s="60" t="s">
        <v>27</v>
      </c>
      <c r="R714" s="60" t="s">
        <v>174</v>
      </c>
      <c r="S714" s="286" t="str">
        <f t="shared" si="77"/>
        <v>SIM</v>
      </c>
      <c r="T714" s="286" t="str">
        <f>IF($C714= "", T713, IF(ISNA(VLOOKUP($C714,'ABC-S'!$A$5:$A$271,1,FALSE)), "", VLOOKUP($C714,'ABC-S'!$A$5:$A$271,1,FALSE)))</f>
        <v>CP0579</v>
      </c>
      <c r="W714" s="286" t="s">
        <v>4096</v>
      </c>
      <c r="X714" s="286">
        <v>88316</v>
      </c>
      <c r="Y714" s="286" t="s">
        <v>424</v>
      </c>
      <c r="Z714" s="335">
        <v>161</v>
      </c>
      <c r="AA714" s="286">
        <v>0.12</v>
      </c>
      <c r="AB714" s="378"/>
      <c r="AC714" s="381" t="s">
        <v>21</v>
      </c>
      <c r="AD714" s="378" t="s">
        <v>21</v>
      </c>
      <c r="AE714" s="378" t="s">
        <v>21</v>
      </c>
      <c r="AF714" s="378" t="s">
        <v>21</v>
      </c>
      <c r="AG714" s="378"/>
      <c r="AI714" s="378">
        <v>0</v>
      </c>
      <c r="AJ714" s="378">
        <v>0</v>
      </c>
      <c r="AL714" s="286">
        <v>88316</v>
      </c>
      <c r="AM714" s="286"/>
    </row>
    <row r="715" spans="1:39" s="51" customFormat="1" x14ac:dyDescent="0.25">
      <c r="A715" s="59" t="s">
        <v>4096</v>
      </c>
      <c r="B715" s="59" t="s">
        <v>86</v>
      </c>
      <c r="C715" s="59"/>
      <c r="D715" s="248" t="s">
        <v>4099</v>
      </c>
      <c r="E715" s="60" t="s">
        <v>4100</v>
      </c>
      <c r="F715" s="59" t="s">
        <v>41</v>
      </c>
      <c r="G715" s="61">
        <v>0.6</v>
      </c>
      <c r="H715" s="62">
        <v>24.22</v>
      </c>
      <c r="I715" s="62">
        <f t="shared" si="79"/>
        <v>14.531999999999998</v>
      </c>
      <c r="J715" s="62"/>
      <c r="K715" s="62">
        <v>0</v>
      </c>
      <c r="L715" s="62">
        <v>14.531999999999998</v>
      </c>
      <c r="M715" s="62">
        <v>0</v>
      </c>
      <c r="N715" s="62">
        <v>0</v>
      </c>
      <c r="O715" s="62">
        <v>0</v>
      </c>
      <c r="P715" s="298" t="s">
        <v>89</v>
      </c>
      <c r="Q715" s="60" t="s">
        <v>174</v>
      </c>
      <c r="R715" s="60" t="s">
        <v>174</v>
      </c>
      <c r="S715" s="286" t="str">
        <f t="shared" si="77"/>
        <v>SIM</v>
      </c>
      <c r="T715" s="286" t="str">
        <f>IF($C715= "", T714, IF(ISNA(VLOOKUP($C715,'ABC-S'!$A$5:$A$271,1,FALSE)), "", VLOOKUP($C715,'ABC-S'!$A$5:$A$271,1,FALSE)))</f>
        <v>CP0579</v>
      </c>
      <c r="W715" s="286" t="s">
        <v>4096</v>
      </c>
      <c r="X715" s="286" t="s">
        <v>21</v>
      </c>
      <c r="Y715" s="286" t="s">
        <v>21</v>
      </c>
      <c r="Z715" s="335" t="s">
        <v>21</v>
      </c>
      <c r="AA715" s="286" t="s">
        <v>21</v>
      </c>
      <c r="AB715" s="378"/>
      <c r="AC715" s="381" t="s">
        <v>21</v>
      </c>
      <c r="AD715" s="378" t="s">
        <v>21</v>
      </c>
      <c r="AE715" s="378" t="s">
        <v>21</v>
      </c>
      <c r="AF715" s="378" t="s">
        <v>21</v>
      </c>
      <c r="AG715" s="378"/>
      <c r="AI715" s="378" t="s">
        <v>21</v>
      </c>
      <c r="AJ715" s="378" t="s">
        <v>21</v>
      </c>
      <c r="AL715" s="286" t="s">
        <v>865</v>
      </c>
      <c r="AM715" s="286"/>
    </row>
    <row r="716" spans="1:39" s="51" customFormat="1" x14ac:dyDescent="0.25">
      <c r="A716" s="59" t="s">
        <v>4096</v>
      </c>
      <c r="B716" s="59" t="s">
        <v>86</v>
      </c>
      <c r="C716" s="59"/>
      <c r="D716" s="248" t="s">
        <v>4102</v>
      </c>
      <c r="E716" s="395" t="s">
        <v>4103</v>
      </c>
      <c r="F716" s="248" t="s">
        <v>51</v>
      </c>
      <c r="G716" s="280">
        <v>1</v>
      </c>
      <c r="H716" s="396">
        <v>282.02</v>
      </c>
      <c r="I716" s="396">
        <f>IF($D716="","",G716*H716)</f>
        <v>282.02</v>
      </c>
      <c r="J716" s="396"/>
      <c r="K716" s="396">
        <v>0</v>
      </c>
      <c r="L716" s="396">
        <v>282.02</v>
      </c>
      <c r="M716" s="396">
        <v>0</v>
      </c>
      <c r="N716" s="396">
        <v>0</v>
      </c>
      <c r="O716" s="396">
        <v>0</v>
      </c>
      <c r="P716" s="298" t="s">
        <v>89</v>
      </c>
      <c r="Q716" s="60" t="s">
        <v>174</v>
      </c>
      <c r="R716" s="60" t="s">
        <v>174</v>
      </c>
      <c r="S716" s="286" t="str">
        <f t="shared" si="77"/>
        <v>SIM</v>
      </c>
      <c r="T716" s="286" t="str">
        <f>IF($C716= "", T715, IF(ISNA(VLOOKUP($C716,'ABC-S'!$A$5:$A$271,1,FALSE)), "", VLOOKUP($C716,'ABC-S'!$A$5:$A$271,1,FALSE)))</f>
        <v>CP0579</v>
      </c>
      <c r="W716" s="286" t="s">
        <v>4096</v>
      </c>
      <c r="X716" s="286" t="s">
        <v>21</v>
      </c>
      <c r="Y716" s="286" t="s">
        <v>1513</v>
      </c>
      <c r="Z716" s="335" t="s">
        <v>21</v>
      </c>
      <c r="AA716" s="286" t="s">
        <v>21</v>
      </c>
      <c r="AB716" s="378"/>
      <c r="AC716" s="381" t="s">
        <v>21</v>
      </c>
      <c r="AD716" s="378" t="s">
        <v>21</v>
      </c>
      <c r="AE716" s="378" t="s">
        <v>21</v>
      </c>
      <c r="AF716" s="378" t="s">
        <v>21</v>
      </c>
      <c r="AG716" s="378"/>
      <c r="AI716" s="378" t="s">
        <v>21</v>
      </c>
      <c r="AJ716" s="378" t="s">
        <v>21</v>
      </c>
      <c r="AL716" s="286">
        <v>72850</v>
      </c>
      <c r="AM716" s="286"/>
    </row>
    <row r="717" spans="1:39" s="51" customFormat="1" ht="33.75" x14ac:dyDescent="0.25">
      <c r="A717" s="55" t="s">
        <v>738</v>
      </c>
      <c r="B717" s="55" t="s">
        <v>138</v>
      </c>
      <c r="C717" s="55" t="s">
        <v>738</v>
      </c>
      <c r="D717" s="55"/>
      <c r="E717" s="56" t="s">
        <v>739</v>
      </c>
      <c r="F717" s="55" t="s">
        <v>51</v>
      </c>
      <c r="G717" s="57"/>
      <c r="H717" s="58"/>
      <c r="I717" s="58"/>
      <c r="J717" s="58">
        <f>SUM(I717:I720)</f>
        <v>54.436446000000004</v>
      </c>
      <c r="K717" s="58">
        <v>3.3452000000000002</v>
      </c>
      <c r="L717" s="58">
        <v>1.5912459999999999</v>
      </c>
      <c r="M717" s="58">
        <v>49.5</v>
      </c>
      <c r="N717" s="58">
        <v>0</v>
      </c>
      <c r="O717" s="58">
        <v>0</v>
      </c>
      <c r="P717" s="58"/>
      <c r="Q717" s="56"/>
      <c r="R717" s="56" t="s">
        <v>740</v>
      </c>
      <c r="S717" s="286" t="str">
        <f t="shared" si="74"/>
        <v>SIM</v>
      </c>
      <c r="T717" s="286" t="str">
        <f>IF($C717= "", T716, IF(ISNA(VLOOKUP($C717,'ABC-S'!$A$5:$A$271,1,FALSE)), "", VLOOKUP($C717,'ABC-S'!$A$5:$A$271,1,FALSE)))</f>
        <v>CP0601</v>
      </c>
      <c r="W717" s="286" t="s">
        <v>738</v>
      </c>
      <c r="X717" s="286"/>
      <c r="Y717" s="286"/>
      <c r="Z717" s="286"/>
      <c r="AA717" s="286" t="s">
        <v>21</v>
      </c>
      <c r="AB717" s="378">
        <v>0.26379999999999998</v>
      </c>
      <c r="AC717" s="378"/>
      <c r="AD717" s="335"/>
      <c r="AE717" s="378" t="s">
        <v>21</v>
      </c>
      <c r="AF717" s="335"/>
      <c r="AG717" s="378">
        <v>0.26379999999999998</v>
      </c>
      <c r="AI717" s="378" t="s">
        <v>21</v>
      </c>
      <c r="AJ717" s="378" t="s">
        <v>21</v>
      </c>
      <c r="AL717" s="286"/>
      <c r="AM717" s="286"/>
    </row>
    <row r="718" spans="1:39" s="51" customFormat="1" ht="33.75" x14ac:dyDescent="0.25">
      <c r="A718" s="59" t="s">
        <v>738</v>
      </c>
      <c r="B718" s="59" t="s">
        <v>86</v>
      </c>
      <c r="C718" s="59"/>
      <c r="D718" s="59">
        <v>360</v>
      </c>
      <c r="E718" s="60" t="s">
        <v>703</v>
      </c>
      <c r="F718" s="59" t="s">
        <v>3666</v>
      </c>
      <c r="G718" s="61">
        <v>25</v>
      </c>
      <c r="H718" s="62">
        <v>1.98</v>
      </c>
      <c r="I718" s="62">
        <f>IF($D718="","",G718*H718)</f>
        <v>49.5</v>
      </c>
      <c r="J718" s="62"/>
      <c r="K718" s="62">
        <v>0</v>
      </c>
      <c r="L718" s="62">
        <v>0</v>
      </c>
      <c r="M718" s="62">
        <v>49.5</v>
      </c>
      <c r="N718" s="62">
        <v>0</v>
      </c>
      <c r="O718" s="62">
        <v>0</v>
      </c>
      <c r="P718" s="298" t="s">
        <v>719</v>
      </c>
      <c r="Q718" s="60" t="s">
        <v>133</v>
      </c>
      <c r="R718" s="60" t="s">
        <v>27</v>
      </c>
      <c r="S718" s="286" t="str">
        <f t="shared" si="74"/>
        <v>SIM</v>
      </c>
      <c r="T718" s="286" t="str">
        <f>IF($C718= "", T717, IF(ISNA(VLOOKUP($C718,'ABC-S'!$A$5:$A$271,1,FALSE)), "", VLOOKUP($C718,'ABC-S'!$A$5:$A$271,1,FALSE)))</f>
        <v>CP0601</v>
      </c>
      <c r="W718" s="286" t="s">
        <v>738</v>
      </c>
      <c r="X718" s="286" t="s">
        <v>21</v>
      </c>
      <c r="Y718" s="286" t="s">
        <v>21</v>
      </c>
      <c r="Z718" s="286" t="s">
        <v>21</v>
      </c>
      <c r="AA718" s="286" t="s">
        <v>21</v>
      </c>
      <c r="AB718" s="378"/>
      <c r="AC718" s="381" t="s">
        <v>21</v>
      </c>
      <c r="AD718" s="378" t="s">
        <v>21</v>
      </c>
      <c r="AE718" s="378" t="s">
        <v>21</v>
      </c>
      <c r="AF718" s="378" t="s">
        <v>21</v>
      </c>
      <c r="AG718" s="378"/>
      <c r="AI718" s="378" t="s">
        <v>21</v>
      </c>
      <c r="AJ718" s="378" t="s">
        <v>21</v>
      </c>
      <c r="AL718" s="286"/>
      <c r="AM718" s="286">
        <v>360</v>
      </c>
    </row>
    <row r="719" spans="1:39" s="51" customFormat="1" x14ac:dyDescent="0.25">
      <c r="A719" s="59" t="s">
        <v>738</v>
      </c>
      <c r="B719" s="59" t="s">
        <v>87</v>
      </c>
      <c r="C719" s="248"/>
      <c r="D719" s="59">
        <v>88316</v>
      </c>
      <c r="E719" s="60" t="s">
        <v>649</v>
      </c>
      <c r="F719" s="59" t="s">
        <v>46</v>
      </c>
      <c r="G719" s="61">
        <v>0.21099999999999999</v>
      </c>
      <c r="H719" s="62">
        <v>17.61</v>
      </c>
      <c r="I719" s="62">
        <f>IF($D719="","",G719*H719)</f>
        <v>3.7157099999999996</v>
      </c>
      <c r="J719" s="62"/>
      <c r="K719" s="62">
        <v>2.4476</v>
      </c>
      <c r="L719" s="62">
        <v>1.2681099999999998</v>
      </c>
      <c r="M719" s="62">
        <v>0</v>
      </c>
      <c r="N719" s="62">
        <v>0</v>
      </c>
      <c r="O719" s="62">
        <v>0</v>
      </c>
      <c r="P719" s="298" t="s">
        <v>4160</v>
      </c>
      <c r="Q719" s="60" t="s">
        <v>27</v>
      </c>
      <c r="R719" s="60" t="s">
        <v>27</v>
      </c>
      <c r="S719" s="286" t="str">
        <f t="shared" si="74"/>
        <v>SIM</v>
      </c>
      <c r="T719" s="286" t="str">
        <f>IF($C719= "", T718, IF(ISNA(VLOOKUP($C719,'ABC-S'!$A$5:$A$271,1,FALSE)), "", VLOOKUP($C719,'ABC-S'!$A$5:$A$271,1,FALSE)))</f>
        <v>CP0601</v>
      </c>
      <c r="W719" s="286" t="s">
        <v>738</v>
      </c>
      <c r="X719" s="286">
        <v>88316</v>
      </c>
      <c r="Y719" s="286" t="s">
        <v>424</v>
      </c>
      <c r="Z719" s="335">
        <v>0</v>
      </c>
      <c r="AA719" s="286">
        <v>0.21099999999999999</v>
      </c>
      <c r="AB719" s="378"/>
      <c r="AC719" s="381" t="s">
        <v>21</v>
      </c>
      <c r="AD719" s="378" t="s">
        <v>21</v>
      </c>
      <c r="AE719" s="378" t="s">
        <v>21</v>
      </c>
      <c r="AF719" s="378" t="s">
        <v>21</v>
      </c>
      <c r="AG719" s="378"/>
      <c r="AI719" s="378">
        <v>0</v>
      </c>
      <c r="AJ719" s="378">
        <v>0</v>
      </c>
      <c r="AL719" s="286">
        <v>88316</v>
      </c>
      <c r="AM719" s="286"/>
    </row>
    <row r="720" spans="1:39" s="51" customFormat="1" x14ac:dyDescent="0.25">
      <c r="A720" s="59" t="s">
        <v>738</v>
      </c>
      <c r="B720" s="59" t="s">
        <v>87</v>
      </c>
      <c r="C720" s="248"/>
      <c r="D720" s="59">
        <v>88441</v>
      </c>
      <c r="E720" s="60" t="s">
        <v>593</v>
      </c>
      <c r="F720" s="59" t="s">
        <v>46</v>
      </c>
      <c r="G720" s="61">
        <v>5.28E-2</v>
      </c>
      <c r="H720" s="62">
        <v>23.12</v>
      </c>
      <c r="I720" s="62">
        <f>IF($D720="","",G720*H720)</f>
        <v>1.220736</v>
      </c>
      <c r="J720" s="62"/>
      <c r="K720" s="62">
        <v>0.89759999999999995</v>
      </c>
      <c r="L720" s="62">
        <v>0.32313599999999998</v>
      </c>
      <c r="M720" s="62">
        <v>0</v>
      </c>
      <c r="N720" s="62">
        <v>0</v>
      </c>
      <c r="O720" s="62">
        <v>0</v>
      </c>
      <c r="P720" s="298" t="s">
        <v>4160</v>
      </c>
      <c r="Q720" s="60" t="s">
        <v>27</v>
      </c>
      <c r="R720" s="60" t="s">
        <v>27</v>
      </c>
      <c r="S720" s="286" t="str">
        <f t="shared" si="74"/>
        <v>SIM</v>
      </c>
      <c r="T720" s="286" t="str">
        <f>IF($C720= "", T719, IF(ISNA(VLOOKUP($C720,'ABC-S'!$A$5:$A$271,1,FALSE)), "", VLOOKUP($C720,'ABC-S'!$A$5:$A$271,1,FALSE)))</f>
        <v>CP0601</v>
      </c>
      <c r="W720" s="286" t="s">
        <v>738</v>
      </c>
      <c r="X720" s="286">
        <v>88441</v>
      </c>
      <c r="Y720" s="286" t="s">
        <v>424</v>
      </c>
      <c r="Z720" s="335">
        <v>0</v>
      </c>
      <c r="AA720" s="286">
        <v>5.28E-2</v>
      </c>
      <c r="AB720" s="378"/>
      <c r="AC720" s="381" t="s">
        <v>21</v>
      </c>
      <c r="AD720" s="378" t="s">
        <v>21</v>
      </c>
      <c r="AE720" s="378" t="s">
        <v>21</v>
      </c>
      <c r="AF720" s="378" t="s">
        <v>21</v>
      </c>
      <c r="AG720" s="378"/>
      <c r="AI720" s="378">
        <v>0</v>
      </c>
      <c r="AJ720" s="378">
        <v>0</v>
      </c>
      <c r="AL720" s="286">
        <v>88441</v>
      </c>
      <c r="AM720" s="286"/>
    </row>
    <row r="721" spans="1:39" s="51" customFormat="1" ht="22.5" x14ac:dyDescent="0.25">
      <c r="A721" s="55" t="s">
        <v>747</v>
      </c>
      <c r="B721" s="55" t="s">
        <v>138</v>
      </c>
      <c r="C721" s="55" t="s">
        <v>747</v>
      </c>
      <c r="D721" s="55"/>
      <c r="E721" s="56" t="s">
        <v>748</v>
      </c>
      <c r="F721" s="55" t="s">
        <v>41</v>
      </c>
      <c r="G721" s="57"/>
      <c r="H721" s="58"/>
      <c r="I721" s="58"/>
      <c r="J721" s="58">
        <f>SUM(I721:I732)</f>
        <v>622.04061943039994</v>
      </c>
      <c r="K721" s="58">
        <v>221.68579741359997</v>
      </c>
      <c r="L721" s="58">
        <v>400.16649259719992</v>
      </c>
      <c r="M721" s="58">
        <v>0.15625341959999997</v>
      </c>
      <c r="N721" s="58">
        <v>0</v>
      </c>
      <c r="O721" s="58">
        <v>3.2076000000031746E-2</v>
      </c>
      <c r="P721" s="58"/>
      <c r="Q721" s="56"/>
      <c r="R721" s="56" t="s">
        <v>749</v>
      </c>
      <c r="S721" s="286" t="str">
        <f t="shared" si="74"/>
        <v>SIM</v>
      </c>
      <c r="T721" s="286" t="str">
        <f>IF($C721= "", T720, IF(ISNA(VLOOKUP($C721,'ABC-S'!$A$5:$A$271,1,FALSE)), "", VLOOKUP($C721,'ABC-S'!$A$5:$A$271,1,FALSE)))</f>
        <v>CP0603</v>
      </c>
      <c r="W721" s="286" t="s">
        <v>747</v>
      </c>
      <c r="X721" s="286"/>
      <c r="Y721" s="286"/>
      <c r="Z721" s="286"/>
      <c r="AA721" s="286" t="s">
        <v>21</v>
      </c>
      <c r="AB721" s="378">
        <v>13.05</v>
      </c>
      <c r="AC721" s="378"/>
      <c r="AD721" s="335"/>
      <c r="AE721" s="335"/>
      <c r="AF721" s="335"/>
      <c r="AG721" s="378">
        <v>14.902162980126</v>
      </c>
      <c r="AI721" s="378" t="s">
        <v>21</v>
      </c>
      <c r="AJ721" s="378" t="s">
        <v>21</v>
      </c>
      <c r="AL721" s="286"/>
      <c r="AM721" s="286"/>
    </row>
    <row r="722" spans="1:39" s="51" customFormat="1" ht="56.25" x14ac:dyDescent="0.25">
      <c r="A722" s="59" t="s">
        <v>747</v>
      </c>
      <c r="B722" s="59" t="s">
        <v>86</v>
      </c>
      <c r="C722" s="59"/>
      <c r="D722" s="59">
        <v>21013</v>
      </c>
      <c r="E722" s="60" t="s">
        <v>716</v>
      </c>
      <c r="F722" s="59" t="s">
        <v>3667</v>
      </c>
      <c r="G722" s="61">
        <v>3</v>
      </c>
      <c r="H722" s="62">
        <v>96.35</v>
      </c>
      <c r="I722" s="62">
        <f>IF($D722="","",G722*H722)</f>
        <v>289.04999999999995</v>
      </c>
      <c r="J722" s="62"/>
      <c r="K722" s="62">
        <v>0</v>
      </c>
      <c r="L722" s="62">
        <v>289.04999999999995</v>
      </c>
      <c r="M722" s="62">
        <v>0</v>
      </c>
      <c r="N722" s="62">
        <v>0</v>
      </c>
      <c r="O722" s="62">
        <v>0</v>
      </c>
      <c r="P722" s="298" t="s">
        <v>89</v>
      </c>
      <c r="Q722" s="60" t="s">
        <v>133</v>
      </c>
      <c r="R722" s="60" t="s">
        <v>750</v>
      </c>
      <c r="S722" s="286" t="str">
        <f t="shared" si="74"/>
        <v>SIM</v>
      </c>
      <c r="T722" s="286" t="str">
        <f>IF($C722= "", T721, IF(ISNA(VLOOKUP($C722,'ABC-S'!$A$5:$A$271,1,FALSE)), "", VLOOKUP($C722,'ABC-S'!$A$5:$A$271,1,FALSE)))</f>
        <v>CP0603</v>
      </c>
      <c r="W722" s="286" t="s">
        <v>747</v>
      </c>
      <c r="X722" s="286" t="s">
        <v>21</v>
      </c>
      <c r="Y722" s="286" t="s">
        <v>21</v>
      </c>
      <c r="Z722" s="286" t="s">
        <v>21</v>
      </c>
      <c r="AA722" s="286" t="s">
        <v>21</v>
      </c>
      <c r="AB722" s="378"/>
      <c r="AC722" s="381" t="s">
        <v>21</v>
      </c>
      <c r="AD722" s="378" t="s">
        <v>21</v>
      </c>
      <c r="AE722" s="378" t="s">
        <v>21</v>
      </c>
      <c r="AF722" s="378" t="s">
        <v>21</v>
      </c>
      <c r="AG722" s="378"/>
      <c r="AI722" s="378" t="s">
        <v>21</v>
      </c>
      <c r="AJ722" s="378" t="s">
        <v>21</v>
      </c>
      <c r="AL722" s="286"/>
      <c r="AM722" s="286">
        <v>21013</v>
      </c>
    </row>
    <row r="723" spans="1:39" s="51" customFormat="1" x14ac:dyDescent="0.25">
      <c r="A723" s="59" t="s">
        <v>747</v>
      </c>
      <c r="B723" s="59" t="s">
        <v>87</v>
      </c>
      <c r="C723" s="248"/>
      <c r="D723" s="59">
        <v>88309</v>
      </c>
      <c r="E723" s="60" t="s">
        <v>617</v>
      </c>
      <c r="F723" s="59" t="s">
        <v>46</v>
      </c>
      <c r="G723" s="61">
        <v>2.5</v>
      </c>
      <c r="H723" s="62">
        <v>23.9</v>
      </c>
      <c r="I723" s="62">
        <f>IF($D723="","",G723*H723)</f>
        <v>59.75</v>
      </c>
      <c r="J723" s="62"/>
      <c r="K723" s="62">
        <v>44.45</v>
      </c>
      <c r="L723" s="62">
        <v>15.3</v>
      </c>
      <c r="M723" s="62">
        <v>0</v>
      </c>
      <c r="N723" s="62">
        <v>0</v>
      </c>
      <c r="O723" s="62">
        <v>0</v>
      </c>
      <c r="P723" s="298" t="s">
        <v>4160</v>
      </c>
      <c r="Q723" s="60" t="s">
        <v>27</v>
      </c>
      <c r="R723" s="60" t="s">
        <v>27</v>
      </c>
      <c r="S723" s="286" t="str">
        <f t="shared" si="74"/>
        <v>SIM</v>
      </c>
      <c r="T723" s="286" t="str">
        <f>IF($C723= "", T722, IF(ISNA(VLOOKUP($C723,'ABC-S'!$A$5:$A$271,1,FALSE)), "", VLOOKUP($C723,'ABC-S'!$A$5:$A$271,1,FALSE)))</f>
        <v>CP0603</v>
      </c>
      <c r="W723" s="286" t="s">
        <v>747</v>
      </c>
      <c r="X723" s="286">
        <v>88309</v>
      </c>
      <c r="Y723" s="286" t="s">
        <v>424</v>
      </c>
      <c r="Z723" s="335">
        <v>0</v>
      </c>
      <c r="AA723" s="286">
        <v>2.5</v>
      </c>
      <c r="AB723" s="378"/>
      <c r="AC723" s="381" t="s">
        <v>21</v>
      </c>
      <c r="AD723" s="378" t="s">
        <v>21</v>
      </c>
      <c r="AE723" s="378" t="s">
        <v>21</v>
      </c>
      <c r="AF723" s="378" t="s">
        <v>21</v>
      </c>
      <c r="AG723" s="378"/>
      <c r="AI723" s="378">
        <v>0</v>
      </c>
      <c r="AJ723" s="378">
        <v>0</v>
      </c>
      <c r="AL723" s="286">
        <v>88309</v>
      </c>
      <c r="AM723" s="286"/>
    </row>
    <row r="724" spans="1:39" s="51" customFormat="1" x14ac:dyDescent="0.25">
      <c r="A724" s="59" t="s">
        <v>747</v>
      </c>
      <c r="B724" s="59" t="s">
        <v>87</v>
      </c>
      <c r="C724" s="248"/>
      <c r="D724" s="59">
        <v>88315</v>
      </c>
      <c r="E724" s="60" t="s">
        <v>648</v>
      </c>
      <c r="F724" s="59" t="s">
        <v>46</v>
      </c>
      <c r="G724" s="61">
        <v>4.5</v>
      </c>
      <c r="H724" s="62">
        <v>23.78</v>
      </c>
      <c r="I724" s="62">
        <f t="shared" ref="I724:I732" si="80">IF($D724="","",G724*H724)</f>
        <v>107.01</v>
      </c>
      <c r="J724" s="62"/>
      <c r="K724" s="62">
        <v>79.47</v>
      </c>
      <c r="L724" s="62">
        <v>27.54</v>
      </c>
      <c r="M724" s="62">
        <v>0</v>
      </c>
      <c r="N724" s="62">
        <v>0</v>
      </c>
      <c r="O724" s="62">
        <v>1.4210854715202004E-14</v>
      </c>
      <c r="P724" s="298" t="s">
        <v>4160</v>
      </c>
      <c r="Q724" s="60" t="s">
        <v>27</v>
      </c>
      <c r="R724" s="60" t="s">
        <v>27</v>
      </c>
      <c r="S724" s="286" t="str">
        <f t="shared" si="74"/>
        <v>SIM</v>
      </c>
      <c r="T724" s="286" t="str">
        <f>IF($C724= "", T723, IF(ISNA(VLOOKUP($C724,'ABC-S'!$A$5:$A$271,1,FALSE)), "", VLOOKUP($C724,'ABC-S'!$A$5:$A$271,1,FALSE)))</f>
        <v>CP0603</v>
      </c>
      <c r="W724" s="286" t="s">
        <v>747</v>
      </c>
      <c r="X724" s="286">
        <v>88315</v>
      </c>
      <c r="Y724" s="286" t="s">
        <v>424</v>
      </c>
      <c r="Z724" s="335">
        <v>0</v>
      </c>
      <c r="AA724" s="286">
        <v>4.5</v>
      </c>
      <c r="AB724" s="378"/>
      <c r="AC724" s="381" t="s">
        <v>21</v>
      </c>
      <c r="AD724" s="378" t="s">
        <v>21</v>
      </c>
      <c r="AE724" s="378" t="s">
        <v>21</v>
      </c>
      <c r="AF724" s="378" t="s">
        <v>21</v>
      </c>
      <c r="AG724" s="378"/>
      <c r="AI724" s="378">
        <v>0</v>
      </c>
      <c r="AJ724" s="378">
        <v>0</v>
      </c>
      <c r="AL724" s="286">
        <v>88315</v>
      </c>
      <c r="AM724" s="286"/>
    </row>
    <row r="725" spans="1:39" s="51" customFormat="1" x14ac:dyDescent="0.25">
      <c r="A725" s="59" t="s">
        <v>747</v>
      </c>
      <c r="B725" s="59" t="s">
        <v>87</v>
      </c>
      <c r="C725" s="248"/>
      <c r="D725" s="59">
        <v>88316</v>
      </c>
      <c r="E725" s="60" t="s">
        <v>649</v>
      </c>
      <c r="F725" s="59" t="s">
        <v>46</v>
      </c>
      <c r="G725" s="61">
        <v>6.05</v>
      </c>
      <c r="H725" s="62">
        <v>17.61</v>
      </c>
      <c r="I725" s="62">
        <f t="shared" si="80"/>
        <v>106.54049999999999</v>
      </c>
      <c r="J725" s="62"/>
      <c r="K725" s="62">
        <v>70.179999999999993</v>
      </c>
      <c r="L725" s="62">
        <v>36.360499999999995</v>
      </c>
      <c r="M725" s="62">
        <v>0</v>
      </c>
      <c r="N725" s="62">
        <v>0</v>
      </c>
      <c r="O725" s="62">
        <v>1.4210854715202004E-14</v>
      </c>
      <c r="P725" s="298" t="s">
        <v>4160</v>
      </c>
      <c r="Q725" s="60" t="s">
        <v>27</v>
      </c>
      <c r="R725" s="60" t="s">
        <v>27</v>
      </c>
      <c r="S725" s="286" t="str">
        <f t="shared" si="74"/>
        <v>SIM</v>
      </c>
      <c r="T725" s="286" t="str">
        <f>IF($C725= "", T724, IF(ISNA(VLOOKUP($C725,'ABC-S'!$A$5:$A$271,1,FALSE)), "", VLOOKUP($C725,'ABC-S'!$A$5:$A$271,1,FALSE)))</f>
        <v>CP0603</v>
      </c>
      <c r="W725" s="286" t="s">
        <v>747</v>
      </c>
      <c r="X725" s="286">
        <v>88316</v>
      </c>
      <c r="Y725" s="286" t="s">
        <v>424</v>
      </c>
      <c r="Z725" s="335">
        <v>0</v>
      </c>
      <c r="AA725" s="286">
        <v>6.05</v>
      </c>
      <c r="AB725" s="378"/>
      <c r="AC725" s="381" t="s">
        <v>21</v>
      </c>
      <c r="AD725" s="378" t="s">
        <v>21</v>
      </c>
      <c r="AE725" s="378" t="s">
        <v>21</v>
      </c>
      <c r="AF725" s="378" t="s">
        <v>21</v>
      </c>
      <c r="AG725" s="378"/>
      <c r="AI725" s="378">
        <v>0</v>
      </c>
      <c r="AJ725" s="378">
        <v>0</v>
      </c>
      <c r="AL725" s="286">
        <v>88316</v>
      </c>
      <c r="AM725" s="286"/>
    </row>
    <row r="726" spans="1:39" s="51" customFormat="1" ht="22.5" x14ac:dyDescent="0.25">
      <c r="A726" s="59" t="s">
        <v>747</v>
      </c>
      <c r="B726" s="59" t="s">
        <v>87</v>
      </c>
      <c r="C726" s="59"/>
      <c r="D726" s="59">
        <v>97629</v>
      </c>
      <c r="E726" s="60" t="s">
        <v>551</v>
      </c>
      <c r="F726" s="59" t="s">
        <v>44</v>
      </c>
      <c r="G726" s="61">
        <v>1.44E-2</v>
      </c>
      <c r="H726" s="62">
        <v>106.16</v>
      </c>
      <c r="I726" s="62">
        <f>IF($D726="","",G726*H726)</f>
        <v>1.5287039999999998</v>
      </c>
      <c r="J726" s="62"/>
      <c r="K726" s="62">
        <v>1.00152</v>
      </c>
      <c r="L726" s="62">
        <v>0.448992</v>
      </c>
      <c r="M726" s="62">
        <v>7.8191999999999998E-2</v>
      </c>
      <c r="N726" s="62">
        <v>0</v>
      </c>
      <c r="O726" s="62">
        <v>-2.2204460492503131E-16</v>
      </c>
      <c r="P726" s="298" t="s">
        <v>4160</v>
      </c>
      <c r="Q726" s="60" t="s">
        <v>27</v>
      </c>
      <c r="R726" s="60" t="s">
        <v>27</v>
      </c>
      <c r="S726" s="286" t="str">
        <f t="shared" si="74"/>
        <v>SIM</v>
      </c>
      <c r="T726" s="286" t="str">
        <f>IF($C726= "", T725, IF(ISNA(VLOOKUP($C726,'ABC-S'!$A$5:$A$271,1,FALSE)), "", VLOOKUP($C726,'ABC-S'!$A$5:$A$271,1,FALSE)))</f>
        <v>CP0603</v>
      </c>
      <c r="W726" s="286" t="s">
        <v>747</v>
      </c>
      <c r="X726" s="286" t="s">
        <v>21</v>
      </c>
      <c r="Y726" s="286" t="s">
        <v>1513</v>
      </c>
      <c r="Z726" s="335" t="s">
        <v>21</v>
      </c>
      <c r="AA726" s="286" t="s">
        <v>21</v>
      </c>
      <c r="AB726" s="378"/>
      <c r="AC726" s="381">
        <v>97629</v>
      </c>
      <c r="AD726" s="378">
        <v>1.44E-2</v>
      </c>
      <c r="AE726" s="378">
        <v>5.4554</v>
      </c>
      <c r="AF726" s="378">
        <v>7.8557760000000004E-2</v>
      </c>
      <c r="AG726" s="378"/>
      <c r="AI726" s="378">
        <v>0</v>
      </c>
      <c r="AJ726" s="378">
        <v>0</v>
      </c>
      <c r="AL726" s="286">
        <v>97629</v>
      </c>
      <c r="AM726" s="286"/>
    </row>
    <row r="727" spans="1:39" s="51" customFormat="1" ht="22.5" x14ac:dyDescent="0.25">
      <c r="A727" s="59" t="s">
        <v>747</v>
      </c>
      <c r="B727" s="59" t="s">
        <v>87</v>
      </c>
      <c r="C727" s="59"/>
      <c r="D727" s="59">
        <v>93358</v>
      </c>
      <c r="E727" s="60" t="s">
        <v>1293</v>
      </c>
      <c r="F727" s="59" t="s">
        <v>44</v>
      </c>
      <c r="G727" s="61">
        <v>2.2499999999999999E-2</v>
      </c>
      <c r="H727" s="62">
        <v>69.66</v>
      </c>
      <c r="I727" s="62">
        <f>IF($D727="","",G727*H727)</f>
        <v>1.5673499999999998</v>
      </c>
      <c r="J727" s="62"/>
      <c r="K727" s="62">
        <v>1.0327499999999998</v>
      </c>
      <c r="L727" s="62">
        <v>0.53459999999999996</v>
      </c>
      <c r="M727" s="62">
        <v>0</v>
      </c>
      <c r="N727" s="62">
        <v>0</v>
      </c>
      <c r="O727" s="62">
        <v>0</v>
      </c>
      <c r="P727" s="298" t="s">
        <v>4160</v>
      </c>
      <c r="Q727" s="60" t="s">
        <v>27</v>
      </c>
      <c r="R727" s="60" t="s">
        <v>27</v>
      </c>
      <c r="S727" s="286" t="str">
        <f t="shared" si="74"/>
        <v>SIM</v>
      </c>
      <c r="T727" s="286" t="str">
        <f>IF($C727= "", T726, IF(ISNA(VLOOKUP($C727,'ABC-S'!$A$5:$A$271,1,FALSE)), "", VLOOKUP($C727,'ABC-S'!$A$5:$A$271,1,FALSE)))</f>
        <v>CP0603</v>
      </c>
      <c r="W727" s="286" t="s">
        <v>747</v>
      </c>
      <c r="X727" s="286" t="s">
        <v>21</v>
      </c>
      <c r="Y727" s="286" t="s">
        <v>1513</v>
      </c>
      <c r="Z727" s="335" t="s">
        <v>21</v>
      </c>
      <c r="AA727" s="286" t="s">
        <v>21</v>
      </c>
      <c r="AB727" s="378"/>
      <c r="AC727" s="381">
        <v>93358</v>
      </c>
      <c r="AD727" s="378">
        <v>2.2499999999999999E-2</v>
      </c>
      <c r="AE727" s="378">
        <v>3.956</v>
      </c>
      <c r="AF727" s="378">
        <v>8.9009999999999992E-2</v>
      </c>
      <c r="AG727" s="378"/>
      <c r="AI727" s="378">
        <v>0</v>
      </c>
      <c r="AJ727" s="378">
        <v>0</v>
      </c>
      <c r="AL727" s="286">
        <v>93358</v>
      </c>
      <c r="AM727" s="286"/>
    </row>
    <row r="728" spans="1:39" s="51" customFormat="1" ht="33.75" x14ac:dyDescent="0.25">
      <c r="A728" s="59" t="s">
        <v>747</v>
      </c>
      <c r="B728" s="59" t="s">
        <v>87</v>
      </c>
      <c r="C728" s="59"/>
      <c r="D728" s="59">
        <v>94974</v>
      </c>
      <c r="E728" s="60" t="s">
        <v>3663</v>
      </c>
      <c r="F728" s="59" t="s">
        <v>44</v>
      </c>
      <c r="G728" s="61">
        <v>5.9400000000000001E-2</v>
      </c>
      <c r="H728" s="62">
        <v>379.85</v>
      </c>
      <c r="I728" s="62">
        <f t="shared" si="80"/>
        <v>22.563090000000003</v>
      </c>
      <c r="J728" s="62"/>
      <c r="K728" s="62">
        <v>4.3308539999999995</v>
      </c>
      <c r="L728" s="62">
        <v>18.232236</v>
      </c>
      <c r="M728" s="62">
        <v>0</v>
      </c>
      <c r="N728" s="62">
        <v>0</v>
      </c>
      <c r="O728" s="62">
        <v>3.5527136788005009E-15</v>
      </c>
      <c r="P728" s="298" t="s">
        <v>4160</v>
      </c>
      <c r="Q728" s="60" t="s">
        <v>27</v>
      </c>
      <c r="R728" s="60" t="s">
        <v>27</v>
      </c>
      <c r="S728" s="286" t="str">
        <f t="shared" si="74"/>
        <v>SIM</v>
      </c>
      <c r="T728" s="286" t="str">
        <f>IF($C728= "", T727, IF(ISNA(VLOOKUP($C728,'ABC-S'!$A$5:$A$271,1,FALSE)), "", VLOOKUP($C728,'ABC-S'!$A$5:$A$271,1,FALSE)))</f>
        <v>CP0603</v>
      </c>
      <c r="W728" s="286" t="s">
        <v>747</v>
      </c>
      <c r="X728" s="286" t="s">
        <v>21</v>
      </c>
      <c r="Y728" s="286" t="s">
        <v>1513</v>
      </c>
      <c r="Z728" s="335" t="s">
        <v>21</v>
      </c>
      <c r="AA728" s="286" t="s">
        <v>21</v>
      </c>
      <c r="AB728" s="378"/>
      <c r="AC728" s="381">
        <v>94974</v>
      </c>
      <c r="AD728" s="378">
        <v>5.9400000000000001E-2</v>
      </c>
      <c r="AE728" s="378">
        <v>6.2858000000000001</v>
      </c>
      <c r="AF728" s="378">
        <v>0.37337651999999999</v>
      </c>
      <c r="AG728" s="378"/>
      <c r="AI728" s="378">
        <v>0</v>
      </c>
      <c r="AJ728" s="378">
        <v>0</v>
      </c>
      <c r="AL728" s="286">
        <v>94974</v>
      </c>
      <c r="AM728" s="286"/>
    </row>
    <row r="729" spans="1:39" s="51" customFormat="1" ht="22.5" x14ac:dyDescent="0.25">
      <c r="A729" s="59" t="s">
        <v>747</v>
      </c>
      <c r="B729" s="59" t="s">
        <v>87</v>
      </c>
      <c r="C729" s="59"/>
      <c r="D729" s="59">
        <v>92873</v>
      </c>
      <c r="E729" s="60" t="s">
        <v>595</v>
      </c>
      <c r="F729" s="59" t="s">
        <v>44</v>
      </c>
      <c r="G729" s="61">
        <v>5.9400000000000001E-2</v>
      </c>
      <c r="H729" s="62">
        <v>186.89</v>
      </c>
      <c r="I729" s="62">
        <f t="shared" si="80"/>
        <v>11.101265999999999</v>
      </c>
      <c r="J729" s="62"/>
      <c r="K729" s="62">
        <v>7.7047740000000005</v>
      </c>
      <c r="L729" s="62">
        <v>3.3062039999999997</v>
      </c>
      <c r="M729" s="62">
        <v>5.8212E-2</v>
      </c>
      <c r="N729" s="62">
        <v>0</v>
      </c>
      <c r="O729" s="62">
        <v>3.2075999999999993E-2</v>
      </c>
      <c r="P729" s="298" t="s">
        <v>4160</v>
      </c>
      <c r="Q729" s="60" t="s">
        <v>27</v>
      </c>
      <c r="R729" s="60" t="s">
        <v>27</v>
      </c>
      <c r="S729" s="286" t="str">
        <f t="shared" si="74"/>
        <v>SIM</v>
      </c>
      <c r="T729" s="286" t="str">
        <f>IF($C729= "", T728, IF(ISNA(VLOOKUP($C729,'ABC-S'!$A$5:$A$271,1,FALSE)), "", VLOOKUP($C729,'ABC-S'!$A$5:$A$271,1,FALSE)))</f>
        <v>CP0603</v>
      </c>
      <c r="W729" s="286" t="s">
        <v>747</v>
      </c>
      <c r="X729" s="286" t="s">
        <v>21</v>
      </c>
      <c r="Y729" s="286" t="s">
        <v>1513</v>
      </c>
      <c r="Z729" s="335" t="s">
        <v>21</v>
      </c>
      <c r="AA729" s="286" t="s">
        <v>21</v>
      </c>
      <c r="AB729" s="378"/>
      <c r="AC729" s="381">
        <v>92873</v>
      </c>
      <c r="AD729" s="378">
        <v>5.9400000000000001E-2</v>
      </c>
      <c r="AE729" s="378">
        <v>9.23</v>
      </c>
      <c r="AF729" s="378">
        <v>0.54826200000000003</v>
      </c>
      <c r="AG729" s="378"/>
      <c r="AI729" s="378">
        <v>0</v>
      </c>
      <c r="AJ729" s="378">
        <v>0</v>
      </c>
      <c r="AL729" s="286">
        <v>92873</v>
      </c>
      <c r="AM729" s="286"/>
    </row>
    <row r="730" spans="1:39" s="51" customFormat="1" ht="45" x14ac:dyDescent="0.25">
      <c r="A730" s="59" t="s">
        <v>747</v>
      </c>
      <c r="B730" s="59" t="s">
        <v>87</v>
      </c>
      <c r="C730" s="59"/>
      <c r="D730" s="59">
        <v>100722</v>
      </c>
      <c r="E730" s="60" t="s">
        <v>621</v>
      </c>
      <c r="F730" s="59" t="s">
        <v>51</v>
      </c>
      <c r="G730" s="61">
        <v>1.125</v>
      </c>
      <c r="H730" s="62">
        <v>20.34</v>
      </c>
      <c r="I730" s="62">
        <f t="shared" si="80"/>
        <v>22.8825</v>
      </c>
      <c r="J730" s="62"/>
      <c r="K730" s="62">
        <v>13.51125</v>
      </c>
      <c r="L730" s="62">
        <v>9.3712499999999999</v>
      </c>
      <c r="M730" s="62">
        <v>0</v>
      </c>
      <c r="N730" s="62">
        <v>0</v>
      </c>
      <c r="O730" s="62">
        <v>0</v>
      </c>
      <c r="P730" s="298" t="s">
        <v>4160</v>
      </c>
      <c r="Q730" s="60" t="s">
        <v>27</v>
      </c>
      <c r="R730" s="60" t="s">
        <v>27</v>
      </c>
      <c r="S730" s="286" t="str">
        <f t="shared" si="74"/>
        <v>SIM</v>
      </c>
      <c r="T730" s="286" t="str">
        <f>IF($C730= "", T729, IF(ISNA(VLOOKUP($C730,'ABC-S'!$A$5:$A$271,1,FALSE)), "", VLOOKUP($C730,'ABC-S'!$A$5:$A$271,1,FALSE)))</f>
        <v>CP0603</v>
      </c>
      <c r="W730" s="286" t="s">
        <v>747</v>
      </c>
      <c r="X730" s="286" t="s">
        <v>21</v>
      </c>
      <c r="Y730" s="286" t="s">
        <v>1513</v>
      </c>
      <c r="Z730" s="335" t="s">
        <v>21</v>
      </c>
      <c r="AA730" s="286" t="s">
        <v>21</v>
      </c>
      <c r="AB730" s="378"/>
      <c r="AC730" s="381">
        <v>100722</v>
      </c>
      <c r="AD730" s="378">
        <v>1.125</v>
      </c>
      <c r="AE730" s="378">
        <v>0.67789999999999995</v>
      </c>
      <c r="AF730" s="378">
        <v>0.76263749999999997</v>
      </c>
      <c r="AG730" s="378"/>
      <c r="AI730" s="378">
        <v>0</v>
      </c>
      <c r="AJ730" s="378">
        <v>0</v>
      </c>
      <c r="AL730" s="286">
        <v>100722</v>
      </c>
      <c r="AM730" s="286"/>
    </row>
    <row r="731" spans="1:39" s="51" customFormat="1" ht="45" x14ac:dyDescent="0.25">
      <c r="A731" s="59" t="s">
        <v>747</v>
      </c>
      <c r="B731" s="59" t="s">
        <v>87</v>
      </c>
      <c r="C731" s="59"/>
      <c r="D731" s="59">
        <v>100999</v>
      </c>
      <c r="E731" s="60" t="s">
        <v>769</v>
      </c>
      <c r="F731" s="59" t="s">
        <v>55</v>
      </c>
      <c r="G731" s="61">
        <v>8.94118E-3</v>
      </c>
      <c r="H731" s="62">
        <v>4.24</v>
      </c>
      <c r="I731" s="62">
        <f t="shared" si="80"/>
        <v>3.7910603200000004E-2</v>
      </c>
      <c r="J731" s="62"/>
      <c r="K731" s="62">
        <v>4.0235310000000003E-3</v>
      </c>
      <c r="L731" s="62">
        <v>1.7345889199999999E-2</v>
      </c>
      <c r="M731" s="62">
        <v>1.6541183000000001E-2</v>
      </c>
      <c r="N731" s="62">
        <v>0</v>
      </c>
      <c r="O731" s="62">
        <v>0</v>
      </c>
      <c r="P731" s="298" t="s">
        <v>4160</v>
      </c>
      <c r="Q731" s="60" t="s">
        <v>27</v>
      </c>
      <c r="R731" s="60" t="s">
        <v>27</v>
      </c>
      <c r="S731" s="286" t="str">
        <f t="shared" si="74"/>
        <v>SIM</v>
      </c>
      <c r="T731" s="286" t="str">
        <f>IF($C731= "", T730, IF(ISNA(VLOOKUP($C731,'ABC-S'!$A$5:$A$271,1,FALSE)), "", VLOOKUP($C731,'ABC-S'!$A$5:$A$271,1,FALSE)))</f>
        <v>CP0603</v>
      </c>
      <c r="W731" s="286" t="s">
        <v>747</v>
      </c>
      <c r="X731" s="286" t="s">
        <v>21</v>
      </c>
      <c r="Y731" s="286" t="s">
        <v>1513</v>
      </c>
      <c r="Z731" s="335" t="s">
        <v>21</v>
      </c>
      <c r="AA731" s="286" t="s">
        <v>21</v>
      </c>
      <c r="AB731" s="378"/>
      <c r="AC731" s="381">
        <v>100999</v>
      </c>
      <c r="AD731" s="378">
        <v>8.94118E-3</v>
      </c>
      <c r="AE731" s="378">
        <v>3.0000000000000002E-2</v>
      </c>
      <c r="AF731" s="378">
        <v>2.682354E-4</v>
      </c>
      <c r="AG731" s="378"/>
      <c r="AI731" s="378">
        <v>0</v>
      </c>
      <c r="AJ731" s="378">
        <v>0</v>
      </c>
      <c r="AL731" s="286">
        <v>100999</v>
      </c>
      <c r="AM731" s="286"/>
    </row>
    <row r="732" spans="1:39" s="51" customFormat="1" ht="33.75" x14ac:dyDescent="0.25">
      <c r="A732" s="59" t="s">
        <v>747</v>
      </c>
      <c r="B732" s="59" t="s">
        <v>87</v>
      </c>
      <c r="C732" s="59"/>
      <c r="D732" s="59">
        <v>95879</v>
      </c>
      <c r="E732" s="60" t="s">
        <v>789</v>
      </c>
      <c r="F732" s="59" t="s">
        <v>42</v>
      </c>
      <c r="G732" s="61">
        <f>G731</f>
        <v>8.94118E-3</v>
      </c>
      <c r="H732" s="62">
        <v>1.04</v>
      </c>
      <c r="I732" s="62">
        <f t="shared" si="80"/>
        <v>9.2988272E-3</v>
      </c>
      <c r="J732" s="62"/>
      <c r="K732" s="62">
        <v>6.2588260000000001E-4</v>
      </c>
      <c r="L732" s="62">
        <v>5.3647080000000002E-3</v>
      </c>
      <c r="M732" s="62">
        <v>3.3082365999999998E-3</v>
      </c>
      <c r="N732" s="62">
        <v>0</v>
      </c>
      <c r="O732" s="62">
        <v>0</v>
      </c>
      <c r="P732" s="298" t="s">
        <v>4160</v>
      </c>
      <c r="Q732" s="60" t="s">
        <v>27</v>
      </c>
      <c r="R732" s="60" t="s">
        <v>751</v>
      </c>
      <c r="S732" s="286" t="str">
        <f t="shared" si="74"/>
        <v>SIM</v>
      </c>
      <c r="T732" s="286" t="str">
        <f>IF($C732= "", T731, IF(ISNA(VLOOKUP($C732,'ABC-S'!$A$5:$A$271,1,FALSE)), "", VLOOKUP($C732,'ABC-S'!$A$5:$A$271,1,FALSE)))</f>
        <v>CP0603</v>
      </c>
      <c r="W732" s="286" t="s">
        <v>747</v>
      </c>
      <c r="X732" s="286" t="s">
        <v>21</v>
      </c>
      <c r="Y732" s="286" t="s">
        <v>1098</v>
      </c>
      <c r="Z732" s="335" t="s">
        <v>21</v>
      </c>
      <c r="AA732" s="286" t="s">
        <v>21</v>
      </c>
      <c r="AB732" s="378"/>
      <c r="AC732" s="381">
        <v>95879</v>
      </c>
      <c r="AD732" s="378">
        <v>8.94118E-3</v>
      </c>
      <c r="AE732" s="378">
        <v>5.7000000000000002E-3</v>
      </c>
      <c r="AF732" s="378">
        <v>5.0964726000000001E-5</v>
      </c>
      <c r="AG732" s="378"/>
      <c r="AI732" s="378">
        <v>0</v>
      </c>
      <c r="AJ732" s="378">
        <v>0</v>
      </c>
      <c r="AL732" s="286">
        <v>95879</v>
      </c>
      <c r="AM732" s="286"/>
    </row>
    <row r="733" spans="1:39" s="51" customFormat="1" ht="56.25" x14ac:dyDescent="0.25">
      <c r="A733" s="55" t="s">
        <v>759</v>
      </c>
      <c r="B733" s="55" t="s">
        <v>138</v>
      </c>
      <c r="C733" s="55" t="s">
        <v>759</v>
      </c>
      <c r="D733" s="55"/>
      <c r="E733" s="56" t="s">
        <v>760</v>
      </c>
      <c r="F733" s="55" t="s">
        <v>41</v>
      </c>
      <c r="G733" s="57"/>
      <c r="H733" s="58"/>
      <c r="I733" s="58"/>
      <c r="J733" s="58">
        <f>SUM(I733:I740)</f>
        <v>85.563394433511391</v>
      </c>
      <c r="K733" s="58">
        <v>3.0969918470621307</v>
      </c>
      <c r="L733" s="58">
        <v>81.30306269328085</v>
      </c>
      <c r="M733" s="58">
        <v>1.1633398931684003</v>
      </c>
      <c r="N733" s="58">
        <v>0</v>
      </c>
      <c r="O733" s="58">
        <v>1.6653345369377348E-16</v>
      </c>
      <c r="P733" s="58"/>
      <c r="Q733" s="56"/>
      <c r="R733" s="56" t="s">
        <v>764</v>
      </c>
      <c r="S733" s="286" t="str">
        <f t="shared" si="74"/>
        <v>SIM</v>
      </c>
      <c r="T733" s="286" t="str">
        <f>IF($C733= "", T732, IF(ISNA(VLOOKUP($C733,'ABC-S'!$A$5:$A$271,1,FALSE)), "", VLOOKUP($C733,'ABC-S'!$A$5:$A$271,1,FALSE)))</f>
        <v>CP0604</v>
      </c>
      <c r="W733" s="286" t="s">
        <v>759</v>
      </c>
      <c r="X733" s="286"/>
      <c r="Y733" s="286"/>
      <c r="Z733" s="286"/>
      <c r="AA733" s="286" t="s">
        <v>21</v>
      </c>
      <c r="AB733" s="378">
        <v>0.16868147315153217</v>
      </c>
      <c r="AC733" s="378"/>
      <c r="AD733" s="335"/>
      <c r="AE733" s="335"/>
      <c r="AF733" s="335"/>
      <c r="AG733" s="378">
        <v>0.22490863086870957</v>
      </c>
      <c r="AI733" s="378" t="s">
        <v>21</v>
      </c>
      <c r="AJ733" s="378" t="s">
        <v>21</v>
      </c>
      <c r="AL733" s="286"/>
      <c r="AM733" s="286"/>
    </row>
    <row r="734" spans="1:39" s="51" customFormat="1" ht="56.25" x14ac:dyDescent="0.25">
      <c r="A734" s="59" t="s">
        <v>759</v>
      </c>
      <c r="B734" s="59" t="s">
        <v>87</v>
      </c>
      <c r="C734" s="59"/>
      <c r="D734" s="59">
        <v>73467</v>
      </c>
      <c r="E734" s="60" t="s">
        <v>533</v>
      </c>
      <c r="F734" s="59" t="s">
        <v>76</v>
      </c>
      <c r="G734" s="61">
        <f>(1*1)/35.57</f>
        <v>2.8113578858588697E-2</v>
      </c>
      <c r="H734" s="62">
        <v>119.7</v>
      </c>
      <c r="I734" s="62">
        <f t="shared" ref="I734:I740" si="81">IF($D734="","",G734*H734)</f>
        <v>3.3651953893730671</v>
      </c>
      <c r="J734" s="62"/>
      <c r="K734" s="62">
        <v>0.40624121450660666</v>
      </c>
      <c r="L734" s="62">
        <v>1.8928872645487769</v>
      </c>
      <c r="M734" s="62">
        <v>1.0660669103176834</v>
      </c>
      <c r="N734" s="62">
        <v>0</v>
      </c>
      <c r="O734" s="62">
        <v>0</v>
      </c>
      <c r="P734" s="298" t="s">
        <v>4160</v>
      </c>
      <c r="Q734" s="60" t="s">
        <v>27</v>
      </c>
      <c r="R734" s="60" t="s">
        <v>763</v>
      </c>
      <c r="S734" s="286" t="str">
        <f t="shared" si="74"/>
        <v>SIM</v>
      </c>
      <c r="T734" s="286" t="str">
        <f>IF($C734= "", T733, IF(ISNA(VLOOKUP($C734,'ABC-S'!$A$5:$A$271,1,FALSE)), "", VLOOKUP($C734,'ABC-S'!$A$5:$A$271,1,FALSE)))</f>
        <v>CP0604</v>
      </c>
      <c r="W734" s="286" t="s">
        <v>759</v>
      </c>
      <c r="X734" s="286" t="s">
        <v>21</v>
      </c>
      <c r="Y734" s="286" t="s">
        <v>423</v>
      </c>
      <c r="Z734" s="335" t="s">
        <v>21</v>
      </c>
      <c r="AA734" s="286" t="s">
        <v>21</v>
      </c>
      <c r="AB734" s="378"/>
      <c r="AC734" s="381">
        <v>73467</v>
      </c>
      <c r="AD734" s="378">
        <v>2.8113578858588697E-2</v>
      </c>
      <c r="AE734" s="378">
        <v>1</v>
      </c>
      <c r="AF734" s="378">
        <v>2.8113578858588697E-2</v>
      </c>
      <c r="AG734" s="378"/>
      <c r="AI734" s="378">
        <v>0</v>
      </c>
      <c r="AJ734" s="378">
        <v>0</v>
      </c>
      <c r="AL734" s="286">
        <v>73467</v>
      </c>
      <c r="AM734" s="286"/>
    </row>
    <row r="735" spans="1:39" s="51" customFormat="1" ht="33.75" x14ac:dyDescent="0.25">
      <c r="A735" s="59" t="s">
        <v>759</v>
      </c>
      <c r="B735" s="59" t="s">
        <v>87</v>
      </c>
      <c r="C735" s="59"/>
      <c r="D735" s="59">
        <v>93415</v>
      </c>
      <c r="E735" s="60" t="s">
        <v>586</v>
      </c>
      <c r="F735" s="59" t="s">
        <v>76</v>
      </c>
      <c r="G735" s="61">
        <f>G734</f>
        <v>2.8113578858588697E-2</v>
      </c>
      <c r="H735" s="62">
        <v>14.64</v>
      </c>
      <c r="I735" s="62">
        <f t="shared" si="81"/>
        <v>0.41158279448973856</v>
      </c>
      <c r="J735" s="62"/>
      <c r="K735" s="62">
        <v>0</v>
      </c>
      <c r="L735" s="62">
        <v>0.40118077031206067</v>
      </c>
      <c r="M735" s="62">
        <v>1.0402024177677818E-2</v>
      </c>
      <c r="N735" s="62">
        <v>0</v>
      </c>
      <c r="O735" s="62">
        <v>5.5511151231257827E-17</v>
      </c>
      <c r="P735" s="298" t="s">
        <v>4160</v>
      </c>
      <c r="Q735" s="60" t="s">
        <v>27</v>
      </c>
      <c r="R735" s="60" t="s">
        <v>763</v>
      </c>
      <c r="S735" s="286" t="str">
        <f t="shared" si="74"/>
        <v>SIM</v>
      </c>
      <c r="T735" s="286" t="str">
        <f>IF($C735= "", T734, IF(ISNA(VLOOKUP($C735,'ABC-S'!$A$5:$A$271,1,FALSE)), "", VLOOKUP($C735,'ABC-S'!$A$5:$A$271,1,FALSE)))</f>
        <v>CP0604</v>
      </c>
      <c r="W735" s="286" t="s">
        <v>759</v>
      </c>
      <c r="X735" s="286" t="s">
        <v>21</v>
      </c>
      <c r="Y735" s="286" t="s">
        <v>423</v>
      </c>
      <c r="Z735" s="335" t="s">
        <v>21</v>
      </c>
      <c r="AA735" s="286" t="s">
        <v>21</v>
      </c>
      <c r="AB735" s="378"/>
      <c r="AC735" s="381">
        <v>93415</v>
      </c>
      <c r="AD735" s="378">
        <v>2.8113578858588697E-2</v>
      </c>
      <c r="AE735" s="378">
        <v>0</v>
      </c>
      <c r="AF735" s="378">
        <v>0</v>
      </c>
      <c r="AG735" s="378"/>
      <c r="AI735" s="378">
        <v>0</v>
      </c>
      <c r="AJ735" s="378">
        <v>0</v>
      </c>
      <c r="AL735" s="286">
        <v>93415</v>
      </c>
      <c r="AM735" s="286"/>
    </row>
    <row r="736" spans="1:39" s="51" customFormat="1" ht="22.5" x14ac:dyDescent="0.25">
      <c r="A736" s="59" t="s">
        <v>759</v>
      </c>
      <c r="B736" s="59" t="s">
        <v>87</v>
      </c>
      <c r="C736" s="59"/>
      <c r="D736" s="59">
        <v>5795</v>
      </c>
      <c r="E736" s="60" t="s">
        <v>598</v>
      </c>
      <c r="F736" s="59" t="s">
        <v>76</v>
      </c>
      <c r="G736" s="61">
        <f>G734</f>
        <v>2.8113578858588697E-2</v>
      </c>
      <c r="H736" s="62">
        <v>22.07</v>
      </c>
      <c r="I736" s="62">
        <f t="shared" si="81"/>
        <v>0.62046668540905259</v>
      </c>
      <c r="J736" s="62"/>
      <c r="K736" s="62">
        <v>0.38656170930559458</v>
      </c>
      <c r="L736" s="62">
        <v>0.14703401743041888</v>
      </c>
      <c r="M736" s="62">
        <v>8.6870958673039067E-2</v>
      </c>
      <c r="N736" s="62">
        <v>0</v>
      </c>
      <c r="O736" s="62">
        <v>1.1102230246251565E-16</v>
      </c>
      <c r="P736" s="298" t="s">
        <v>4160</v>
      </c>
      <c r="Q736" s="60" t="s">
        <v>27</v>
      </c>
      <c r="R736" s="60" t="s">
        <v>763</v>
      </c>
      <c r="S736" s="286" t="str">
        <f t="shared" si="74"/>
        <v>SIM</v>
      </c>
      <c r="T736" s="286" t="str">
        <f>IF($C736= "", T735, IF(ISNA(VLOOKUP($C736,'ABC-S'!$A$5:$A$271,1,FALSE)), "", VLOOKUP($C736,'ABC-S'!$A$5:$A$271,1,FALSE)))</f>
        <v>CP0604</v>
      </c>
      <c r="W736" s="286" t="s">
        <v>759</v>
      </c>
      <c r="X736" s="286" t="s">
        <v>21</v>
      </c>
      <c r="Y736" s="286" t="s">
        <v>423</v>
      </c>
      <c r="Z736" s="335" t="s">
        <v>21</v>
      </c>
      <c r="AA736" s="286" t="s">
        <v>21</v>
      </c>
      <c r="AB736" s="378"/>
      <c r="AC736" s="381">
        <v>5795</v>
      </c>
      <c r="AD736" s="378">
        <v>2.8113578858588697E-2</v>
      </c>
      <c r="AE736" s="378">
        <v>1</v>
      </c>
      <c r="AF736" s="378">
        <v>2.8113578858588697E-2</v>
      </c>
      <c r="AG736" s="378"/>
      <c r="AI736" s="378">
        <v>0</v>
      </c>
      <c r="AJ736" s="378">
        <v>0</v>
      </c>
      <c r="AL736" s="286">
        <v>5795</v>
      </c>
      <c r="AM736" s="286"/>
    </row>
    <row r="737" spans="1:39" s="51" customFormat="1" ht="22.5" x14ac:dyDescent="0.25">
      <c r="A737" s="59" t="s">
        <v>759</v>
      </c>
      <c r="B737" s="59" t="s">
        <v>87</v>
      </c>
      <c r="C737" s="248"/>
      <c r="D737" s="59">
        <v>88309</v>
      </c>
      <c r="E737" s="60" t="s">
        <v>617</v>
      </c>
      <c r="F737" s="59" t="s">
        <v>46</v>
      </c>
      <c r="G737" s="61">
        <f>2/35.57</f>
        <v>5.6227157717177394E-2</v>
      </c>
      <c r="H737" s="62">
        <v>23.9</v>
      </c>
      <c r="I737" s="62">
        <f t="shared" si="81"/>
        <v>1.3438290694405397</v>
      </c>
      <c r="J737" s="62"/>
      <c r="K737" s="62">
        <v>0.99971886421141409</v>
      </c>
      <c r="L737" s="62">
        <v>0.34411020522912567</v>
      </c>
      <c r="M737" s="62">
        <v>0</v>
      </c>
      <c r="N737" s="62">
        <v>0</v>
      </c>
      <c r="O737" s="62">
        <v>0</v>
      </c>
      <c r="P737" s="298" t="s">
        <v>4160</v>
      </c>
      <c r="Q737" s="60" t="s">
        <v>27</v>
      </c>
      <c r="R737" s="60" t="s">
        <v>763</v>
      </c>
      <c r="S737" s="286" t="str">
        <f t="shared" si="74"/>
        <v>SIM</v>
      </c>
      <c r="T737" s="286" t="str">
        <f>IF($C737= "", T736, IF(ISNA(VLOOKUP($C737,'ABC-S'!$A$5:$A$271,1,FALSE)), "", VLOOKUP($C737,'ABC-S'!$A$5:$A$271,1,FALSE)))</f>
        <v>CP0604</v>
      </c>
      <c r="W737" s="286" t="s">
        <v>759</v>
      </c>
      <c r="X737" s="286">
        <v>88309</v>
      </c>
      <c r="Y737" s="286" t="s">
        <v>424</v>
      </c>
      <c r="Z737" s="335">
        <v>12</v>
      </c>
      <c r="AA737" s="286">
        <v>5.6227157717177394E-2</v>
      </c>
      <c r="AB737" s="378"/>
      <c r="AC737" s="381" t="s">
        <v>21</v>
      </c>
      <c r="AD737" s="378" t="s">
        <v>21</v>
      </c>
      <c r="AE737" s="378" t="s">
        <v>21</v>
      </c>
      <c r="AF737" s="378" t="s">
        <v>21</v>
      </c>
      <c r="AG737" s="378"/>
      <c r="AI737" s="378">
        <v>0</v>
      </c>
      <c r="AJ737" s="378">
        <v>0</v>
      </c>
      <c r="AL737" s="286">
        <v>88309</v>
      </c>
      <c r="AM737" s="286"/>
    </row>
    <row r="738" spans="1:39" s="51" customFormat="1" ht="22.5" x14ac:dyDescent="0.25">
      <c r="A738" s="59" t="s">
        <v>759</v>
      </c>
      <c r="B738" s="59" t="s">
        <v>87</v>
      </c>
      <c r="C738" s="248"/>
      <c r="D738" s="59">
        <v>88316</v>
      </c>
      <c r="E738" s="60" t="s">
        <v>649</v>
      </c>
      <c r="F738" s="59" t="s">
        <v>46</v>
      </c>
      <c r="G738" s="61">
        <f>4/35.57</f>
        <v>0.11245431543435479</v>
      </c>
      <c r="H738" s="62">
        <v>17.61</v>
      </c>
      <c r="I738" s="62">
        <f t="shared" si="81"/>
        <v>1.9803204947989876</v>
      </c>
      <c r="J738" s="62"/>
      <c r="K738" s="62">
        <v>1.3044700590385154</v>
      </c>
      <c r="L738" s="62">
        <v>0.67585043576047221</v>
      </c>
      <c r="M738" s="62">
        <v>0</v>
      </c>
      <c r="N738" s="62">
        <v>0</v>
      </c>
      <c r="O738" s="62">
        <v>0</v>
      </c>
      <c r="P738" s="298" t="s">
        <v>4160</v>
      </c>
      <c r="Q738" s="60" t="s">
        <v>27</v>
      </c>
      <c r="R738" s="60" t="s">
        <v>763</v>
      </c>
      <c r="S738" s="286" t="str">
        <f t="shared" si="74"/>
        <v>SIM</v>
      </c>
      <c r="T738" s="286" t="str">
        <f>IF($C738= "", T737, IF(ISNA(VLOOKUP($C738,'ABC-S'!$A$5:$A$271,1,FALSE)), "", VLOOKUP($C738,'ABC-S'!$A$5:$A$271,1,FALSE)))</f>
        <v>CP0604</v>
      </c>
      <c r="W738" s="286" t="s">
        <v>759</v>
      </c>
      <c r="X738" s="286">
        <v>88316</v>
      </c>
      <c r="Y738" s="286" t="s">
        <v>424</v>
      </c>
      <c r="Z738" s="335">
        <v>12</v>
      </c>
      <c r="AA738" s="286">
        <v>0.11245431543435479</v>
      </c>
      <c r="AB738" s="378"/>
      <c r="AC738" s="381" t="s">
        <v>21</v>
      </c>
      <c r="AD738" s="378" t="s">
        <v>21</v>
      </c>
      <c r="AE738" s="378" t="s">
        <v>21</v>
      </c>
      <c r="AF738" s="378" t="s">
        <v>21</v>
      </c>
      <c r="AG738" s="378"/>
      <c r="AI738" s="378">
        <v>0</v>
      </c>
      <c r="AJ738" s="378">
        <v>0</v>
      </c>
      <c r="AL738" s="286">
        <v>88316</v>
      </c>
      <c r="AM738" s="286"/>
    </row>
    <row r="739" spans="1:39" s="51" customFormat="1" ht="22.5" x14ac:dyDescent="0.25">
      <c r="A739" s="59" t="s">
        <v>759</v>
      </c>
      <c r="B739" s="59" t="s">
        <v>86</v>
      </c>
      <c r="C739" s="59"/>
      <c r="D739" s="59">
        <v>156</v>
      </c>
      <c r="E739" s="60" t="s">
        <v>680</v>
      </c>
      <c r="F739" s="59" t="s">
        <v>3669</v>
      </c>
      <c r="G739" s="61">
        <v>0.2</v>
      </c>
      <c r="H739" s="62">
        <v>49.21</v>
      </c>
      <c r="I739" s="62">
        <f t="shared" si="81"/>
        <v>9.8420000000000005</v>
      </c>
      <c r="J739" s="62"/>
      <c r="K739" s="62">
        <v>0</v>
      </c>
      <c r="L739" s="62">
        <v>9.8420000000000005</v>
      </c>
      <c r="M739" s="62">
        <v>0</v>
      </c>
      <c r="N739" s="62">
        <v>0</v>
      </c>
      <c r="O739" s="62">
        <v>0</v>
      </c>
      <c r="P739" s="298" t="s">
        <v>89</v>
      </c>
      <c r="Q739" s="60" t="s">
        <v>27</v>
      </c>
      <c r="R739" s="60" t="s">
        <v>27</v>
      </c>
      <c r="S739" s="286" t="str">
        <f t="shared" si="74"/>
        <v>SIM</v>
      </c>
      <c r="T739" s="286" t="str">
        <f>IF($C739= "", T738, IF(ISNA(VLOOKUP($C739,'ABC-S'!$A$5:$A$271,1,FALSE)), "", VLOOKUP($C739,'ABC-S'!$A$5:$A$271,1,FALSE)))</f>
        <v>CP0604</v>
      </c>
      <c r="W739" s="286" t="s">
        <v>759</v>
      </c>
      <c r="X739" s="286" t="s">
        <v>21</v>
      </c>
      <c r="Y739" s="286" t="s">
        <v>21</v>
      </c>
      <c r="Z739" s="286" t="s">
        <v>21</v>
      </c>
      <c r="AA739" s="286" t="s">
        <v>21</v>
      </c>
      <c r="AB739" s="378"/>
      <c r="AC739" s="381" t="s">
        <v>21</v>
      </c>
      <c r="AD739" s="378" t="s">
        <v>21</v>
      </c>
      <c r="AE739" s="378" t="s">
        <v>21</v>
      </c>
      <c r="AF739" s="378" t="s">
        <v>21</v>
      </c>
      <c r="AG739" s="378"/>
      <c r="AI739" s="378" t="s">
        <v>21</v>
      </c>
      <c r="AJ739" s="378" t="s">
        <v>21</v>
      </c>
      <c r="AL739" s="286"/>
      <c r="AM739" s="286">
        <v>156</v>
      </c>
    </row>
    <row r="740" spans="1:39" s="51" customFormat="1" ht="33.75" x14ac:dyDescent="0.25">
      <c r="A740" s="59" t="s">
        <v>759</v>
      </c>
      <c r="B740" s="59" t="s">
        <v>86</v>
      </c>
      <c r="C740" s="59"/>
      <c r="D740" s="59" t="s">
        <v>761</v>
      </c>
      <c r="E740" s="60" t="s">
        <v>762</v>
      </c>
      <c r="F740" s="59" t="s">
        <v>41</v>
      </c>
      <c r="G740" s="61">
        <v>1</v>
      </c>
      <c r="H740" s="62">
        <v>68</v>
      </c>
      <c r="I740" s="62">
        <f t="shared" si="81"/>
        <v>68</v>
      </c>
      <c r="J740" s="62"/>
      <c r="K740" s="62">
        <v>0</v>
      </c>
      <c r="L740" s="62">
        <v>68</v>
      </c>
      <c r="M740" s="62">
        <v>0</v>
      </c>
      <c r="N740" s="62">
        <v>0</v>
      </c>
      <c r="O740" s="62">
        <v>0</v>
      </c>
      <c r="P740" s="298" t="s">
        <v>89</v>
      </c>
      <c r="Q740" s="60" t="s">
        <v>27</v>
      </c>
      <c r="R740" s="60" t="s">
        <v>27</v>
      </c>
      <c r="S740" s="286" t="str">
        <f t="shared" si="74"/>
        <v>SIM</v>
      </c>
      <c r="T740" s="286" t="str">
        <f>IF($C740= "", T739, IF(ISNA(VLOOKUP($C740,'ABC-S'!$A$5:$A$271,1,FALSE)), "", VLOOKUP($C740,'ABC-S'!$A$5:$A$271,1,FALSE)))</f>
        <v>CP0604</v>
      </c>
      <c r="W740" s="286" t="s">
        <v>759</v>
      </c>
      <c r="X740" s="286" t="s">
        <v>21</v>
      </c>
      <c r="Y740" s="286" t="s">
        <v>21</v>
      </c>
      <c r="Z740" s="286" t="s">
        <v>21</v>
      </c>
      <c r="AA740" s="286" t="s">
        <v>21</v>
      </c>
      <c r="AB740" s="378"/>
      <c r="AC740" s="381" t="s">
        <v>21</v>
      </c>
      <c r="AD740" s="378" t="s">
        <v>21</v>
      </c>
      <c r="AE740" s="378" t="s">
        <v>21</v>
      </c>
      <c r="AF740" s="378" t="s">
        <v>21</v>
      </c>
      <c r="AG740" s="378"/>
      <c r="AI740" s="378" t="s">
        <v>21</v>
      </c>
      <c r="AJ740" s="378" t="s">
        <v>21</v>
      </c>
      <c r="AL740" s="286"/>
      <c r="AM740" s="286" t="s">
        <v>761</v>
      </c>
    </row>
    <row r="741" spans="1:39" s="51" customFormat="1" ht="33.75" hidden="1" x14ac:dyDescent="0.25">
      <c r="A741" s="55" t="s">
        <v>1071</v>
      </c>
      <c r="B741" s="55" t="s">
        <v>138</v>
      </c>
      <c r="C741" s="55" t="s">
        <v>1071</v>
      </c>
      <c r="D741" s="55"/>
      <c r="E741" s="56" t="s">
        <v>1074</v>
      </c>
      <c r="F741" s="55" t="s">
        <v>41</v>
      </c>
      <c r="G741" s="57"/>
      <c r="H741" s="58"/>
      <c r="I741" s="58"/>
      <c r="J741" s="58">
        <f>SUM(I741:I751)</f>
        <v>261.67951177297351</v>
      </c>
      <c r="K741" s="58">
        <v>69.824956916667801</v>
      </c>
      <c r="L741" s="58">
        <v>187.18777448739436</v>
      </c>
      <c r="M741" s="58">
        <v>4.5246152633981387</v>
      </c>
      <c r="N741" s="58">
        <v>0</v>
      </c>
      <c r="O741" s="58">
        <v>0.14216510551326239</v>
      </c>
      <c r="P741" s="58"/>
      <c r="Q741" s="56"/>
      <c r="R741" s="56" t="s">
        <v>138</v>
      </c>
      <c r="S741" s="286" t="str">
        <f t="shared" si="74"/>
        <v/>
      </c>
      <c r="T741" s="286" t="str">
        <f>IF($C741= "", T740, IF(ISNA(VLOOKUP($C741,'ABC-S'!$A$5:$A$271,1,FALSE)), "", VLOOKUP($C741,'ABC-S'!$A$5:$A$271,1,FALSE)))</f>
        <v/>
      </c>
      <c r="W741" s="286" t="s">
        <v>1071</v>
      </c>
      <c r="X741" s="286"/>
      <c r="Y741" s="286"/>
      <c r="Z741" s="286"/>
      <c r="AA741" s="286" t="s">
        <v>21</v>
      </c>
      <c r="AB741" s="378">
        <v>0</v>
      </c>
      <c r="AC741" s="378"/>
      <c r="AD741" s="335"/>
      <c r="AE741" s="335"/>
      <c r="AF741" s="335"/>
      <c r="AG741" s="378" t="e">
        <v>#REF!</v>
      </c>
      <c r="AI741" s="378" t="s">
        <v>21</v>
      </c>
      <c r="AJ741" s="378" t="s">
        <v>21</v>
      </c>
      <c r="AL741" s="286"/>
      <c r="AM741" s="286"/>
    </row>
    <row r="742" spans="1:39" s="51" customFormat="1" ht="22.5" hidden="1" x14ac:dyDescent="0.25">
      <c r="A742" s="59" t="s">
        <v>1071</v>
      </c>
      <c r="B742" s="59" t="s">
        <v>87</v>
      </c>
      <c r="C742" s="59"/>
      <c r="D742" s="59">
        <v>97629</v>
      </c>
      <c r="E742" s="60" t="s">
        <v>551</v>
      </c>
      <c r="F742" s="59" t="s">
        <v>44</v>
      </c>
      <c r="G742" s="61">
        <f>PI()*(0.1^2)/4*0.07</f>
        <v>5.4977871437821393E-4</v>
      </c>
      <c r="H742" s="62">
        <v>106.16</v>
      </c>
      <c r="I742" s="62">
        <f t="shared" ref="I742:I751" si="82">IF($D742="","",G742*H742)</f>
        <v>5.8364508318391191E-2</v>
      </c>
      <c r="J742" s="62"/>
      <c r="K742" s="62">
        <v>3.8237109585004779E-2</v>
      </c>
      <c r="L742" s="62">
        <v>1.7142100314312712E-2</v>
      </c>
      <c r="M742" s="62">
        <v>2.9852984190737015E-3</v>
      </c>
      <c r="N742" s="62">
        <v>0</v>
      </c>
      <c r="O742" s="62">
        <v>-6.9388939039072284E-18</v>
      </c>
      <c r="P742" s="298" t="s">
        <v>4160</v>
      </c>
      <c r="Q742" s="60" t="s">
        <v>27</v>
      </c>
      <c r="R742" s="60" t="s">
        <v>138</v>
      </c>
      <c r="S742" s="286" t="str">
        <f t="shared" si="74"/>
        <v/>
      </c>
      <c r="T742" s="286" t="str">
        <f>IF($C742= "", T741, IF(ISNA(VLOOKUP($C742,'ABC-S'!$A$5:$A$271,1,FALSE)), "", VLOOKUP($C742,'ABC-S'!$A$5:$A$271,1,FALSE)))</f>
        <v/>
      </c>
      <c r="W742" s="286" t="s">
        <v>1071</v>
      </c>
      <c r="X742" s="286" t="s">
        <v>21</v>
      </c>
      <c r="Y742" s="286" t="s">
        <v>1513</v>
      </c>
      <c r="Z742" s="335" t="s">
        <v>21</v>
      </c>
      <c r="AA742" s="286" t="s">
        <v>21</v>
      </c>
      <c r="AB742" s="378"/>
      <c r="AC742" s="381">
        <v>97629</v>
      </c>
      <c r="AD742" s="378">
        <v>5.4977871437821393E-4</v>
      </c>
      <c r="AE742" s="378">
        <v>5.4554</v>
      </c>
      <c r="AF742" s="378">
        <v>2.9992627984189082E-3</v>
      </c>
      <c r="AG742" s="378"/>
      <c r="AI742" s="378">
        <v>0</v>
      </c>
      <c r="AJ742" s="378">
        <v>0</v>
      </c>
      <c r="AL742" s="286">
        <v>97629</v>
      </c>
      <c r="AM742" s="286"/>
    </row>
    <row r="743" spans="1:39" s="51" customFormat="1" ht="22.5" hidden="1" x14ac:dyDescent="0.25">
      <c r="A743" s="59" t="s">
        <v>1071</v>
      </c>
      <c r="B743" s="59" t="s">
        <v>87</v>
      </c>
      <c r="C743" s="59"/>
      <c r="D743" s="59">
        <v>93358</v>
      </c>
      <c r="E743" s="60" t="s">
        <v>1293</v>
      </c>
      <c r="F743" s="59" t="s">
        <v>44</v>
      </c>
      <c r="G743" s="61">
        <f>PI()*(0.1^2)/4*0.5</f>
        <v>3.9269908169872417E-3</v>
      </c>
      <c r="H743" s="62">
        <v>69.66</v>
      </c>
      <c r="I743" s="62">
        <f t="shared" si="82"/>
        <v>0.27355418031133122</v>
      </c>
      <c r="J743" s="62"/>
      <c r="K743" s="62">
        <v>0.18024887849971438</v>
      </c>
      <c r="L743" s="62">
        <v>9.3305301811616864E-2</v>
      </c>
      <c r="M743" s="62">
        <v>0</v>
      </c>
      <c r="N743" s="62">
        <v>0</v>
      </c>
      <c r="O743" s="62">
        <v>-5.5511151231257827E-17</v>
      </c>
      <c r="P743" s="298" t="s">
        <v>4160</v>
      </c>
      <c r="Q743" s="60" t="s">
        <v>27</v>
      </c>
      <c r="R743" s="60" t="s">
        <v>138</v>
      </c>
      <c r="S743" s="286" t="str">
        <f t="shared" si="74"/>
        <v/>
      </c>
      <c r="T743" s="286" t="str">
        <f>IF($C743= "", T742, IF(ISNA(VLOOKUP($C743,'ABC-S'!$A$5:$A$271,1,FALSE)), "", VLOOKUP($C743,'ABC-S'!$A$5:$A$271,1,FALSE)))</f>
        <v/>
      </c>
      <c r="W743" s="286" t="s">
        <v>1071</v>
      </c>
      <c r="X743" s="286" t="s">
        <v>21</v>
      </c>
      <c r="Y743" s="286" t="s">
        <v>1513</v>
      </c>
      <c r="Z743" s="335" t="s">
        <v>21</v>
      </c>
      <c r="AA743" s="286" t="s">
        <v>21</v>
      </c>
      <c r="AB743" s="378"/>
      <c r="AC743" s="381">
        <v>93358</v>
      </c>
      <c r="AD743" s="378">
        <v>3.9269908169872417E-3</v>
      </c>
      <c r="AE743" s="378">
        <v>3.956</v>
      </c>
      <c r="AF743" s="378">
        <v>1.5535175672001527E-2</v>
      </c>
      <c r="AG743" s="378"/>
      <c r="AI743" s="378">
        <v>0</v>
      </c>
      <c r="AJ743" s="378">
        <v>0</v>
      </c>
      <c r="AL743" s="286">
        <v>93358</v>
      </c>
      <c r="AM743" s="286"/>
    </row>
    <row r="744" spans="1:39" s="51" customFormat="1" ht="45" hidden="1" x14ac:dyDescent="0.25">
      <c r="A744" s="59" t="s">
        <v>1071</v>
      </c>
      <c r="B744" s="59" t="s">
        <v>87</v>
      </c>
      <c r="C744" s="59"/>
      <c r="D744" s="59">
        <v>92443</v>
      </c>
      <c r="E744" s="60" t="s">
        <v>1163</v>
      </c>
      <c r="F744" s="59" t="s">
        <v>51</v>
      </c>
      <c r="G744" s="61">
        <f>0.9*4*0.07</f>
        <v>0.25200000000000006</v>
      </c>
      <c r="H744" s="62">
        <v>37.659999999999997</v>
      </c>
      <c r="I744" s="62">
        <f t="shared" si="82"/>
        <v>9.4903200000000005</v>
      </c>
      <c r="J744" s="62"/>
      <c r="K744" s="62">
        <v>3.5532000000000008</v>
      </c>
      <c r="L744" s="62">
        <v>3.4927200000000007</v>
      </c>
      <c r="M744" s="62">
        <v>2.4444000000000004</v>
      </c>
      <c r="N744" s="62">
        <v>0</v>
      </c>
      <c r="O744" s="62">
        <v>-1.7763568394002505E-15</v>
      </c>
      <c r="P744" s="298" t="s">
        <v>4160</v>
      </c>
      <c r="Q744" s="60" t="s">
        <v>27</v>
      </c>
      <c r="R744" s="60" t="s">
        <v>138</v>
      </c>
      <c r="S744" s="286" t="str">
        <f t="shared" si="74"/>
        <v/>
      </c>
      <c r="T744" s="286" t="str">
        <f>IF($C744= "", T743, IF(ISNA(VLOOKUP($C744,'ABC-S'!$A$5:$A$271,1,FALSE)), "", VLOOKUP($C744,'ABC-S'!$A$5:$A$271,1,FALSE)))</f>
        <v/>
      </c>
      <c r="W744" s="286" t="s">
        <v>1071</v>
      </c>
      <c r="X744" s="286" t="s">
        <v>21</v>
      </c>
      <c r="Y744" s="286" t="s">
        <v>1513</v>
      </c>
      <c r="Z744" s="335" t="s">
        <v>21</v>
      </c>
      <c r="AA744" s="286" t="s">
        <v>21</v>
      </c>
      <c r="AB744" s="378"/>
      <c r="AC744" s="381">
        <v>92443</v>
      </c>
      <c r="AD744" s="378">
        <v>0.25200000000000006</v>
      </c>
      <c r="AE744" s="378">
        <v>0.81036599999999992</v>
      </c>
      <c r="AF744" s="378">
        <v>0.20421223200000002</v>
      </c>
      <c r="AG744" s="378"/>
      <c r="AI744" s="378">
        <v>0</v>
      </c>
      <c r="AJ744" s="378">
        <v>0</v>
      </c>
      <c r="AL744" s="286">
        <v>92443</v>
      </c>
      <c r="AM744" s="286"/>
    </row>
    <row r="745" spans="1:39" s="51" customFormat="1" ht="45" hidden="1" x14ac:dyDescent="0.25">
      <c r="A745" s="59" t="s">
        <v>1071</v>
      </c>
      <c r="B745" s="59" t="s">
        <v>87</v>
      </c>
      <c r="C745" s="59"/>
      <c r="D745" s="59">
        <v>96257</v>
      </c>
      <c r="E745" s="60" t="s">
        <v>605</v>
      </c>
      <c r="F745" s="59" t="s">
        <v>51</v>
      </c>
      <c r="G745" s="61">
        <f>PI()*0.1*(0.9+0.5)</f>
        <v>0.43982297150257099</v>
      </c>
      <c r="H745" s="62">
        <v>172.76</v>
      </c>
      <c r="I745" s="62">
        <f t="shared" si="82"/>
        <v>75.983816556784163</v>
      </c>
      <c r="J745" s="62"/>
      <c r="K745" s="62">
        <v>28.957944443729275</v>
      </c>
      <c r="L745" s="62">
        <v>45.754783725412459</v>
      </c>
      <c r="M745" s="62">
        <v>1.2403007796372501</v>
      </c>
      <c r="N745" s="62">
        <v>0</v>
      </c>
      <c r="O745" s="62">
        <v>3.0787608005169886E-2</v>
      </c>
      <c r="P745" s="298" t="s">
        <v>4160</v>
      </c>
      <c r="Q745" s="60" t="s">
        <v>27</v>
      </c>
      <c r="R745" s="60" t="s">
        <v>138</v>
      </c>
      <c r="S745" s="286" t="str">
        <f t="shared" si="74"/>
        <v/>
      </c>
      <c r="T745" s="286" t="str">
        <f>IF($C745= "", T744, IF(ISNA(VLOOKUP($C745,'ABC-S'!$A$5:$A$271,1,FALSE)), "", VLOOKUP($C745,'ABC-S'!$A$5:$A$271,1,FALSE)))</f>
        <v/>
      </c>
      <c r="W745" s="286" t="s">
        <v>1071</v>
      </c>
      <c r="X745" s="286" t="s">
        <v>21</v>
      </c>
      <c r="Y745" s="286" t="s">
        <v>1513</v>
      </c>
      <c r="Z745" s="335" t="s">
        <v>21</v>
      </c>
      <c r="AA745" s="286" t="s">
        <v>21</v>
      </c>
      <c r="AB745" s="378"/>
      <c r="AC745" s="381">
        <v>96257</v>
      </c>
      <c r="AD745" s="378">
        <v>0.43982297150257099</v>
      </c>
      <c r="AE745" s="378">
        <v>3.7048899999999998</v>
      </c>
      <c r="AF745" s="378">
        <v>1.6294957288901601</v>
      </c>
      <c r="AG745" s="378"/>
      <c r="AI745" s="378">
        <v>0</v>
      </c>
      <c r="AJ745" s="378">
        <v>0</v>
      </c>
      <c r="AL745" s="286">
        <v>96257</v>
      </c>
      <c r="AM745" s="286"/>
    </row>
    <row r="746" spans="1:39" s="51" customFormat="1" ht="33.75" hidden="1" x14ac:dyDescent="0.25">
      <c r="A746" s="59" t="s">
        <v>1071</v>
      </c>
      <c r="B746" s="59" t="s">
        <v>87</v>
      </c>
      <c r="C746" s="59"/>
      <c r="D746" s="59">
        <v>91596</v>
      </c>
      <c r="E746" s="60" t="s">
        <v>512</v>
      </c>
      <c r="F746" s="59" t="s">
        <v>54</v>
      </c>
      <c r="G746" s="61">
        <f>0.9*0.9*2.2*(1+5%)</f>
        <v>1.8711000000000004</v>
      </c>
      <c r="H746" s="62">
        <v>18.47</v>
      </c>
      <c r="I746" s="62">
        <f t="shared" si="82"/>
        <v>34.559217000000004</v>
      </c>
      <c r="J746" s="62"/>
      <c r="K746" s="62">
        <v>1.3284810000000002</v>
      </c>
      <c r="L746" s="62">
        <v>33.230736000000007</v>
      </c>
      <c r="M746" s="62">
        <v>0</v>
      </c>
      <c r="N746" s="62">
        <v>0</v>
      </c>
      <c r="O746" s="62">
        <v>-7.1054273576010019E-15</v>
      </c>
      <c r="P746" s="298" t="s">
        <v>4160</v>
      </c>
      <c r="Q746" s="60" t="s">
        <v>27</v>
      </c>
      <c r="R746" s="60" t="s">
        <v>138</v>
      </c>
      <c r="S746" s="286" t="str">
        <f t="shared" si="74"/>
        <v/>
      </c>
      <c r="T746" s="286" t="str">
        <f>IF($C746= "", T745, IF(ISNA(VLOOKUP($C746,'ABC-S'!$A$5:$A$271,1,FALSE)), "", VLOOKUP($C746,'ABC-S'!$A$5:$A$271,1,FALSE)))</f>
        <v/>
      </c>
      <c r="W746" s="286" t="s">
        <v>1071</v>
      </c>
      <c r="X746" s="286" t="s">
        <v>21</v>
      </c>
      <c r="Y746" s="286" t="s">
        <v>1513</v>
      </c>
      <c r="Z746" s="335" t="s">
        <v>21</v>
      </c>
      <c r="AA746" s="286" t="s">
        <v>21</v>
      </c>
      <c r="AB746" s="378"/>
      <c r="AC746" s="381">
        <v>91596</v>
      </c>
      <c r="AD746" s="378">
        <v>1.8711000000000004</v>
      </c>
      <c r="AE746" s="378">
        <v>4.2999999999999997E-2</v>
      </c>
      <c r="AF746" s="378">
        <v>8.0457300000000009E-2</v>
      </c>
      <c r="AG746" s="378"/>
      <c r="AI746" s="378">
        <v>0</v>
      </c>
      <c r="AJ746" s="378">
        <v>0</v>
      </c>
      <c r="AL746" s="286">
        <v>91596</v>
      </c>
      <c r="AM746" s="286"/>
    </row>
    <row r="747" spans="1:39" s="51" customFormat="1" ht="45" hidden="1" x14ac:dyDescent="0.25">
      <c r="A747" s="59" t="s">
        <v>1071</v>
      </c>
      <c r="B747" s="59" t="s">
        <v>87</v>
      </c>
      <c r="C747" s="59"/>
      <c r="D747" s="59">
        <v>92777</v>
      </c>
      <c r="E747" s="60" t="s">
        <v>510</v>
      </c>
      <c r="F747" s="59" t="s">
        <v>54</v>
      </c>
      <c r="G747" s="61">
        <f>G749*58</f>
        <v>3.9263433086787285</v>
      </c>
      <c r="H747" s="62">
        <v>16.14</v>
      </c>
      <c r="I747" s="62">
        <f t="shared" si="82"/>
        <v>63.371181002074678</v>
      </c>
      <c r="J747" s="62"/>
      <c r="K747" s="62">
        <v>11.464922461341887</v>
      </c>
      <c r="L747" s="62">
        <v>51.906258540732793</v>
      </c>
      <c r="M747" s="62">
        <v>0</v>
      </c>
      <c r="N747" s="62">
        <v>0</v>
      </c>
      <c r="O747" s="62">
        <v>0</v>
      </c>
      <c r="P747" s="298" t="s">
        <v>4160</v>
      </c>
      <c r="Q747" s="60" t="s">
        <v>27</v>
      </c>
      <c r="R747" s="60" t="s">
        <v>138</v>
      </c>
      <c r="S747" s="286" t="str">
        <f t="shared" si="74"/>
        <v/>
      </c>
      <c r="T747" s="286" t="str">
        <f>IF($C747= "", T746, IF(ISNA(VLOOKUP($C747,'ABC-S'!$A$5:$A$271,1,FALSE)), "", VLOOKUP($C747,'ABC-S'!$A$5:$A$271,1,FALSE)))</f>
        <v/>
      </c>
      <c r="W747" s="286" t="s">
        <v>1071</v>
      </c>
      <c r="X747" s="286" t="s">
        <v>21</v>
      </c>
      <c r="Y747" s="286" t="s">
        <v>1513</v>
      </c>
      <c r="Z747" s="335" t="s">
        <v>21</v>
      </c>
      <c r="AA747" s="286" t="s">
        <v>21</v>
      </c>
      <c r="AB747" s="378"/>
      <c r="AC747" s="381">
        <v>92777</v>
      </c>
      <c r="AD747" s="378">
        <v>3.9263433086787285</v>
      </c>
      <c r="AE747" s="378">
        <v>0.17430000000000001</v>
      </c>
      <c r="AF747" s="378">
        <v>0.68436163870270239</v>
      </c>
      <c r="AG747" s="378"/>
      <c r="AI747" s="378">
        <v>0</v>
      </c>
      <c r="AJ747" s="378">
        <v>0</v>
      </c>
      <c r="AL747" s="286">
        <v>92777</v>
      </c>
      <c r="AM747" s="286"/>
    </row>
    <row r="748" spans="1:39" s="51" customFormat="1" ht="45" hidden="1" x14ac:dyDescent="0.25">
      <c r="A748" s="59" t="s">
        <v>1071</v>
      </c>
      <c r="B748" s="59" t="s">
        <v>87</v>
      </c>
      <c r="C748" s="59"/>
      <c r="D748" s="59">
        <v>92775</v>
      </c>
      <c r="E748" s="60" t="s">
        <v>511</v>
      </c>
      <c r="F748" s="59" t="s">
        <v>54</v>
      </c>
      <c r="G748" s="61">
        <f>G749*22</f>
        <v>1.4893026343264144</v>
      </c>
      <c r="H748" s="62">
        <v>18.64</v>
      </c>
      <c r="I748" s="62">
        <f t="shared" si="82"/>
        <v>27.760601103844365</v>
      </c>
      <c r="J748" s="62"/>
      <c r="K748" s="62">
        <v>8.7868855425258463</v>
      </c>
      <c r="L748" s="62">
        <v>18.973715561318521</v>
      </c>
      <c r="M748" s="62">
        <v>0</v>
      </c>
      <c r="N748" s="62">
        <v>0</v>
      </c>
      <c r="O748" s="62">
        <v>0</v>
      </c>
      <c r="P748" s="298" t="s">
        <v>4160</v>
      </c>
      <c r="Q748" s="60" t="s">
        <v>27</v>
      </c>
      <c r="R748" s="60" t="s">
        <v>138</v>
      </c>
      <c r="S748" s="286" t="str">
        <f t="shared" si="74"/>
        <v/>
      </c>
      <c r="T748" s="286" t="str">
        <f>IF($C748= "", T747, IF(ISNA(VLOOKUP($C748,'ABC-S'!$A$5:$A$271,1,FALSE)), "", VLOOKUP($C748,'ABC-S'!$A$5:$A$271,1,FALSE)))</f>
        <v/>
      </c>
      <c r="W748" s="286" t="s">
        <v>1071</v>
      </c>
      <c r="X748" s="286" t="s">
        <v>21</v>
      </c>
      <c r="Y748" s="286" t="s">
        <v>1513</v>
      </c>
      <c r="Z748" s="335" t="s">
        <v>21</v>
      </c>
      <c r="AA748" s="286" t="s">
        <v>21</v>
      </c>
      <c r="AB748" s="378"/>
      <c r="AC748" s="381">
        <v>92775</v>
      </c>
      <c r="AD748" s="378">
        <v>1.4893026343264144</v>
      </c>
      <c r="AE748" s="378">
        <v>0.34889999999999999</v>
      </c>
      <c r="AF748" s="378">
        <v>0.51961768911648598</v>
      </c>
      <c r="AG748" s="378"/>
      <c r="AI748" s="378">
        <v>0</v>
      </c>
      <c r="AJ748" s="378">
        <v>0</v>
      </c>
      <c r="AL748" s="286">
        <v>92775</v>
      </c>
      <c r="AM748" s="286"/>
    </row>
    <row r="749" spans="1:39" s="51" customFormat="1" ht="45" hidden="1" x14ac:dyDescent="0.25">
      <c r="A749" s="59" t="s">
        <v>1071</v>
      </c>
      <c r="B749" s="59" t="s">
        <v>87</v>
      </c>
      <c r="C749" s="59"/>
      <c r="D749" s="59" t="s">
        <v>1022</v>
      </c>
      <c r="E749" s="60" t="s">
        <v>1023</v>
      </c>
      <c r="F749" s="59" t="s">
        <v>44</v>
      </c>
      <c r="G749" s="61">
        <f>(0.9*0.9*0.07)+((PI()*(0.1^2)/4)*(0.9+0.5))</f>
        <v>6.7695574287564286E-2</v>
      </c>
      <c r="H749" s="62">
        <v>700.98560999999995</v>
      </c>
      <c r="I749" s="62">
        <f t="shared" si="82"/>
        <v>47.453623436268565</v>
      </c>
      <c r="J749" s="62"/>
      <c r="K749" s="62">
        <v>15.210723027307168</v>
      </c>
      <c r="L749" s="62">
        <v>31.922634677874161</v>
      </c>
      <c r="M749" s="62">
        <v>0.20888823357913713</v>
      </c>
      <c r="N749" s="62">
        <v>0</v>
      </c>
      <c r="O749" s="62">
        <v>0.11137749750810144</v>
      </c>
      <c r="P749" s="298" t="s">
        <v>4160</v>
      </c>
      <c r="Q749" s="60" t="s">
        <v>27</v>
      </c>
      <c r="R749" s="60" t="s">
        <v>138</v>
      </c>
      <c r="S749" s="286" t="str">
        <f t="shared" si="74"/>
        <v/>
      </c>
      <c r="T749" s="286" t="str">
        <f>IF($C749= "", T748, IF(ISNA(VLOOKUP($C749,'ABC-S'!$A$5:$A$271,1,FALSE)), "", VLOOKUP($C749,'ABC-S'!$A$5:$A$271,1,FALSE)))</f>
        <v/>
      </c>
      <c r="W749" s="286" t="s">
        <v>1071</v>
      </c>
      <c r="X749" s="286" t="s">
        <v>21</v>
      </c>
      <c r="Y749" s="286" t="s">
        <v>1513</v>
      </c>
      <c r="Z749" s="335" t="s">
        <v>21</v>
      </c>
      <c r="AA749" s="286" t="s">
        <v>21</v>
      </c>
      <c r="AB749" s="378"/>
      <c r="AC749" s="381" t="s">
        <v>1022</v>
      </c>
      <c r="AD749" s="378">
        <v>6.7695574287564286E-2</v>
      </c>
      <c r="AE749" s="378" t="e">
        <v>#REF!</v>
      </c>
      <c r="AF749" s="378" t="e">
        <v>#REF!</v>
      </c>
      <c r="AG749" s="378"/>
      <c r="AI749" s="378" t="s">
        <v>21</v>
      </c>
      <c r="AJ749" s="378" t="s">
        <v>21</v>
      </c>
      <c r="AL749" s="286" t="s">
        <v>1022</v>
      </c>
      <c r="AM749" s="286"/>
    </row>
    <row r="750" spans="1:39" s="51" customFormat="1" ht="33.75" hidden="1" x14ac:dyDescent="0.25">
      <c r="A750" s="59" t="s">
        <v>1071</v>
      </c>
      <c r="B750" s="59" t="s">
        <v>87</v>
      </c>
      <c r="C750" s="59"/>
      <c r="D750" s="59">
        <v>72850</v>
      </c>
      <c r="E750" s="60" t="s">
        <v>1312</v>
      </c>
      <c r="F750" s="59" t="s">
        <v>55</v>
      </c>
      <c r="G750" s="61">
        <f>G749*'MLQ-PESP'!$C$11</f>
        <v>0.16923893571891072</v>
      </c>
      <c r="H750" s="62">
        <v>11.844150000000001</v>
      </c>
      <c r="I750" s="62">
        <f t="shared" si="82"/>
        <v>2.0044913404951363</v>
      </c>
      <c r="J750" s="62"/>
      <c r="K750" s="62">
        <v>0.20615587096195531</v>
      </c>
      <c r="L750" s="62">
        <v>1.3412258428466035</v>
      </c>
      <c r="M750" s="62">
        <v>0.45710962668657767</v>
      </c>
      <c r="N750" s="62">
        <v>0</v>
      </c>
      <c r="O750" s="62">
        <v>0</v>
      </c>
      <c r="P750" s="298" t="s">
        <v>4160</v>
      </c>
      <c r="Q750" s="60" t="s">
        <v>27</v>
      </c>
      <c r="R750" s="60" t="s">
        <v>138</v>
      </c>
      <c r="S750" s="286" t="str">
        <f t="shared" si="74"/>
        <v/>
      </c>
      <c r="T750" s="286" t="str">
        <f>IF($C750= "", T749, IF(ISNA(VLOOKUP($C750,'ABC-S'!$A$5:$A$271,1,FALSE)), "", VLOOKUP($C750,'ABC-S'!$A$5:$A$271,1,FALSE)))</f>
        <v/>
      </c>
      <c r="W750" s="286" t="s">
        <v>1071</v>
      </c>
      <c r="X750" s="286" t="s">
        <v>21</v>
      </c>
      <c r="Y750" s="286" t="s">
        <v>1513</v>
      </c>
      <c r="Z750" s="335" t="s">
        <v>21</v>
      </c>
      <c r="AA750" s="286" t="s">
        <v>21</v>
      </c>
      <c r="AB750" s="378"/>
      <c r="AC750" s="381">
        <v>72850</v>
      </c>
      <c r="AD750" s="378">
        <v>0.16923893571891072</v>
      </c>
      <c r="AE750" s="378">
        <v>8.43E-2</v>
      </c>
      <c r="AF750" s="378">
        <v>1.4266842281104173E-2</v>
      </c>
      <c r="AG750" s="378"/>
      <c r="AI750" s="378" t="s">
        <v>21</v>
      </c>
      <c r="AJ750" s="378" t="s">
        <v>21</v>
      </c>
      <c r="AL750" s="286">
        <v>72850</v>
      </c>
      <c r="AM750" s="286"/>
    </row>
    <row r="751" spans="1:39" s="51" customFormat="1" ht="33.75" hidden="1" x14ac:dyDescent="0.25">
      <c r="A751" s="59" t="s">
        <v>1071</v>
      </c>
      <c r="B751" s="59" t="s">
        <v>87</v>
      </c>
      <c r="C751" s="59"/>
      <c r="D751" s="59">
        <v>100949</v>
      </c>
      <c r="E751" s="60" t="s">
        <v>791</v>
      </c>
      <c r="F751" s="59" t="s">
        <v>42</v>
      </c>
      <c r="G751" s="61">
        <f>G750</f>
        <v>0.16923893571891072</v>
      </c>
      <c r="H751" s="62">
        <v>4.28</v>
      </c>
      <c r="I751" s="62">
        <f t="shared" si="82"/>
        <v>0.72434264487693789</v>
      </c>
      <c r="J751" s="62"/>
      <c r="K751" s="62">
        <v>9.8158582716968215E-2</v>
      </c>
      <c r="L751" s="62">
        <v>0.45525273708386982</v>
      </c>
      <c r="M751" s="62">
        <v>0.17093132507609982</v>
      </c>
      <c r="N751" s="62">
        <v>0</v>
      </c>
      <c r="O751" s="62">
        <v>0</v>
      </c>
      <c r="P751" s="298" t="s">
        <v>4160</v>
      </c>
      <c r="Q751" s="60" t="s">
        <v>27</v>
      </c>
      <c r="R751" s="60" t="s">
        <v>138</v>
      </c>
      <c r="S751" s="286" t="str">
        <f t="shared" si="74"/>
        <v/>
      </c>
      <c r="T751" s="286" t="str">
        <f>IF($C751= "", T750, IF(ISNA(VLOOKUP($C751,'ABC-S'!$A$5:$A$271,1,FALSE)), "", VLOOKUP($C751,'ABC-S'!$A$5:$A$271,1,FALSE)))</f>
        <v/>
      </c>
      <c r="W751" s="286" t="s">
        <v>1071</v>
      </c>
      <c r="X751" s="286" t="s">
        <v>21</v>
      </c>
      <c r="Y751" s="286" t="s">
        <v>1098</v>
      </c>
      <c r="Z751" s="335" t="s">
        <v>21</v>
      </c>
      <c r="AA751" s="286" t="s">
        <v>21</v>
      </c>
      <c r="AB751" s="378"/>
      <c r="AC751" s="381">
        <v>100949</v>
      </c>
      <c r="AD751" s="378">
        <v>0.16923893571891072</v>
      </c>
      <c r="AE751" s="378">
        <v>3.9699999999999999E-2</v>
      </c>
      <c r="AF751" s="378">
        <v>6.7187857480407549E-3</v>
      </c>
      <c r="AG751" s="378"/>
      <c r="AI751" s="378">
        <v>0</v>
      </c>
      <c r="AJ751" s="378">
        <v>0</v>
      </c>
      <c r="AL751" s="286">
        <v>100949</v>
      </c>
      <c r="AM751" s="286"/>
    </row>
    <row r="752" spans="1:39" s="51" customFormat="1" ht="33.75" hidden="1" x14ac:dyDescent="0.25">
      <c r="A752" s="55" t="s">
        <v>1072</v>
      </c>
      <c r="B752" s="55" t="s">
        <v>138</v>
      </c>
      <c r="C752" s="55" t="s">
        <v>1072</v>
      </c>
      <c r="D752" s="55"/>
      <c r="E752" s="56" t="s">
        <v>1075</v>
      </c>
      <c r="F752" s="55" t="s">
        <v>41</v>
      </c>
      <c r="G752" s="57"/>
      <c r="H752" s="58"/>
      <c r="I752" s="58"/>
      <c r="J752" s="58">
        <f>SUM(I752:I760)</f>
        <v>98.357241918231225</v>
      </c>
      <c r="K752" s="58">
        <v>33.678325432062962</v>
      </c>
      <c r="L752" s="58">
        <v>63.341205104957375</v>
      </c>
      <c r="M752" s="58">
        <v>1.2863299341607144</v>
      </c>
      <c r="N752" s="58">
        <v>0</v>
      </c>
      <c r="O752" s="58">
        <v>5.1381447050161393E-2</v>
      </c>
      <c r="P752" s="58"/>
      <c r="Q752" s="56"/>
      <c r="R752" s="56" t="s">
        <v>138</v>
      </c>
      <c r="S752" s="286" t="str">
        <f t="shared" si="74"/>
        <v/>
      </c>
      <c r="T752" s="286" t="str">
        <f>IF($C752= "", T751, IF(ISNA(VLOOKUP($C752,'ABC-S'!$A$5:$A$271,1,FALSE)), "", VLOOKUP($C752,'ABC-S'!$A$5:$A$271,1,FALSE)))</f>
        <v/>
      </c>
      <c r="W752" s="286" t="s">
        <v>1072</v>
      </c>
      <c r="X752" s="286"/>
      <c r="Y752" s="286"/>
      <c r="Z752" s="286"/>
      <c r="AA752" s="286" t="s">
        <v>21</v>
      </c>
      <c r="AB752" s="378">
        <v>0</v>
      </c>
      <c r="AC752" s="378"/>
      <c r="AD752" s="335"/>
      <c r="AE752" s="335"/>
      <c r="AF752" s="335"/>
      <c r="AG752" s="378" t="e">
        <v>#REF!</v>
      </c>
      <c r="AI752" s="378" t="s">
        <v>21</v>
      </c>
      <c r="AJ752" s="378" t="s">
        <v>21</v>
      </c>
      <c r="AL752" s="286"/>
      <c r="AM752" s="286"/>
    </row>
    <row r="753" spans="1:39" s="51" customFormat="1" ht="22.5" hidden="1" x14ac:dyDescent="0.25">
      <c r="A753" s="59" t="s">
        <v>1072</v>
      </c>
      <c r="B753" s="59" t="s">
        <v>87</v>
      </c>
      <c r="C753" s="59"/>
      <c r="D753" s="59">
        <v>97629</v>
      </c>
      <c r="E753" s="60" t="s">
        <v>551</v>
      </c>
      <c r="F753" s="59" t="s">
        <v>44</v>
      </c>
      <c r="G753" s="61">
        <f>PI()*(0.1^2)/4*0.07</f>
        <v>5.4977871437821393E-4</v>
      </c>
      <c r="H753" s="62">
        <v>106.16</v>
      </c>
      <c r="I753" s="62">
        <f t="shared" ref="I753:I760" si="83">IF($D753="","",G753*H753)</f>
        <v>5.8364508318391191E-2</v>
      </c>
      <c r="J753" s="62"/>
      <c r="K753" s="62">
        <v>3.8237109585004779E-2</v>
      </c>
      <c r="L753" s="62">
        <v>1.7142100314312712E-2</v>
      </c>
      <c r="M753" s="62">
        <v>2.9852984190737015E-3</v>
      </c>
      <c r="N753" s="62">
        <v>0</v>
      </c>
      <c r="O753" s="62">
        <v>-6.9388939039072284E-18</v>
      </c>
      <c r="P753" s="298" t="s">
        <v>4160</v>
      </c>
      <c r="Q753" s="60" t="s">
        <v>27</v>
      </c>
      <c r="R753" s="60" t="s">
        <v>138</v>
      </c>
      <c r="S753" s="286" t="str">
        <f t="shared" si="74"/>
        <v/>
      </c>
      <c r="T753" s="286" t="str">
        <f>IF($C753= "", T752, IF(ISNA(VLOOKUP($C753,'ABC-S'!$A$5:$A$271,1,FALSE)), "", VLOOKUP($C753,'ABC-S'!$A$5:$A$271,1,FALSE)))</f>
        <v/>
      </c>
      <c r="W753" s="286" t="s">
        <v>1072</v>
      </c>
      <c r="X753" s="286" t="s">
        <v>21</v>
      </c>
      <c r="Y753" s="286" t="s">
        <v>1513</v>
      </c>
      <c r="Z753" s="335" t="s">
        <v>21</v>
      </c>
      <c r="AA753" s="286" t="s">
        <v>21</v>
      </c>
      <c r="AB753" s="378"/>
      <c r="AC753" s="381">
        <v>97629</v>
      </c>
      <c r="AD753" s="378">
        <v>5.4977871437821393E-4</v>
      </c>
      <c r="AE753" s="378">
        <v>5.4554</v>
      </c>
      <c r="AF753" s="378">
        <v>2.9992627984189082E-3</v>
      </c>
      <c r="AG753" s="378"/>
      <c r="AI753" s="378">
        <v>0</v>
      </c>
      <c r="AJ753" s="378">
        <v>0</v>
      </c>
      <c r="AL753" s="286">
        <v>97629</v>
      </c>
      <c r="AM753" s="286"/>
    </row>
    <row r="754" spans="1:39" s="51" customFormat="1" ht="22.5" hidden="1" x14ac:dyDescent="0.25">
      <c r="A754" s="59" t="s">
        <v>1072</v>
      </c>
      <c r="B754" s="59" t="s">
        <v>87</v>
      </c>
      <c r="C754" s="59"/>
      <c r="D754" s="59">
        <v>93358</v>
      </c>
      <c r="E754" s="60" t="s">
        <v>1293</v>
      </c>
      <c r="F754" s="59" t="s">
        <v>44</v>
      </c>
      <c r="G754" s="61">
        <f>PI()*(0.1^2)/4*0.5</f>
        <v>3.9269908169872417E-3</v>
      </c>
      <c r="H754" s="62">
        <v>69.66</v>
      </c>
      <c r="I754" s="62">
        <f t="shared" si="83"/>
        <v>0.27355418031133122</v>
      </c>
      <c r="J754" s="62"/>
      <c r="K754" s="62">
        <v>0.18024887849971438</v>
      </c>
      <c r="L754" s="62">
        <v>9.3305301811616864E-2</v>
      </c>
      <c r="M754" s="62">
        <v>0</v>
      </c>
      <c r="N754" s="62">
        <v>0</v>
      </c>
      <c r="O754" s="62">
        <v>-5.5511151231257827E-17</v>
      </c>
      <c r="P754" s="298" t="s">
        <v>4160</v>
      </c>
      <c r="Q754" s="60" t="s">
        <v>27</v>
      </c>
      <c r="R754" s="60" t="s">
        <v>138</v>
      </c>
      <c r="S754" s="286" t="str">
        <f t="shared" si="74"/>
        <v/>
      </c>
      <c r="T754" s="286" t="str">
        <f>IF($C754= "", T753, IF(ISNA(VLOOKUP($C754,'ABC-S'!$A$5:$A$271,1,FALSE)), "", VLOOKUP($C754,'ABC-S'!$A$5:$A$271,1,FALSE)))</f>
        <v/>
      </c>
      <c r="W754" s="286" t="s">
        <v>1072</v>
      </c>
      <c r="X754" s="286" t="s">
        <v>21</v>
      </c>
      <c r="Y754" s="286" t="s">
        <v>1513</v>
      </c>
      <c r="Z754" s="335" t="s">
        <v>21</v>
      </c>
      <c r="AA754" s="286" t="s">
        <v>21</v>
      </c>
      <c r="AB754" s="378"/>
      <c r="AC754" s="381">
        <v>93358</v>
      </c>
      <c r="AD754" s="378">
        <v>3.9269908169872417E-3</v>
      </c>
      <c r="AE754" s="378">
        <v>3.956</v>
      </c>
      <c r="AF754" s="378">
        <v>1.5535175672001527E-2</v>
      </c>
      <c r="AG754" s="378"/>
      <c r="AI754" s="378">
        <v>0</v>
      </c>
      <c r="AJ754" s="378">
        <v>0</v>
      </c>
      <c r="AL754" s="286">
        <v>93358</v>
      </c>
      <c r="AM754" s="286"/>
    </row>
    <row r="755" spans="1:39" s="51" customFormat="1" ht="45" hidden="1" x14ac:dyDescent="0.25">
      <c r="A755" s="59" t="s">
        <v>1072</v>
      </c>
      <c r="B755" s="59" t="s">
        <v>87</v>
      </c>
      <c r="C755" s="59"/>
      <c r="D755" s="59">
        <v>96257</v>
      </c>
      <c r="E755" s="60" t="s">
        <v>605</v>
      </c>
      <c r="F755" s="59" t="s">
        <v>51</v>
      </c>
      <c r="G755" s="61">
        <f>(PI()*0.35*0.07)+(PI()*0.1*1)</f>
        <v>0.39112828537192923</v>
      </c>
      <c r="H755" s="62">
        <v>172.76</v>
      </c>
      <c r="I755" s="62">
        <f t="shared" si="83"/>
        <v>67.571322580854485</v>
      </c>
      <c r="J755" s="62"/>
      <c r="K755" s="62">
        <v>25.751886308887823</v>
      </c>
      <c r="L755" s="62">
        <v>40.689075527241798</v>
      </c>
      <c r="M755" s="62">
        <v>1.1029817647488405</v>
      </c>
      <c r="N755" s="62">
        <v>0</v>
      </c>
      <c r="O755" s="62">
        <v>2.7378979976020901E-2</v>
      </c>
      <c r="P755" s="298" t="s">
        <v>4160</v>
      </c>
      <c r="Q755" s="60" t="s">
        <v>27</v>
      </c>
      <c r="R755" s="60" t="s">
        <v>138</v>
      </c>
      <c r="S755" s="286" t="str">
        <f t="shared" si="74"/>
        <v/>
      </c>
      <c r="T755" s="286" t="str">
        <f>IF($C755= "", T754, IF(ISNA(VLOOKUP($C755,'ABC-S'!$A$5:$A$271,1,FALSE)), "", VLOOKUP($C755,'ABC-S'!$A$5:$A$271,1,FALSE)))</f>
        <v/>
      </c>
      <c r="W755" s="286" t="s">
        <v>1072</v>
      </c>
      <c r="X755" s="286" t="s">
        <v>21</v>
      </c>
      <c r="Y755" s="286" t="s">
        <v>1513</v>
      </c>
      <c r="Z755" s="335" t="s">
        <v>21</v>
      </c>
      <c r="AA755" s="286" t="s">
        <v>21</v>
      </c>
      <c r="AB755" s="378"/>
      <c r="AC755" s="381">
        <v>96257</v>
      </c>
      <c r="AD755" s="378">
        <v>0.39112828537192923</v>
      </c>
      <c r="AE755" s="378">
        <v>3.7048899999999998</v>
      </c>
      <c r="AF755" s="378">
        <v>1.4490872731916069</v>
      </c>
      <c r="AG755" s="378"/>
      <c r="AI755" s="378">
        <v>0</v>
      </c>
      <c r="AJ755" s="378">
        <v>0</v>
      </c>
      <c r="AL755" s="286">
        <v>96257</v>
      </c>
      <c r="AM755" s="286"/>
    </row>
    <row r="756" spans="1:39" s="51" customFormat="1" ht="45" hidden="1" x14ac:dyDescent="0.25">
      <c r="A756" s="59" t="s">
        <v>1072</v>
      </c>
      <c r="B756" s="59" t="s">
        <v>87</v>
      </c>
      <c r="C756" s="59"/>
      <c r="D756" s="59">
        <v>92777</v>
      </c>
      <c r="E756" s="60" t="s">
        <v>510</v>
      </c>
      <c r="F756" s="59" t="s">
        <v>54</v>
      </c>
      <c r="G756" s="61">
        <f>G758*58</f>
        <v>0.84614871133624092</v>
      </c>
      <c r="H756" s="62">
        <v>16.14</v>
      </c>
      <c r="I756" s="62">
        <f t="shared" si="83"/>
        <v>13.656840200966929</v>
      </c>
      <c r="J756" s="62"/>
      <c r="K756" s="62">
        <v>2.4707542371018234</v>
      </c>
      <c r="L756" s="62">
        <v>11.186085963865105</v>
      </c>
      <c r="M756" s="62">
        <v>0</v>
      </c>
      <c r="N756" s="62">
        <v>0</v>
      </c>
      <c r="O756" s="62">
        <v>0</v>
      </c>
      <c r="P756" s="298" t="s">
        <v>4160</v>
      </c>
      <c r="Q756" s="60" t="s">
        <v>27</v>
      </c>
      <c r="R756" s="60" t="s">
        <v>138</v>
      </c>
      <c r="S756" s="286" t="str">
        <f t="shared" si="74"/>
        <v/>
      </c>
      <c r="T756" s="286" t="str">
        <f>IF($C756= "", T755, IF(ISNA(VLOOKUP($C756,'ABC-S'!$A$5:$A$271,1,FALSE)), "", VLOOKUP($C756,'ABC-S'!$A$5:$A$271,1,FALSE)))</f>
        <v/>
      </c>
      <c r="W756" s="286" t="s">
        <v>1072</v>
      </c>
      <c r="X756" s="286" t="s">
        <v>21</v>
      </c>
      <c r="Y756" s="286" t="s">
        <v>1513</v>
      </c>
      <c r="Z756" s="335" t="s">
        <v>21</v>
      </c>
      <c r="AA756" s="286" t="s">
        <v>21</v>
      </c>
      <c r="AB756" s="378"/>
      <c r="AC756" s="381">
        <v>92777</v>
      </c>
      <c r="AD756" s="378">
        <v>0.84614871133624092</v>
      </c>
      <c r="AE756" s="378">
        <v>0.17430000000000001</v>
      </c>
      <c r="AF756" s="378">
        <v>0.14748372038590679</v>
      </c>
      <c r="AG756" s="378"/>
      <c r="AI756" s="378">
        <v>0</v>
      </c>
      <c r="AJ756" s="378">
        <v>0</v>
      </c>
      <c r="AL756" s="286">
        <v>92777</v>
      </c>
      <c r="AM756" s="286"/>
    </row>
    <row r="757" spans="1:39" s="51" customFormat="1" ht="45" hidden="1" x14ac:dyDescent="0.25">
      <c r="A757" s="59" t="s">
        <v>1072</v>
      </c>
      <c r="B757" s="59" t="s">
        <v>87</v>
      </c>
      <c r="C757" s="59"/>
      <c r="D757" s="59">
        <v>92775</v>
      </c>
      <c r="E757" s="60" t="s">
        <v>511</v>
      </c>
      <c r="F757" s="59" t="s">
        <v>54</v>
      </c>
      <c r="G757" s="61">
        <f>G758*22</f>
        <v>0.32095295947236724</v>
      </c>
      <c r="H757" s="62">
        <v>18.64</v>
      </c>
      <c r="I757" s="62">
        <f t="shared" si="83"/>
        <v>5.9825631645649251</v>
      </c>
      <c r="J757" s="62"/>
      <c r="K757" s="62">
        <v>1.8936224608869667</v>
      </c>
      <c r="L757" s="62">
        <v>4.0889407036779586</v>
      </c>
      <c r="M757" s="62">
        <v>0</v>
      </c>
      <c r="N757" s="62">
        <v>0</v>
      </c>
      <c r="O757" s="62">
        <v>0</v>
      </c>
      <c r="P757" s="298" t="s">
        <v>4160</v>
      </c>
      <c r="Q757" s="60" t="s">
        <v>27</v>
      </c>
      <c r="R757" s="60" t="s">
        <v>138</v>
      </c>
      <c r="S757" s="286" t="str">
        <f t="shared" si="74"/>
        <v/>
      </c>
      <c r="T757" s="286" t="str">
        <f>IF($C757= "", T756, IF(ISNA(VLOOKUP($C757,'ABC-S'!$A$5:$A$271,1,FALSE)), "", VLOOKUP($C757,'ABC-S'!$A$5:$A$271,1,FALSE)))</f>
        <v/>
      </c>
      <c r="W757" s="286" t="s">
        <v>1072</v>
      </c>
      <c r="X757" s="286" t="s">
        <v>21</v>
      </c>
      <c r="Y757" s="286" t="s">
        <v>1513</v>
      </c>
      <c r="Z757" s="335" t="s">
        <v>21</v>
      </c>
      <c r="AA757" s="286" t="s">
        <v>21</v>
      </c>
      <c r="AB757" s="378"/>
      <c r="AC757" s="381">
        <v>92775</v>
      </c>
      <c r="AD757" s="378">
        <v>0.32095295947236724</v>
      </c>
      <c r="AE757" s="378">
        <v>0.34889999999999999</v>
      </c>
      <c r="AF757" s="378">
        <v>0.11198048755990893</v>
      </c>
      <c r="AG757" s="378"/>
      <c r="AI757" s="378">
        <v>0</v>
      </c>
      <c r="AJ757" s="378">
        <v>0</v>
      </c>
      <c r="AL757" s="286">
        <v>92775</v>
      </c>
      <c r="AM757" s="286"/>
    </row>
    <row r="758" spans="1:39" s="51" customFormat="1" ht="45" hidden="1" x14ac:dyDescent="0.25">
      <c r="A758" s="59" t="s">
        <v>1072</v>
      </c>
      <c r="B758" s="59" t="s">
        <v>87</v>
      </c>
      <c r="C758" s="59"/>
      <c r="D758" s="59" t="s">
        <v>1022</v>
      </c>
      <c r="E758" s="60" t="s">
        <v>1023</v>
      </c>
      <c r="F758" s="59" t="s">
        <v>44</v>
      </c>
      <c r="G758" s="61">
        <f>((PI()*(0.35^2)/4)*0.07)
+((PI()*(0.1^2)/4)*1)</f>
        <v>1.4588770885107603E-2</v>
      </c>
      <c r="H758" s="62">
        <v>700.98560999999995</v>
      </c>
      <c r="I758" s="62">
        <f t="shared" si="83"/>
        <v>10.226518458047392</v>
      </c>
      <c r="J758" s="62"/>
      <c r="K758" s="62">
        <v>3.2779949882629</v>
      </c>
      <c r="L758" s="62">
        <v>6.8795044323901751</v>
      </c>
      <c r="M758" s="62">
        <v>4.501657032017653E-2</v>
      </c>
      <c r="N758" s="62">
        <v>0</v>
      </c>
      <c r="O758" s="62">
        <v>2.4002467074140554E-2</v>
      </c>
      <c r="P758" s="298" t="s">
        <v>4160</v>
      </c>
      <c r="Q758" s="60" t="s">
        <v>27</v>
      </c>
      <c r="R758" s="60" t="s">
        <v>138</v>
      </c>
      <c r="S758" s="286" t="str">
        <f t="shared" ref="S758:S821" si="84">IF(T758 &lt;&gt; "", "SIM", "")</f>
        <v/>
      </c>
      <c r="T758" s="286" t="str">
        <f>IF($C758= "", T757, IF(ISNA(VLOOKUP($C758,'ABC-S'!$A$5:$A$271,1,FALSE)), "", VLOOKUP($C758,'ABC-S'!$A$5:$A$271,1,FALSE)))</f>
        <v/>
      </c>
      <c r="W758" s="286" t="s">
        <v>1072</v>
      </c>
      <c r="X758" s="286" t="s">
        <v>21</v>
      </c>
      <c r="Y758" s="286" t="s">
        <v>1513</v>
      </c>
      <c r="Z758" s="335" t="s">
        <v>21</v>
      </c>
      <c r="AA758" s="286" t="s">
        <v>21</v>
      </c>
      <c r="AB758" s="378"/>
      <c r="AC758" s="381" t="s">
        <v>1022</v>
      </c>
      <c r="AD758" s="378">
        <v>1.4588770885107603E-2</v>
      </c>
      <c r="AE758" s="378" t="e">
        <v>#REF!</v>
      </c>
      <c r="AF758" s="378" t="e">
        <v>#REF!</v>
      </c>
      <c r="AG758" s="378"/>
      <c r="AI758" s="378" t="s">
        <v>21</v>
      </c>
      <c r="AJ758" s="378" t="s">
        <v>21</v>
      </c>
      <c r="AL758" s="286" t="s">
        <v>1022</v>
      </c>
      <c r="AM758" s="286"/>
    </row>
    <row r="759" spans="1:39" s="51" customFormat="1" ht="33.75" hidden="1" x14ac:dyDescent="0.25">
      <c r="A759" s="59" t="s">
        <v>1072</v>
      </c>
      <c r="B759" s="59" t="s">
        <v>87</v>
      </c>
      <c r="C759" s="59"/>
      <c r="D759" s="59">
        <v>72850</v>
      </c>
      <c r="E759" s="60" t="s">
        <v>1312</v>
      </c>
      <c r="F759" s="59" t="s">
        <v>55</v>
      </c>
      <c r="G759" s="61">
        <f>G758*'MLQ-PESP'!$C$11</f>
        <v>3.6471927212769005E-2</v>
      </c>
      <c r="H759" s="62">
        <v>11.844150000000001</v>
      </c>
      <c r="I759" s="62">
        <f t="shared" si="83"/>
        <v>0.43197897669711804</v>
      </c>
      <c r="J759" s="62"/>
      <c r="K759" s="62">
        <v>4.4427731055326374E-2</v>
      </c>
      <c r="L759" s="62">
        <v>0.28904159145406455</v>
      </c>
      <c r="M759" s="62">
        <v>9.8509654187727114E-2</v>
      </c>
      <c r="N759" s="62">
        <v>0</v>
      </c>
      <c r="O759" s="62">
        <v>0</v>
      </c>
      <c r="P759" s="298" t="s">
        <v>4160</v>
      </c>
      <c r="Q759" s="60" t="s">
        <v>27</v>
      </c>
      <c r="R759" s="60" t="s">
        <v>138</v>
      </c>
      <c r="S759" s="286" t="str">
        <f t="shared" si="84"/>
        <v/>
      </c>
      <c r="T759" s="286" t="str">
        <f>IF($C759= "", T758, IF(ISNA(VLOOKUP($C759,'ABC-S'!$A$5:$A$271,1,FALSE)), "", VLOOKUP($C759,'ABC-S'!$A$5:$A$271,1,FALSE)))</f>
        <v/>
      </c>
      <c r="W759" s="286" t="s">
        <v>1072</v>
      </c>
      <c r="X759" s="286" t="s">
        <v>21</v>
      </c>
      <c r="Y759" s="286" t="s">
        <v>1513</v>
      </c>
      <c r="Z759" s="335" t="s">
        <v>21</v>
      </c>
      <c r="AA759" s="286" t="s">
        <v>21</v>
      </c>
      <c r="AB759" s="378"/>
      <c r="AC759" s="381">
        <v>72850</v>
      </c>
      <c r="AD759" s="378">
        <v>3.6471927212769005E-2</v>
      </c>
      <c r="AE759" s="378">
        <v>8.43E-2</v>
      </c>
      <c r="AF759" s="378">
        <v>3.074583464036427E-3</v>
      </c>
      <c r="AG759" s="378"/>
      <c r="AI759" s="378" t="s">
        <v>21</v>
      </c>
      <c r="AJ759" s="378" t="s">
        <v>21</v>
      </c>
      <c r="AL759" s="286">
        <v>72850</v>
      </c>
      <c r="AM759" s="286"/>
    </row>
    <row r="760" spans="1:39" s="51" customFormat="1" ht="33.75" hidden="1" x14ac:dyDescent="0.25">
      <c r="A760" s="59" t="s">
        <v>1072</v>
      </c>
      <c r="B760" s="59" t="s">
        <v>87</v>
      </c>
      <c r="C760" s="59"/>
      <c r="D760" s="59">
        <v>100949</v>
      </c>
      <c r="E760" s="60" t="s">
        <v>791</v>
      </c>
      <c r="F760" s="59" t="s">
        <v>42</v>
      </c>
      <c r="G760" s="61">
        <f>G759</f>
        <v>3.6471927212769005E-2</v>
      </c>
      <c r="H760" s="62">
        <v>4.28</v>
      </c>
      <c r="I760" s="62">
        <f t="shared" si="83"/>
        <v>0.15609984847065134</v>
      </c>
      <c r="J760" s="62"/>
      <c r="K760" s="62">
        <v>2.1153717783406023E-2</v>
      </c>
      <c r="L760" s="62">
        <v>9.8109484202348621E-2</v>
      </c>
      <c r="M760" s="62">
        <v>3.6836646484896693E-2</v>
      </c>
      <c r="N760" s="62">
        <v>0</v>
      </c>
      <c r="O760" s="62">
        <v>0</v>
      </c>
      <c r="P760" s="298" t="s">
        <v>4160</v>
      </c>
      <c r="Q760" s="60" t="s">
        <v>27</v>
      </c>
      <c r="R760" s="60" t="s">
        <v>138</v>
      </c>
      <c r="S760" s="286" t="str">
        <f t="shared" si="84"/>
        <v/>
      </c>
      <c r="T760" s="286" t="str">
        <f>IF($C760= "", T759, IF(ISNA(VLOOKUP($C760,'ABC-S'!$A$5:$A$271,1,FALSE)), "", VLOOKUP($C760,'ABC-S'!$A$5:$A$271,1,FALSE)))</f>
        <v/>
      </c>
      <c r="W760" s="286" t="s">
        <v>1072</v>
      </c>
      <c r="X760" s="286" t="s">
        <v>21</v>
      </c>
      <c r="Y760" s="286" t="s">
        <v>1098</v>
      </c>
      <c r="Z760" s="335" t="s">
        <v>21</v>
      </c>
      <c r="AA760" s="286" t="s">
        <v>21</v>
      </c>
      <c r="AB760" s="378"/>
      <c r="AC760" s="381">
        <v>100949</v>
      </c>
      <c r="AD760" s="378">
        <v>3.6471927212769005E-2</v>
      </c>
      <c r="AE760" s="378">
        <v>3.9699999999999999E-2</v>
      </c>
      <c r="AF760" s="378">
        <v>1.4479355103469295E-3</v>
      </c>
      <c r="AG760" s="378"/>
      <c r="AI760" s="378">
        <v>0</v>
      </c>
      <c r="AJ760" s="378">
        <v>0</v>
      </c>
      <c r="AL760" s="286">
        <v>100949</v>
      </c>
      <c r="AM760" s="286"/>
    </row>
    <row r="761" spans="1:39" s="51" customFormat="1" ht="33.75" hidden="1" x14ac:dyDescent="0.25">
      <c r="A761" s="55" t="s">
        <v>1073</v>
      </c>
      <c r="B761" s="55" t="s">
        <v>138</v>
      </c>
      <c r="C761" s="55" t="s">
        <v>1073</v>
      </c>
      <c r="D761" s="55"/>
      <c r="E761" s="56" t="s">
        <v>1076</v>
      </c>
      <c r="F761" s="55" t="s">
        <v>41</v>
      </c>
      <c r="G761" s="57"/>
      <c r="H761" s="58"/>
      <c r="I761" s="58"/>
      <c r="J761" s="58">
        <f>SUM(I761:I771)</f>
        <v>321.31994235000008</v>
      </c>
      <c r="K761" s="58">
        <v>81.461899325000005</v>
      </c>
      <c r="L761" s="58">
        <v>223.91099502500001</v>
      </c>
      <c r="M761" s="58">
        <v>15.766068300000001</v>
      </c>
      <c r="N761" s="58">
        <v>0</v>
      </c>
      <c r="O761" s="58">
        <v>0.18097969999999486</v>
      </c>
      <c r="P761" s="58"/>
      <c r="Q761" s="56"/>
      <c r="R761" s="56" t="s">
        <v>138</v>
      </c>
      <c r="S761" s="286" t="str">
        <f t="shared" si="84"/>
        <v/>
      </c>
      <c r="T761" s="286" t="str">
        <f>IF($C761= "", T760, IF(ISNA(VLOOKUP($C761,'ABC-S'!$A$5:$A$271,1,FALSE)), "", VLOOKUP($C761,'ABC-S'!$A$5:$A$271,1,FALSE)))</f>
        <v/>
      </c>
      <c r="W761" s="286" t="s">
        <v>1073</v>
      </c>
      <c r="X761" s="286"/>
      <c r="Y761" s="286"/>
      <c r="Z761" s="286"/>
      <c r="AA761" s="286" t="s">
        <v>21</v>
      </c>
      <c r="AB761" s="378">
        <v>0</v>
      </c>
      <c r="AC761" s="378"/>
      <c r="AD761" s="335"/>
      <c r="AE761" s="335"/>
      <c r="AF761" s="335"/>
      <c r="AG761" s="378" t="e">
        <v>#REF!</v>
      </c>
      <c r="AI761" s="378" t="s">
        <v>21</v>
      </c>
      <c r="AJ761" s="378" t="s">
        <v>21</v>
      </c>
      <c r="AL761" s="286"/>
      <c r="AM761" s="286"/>
    </row>
    <row r="762" spans="1:39" s="51" customFormat="1" ht="22.5" hidden="1" x14ac:dyDescent="0.25">
      <c r="A762" s="59" t="s">
        <v>1073</v>
      </c>
      <c r="B762" s="59" t="s">
        <v>87</v>
      </c>
      <c r="C762" s="59"/>
      <c r="D762" s="59">
        <v>97629</v>
      </c>
      <c r="E762" s="60" t="s">
        <v>551</v>
      </c>
      <c r="F762" s="59" t="s">
        <v>44</v>
      </c>
      <c r="G762" s="61">
        <f>0.1*0.2*2*0.07</f>
        <v>2.8000000000000008E-3</v>
      </c>
      <c r="H762" s="62">
        <v>106.16</v>
      </c>
      <c r="I762" s="62">
        <f t="shared" ref="I762:I771" si="85">IF($D762="","",G762*H762)</f>
        <v>0.29724800000000007</v>
      </c>
      <c r="J762" s="62"/>
      <c r="K762" s="62">
        <v>0.19474000000000005</v>
      </c>
      <c r="L762" s="62">
        <v>8.730400000000002E-2</v>
      </c>
      <c r="M762" s="62">
        <v>1.5204000000000004E-2</v>
      </c>
      <c r="N762" s="62">
        <v>0</v>
      </c>
      <c r="O762" s="62">
        <v>0</v>
      </c>
      <c r="P762" s="298" t="s">
        <v>4160</v>
      </c>
      <c r="Q762" s="60" t="s">
        <v>27</v>
      </c>
      <c r="R762" s="60" t="s">
        <v>138</v>
      </c>
      <c r="S762" s="286" t="str">
        <f t="shared" si="84"/>
        <v/>
      </c>
      <c r="T762" s="286" t="str">
        <f>IF($C762= "", T761, IF(ISNA(VLOOKUP($C762,'ABC-S'!$A$5:$A$271,1,FALSE)), "", VLOOKUP($C762,'ABC-S'!$A$5:$A$271,1,FALSE)))</f>
        <v/>
      </c>
      <c r="W762" s="286" t="s">
        <v>1073</v>
      </c>
      <c r="X762" s="286" t="s">
        <v>21</v>
      </c>
      <c r="Y762" s="286" t="s">
        <v>1513</v>
      </c>
      <c r="Z762" s="335" t="s">
        <v>21</v>
      </c>
      <c r="AA762" s="286" t="s">
        <v>21</v>
      </c>
      <c r="AB762" s="378"/>
      <c r="AC762" s="381">
        <v>97629</v>
      </c>
      <c r="AD762" s="378">
        <v>2.8000000000000008E-3</v>
      </c>
      <c r="AE762" s="378">
        <v>5.4554</v>
      </c>
      <c r="AF762" s="378">
        <v>1.5275120000000005E-2</v>
      </c>
      <c r="AG762" s="378"/>
      <c r="AI762" s="378">
        <v>0</v>
      </c>
      <c r="AJ762" s="378">
        <v>0</v>
      </c>
      <c r="AL762" s="286">
        <v>97629</v>
      </c>
      <c r="AM762" s="286"/>
    </row>
    <row r="763" spans="1:39" s="51" customFormat="1" ht="22.5" hidden="1" x14ac:dyDescent="0.25">
      <c r="A763" s="59" t="s">
        <v>1073</v>
      </c>
      <c r="B763" s="59" t="s">
        <v>87</v>
      </c>
      <c r="C763" s="59"/>
      <c r="D763" s="59">
        <v>93358</v>
      </c>
      <c r="E763" s="60" t="s">
        <v>1293</v>
      </c>
      <c r="F763" s="59" t="s">
        <v>44</v>
      </c>
      <c r="G763" s="61">
        <f>0.1*0.2*2*0.5</f>
        <v>2.0000000000000004E-2</v>
      </c>
      <c r="H763" s="62">
        <v>69.66</v>
      </c>
      <c r="I763" s="62">
        <f t="shared" si="85"/>
        <v>1.3932000000000002</v>
      </c>
      <c r="J763" s="62"/>
      <c r="K763" s="62">
        <v>0.91800000000000015</v>
      </c>
      <c r="L763" s="62">
        <v>0.47520000000000012</v>
      </c>
      <c r="M763" s="62">
        <v>0</v>
      </c>
      <c r="N763" s="62">
        <v>0</v>
      </c>
      <c r="O763" s="62">
        <v>0</v>
      </c>
      <c r="P763" s="298" t="s">
        <v>4160</v>
      </c>
      <c r="Q763" s="60" t="s">
        <v>27</v>
      </c>
      <c r="R763" s="60" t="s">
        <v>138</v>
      </c>
      <c r="S763" s="286" t="str">
        <f t="shared" si="84"/>
        <v/>
      </c>
      <c r="T763" s="286" t="str">
        <f>IF($C763= "", T762, IF(ISNA(VLOOKUP($C763,'ABC-S'!$A$5:$A$271,1,FALSE)), "", VLOOKUP($C763,'ABC-S'!$A$5:$A$271,1,FALSE)))</f>
        <v/>
      </c>
      <c r="W763" s="286" t="s">
        <v>1073</v>
      </c>
      <c r="X763" s="286" t="s">
        <v>21</v>
      </c>
      <c r="Y763" s="286" t="s">
        <v>1513</v>
      </c>
      <c r="Z763" s="335" t="s">
        <v>21</v>
      </c>
      <c r="AA763" s="286" t="s">
        <v>21</v>
      </c>
      <c r="AB763" s="378"/>
      <c r="AC763" s="381">
        <v>93358</v>
      </c>
      <c r="AD763" s="378">
        <v>2.0000000000000004E-2</v>
      </c>
      <c r="AE763" s="378">
        <v>3.956</v>
      </c>
      <c r="AF763" s="378">
        <v>7.912000000000001E-2</v>
      </c>
      <c r="AG763" s="378"/>
      <c r="AI763" s="378">
        <v>0</v>
      </c>
      <c r="AJ763" s="378">
        <v>0</v>
      </c>
      <c r="AL763" s="286">
        <v>93358</v>
      </c>
      <c r="AM763" s="286"/>
    </row>
    <row r="764" spans="1:39" s="51" customFormat="1" ht="45" hidden="1" x14ac:dyDescent="0.25">
      <c r="A764" s="59" t="s">
        <v>1073</v>
      </c>
      <c r="B764" s="59" t="s">
        <v>87</v>
      </c>
      <c r="C764" s="59"/>
      <c r="D764" s="59">
        <v>92443</v>
      </c>
      <c r="E764" s="60" t="s">
        <v>1163</v>
      </c>
      <c r="F764" s="59" t="s">
        <v>51</v>
      </c>
      <c r="G764" s="61">
        <f>(((0.25+0.12)*2)*(0.47+0.5))*2</f>
        <v>1.4356</v>
      </c>
      <c r="H764" s="62">
        <v>37.659999999999997</v>
      </c>
      <c r="I764" s="62">
        <f t="shared" si="85"/>
        <v>54.064695999999998</v>
      </c>
      <c r="J764" s="62"/>
      <c r="K764" s="62">
        <v>20.241959999999999</v>
      </c>
      <c r="L764" s="62">
        <v>19.897416</v>
      </c>
      <c r="M764" s="62">
        <v>13.925319999999999</v>
      </c>
      <c r="N764" s="62">
        <v>0</v>
      </c>
      <c r="O764" s="62">
        <v>0</v>
      </c>
      <c r="P764" s="298" t="s">
        <v>4160</v>
      </c>
      <c r="Q764" s="60" t="s">
        <v>27</v>
      </c>
      <c r="R764" s="60" t="s">
        <v>138</v>
      </c>
      <c r="S764" s="286" t="str">
        <f t="shared" si="84"/>
        <v/>
      </c>
      <c r="T764" s="286" t="str">
        <f>IF($C764= "", T763, IF(ISNA(VLOOKUP($C764,'ABC-S'!$A$5:$A$271,1,FALSE)), "", VLOOKUP($C764,'ABC-S'!$A$5:$A$271,1,FALSE)))</f>
        <v/>
      </c>
      <c r="W764" s="286" t="s">
        <v>1073</v>
      </c>
      <c r="X764" s="286" t="s">
        <v>21</v>
      </c>
      <c r="Y764" s="286" t="s">
        <v>1513</v>
      </c>
      <c r="Z764" s="335" t="s">
        <v>21</v>
      </c>
      <c r="AA764" s="286" t="s">
        <v>21</v>
      </c>
      <c r="AB764" s="378"/>
      <c r="AC764" s="381">
        <v>92443</v>
      </c>
      <c r="AD764" s="378">
        <v>1.4356</v>
      </c>
      <c r="AE764" s="378">
        <v>0.81036599999999992</v>
      </c>
      <c r="AF764" s="378">
        <v>1.1633614295999999</v>
      </c>
      <c r="AG764" s="378"/>
      <c r="AI764" s="378">
        <v>0</v>
      </c>
      <c r="AJ764" s="378">
        <v>0</v>
      </c>
      <c r="AL764" s="286">
        <v>92443</v>
      </c>
      <c r="AM764" s="286"/>
    </row>
    <row r="765" spans="1:39" s="51" customFormat="1" ht="45" hidden="1" x14ac:dyDescent="0.25">
      <c r="A765" s="59" t="s">
        <v>1073</v>
      </c>
      <c r="B765" s="59" t="s">
        <v>87</v>
      </c>
      <c r="C765" s="59"/>
      <c r="D765" s="59">
        <v>92443</v>
      </c>
      <c r="E765" s="60" t="s">
        <v>1163</v>
      </c>
      <c r="F765" s="59" t="s">
        <v>51</v>
      </c>
      <c r="G765" s="61">
        <f>2*0.4*0.06</f>
        <v>4.8000000000000001E-2</v>
      </c>
      <c r="H765" s="62">
        <v>37.659999999999997</v>
      </c>
      <c r="I765" s="62">
        <f t="shared" si="85"/>
        <v>1.80768</v>
      </c>
      <c r="J765" s="62"/>
      <c r="K765" s="62">
        <v>0.67679999999999996</v>
      </c>
      <c r="L765" s="62">
        <v>0.66527999999999998</v>
      </c>
      <c r="M765" s="62">
        <v>0.46559999999999996</v>
      </c>
      <c r="N765" s="62">
        <v>0</v>
      </c>
      <c r="O765" s="62">
        <v>0</v>
      </c>
      <c r="P765" s="298" t="s">
        <v>4160</v>
      </c>
      <c r="Q765" s="60" t="s">
        <v>27</v>
      </c>
      <c r="R765" s="60" t="s">
        <v>138</v>
      </c>
      <c r="S765" s="286" t="str">
        <f t="shared" si="84"/>
        <v/>
      </c>
      <c r="T765" s="286" t="str">
        <f>IF($C765= "", T764, IF(ISNA(VLOOKUP($C765,'ABC-S'!$A$5:$A$271,1,FALSE)), "", VLOOKUP($C765,'ABC-S'!$A$5:$A$271,1,FALSE)))</f>
        <v/>
      </c>
      <c r="W765" s="286" t="s">
        <v>1073</v>
      </c>
      <c r="X765" s="286" t="s">
        <v>21</v>
      </c>
      <c r="Y765" s="286" t="s">
        <v>1513</v>
      </c>
      <c r="Z765" s="335" t="s">
        <v>21</v>
      </c>
      <c r="AA765" s="286" t="s">
        <v>21</v>
      </c>
      <c r="AB765" s="378"/>
      <c r="AC765" s="381">
        <v>92443</v>
      </c>
      <c r="AD765" s="378">
        <v>4.8000000000000001E-2</v>
      </c>
      <c r="AE765" s="378">
        <v>0.81036599999999992</v>
      </c>
      <c r="AF765" s="378">
        <v>3.8897568E-2</v>
      </c>
      <c r="AG765" s="378"/>
      <c r="AI765" s="378">
        <v>0</v>
      </c>
      <c r="AJ765" s="378">
        <v>0</v>
      </c>
      <c r="AL765" s="286">
        <v>92443</v>
      </c>
      <c r="AM765" s="286"/>
    </row>
    <row r="766" spans="1:39" s="51" customFormat="1" ht="33.75" hidden="1" x14ac:dyDescent="0.25">
      <c r="A766" s="59" t="s">
        <v>1073</v>
      </c>
      <c r="B766" s="59" t="s">
        <v>87</v>
      </c>
      <c r="C766" s="59"/>
      <c r="D766" s="59">
        <v>91596</v>
      </c>
      <c r="E766" s="60" t="s">
        <v>512</v>
      </c>
      <c r="F766" s="59" t="s">
        <v>54</v>
      </c>
      <c r="G766" s="61">
        <f>2*0.4*2.2*(1+5%)</f>
        <v>1.8480000000000003</v>
      </c>
      <c r="H766" s="62">
        <v>18.47</v>
      </c>
      <c r="I766" s="62">
        <f t="shared" si="85"/>
        <v>34.132560000000005</v>
      </c>
      <c r="J766" s="62"/>
      <c r="K766" s="62">
        <v>1.3120800000000001</v>
      </c>
      <c r="L766" s="62">
        <v>32.820480000000011</v>
      </c>
      <c r="M766" s="62">
        <v>0</v>
      </c>
      <c r="N766" s="62">
        <v>0</v>
      </c>
      <c r="O766" s="62">
        <v>-7.1054273576010019E-15</v>
      </c>
      <c r="P766" s="298" t="s">
        <v>4160</v>
      </c>
      <c r="Q766" s="60" t="s">
        <v>27</v>
      </c>
      <c r="R766" s="60" t="s">
        <v>138</v>
      </c>
      <c r="S766" s="286" t="str">
        <f t="shared" si="84"/>
        <v/>
      </c>
      <c r="T766" s="286" t="str">
        <f>IF($C766= "", T765, IF(ISNA(VLOOKUP($C766,'ABC-S'!$A$5:$A$271,1,FALSE)), "", VLOOKUP($C766,'ABC-S'!$A$5:$A$271,1,FALSE)))</f>
        <v/>
      </c>
      <c r="W766" s="286" t="s">
        <v>1073</v>
      </c>
      <c r="X766" s="286" t="s">
        <v>21</v>
      </c>
      <c r="Y766" s="286" t="s">
        <v>1513</v>
      </c>
      <c r="Z766" s="335" t="s">
        <v>21</v>
      </c>
      <c r="AA766" s="286" t="s">
        <v>21</v>
      </c>
      <c r="AB766" s="378"/>
      <c r="AC766" s="381">
        <v>91596</v>
      </c>
      <c r="AD766" s="378">
        <v>1.8480000000000003</v>
      </c>
      <c r="AE766" s="378">
        <v>4.2999999999999997E-2</v>
      </c>
      <c r="AF766" s="378">
        <v>7.9464000000000007E-2</v>
      </c>
      <c r="AG766" s="378"/>
      <c r="AI766" s="378">
        <v>0</v>
      </c>
      <c r="AJ766" s="378">
        <v>0</v>
      </c>
      <c r="AL766" s="286">
        <v>91596</v>
      </c>
      <c r="AM766" s="286"/>
    </row>
    <row r="767" spans="1:39" s="51" customFormat="1" ht="45" hidden="1" x14ac:dyDescent="0.25">
      <c r="A767" s="59" t="s">
        <v>1073</v>
      </c>
      <c r="B767" s="59" t="s">
        <v>87</v>
      </c>
      <c r="C767" s="59"/>
      <c r="D767" s="59">
        <v>92777</v>
      </c>
      <c r="E767" s="60" t="s">
        <v>510</v>
      </c>
      <c r="F767" s="59" t="s">
        <v>54</v>
      </c>
      <c r="G767" s="61">
        <f>G769*58</f>
        <v>6.3800000000000008</v>
      </c>
      <c r="H767" s="62">
        <v>16.14</v>
      </c>
      <c r="I767" s="62">
        <f t="shared" si="85"/>
        <v>102.97320000000002</v>
      </c>
      <c r="J767" s="62"/>
      <c r="K767" s="62">
        <v>18.629600000000003</v>
      </c>
      <c r="L767" s="62">
        <v>84.343600000000009</v>
      </c>
      <c r="M767" s="62">
        <v>0</v>
      </c>
      <c r="N767" s="62">
        <v>0</v>
      </c>
      <c r="O767" s="62">
        <v>0</v>
      </c>
      <c r="P767" s="298" t="s">
        <v>4160</v>
      </c>
      <c r="Q767" s="60" t="s">
        <v>27</v>
      </c>
      <c r="R767" s="60" t="s">
        <v>138</v>
      </c>
      <c r="S767" s="286" t="str">
        <f t="shared" si="84"/>
        <v/>
      </c>
      <c r="T767" s="286" t="str">
        <f>IF($C767= "", T766, IF(ISNA(VLOOKUP($C767,'ABC-S'!$A$5:$A$271,1,FALSE)), "", VLOOKUP($C767,'ABC-S'!$A$5:$A$271,1,FALSE)))</f>
        <v/>
      </c>
      <c r="W767" s="286" t="s">
        <v>1073</v>
      </c>
      <c r="X767" s="286" t="s">
        <v>21</v>
      </c>
      <c r="Y767" s="286" t="s">
        <v>1513</v>
      </c>
      <c r="Z767" s="335" t="s">
        <v>21</v>
      </c>
      <c r="AA767" s="286" t="s">
        <v>21</v>
      </c>
      <c r="AB767" s="378"/>
      <c r="AC767" s="381">
        <v>92777</v>
      </c>
      <c r="AD767" s="378">
        <v>6.3800000000000008</v>
      </c>
      <c r="AE767" s="378">
        <v>0.17430000000000001</v>
      </c>
      <c r="AF767" s="378">
        <v>1.1120340000000002</v>
      </c>
      <c r="AG767" s="378"/>
      <c r="AI767" s="378">
        <v>0</v>
      </c>
      <c r="AJ767" s="378">
        <v>0</v>
      </c>
      <c r="AL767" s="286">
        <v>92777</v>
      </c>
      <c r="AM767" s="286"/>
    </row>
    <row r="768" spans="1:39" s="51" customFormat="1" ht="45" hidden="1" x14ac:dyDescent="0.25">
      <c r="A768" s="59" t="s">
        <v>1073</v>
      </c>
      <c r="B768" s="59" t="s">
        <v>87</v>
      </c>
      <c r="C768" s="59"/>
      <c r="D768" s="59">
        <v>92775</v>
      </c>
      <c r="E768" s="60" t="s">
        <v>511</v>
      </c>
      <c r="F768" s="59" t="s">
        <v>54</v>
      </c>
      <c r="G768" s="61">
        <f>G769*22</f>
        <v>2.4200000000000004</v>
      </c>
      <c r="H768" s="62">
        <v>18.64</v>
      </c>
      <c r="I768" s="62">
        <f t="shared" si="85"/>
        <v>45.108800000000009</v>
      </c>
      <c r="J768" s="62"/>
      <c r="K768" s="62">
        <v>14.278000000000002</v>
      </c>
      <c r="L768" s="62">
        <v>30.830800000000004</v>
      </c>
      <c r="M768" s="62">
        <v>0</v>
      </c>
      <c r="N768" s="62">
        <v>0</v>
      </c>
      <c r="O768" s="62">
        <v>7.1054273576010019E-15</v>
      </c>
      <c r="P768" s="298" t="s">
        <v>4160</v>
      </c>
      <c r="Q768" s="60" t="s">
        <v>27</v>
      </c>
      <c r="R768" s="60" t="s">
        <v>138</v>
      </c>
      <c r="S768" s="286" t="str">
        <f t="shared" si="84"/>
        <v/>
      </c>
      <c r="T768" s="286" t="str">
        <f>IF($C768= "", T767, IF(ISNA(VLOOKUP($C768,'ABC-S'!$A$5:$A$271,1,FALSE)), "", VLOOKUP($C768,'ABC-S'!$A$5:$A$271,1,FALSE)))</f>
        <v/>
      </c>
      <c r="W768" s="286" t="s">
        <v>1073</v>
      </c>
      <c r="X768" s="286" t="s">
        <v>21</v>
      </c>
      <c r="Y768" s="286" t="s">
        <v>1513</v>
      </c>
      <c r="Z768" s="335" t="s">
        <v>21</v>
      </c>
      <c r="AA768" s="286" t="s">
        <v>21</v>
      </c>
      <c r="AB768" s="378"/>
      <c r="AC768" s="381">
        <v>92775</v>
      </c>
      <c r="AD768" s="378">
        <v>2.4200000000000004</v>
      </c>
      <c r="AE768" s="378">
        <v>0.34889999999999999</v>
      </c>
      <c r="AF768" s="378">
        <v>0.84433800000000014</v>
      </c>
      <c r="AG768" s="378"/>
      <c r="AI768" s="378">
        <v>0</v>
      </c>
      <c r="AJ768" s="378">
        <v>0</v>
      </c>
      <c r="AL768" s="286">
        <v>92775</v>
      </c>
      <c r="AM768" s="286"/>
    </row>
    <row r="769" spans="1:39" s="51" customFormat="1" ht="45" hidden="1" x14ac:dyDescent="0.25">
      <c r="A769" s="59" t="s">
        <v>1073</v>
      </c>
      <c r="B769" s="59" t="s">
        <v>87</v>
      </c>
      <c r="C769" s="59"/>
      <c r="D769" s="59" t="s">
        <v>1022</v>
      </c>
      <c r="E769" s="60" t="s">
        <v>1023</v>
      </c>
      <c r="F769" s="59" t="s">
        <v>44</v>
      </c>
      <c r="G769" s="61">
        <f>(AVERAGE((0.2*0.1),(0.3*0.14))*1*2)+(2*0.4*0.06)</f>
        <v>0.11000000000000001</v>
      </c>
      <c r="H769" s="62">
        <v>700.98560999999995</v>
      </c>
      <c r="I769" s="62">
        <f t="shared" si="85"/>
        <v>77.108417100000011</v>
      </c>
      <c r="J769" s="62"/>
      <c r="K769" s="62">
        <v>24.716232200000004</v>
      </c>
      <c r="L769" s="62">
        <v>51.871778200000008</v>
      </c>
      <c r="M769" s="62">
        <v>0.33942700000000003</v>
      </c>
      <c r="N769" s="62">
        <v>0</v>
      </c>
      <c r="O769" s="62">
        <v>0.18097969999999464</v>
      </c>
      <c r="P769" s="298" t="s">
        <v>4160</v>
      </c>
      <c r="Q769" s="60" t="s">
        <v>27</v>
      </c>
      <c r="R769" s="60" t="s">
        <v>138</v>
      </c>
      <c r="S769" s="286" t="str">
        <f t="shared" si="84"/>
        <v/>
      </c>
      <c r="T769" s="286" t="str">
        <f>IF($C769= "", T768, IF(ISNA(VLOOKUP($C769,'ABC-S'!$A$5:$A$271,1,FALSE)), "", VLOOKUP($C769,'ABC-S'!$A$5:$A$271,1,FALSE)))</f>
        <v/>
      </c>
      <c r="W769" s="286" t="s">
        <v>1073</v>
      </c>
      <c r="X769" s="286" t="s">
        <v>21</v>
      </c>
      <c r="Y769" s="286" t="s">
        <v>1513</v>
      </c>
      <c r="Z769" s="335" t="s">
        <v>21</v>
      </c>
      <c r="AA769" s="286" t="s">
        <v>21</v>
      </c>
      <c r="AB769" s="378"/>
      <c r="AC769" s="381" t="s">
        <v>1022</v>
      </c>
      <c r="AD769" s="378">
        <v>0.11000000000000001</v>
      </c>
      <c r="AE769" s="378" t="e">
        <v>#REF!</v>
      </c>
      <c r="AF769" s="378" t="e">
        <v>#REF!</v>
      </c>
      <c r="AG769" s="378"/>
      <c r="AI769" s="378" t="s">
        <v>21</v>
      </c>
      <c r="AJ769" s="378" t="s">
        <v>21</v>
      </c>
      <c r="AL769" s="286" t="s">
        <v>1022</v>
      </c>
      <c r="AM769" s="286"/>
    </row>
    <row r="770" spans="1:39" s="51" customFormat="1" ht="33.75" hidden="1" x14ac:dyDescent="0.25">
      <c r="A770" s="59" t="s">
        <v>1073</v>
      </c>
      <c r="B770" s="59" t="s">
        <v>87</v>
      </c>
      <c r="C770" s="59"/>
      <c r="D770" s="59">
        <v>72850</v>
      </c>
      <c r="E770" s="60" t="s">
        <v>1312</v>
      </c>
      <c r="F770" s="59" t="s">
        <v>55</v>
      </c>
      <c r="G770" s="61">
        <f>G769*'MLQ-PESP'!$C$11</f>
        <v>0.27500000000000002</v>
      </c>
      <c r="H770" s="62">
        <v>11.844150000000001</v>
      </c>
      <c r="I770" s="62">
        <f t="shared" si="85"/>
        <v>3.2571412500000005</v>
      </c>
      <c r="J770" s="62"/>
      <c r="K770" s="62">
        <v>0.334987125</v>
      </c>
      <c r="L770" s="62">
        <v>2.1793868250000004</v>
      </c>
      <c r="M770" s="62">
        <v>0.74276730000000002</v>
      </c>
      <c r="N770" s="62">
        <v>0</v>
      </c>
      <c r="O770" s="62">
        <v>0</v>
      </c>
      <c r="P770" s="298" t="s">
        <v>4160</v>
      </c>
      <c r="Q770" s="60" t="s">
        <v>27</v>
      </c>
      <c r="R770" s="60" t="s">
        <v>138</v>
      </c>
      <c r="S770" s="286" t="str">
        <f t="shared" si="84"/>
        <v/>
      </c>
      <c r="T770" s="286" t="str">
        <f>IF($C770= "", T769, IF(ISNA(VLOOKUP($C770,'ABC-S'!$A$5:$A$271,1,FALSE)), "", VLOOKUP($C770,'ABC-S'!$A$5:$A$271,1,FALSE)))</f>
        <v/>
      </c>
      <c r="W770" s="286" t="s">
        <v>1073</v>
      </c>
      <c r="X770" s="286" t="s">
        <v>21</v>
      </c>
      <c r="Y770" s="286" t="s">
        <v>1513</v>
      </c>
      <c r="Z770" s="335" t="s">
        <v>21</v>
      </c>
      <c r="AA770" s="286" t="s">
        <v>21</v>
      </c>
      <c r="AB770" s="378"/>
      <c r="AC770" s="381">
        <v>72850</v>
      </c>
      <c r="AD770" s="378">
        <v>0.27500000000000002</v>
      </c>
      <c r="AE770" s="378">
        <v>8.43E-2</v>
      </c>
      <c r="AF770" s="378">
        <v>2.3182500000000002E-2</v>
      </c>
      <c r="AG770" s="378"/>
      <c r="AI770" s="378" t="s">
        <v>21</v>
      </c>
      <c r="AJ770" s="378" t="s">
        <v>21</v>
      </c>
      <c r="AL770" s="286">
        <v>72850</v>
      </c>
      <c r="AM770" s="286"/>
    </row>
    <row r="771" spans="1:39" s="51" customFormat="1" ht="33.75" hidden="1" x14ac:dyDescent="0.25">
      <c r="A771" s="59" t="s">
        <v>1073</v>
      </c>
      <c r="B771" s="59" t="s">
        <v>87</v>
      </c>
      <c r="C771" s="59"/>
      <c r="D771" s="59">
        <v>100949</v>
      </c>
      <c r="E771" s="60" t="s">
        <v>791</v>
      </c>
      <c r="F771" s="59" t="s">
        <v>42</v>
      </c>
      <c r="G771" s="61">
        <f>G770</f>
        <v>0.27500000000000002</v>
      </c>
      <c r="H771" s="62">
        <v>4.28</v>
      </c>
      <c r="I771" s="62">
        <f t="shared" si="85"/>
        <v>1.1770000000000003</v>
      </c>
      <c r="J771" s="62"/>
      <c r="K771" s="62">
        <v>0.1595</v>
      </c>
      <c r="L771" s="62">
        <v>0.73975000000000002</v>
      </c>
      <c r="M771" s="62">
        <v>0.27775000000000005</v>
      </c>
      <c r="N771" s="62">
        <v>0</v>
      </c>
      <c r="O771" s="62">
        <v>2.2204460492503131E-16</v>
      </c>
      <c r="P771" s="298" t="s">
        <v>4160</v>
      </c>
      <c r="Q771" s="60" t="s">
        <v>27</v>
      </c>
      <c r="R771" s="60" t="s">
        <v>138</v>
      </c>
      <c r="S771" s="286" t="str">
        <f t="shared" si="84"/>
        <v/>
      </c>
      <c r="T771" s="286" t="str">
        <f>IF($C771= "", T770, IF(ISNA(VLOOKUP($C771,'ABC-S'!$A$5:$A$271,1,FALSE)), "", VLOOKUP($C771,'ABC-S'!$A$5:$A$271,1,FALSE)))</f>
        <v/>
      </c>
      <c r="W771" s="286" t="s">
        <v>1073</v>
      </c>
      <c r="X771" s="286" t="s">
        <v>21</v>
      </c>
      <c r="Y771" s="286" t="s">
        <v>1098</v>
      </c>
      <c r="Z771" s="335" t="s">
        <v>21</v>
      </c>
      <c r="AA771" s="286" t="s">
        <v>21</v>
      </c>
      <c r="AB771" s="378"/>
      <c r="AC771" s="381">
        <v>100949</v>
      </c>
      <c r="AD771" s="378">
        <v>0.27500000000000002</v>
      </c>
      <c r="AE771" s="378">
        <v>3.9699999999999999E-2</v>
      </c>
      <c r="AF771" s="378">
        <v>1.09175E-2</v>
      </c>
      <c r="AG771" s="378"/>
      <c r="AI771" s="378">
        <v>0</v>
      </c>
      <c r="AJ771" s="378">
        <v>0</v>
      </c>
      <c r="AL771" s="286">
        <v>100949</v>
      </c>
      <c r="AM771" s="286"/>
    </row>
    <row r="772" spans="1:39" s="51" customFormat="1" ht="33.75" hidden="1" x14ac:dyDescent="0.25">
      <c r="A772" s="55" t="s">
        <v>1077</v>
      </c>
      <c r="B772" s="55" t="s">
        <v>138</v>
      </c>
      <c r="C772" s="55" t="s">
        <v>1077</v>
      </c>
      <c r="D772" s="55"/>
      <c r="E772" s="56" t="s">
        <v>1078</v>
      </c>
      <c r="F772" s="55" t="s">
        <v>41</v>
      </c>
      <c r="G772" s="57"/>
      <c r="H772" s="58"/>
      <c r="I772" s="58"/>
      <c r="J772" s="58">
        <f>SUM(I772:I779)</f>
        <v>1094.8176461736653</v>
      </c>
      <c r="K772" s="58">
        <v>15.39749392593308</v>
      </c>
      <c r="L772" s="58">
        <v>1079.141829347732</v>
      </c>
      <c r="M772" s="58">
        <v>0.27832289999999998</v>
      </c>
      <c r="N772" s="58">
        <v>0</v>
      </c>
      <c r="O772" s="58">
        <v>-1.7208456881689926E-15</v>
      </c>
      <c r="P772" s="58"/>
      <c r="Q772" s="56"/>
      <c r="R772" s="56" t="s">
        <v>138</v>
      </c>
      <c r="S772" s="286" t="str">
        <f t="shared" si="84"/>
        <v/>
      </c>
      <c r="T772" s="286" t="str">
        <f>IF($C772= "", T771, IF(ISNA(VLOOKUP($C772,'ABC-S'!$A$5:$A$271,1,FALSE)), "", VLOOKUP($C772,'ABC-S'!$A$5:$A$271,1,FALSE)))</f>
        <v/>
      </c>
      <c r="W772" s="286" t="s">
        <v>1077</v>
      </c>
      <c r="X772" s="286"/>
      <c r="Y772" s="286"/>
      <c r="Z772" s="286"/>
      <c r="AA772" s="286" t="s">
        <v>21</v>
      </c>
      <c r="AB772" s="378">
        <v>1</v>
      </c>
      <c r="AC772" s="378"/>
      <c r="AD772" s="335"/>
      <c r="AE772" s="335"/>
      <c r="AF772" s="335"/>
      <c r="AG772" s="378">
        <v>1.0586685577548369</v>
      </c>
      <c r="AI772" s="378" t="s">
        <v>21</v>
      </c>
      <c r="AJ772" s="378" t="s">
        <v>21</v>
      </c>
      <c r="AL772" s="286"/>
      <c r="AM772" s="286"/>
    </row>
    <row r="773" spans="1:39" s="51" customFormat="1" ht="33.75" hidden="1" x14ac:dyDescent="0.25">
      <c r="A773" s="59" t="s">
        <v>1077</v>
      </c>
      <c r="B773" s="59" t="s">
        <v>87</v>
      </c>
      <c r="C773" s="59"/>
      <c r="D773" s="59">
        <v>94974</v>
      </c>
      <c r="E773" s="60" t="s">
        <v>3663</v>
      </c>
      <c r="F773" s="59" t="s">
        <v>44</v>
      </c>
      <c r="G773" s="61">
        <f>((PI()*(0.1^2))/4)*2*0.5</f>
        <v>7.8539816339744835E-3</v>
      </c>
      <c r="H773" s="62">
        <v>379.85</v>
      </c>
      <c r="I773" s="62">
        <f t="shared" ref="I773:I779" si="86">IF($D773="","",G773*H773)</f>
        <v>2.9833349236652076</v>
      </c>
      <c r="J773" s="62"/>
      <c r="K773" s="62">
        <v>0.57263380093307958</v>
      </c>
      <c r="L773" s="62">
        <v>2.410701122732128</v>
      </c>
      <c r="M773" s="62">
        <v>0</v>
      </c>
      <c r="N773" s="62">
        <v>0</v>
      </c>
      <c r="O773" s="62">
        <v>0</v>
      </c>
      <c r="P773" s="298" t="s">
        <v>4160</v>
      </c>
      <c r="Q773" s="60" t="s">
        <v>27</v>
      </c>
      <c r="R773" s="60" t="s">
        <v>138</v>
      </c>
      <c r="S773" s="286" t="str">
        <f t="shared" si="84"/>
        <v/>
      </c>
      <c r="T773" s="286" t="str">
        <f>IF($C773= "", T772, IF(ISNA(VLOOKUP($C773,'ABC-S'!$A$5:$A$271,1,FALSE)), "", VLOOKUP($C773,'ABC-S'!$A$5:$A$271,1,FALSE)))</f>
        <v/>
      </c>
      <c r="W773" s="286" t="s">
        <v>1077</v>
      </c>
      <c r="X773" s="286" t="s">
        <v>21</v>
      </c>
      <c r="Y773" s="286" t="s">
        <v>1513</v>
      </c>
      <c r="Z773" s="335" t="s">
        <v>21</v>
      </c>
      <c r="AA773" s="286" t="s">
        <v>21</v>
      </c>
      <c r="AB773" s="378"/>
      <c r="AC773" s="381">
        <v>94974</v>
      </c>
      <c r="AD773" s="378">
        <v>7.8539816339744835E-3</v>
      </c>
      <c r="AE773" s="378">
        <v>6.2858000000000001</v>
      </c>
      <c r="AF773" s="378">
        <v>4.9368557754836812E-2</v>
      </c>
      <c r="AG773" s="378"/>
      <c r="AI773" s="378">
        <v>0</v>
      </c>
      <c r="AJ773" s="378">
        <v>0</v>
      </c>
      <c r="AL773" s="286">
        <v>94974</v>
      </c>
      <c r="AM773" s="286"/>
    </row>
    <row r="774" spans="1:39" s="51" customFormat="1" hidden="1" x14ac:dyDescent="0.25">
      <c r="A774" s="59" t="s">
        <v>1077</v>
      </c>
      <c r="B774" s="59" t="s">
        <v>87</v>
      </c>
      <c r="C774" s="248"/>
      <c r="D774" s="59">
        <v>88309</v>
      </c>
      <c r="E774" s="60" t="s">
        <v>617</v>
      </c>
      <c r="F774" s="59" t="s">
        <v>46</v>
      </c>
      <c r="G774" s="61">
        <v>0.5</v>
      </c>
      <c r="H774" s="62">
        <v>23.9</v>
      </c>
      <c r="I774" s="62">
        <f t="shared" si="86"/>
        <v>11.95</v>
      </c>
      <c r="J774" s="62"/>
      <c r="K774" s="62">
        <v>8.89</v>
      </c>
      <c r="L774" s="62">
        <v>3.06</v>
      </c>
      <c r="M774" s="62">
        <v>0</v>
      </c>
      <c r="N774" s="62">
        <v>0</v>
      </c>
      <c r="O774" s="62">
        <v>-1.7763568394002505E-15</v>
      </c>
      <c r="P774" s="298" t="s">
        <v>4160</v>
      </c>
      <c r="Q774" s="60" t="s">
        <v>27</v>
      </c>
      <c r="R774" s="60" t="s">
        <v>138</v>
      </c>
      <c r="S774" s="286" t="str">
        <f t="shared" si="84"/>
        <v/>
      </c>
      <c r="T774" s="286" t="str">
        <f>IF($C774= "", T773, IF(ISNA(VLOOKUP($C774,'ABC-S'!$A$5:$A$271,1,FALSE)), "", VLOOKUP($C774,'ABC-S'!$A$5:$A$271,1,FALSE)))</f>
        <v/>
      </c>
      <c r="W774" s="286" t="s">
        <v>1077</v>
      </c>
      <c r="X774" s="286">
        <v>88309</v>
      </c>
      <c r="Y774" s="286" t="s">
        <v>424</v>
      </c>
      <c r="Z774" s="335">
        <v>0</v>
      </c>
      <c r="AA774" s="286">
        <v>0.5</v>
      </c>
      <c r="AB774" s="378"/>
      <c r="AC774" s="381" t="s">
        <v>21</v>
      </c>
      <c r="AD774" s="378" t="s">
        <v>21</v>
      </c>
      <c r="AE774" s="378" t="s">
        <v>21</v>
      </c>
      <c r="AF774" s="378" t="s">
        <v>21</v>
      </c>
      <c r="AG774" s="378"/>
      <c r="AI774" s="378">
        <v>0</v>
      </c>
      <c r="AJ774" s="378">
        <v>0</v>
      </c>
      <c r="AL774" s="286">
        <v>88309</v>
      </c>
      <c r="AM774" s="286"/>
    </row>
    <row r="775" spans="1:39" s="51" customFormat="1" hidden="1" x14ac:dyDescent="0.25">
      <c r="A775" s="59" t="s">
        <v>1077</v>
      </c>
      <c r="B775" s="59" t="s">
        <v>87</v>
      </c>
      <c r="C775" s="248"/>
      <c r="D775" s="59">
        <v>88316</v>
      </c>
      <c r="E775" s="60" t="s">
        <v>649</v>
      </c>
      <c r="F775" s="59" t="s">
        <v>46</v>
      </c>
      <c r="G775" s="61">
        <v>0.5</v>
      </c>
      <c r="H775" s="62">
        <v>17.61</v>
      </c>
      <c r="I775" s="62">
        <f t="shared" si="86"/>
        <v>8.8049999999999997</v>
      </c>
      <c r="J775" s="62"/>
      <c r="K775" s="62">
        <v>5.8</v>
      </c>
      <c r="L775" s="62">
        <v>3.0049999999999999</v>
      </c>
      <c r="M775" s="62">
        <v>0</v>
      </c>
      <c r="N775" s="62">
        <v>0</v>
      </c>
      <c r="O775" s="62">
        <v>0</v>
      </c>
      <c r="P775" s="298" t="s">
        <v>4160</v>
      </c>
      <c r="Q775" s="60" t="s">
        <v>27</v>
      </c>
      <c r="R775" s="60" t="s">
        <v>138</v>
      </c>
      <c r="S775" s="286" t="str">
        <f t="shared" si="84"/>
        <v/>
      </c>
      <c r="T775" s="286" t="str">
        <f>IF($C775= "", T774, IF(ISNA(VLOOKUP($C775,'ABC-S'!$A$5:$A$271,1,FALSE)), "", VLOOKUP($C775,'ABC-S'!$A$5:$A$271,1,FALSE)))</f>
        <v/>
      </c>
      <c r="W775" s="286" t="s">
        <v>1077</v>
      </c>
      <c r="X775" s="286">
        <v>88316</v>
      </c>
      <c r="Y775" s="286" t="s">
        <v>424</v>
      </c>
      <c r="Z775" s="335">
        <v>0</v>
      </c>
      <c r="AA775" s="286">
        <v>0.5</v>
      </c>
      <c r="AB775" s="378"/>
      <c r="AC775" s="381" t="s">
        <v>21</v>
      </c>
      <c r="AD775" s="378" t="s">
        <v>21</v>
      </c>
      <c r="AE775" s="378" t="s">
        <v>21</v>
      </c>
      <c r="AF775" s="378" t="s">
        <v>21</v>
      </c>
      <c r="AG775" s="378"/>
      <c r="AI775" s="378">
        <v>0</v>
      </c>
      <c r="AJ775" s="378">
        <v>0</v>
      </c>
      <c r="AL775" s="286">
        <v>88316</v>
      </c>
      <c r="AM775" s="286"/>
    </row>
    <row r="776" spans="1:39" s="51" customFormat="1" ht="33.75" hidden="1" x14ac:dyDescent="0.25">
      <c r="A776" s="59" t="s">
        <v>1077</v>
      </c>
      <c r="B776" s="59" t="s">
        <v>86</v>
      </c>
      <c r="C776" s="59"/>
      <c r="D776" s="59">
        <v>7584</v>
      </c>
      <c r="E776" s="60" t="s">
        <v>687</v>
      </c>
      <c r="F776" s="59" t="s">
        <v>3666</v>
      </c>
      <c r="G776" s="61">
        <v>8</v>
      </c>
      <c r="H776" s="62">
        <v>1.49</v>
      </c>
      <c r="I776" s="62">
        <f>IF($D776="","",G776*H776)</f>
        <v>11.92</v>
      </c>
      <c r="J776" s="62"/>
      <c r="K776" s="62">
        <v>0</v>
      </c>
      <c r="L776" s="62">
        <v>11.92</v>
      </c>
      <c r="M776" s="62">
        <v>0</v>
      </c>
      <c r="N776" s="62">
        <v>0</v>
      </c>
      <c r="O776" s="62">
        <v>0</v>
      </c>
      <c r="P776" s="298" t="s">
        <v>89</v>
      </c>
      <c r="Q776" s="60" t="s">
        <v>27</v>
      </c>
      <c r="R776" s="60" t="s">
        <v>138</v>
      </c>
      <c r="S776" s="286" t="str">
        <f t="shared" si="84"/>
        <v/>
      </c>
      <c r="T776" s="286" t="str">
        <f>IF($C776= "", T775, IF(ISNA(VLOOKUP($C776,'ABC-S'!$A$5:$A$271,1,FALSE)), "", VLOOKUP($C776,'ABC-S'!$A$5:$A$271,1,FALSE)))</f>
        <v/>
      </c>
      <c r="W776" s="286" t="s">
        <v>1077</v>
      </c>
      <c r="X776" s="286" t="s">
        <v>21</v>
      </c>
      <c r="Y776" s="286" t="s">
        <v>21</v>
      </c>
      <c r="Z776" s="286" t="s">
        <v>21</v>
      </c>
      <c r="AA776" s="286" t="s">
        <v>21</v>
      </c>
      <c r="AB776" s="378"/>
      <c r="AC776" s="381" t="s">
        <v>21</v>
      </c>
      <c r="AD776" s="378" t="s">
        <v>21</v>
      </c>
      <c r="AE776" s="378" t="s">
        <v>21</v>
      </c>
      <c r="AF776" s="378" t="s">
        <v>21</v>
      </c>
      <c r="AG776" s="378"/>
      <c r="AI776" s="378" t="s">
        <v>21</v>
      </c>
      <c r="AJ776" s="378" t="s">
        <v>21</v>
      </c>
      <c r="AL776" s="286"/>
      <c r="AM776" s="286">
        <v>7584</v>
      </c>
    </row>
    <row r="777" spans="1:39" s="51" customFormat="1" ht="56.25" hidden="1" x14ac:dyDescent="0.25">
      <c r="A777" s="59" t="s">
        <v>1077</v>
      </c>
      <c r="B777" s="59" t="s">
        <v>86</v>
      </c>
      <c r="C777" s="59"/>
      <c r="D777" s="59">
        <v>42440</v>
      </c>
      <c r="E777" s="60" t="s">
        <v>701</v>
      </c>
      <c r="F777" s="59" t="s">
        <v>3666</v>
      </c>
      <c r="G777" s="61">
        <v>1</v>
      </c>
      <c r="H777" s="62">
        <v>1057.95</v>
      </c>
      <c r="I777" s="62">
        <f>IF($D777="","",G777*H777)</f>
        <v>1057.95</v>
      </c>
      <c r="J777" s="62"/>
      <c r="K777" s="62">
        <v>0</v>
      </c>
      <c r="L777" s="62">
        <v>1057.95</v>
      </c>
      <c r="M777" s="62">
        <v>0</v>
      </c>
      <c r="N777" s="62">
        <v>0</v>
      </c>
      <c r="O777" s="62">
        <v>0</v>
      </c>
      <c r="P777" s="298" t="s">
        <v>89</v>
      </c>
      <c r="Q777" s="60" t="s">
        <v>27</v>
      </c>
      <c r="R777" s="60" t="s">
        <v>138</v>
      </c>
      <c r="S777" s="286" t="str">
        <f t="shared" si="84"/>
        <v/>
      </c>
      <c r="T777" s="286" t="str">
        <f>IF($C777= "", T776, IF(ISNA(VLOOKUP($C777,'ABC-S'!$A$5:$A$271,1,FALSE)), "", VLOOKUP($C777,'ABC-S'!$A$5:$A$271,1,FALSE)))</f>
        <v/>
      </c>
      <c r="W777" s="286" t="s">
        <v>1077</v>
      </c>
      <c r="X777" s="286" t="s">
        <v>21</v>
      </c>
      <c r="Y777" s="286" t="s">
        <v>21</v>
      </c>
      <c r="Z777" s="286" t="s">
        <v>21</v>
      </c>
      <c r="AA777" s="286" t="s">
        <v>21</v>
      </c>
      <c r="AB777" s="378"/>
      <c r="AC777" s="381" t="s">
        <v>21</v>
      </c>
      <c r="AD777" s="378" t="s">
        <v>21</v>
      </c>
      <c r="AE777" s="378" t="s">
        <v>21</v>
      </c>
      <c r="AF777" s="378" t="s">
        <v>21</v>
      </c>
      <c r="AG777" s="378"/>
      <c r="AI777" s="378" t="s">
        <v>21</v>
      </c>
      <c r="AJ777" s="378" t="s">
        <v>21</v>
      </c>
      <c r="AL777" s="286"/>
      <c r="AM777" s="286">
        <v>42440</v>
      </c>
    </row>
    <row r="778" spans="1:39" s="51" customFormat="1" ht="33.75" hidden="1" x14ac:dyDescent="0.25">
      <c r="A778" s="59" t="s">
        <v>1077</v>
      </c>
      <c r="B778" s="59" t="s">
        <v>87</v>
      </c>
      <c r="C778" s="59"/>
      <c r="D778" s="59">
        <v>72850</v>
      </c>
      <c r="E778" s="60" t="s">
        <v>1312</v>
      </c>
      <c r="F778" s="59" t="s">
        <v>55</v>
      </c>
      <c r="G778" s="61">
        <f>G777*0.075</f>
        <v>7.4999999999999997E-2</v>
      </c>
      <c r="H778" s="62">
        <v>11.844150000000001</v>
      </c>
      <c r="I778" s="62">
        <f>IF($D778="","",G778*H778)</f>
        <v>0.88831125</v>
      </c>
      <c r="J778" s="62"/>
      <c r="K778" s="62">
        <v>9.1360125E-2</v>
      </c>
      <c r="L778" s="62">
        <v>0.59437822500000004</v>
      </c>
      <c r="M778" s="62">
        <v>0.20257289999999997</v>
      </c>
      <c r="N778" s="62">
        <v>0</v>
      </c>
      <c r="O778" s="62">
        <v>0</v>
      </c>
      <c r="P778" s="298" t="s">
        <v>4160</v>
      </c>
      <c r="Q778" s="60" t="s">
        <v>27</v>
      </c>
      <c r="R778" s="60" t="s">
        <v>138</v>
      </c>
      <c r="S778" s="286" t="str">
        <f t="shared" si="84"/>
        <v/>
      </c>
      <c r="T778" s="286" t="str">
        <f>IF($C778= "", T777, IF(ISNA(VLOOKUP($C778,'ABC-S'!$A$5:$A$271,1,FALSE)), "", VLOOKUP($C778,'ABC-S'!$A$5:$A$271,1,FALSE)))</f>
        <v/>
      </c>
      <c r="W778" s="286" t="s">
        <v>1077</v>
      </c>
      <c r="X778" s="286" t="s">
        <v>21</v>
      </c>
      <c r="Y778" s="286" t="s">
        <v>1513</v>
      </c>
      <c r="Z778" s="335" t="s">
        <v>21</v>
      </c>
      <c r="AA778" s="286" t="s">
        <v>21</v>
      </c>
      <c r="AB778" s="378"/>
      <c r="AC778" s="381">
        <v>72850</v>
      </c>
      <c r="AD778" s="378">
        <v>7.4999999999999997E-2</v>
      </c>
      <c r="AE778" s="378">
        <v>8.43E-2</v>
      </c>
      <c r="AF778" s="378">
        <v>6.3225E-3</v>
      </c>
      <c r="AG778" s="378"/>
      <c r="AI778" s="378" t="s">
        <v>21</v>
      </c>
      <c r="AJ778" s="378" t="s">
        <v>21</v>
      </c>
      <c r="AL778" s="286">
        <v>72850</v>
      </c>
      <c r="AM778" s="286"/>
    </row>
    <row r="779" spans="1:39" s="51" customFormat="1" ht="33.75" hidden="1" x14ac:dyDescent="0.25">
      <c r="A779" s="59" t="s">
        <v>1077</v>
      </c>
      <c r="B779" s="59" t="s">
        <v>87</v>
      </c>
      <c r="C779" s="59"/>
      <c r="D779" s="59">
        <v>100949</v>
      </c>
      <c r="E779" s="60" t="s">
        <v>791</v>
      </c>
      <c r="F779" s="59" t="s">
        <v>42</v>
      </c>
      <c r="G779" s="61">
        <f>G778</f>
        <v>7.4999999999999997E-2</v>
      </c>
      <c r="H779" s="62">
        <v>4.28</v>
      </c>
      <c r="I779" s="62">
        <f t="shared" si="86"/>
        <v>0.32100000000000001</v>
      </c>
      <c r="J779" s="62"/>
      <c r="K779" s="62">
        <v>4.3499999999999997E-2</v>
      </c>
      <c r="L779" s="62">
        <v>0.20174999999999998</v>
      </c>
      <c r="M779" s="62">
        <v>7.5749999999999998E-2</v>
      </c>
      <c r="N779" s="62">
        <v>0</v>
      </c>
      <c r="O779" s="62">
        <v>5.5511151231257827E-17</v>
      </c>
      <c r="P779" s="298" t="s">
        <v>4160</v>
      </c>
      <c r="Q779" s="60" t="s">
        <v>27</v>
      </c>
      <c r="R779" s="60" t="s">
        <v>138</v>
      </c>
      <c r="S779" s="286" t="str">
        <f t="shared" si="84"/>
        <v/>
      </c>
      <c r="T779" s="286" t="str">
        <f>IF($C779= "", T778, IF(ISNA(VLOOKUP($C779,'ABC-S'!$A$5:$A$271,1,FALSE)), "", VLOOKUP($C779,'ABC-S'!$A$5:$A$271,1,FALSE)))</f>
        <v/>
      </c>
      <c r="W779" s="286" t="s">
        <v>1077</v>
      </c>
      <c r="X779" s="286" t="s">
        <v>21</v>
      </c>
      <c r="Y779" s="286" t="s">
        <v>1098</v>
      </c>
      <c r="Z779" s="335" t="s">
        <v>21</v>
      </c>
      <c r="AA779" s="286" t="s">
        <v>21</v>
      </c>
      <c r="AB779" s="378"/>
      <c r="AC779" s="381">
        <v>100949</v>
      </c>
      <c r="AD779" s="378">
        <v>7.4999999999999997E-2</v>
      </c>
      <c r="AE779" s="378">
        <v>3.9699999999999999E-2</v>
      </c>
      <c r="AF779" s="378">
        <v>2.9774999999999997E-3</v>
      </c>
      <c r="AG779" s="378"/>
      <c r="AI779" s="378">
        <v>0</v>
      </c>
      <c r="AJ779" s="378">
        <v>0</v>
      </c>
      <c r="AL779" s="286">
        <v>100949</v>
      </c>
      <c r="AM779" s="286"/>
    </row>
    <row r="780" spans="1:39" s="51" customFormat="1" ht="33.75" x14ac:dyDescent="0.25">
      <c r="A780" s="55" t="s">
        <v>3678</v>
      </c>
      <c r="B780" s="55" t="s">
        <v>138</v>
      </c>
      <c r="C780" s="55" t="s">
        <v>3678</v>
      </c>
      <c r="D780" s="55"/>
      <c r="E780" s="56" t="s">
        <v>4083</v>
      </c>
      <c r="F780" s="55" t="s">
        <v>44</v>
      </c>
      <c r="G780" s="57"/>
      <c r="H780" s="58"/>
      <c r="I780" s="58"/>
      <c r="J780" s="58">
        <f>SUM(I780:I797)</f>
        <v>65.516013472333881</v>
      </c>
      <c r="K780" s="58">
        <v>0.48343054082714743</v>
      </c>
      <c r="L780" s="58">
        <v>60.880674310710496</v>
      </c>
      <c r="M780" s="58">
        <v>4.1519086207962443</v>
      </c>
      <c r="N780" s="58">
        <v>0</v>
      </c>
      <c r="O780" s="58">
        <v>4.5796699765787707E-16</v>
      </c>
      <c r="P780" s="58"/>
      <c r="Q780" s="56"/>
      <c r="R780" s="56" t="s">
        <v>3679</v>
      </c>
      <c r="S780" s="286" t="str">
        <f t="shared" si="84"/>
        <v>SIM</v>
      </c>
      <c r="T780" s="286" t="str">
        <f>IF($C780= "", T779, IF(ISNA(VLOOKUP($C780,'ABC-S'!$A$5:$A$271,1,FALSE)), "", VLOOKUP($C780,'ABC-S'!$A$5:$A$271,1,FALSE)))</f>
        <v>CP0621</v>
      </c>
      <c r="W780" s="286" t="s">
        <v>3678</v>
      </c>
      <c r="X780" s="286"/>
      <c r="Y780" s="286"/>
      <c r="Z780" s="286"/>
      <c r="AA780" s="286" t="s">
        <v>21</v>
      </c>
      <c r="AB780" s="378">
        <v>6.6277836691410394E-3</v>
      </c>
      <c r="AC780" s="378"/>
      <c r="AD780" s="335"/>
      <c r="AE780" s="335"/>
      <c r="AF780" s="335"/>
      <c r="AG780" s="378">
        <v>3.3138918345705197E-2</v>
      </c>
      <c r="AI780" s="378" t="s">
        <v>21</v>
      </c>
      <c r="AJ780" s="378" t="s">
        <v>21</v>
      </c>
      <c r="AL780" s="286"/>
      <c r="AM780" s="286"/>
    </row>
    <row r="781" spans="1:39" s="51" customFormat="1" ht="22.5" x14ac:dyDescent="0.25">
      <c r="A781" s="59" t="s">
        <v>3678</v>
      </c>
      <c r="B781" s="59" t="s">
        <v>86</v>
      </c>
      <c r="C781" s="59"/>
      <c r="D781" s="59" t="s">
        <v>3680</v>
      </c>
      <c r="E781" s="60" t="s">
        <v>3681</v>
      </c>
      <c r="F781" s="59" t="s">
        <v>76</v>
      </c>
      <c r="G781" s="61">
        <f>(1 * 0.55) / 150.88</f>
        <v>3.6452810180275718E-3</v>
      </c>
      <c r="H781" s="62">
        <v>285.01</v>
      </c>
      <c r="I781" s="62">
        <f t="shared" ref="I781:I797" si="87">IF($D781="","",G781*H781)</f>
        <v>1.0389415429480382</v>
      </c>
      <c r="J781" s="62"/>
      <c r="K781" s="62">
        <v>0</v>
      </c>
      <c r="L781" s="62">
        <v>0</v>
      </c>
      <c r="M781" s="62">
        <v>1.0389415429480382</v>
      </c>
      <c r="N781" s="62">
        <v>0</v>
      </c>
      <c r="O781" s="62">
        <v>0</v>
      </c>
      <c r="P781" s="298" t="s">
        <v>423</v>
      </c>
      <c r="Q781" s="60" t="s">
        <v>174</v>
      </c>
      <c r="R781" s="60" t="s">
        <v>174</v>
      </c>
      <c r="S781" s="286" t="str">
        <f t="shared" si="84"/>
        <v>SIM</v>
      </c>
      <c r="T781" s="286" t="str">
        <f>IF($C781= "", T780, IF(ISNA(VLOOKUP($C781,'ABC-S'!$A$5:$A$271,1,FALSE)), "", VLOOKUP($C781,'ABC-S'!$A$5:$A$271,1,FALSE)))</f>
        <v>CP0621</v>
      </c>
      <c r="W781" s="286" t="s">
        <v>3678</v>
      </c>
      <c r="X781" s="286" t="s">
        <v>21</v>
      </c>
      <c r="Y781" s="286" t="s">
        <v>21</v>
      </c>
      <c r="Z781" s="335" t="s">
        <v>21</v>
      </c>
      <c r="AA781" s="286" t="s">
        <v>21</v>
      </c>
      <c r="AB781" s="378"/>
      <c r="AC781" s="381" t="s">
        <v>21</v>
      </c>
      <c r="AD781" s="378" t="s">
        <v>21</v>
      </c>
      <c r="AE781" s="378" t="s">
        <v>21</v>
      </c>
      <c r="AF781" s="378" t="s">
        <v>21</v>
      </c>
      <c r="AG781" s="378"/>
      <c r="AI781" s="378" t="s">
        <v>21</v>
      </c>
      <c r="AJ781" s="378" t="s">
        <v>21</v>
      </c>
      <c r="AL781" s="286">
        <v>94974</v>
      </c>
      <c r="AM781" s="286"/>
    </row>
    <row r="782" spans="1:39" s="51" customFormat="1" ht="22.5" x14ac:dyDescent="0.25">
      <c r="A782" s="59" t="s">
        <v>3678</v>
      </c>
      <c r="B782" s="59" t="s">
        <v>86</v>
      </c>
      <c r="C782" s="248"/>
      <c r="D782" s="59" t="s">
        <v>3684</v>
      </c>
      <c r="E782" s="60" t="s">
        <v>3683</v>
      </c>
      <c r="F782" s="59" t="s">
        <v>75</v>
      </c>
      <c r="G782" s="61">
        <f>(1 * 0.45) / 150.88</f>
        <v>2.982502651113468E-3</v>
      </c>
      <c r="H782" s="62">
        <v>82.56</v>
      </c>
      <c r="I782" s="62">
        <f t="shared" si="87"/>
        <v>0.24623541887592792</v>
      </c>
      <c r="J782" s="62"/>
      <c r="K782" s="62">
        <v>0</v>
      </c>
      <c r="L782" s="62">
        <v>0</v>
      </c>
      <c r="M782" s="62">
        <v>0.24623541887592792</v>
      </c>
      <c r="N782" s="62">
        <v>0</v>
      </c>
      <c r="O782" s="62">
        <v>0</v>
      </c>
      <c r="P782" s="298" t="s">
        <v>423</v>
      </c>
      <c r="Q782" s="60" t="s">
        <v>174</v>
      </c>
      <c r="R782" s="60" t="s">
        <v>174</v>
      </c>
      <c r="S782" s="286" t="str">
        <f t="shared" si="84"/>
        <v>SIM</v>
      </c>
      <c r="T782" s="286" t="str">
        <f>IF($C782= "", T781, IF(ISNA(VLOOKUP($C782,'ABC-S'!$A$5:$A$271,1,FALSE)), "", VLOOKUP($C782,'ABC-S'!$A$5:$A$271,1,FALSE)))</f>
        <v>CP0621</v>
      </c>
      <c r="W782" s="286" t="s">
        <v>3678</v>
      </c>
      <c r="X782" s="286" t="s">
        <v>21</v>
      </c>
      <c r="Y782" s="286" t="s">
        <v>21</v>
      </c>
      <c r="Z782" s="335" t="s">
        <v>21</v>
      </c>
      <c r="AA782" s="286" t="s">
        <v>21</v>
      </c>
      <c r="AB782" s="378"/>
      <c r="AC782" s="381" t="s">
        <v>21</v>
      </c>
      <c r="AD782" s="378" t="s">
        <v>21</v>
      </c>
      <c r="AE782" s="378" t="s">
        <v>21</v>
      </c>
      <c r="AF782" s="378" t="s">
        <v>21</v>
      </c>
      <c r="AG782" s="378"/>
      <c r="AI782" s="378" t="s">
        <v>21</v>
      </c>
      <c r="AJ782" s="378" t="s">
        <v>21</v>
      </c>
      <c r="AL782" s="286">
        <v>88309</v>
      </c>
      <c r="AM782" s="286"/>
    </row>
    <row r="783" spans="1:39" s="51" customFormat="1" ht="56.25" x14ac:dyDescent="0.25">
      <c r="A783" s="59" t="s">
        <v>3678</v>
      </c>
      <c r="B783" s="59" t="s">
        <v>87</v>
      </c>
      <c r="C783" s="248"/>
      <c r="D783" s="59">
        <v>5901</v>
      </c>
      <c r="E783" s="60" t="s">
        <v>531</v>
      </c>
      <c r="F783" s="59" t="s">
        <v>76</v>
      </c>
      <c r="G783" s="61">
        <f>(1 * 0.83) / 150.88</f>
        <v>5.5010604453870626E-3</v>
      </c>
      <c r="H783" s="62">
        <v>217.9</v>
      </c>
      <c r="I783" s="62">
        <f t="shared" si="87"/>
        <v>1.198681071049841</v>
      </c>
      <c r="J783" s="62"/>
      <c r="K783" s="62">
        <v>7.9490323435843058E-2</v>
      </c>
      <c r="L783" s="62">
        <v>0.83544604984093318</v>
      </c>
      <c r="M783" s="62">
        <v>0.28374469777306466</v>
      </c>
      <c r="N783" s="62">
        <v>0</v>
      </c>
      <c r="O783" s="62">
        <v>2.2204460492503131E-16</v>
      </c>
      <c r="P783" s="298" t="s">
        <v>4160</v>
      </c>
      <c r="Q783" s="60" t="s">
        <v>27</v>
      </c>
      <c r="R783" s="60" t="s">
        <v>174</v>
      </c>
      <c r="S783" s="286" t="str">
        <f t="shared" si="84"/>
        <v>SIM</v>
      </c>
      <c r="T783" s="286" t="str">
        <f>IF($C783= "", T782, IF(ISNA(VLOOKUP($C783,'ABC-S'!$A$5:$A$271,1,FALSE)), "", VLOOKUP($C783,'ABC-S'!$A$5:$A$271,1,FALSE)))</f>
        <v>CP0621</v>
      </c>
      <c r="W783" s="286" t="s">
        <v>3678</v>
      </c>
      <c r="X783" s="286" t="s">
        <v>21</v>
      </c>
      <c r="Y783" s="286" t="s">
        <v>423</v>
      </c>
      <c r="Z783" s="335" t="s">
        <v>21</v>
      </c>
      <c r="AA783" s="286" t="s">
        <v>21</v>
      </c>
      <c r="AB783" s="378"/>
      <c r="AC783" s="381">
        <v>5901</v>
      </c>
      <c r="AD783" s="378">
        <v>5.5010604453870626E-3</v>
      </c>
      <c r="AE783" s="378">
        <v>1</v>
      </c>
      <c r="AF783" s="378">
        <v>5.5010604453870626E-3</v>
      </c>
      <c r="AG783" s="378"/>
      <c r="AI783" s="378">
        <v>0</v>
      </c>
      <c r="AJ783" s="378">
        <v>0</v>
      </c>
      <c r="AL783" s="286">
        <v>88316</v>
      </c>
      <c r="AM783" s="286"/>
    </row>
    <row r="784" spans="1:39" s="51" customFormat="1" ht="56.25" x14ac:dyDescent="0.25">
      <c r="A784" s="59" t="s">
        <v>3678</v>
      </c>
      <c r="B784" s="59" t="s">
        <v>87</v>
      </c>
      <c r="C784" s="59"/>
      <c r="D784" s="59">
        <v>5903</v>
      </c>
      <c r="E784" s="60" t="s">
        <v>530</v>
      </c>
      <c r="F784" s="59" t="s">
        <v>75</v>
      </c>
      <c r="G784" s="61">
        <f>(1 * 0.17) / 150.88</f>
        <v>1.1267232237539768E-3</v>
      </c>
      <c r="H784" s="62">
        <v>40.71</v>
      </c>
      <c r="I784" s="62">
        <f t="shared" si="87"/>
        <v>4.5868902439024396E-2</v>
      </c>
      <c r="J784" s="62"/>
      <c r="K784" s="62">
        <v>1.6281150583244964E-2</v>
      </c>
      <c r="L784" s="62">
        <v>5.8927624602332987E-3</v>
      </c>
      <c r="M784" s="62">
        <v>2.3694989395546134E-2</v>
      </c>
      <c r="N784" s="62">
        <v>0</v>
      </c>
      <c r="O784" s="62">
        <v>0</v>
      </c>
      <c r="P784" s="298" t="s">
        <v>4160</v>
      </c>
      <c r="Q784" s="60" t="s">
        <v>27</v>
      </c>
      <c r="R784" s="60" t="s">
        <v>174</v>
      </c>
      <c r="S784" s="286" t="str">
        <f t="shared" si="84"/>
        <v>SIM</v>
      </c>
      <c r="T784" s="286" t="str">
        <f>IF($C784= "", T783, IF(ISNA(VLOOKUP($C784,'ABC-S'!$A$5:$A$271,1,FALSE)), "", VLOOKUP($C784,'ABC-S'!$A$5:$A$271,1,FALSE)))</f>
        <v>CP0621</v>
      </c>
      <c r="W784" s="286" t="s">
        <v>3678</v>
      </c>
      <c r="X784" s="286" t="s">
        <v>21</v>
      </c>
      <c r="Y784" s="286" t="s">
        <v>423</v>
      </c>
      <c r="Z784" s="286" t="s">
        <v>21</v>
      </c>
      <c r="AA784" s="286" t="s">
        <v>21</v>
      </c>
      <c r="AB784" s="378"/>
      <c r="AC784" s="381">
        <v>5903</v>
      </c>
      <c r="AD784" s="378">
        <v>1.1267232237539768E-3</v>
      </c>
      <c r="AE784" s="378">
        <v>1</v>
      </c>
      <c r="AF784" s="378">
        <v>1.1267232237539768E-3</v>
      </c>
      <c r="AG784" s="378"/>
      <c r="AI784" s="378">
        <v>0</v>
      </c>
      <c r="AJ784" s="378">
        <v>0</v>
      </c>
      <c r="AL784" s="286"/>
      <c r="AM784" s="286">
        <v>7584</v>
      </c>
    </row>
    <row r="785" spans="1:39" s="51" customFormat="1" ht="33.75" x14ac:dyDescent="0.25">
      <c r="A785" s="59" t="s">
        <v>3678</v>
      </c>
      <c r="B785" s="59" t="s">
        <v>87</v>
      </c>
      <c r="C785" s="59"/>
      <c r="D785" s="59">
        <v>96028</v>
      </c>
      <c r="E785" s="60" t="s">
        <v>660</v>
      </c>
      <c r="F785" s="59" t="s">
        <v>76</v>
      </c>
      <c r="G785" s="61">
        <f>(1 * 0.62) / 150.88</f>
        <v>4.1092258748674443E-3</v>
      </c>
      <c r="H785" s="62">
        <v>139.74</v>
      </c>
      <c r="I785" s="62">
        <f t="shared" si="87"/>
        <v>0.57422322375397672</v>
      </c>
      <c r="J785" s="62"/>
      <c r="K785" s="62">
        <v>5.5022534464475081E-2</v>
      </c>
      <c r="L785" s="62">
        <v>0.39662248144220569</v>
      </c>
      <c r="M785" s="62">
        <v>0.12257820784729585</v>
      </c>
      <c r="N785" s="62">
        <v>0</v>
      </c>
      <c r="O785" s="62">
        <v>1.1102230246251565E-16</v>
      </c>
      <c r="P785" s="298" t="s">
        <v>4160</v>
      </c>
      <c r="Q785" s="60" t="s">
        <v>27</v>
      </c>
      <c r="R785" s="60" t="s">
        <v>174</v>
      </c>
      <c r="S785" s="286" t="str">
        <f t="shared" si="84"/>
        <v>SIM</v>
      </c>
      <c r="T785" s="286" t="str">
        <f>IF($C785= "", T784, IF(ISNA(VLOOKUP($C785,'ABC-S'!$A$5:$A$271,1,FALSE)), "", VLOOKUP($C785,'ABC-S'!$A$5:$A$271,1,FALSE)))</f>
        <v>CP0621</v>
      </c>
      <c r="W785" s="286" t="s">
        <v>3678</v>
      </c>
      <c r="X785" s="286" t="s">
        <v>21</v>
      </c>
      <c r="Y785" s="286" t="s">
        <v>423</v>
      </c>
      <c r="Z785" s="286" t="s">
        <v>21</v>
      </c>
      <c r="AA785" s="286" t="s">
        <v>21</v>
      </c>
      <c r="AB785" s="378"/>
      <c r="AC785" s="381">
        <v>96028</v>
      </c>
      <c r="AD785" s="378">
        <v>4.1092258748674443E-3</v>
      </c>
      <c r="AE785" s="378">
        <v>1</v>
      </c>
      <c r="AF785" s="378">
        <v>4.1092258748674443E-3</v>
      </c>
      <c r="AG785" s="378"/>
      <c r="AI785" s="378">
        <v>0</v>
      </c>
      <c r="AJ785" s="378">
        <v>0</v>
      </c>
      <c r="AL785" s="286"/>
      <c r="AM785" s="286">
        <v>42440</v>
      </c>
    </row>
    <row r="786" spans="1:39" s="51" customFormat="1" ht="33.75" x14ac:dyDescent="0.25">
      <c r="A786" s="59" t="s">
        <v>3678</v>
      </c>
      <c r="B786" s="59" t="s">
        <v>87</v>
      </c>
      <c r="C786" s="59"/>
      <c r="D786" s="59">
        <v>96029</v>
      </c>
      <c r="E786" s="60" t="s">
        <v>659</v>
      </c>
      <c r="F786" s="59" t="s">
        <v>75</v>
      </c>
      <c r="G786" s="61">
        <f>(1 * 0.38) / 150.88</f>
        <v>2.5185577942735951E-3</v>
      </c>
      <c r="H786" s="62">
        <v>33.83</v>
      </c>
      <c r="I786" s="62">
        <f t="shared" si="87"/>
        <v>8.5202810180275715E-2</v>
      </c>
      <c r="J786" s="62"/>
      <c r="K786" s="62">
        <v>3.3723488865323441E-2</v>
      </c>
      <c r="L786" s="62">
        <v>1.3172057264050904E-2</v>
      </c>
      <c r="M786" s="62">
        <v>3.8307264050901381E-2</v>
      </c>
      <c r="N786" s="62">
        <v>0</v>
      </c>
      <c r="O786" s="62">
        <v>-1.3877787807814457E-17</v>
      </c>
      <c r="P786" s="298" t="s">
        <v>4160</v>
      </c>
      <c r="Q786" s="60" t="s">
        <v>27</v>
      </c>
      <c r="R786" s="60" t="s">
        <v>174</v>
      </c>
      <c r="S786" s="286" t="str">
        <f t="shared" si="84"/>
        <v>SIM</v>
      </c>
      <c r="T786" s="286" t="str">
        <f>IF($C786= "", T785, IF(ISNA(VLOOKUP($C786,'ABC-S'!$A$5:$A$271,1,FALSE)), "", VLOOKUP($C786,'ABC-S'!$A$5:$A$271,1,FALSE)))</f>
        <v>CP0621</v>
      </c>
      <c r="W786" s="286" t="s">
        <v>3678</v>
      </c>
      <c r="X786" s="286" t="s">
        <v>21</v>
      </c>
      <c r="Y786" s="286" t="s">
        <v>423</v>
      </c>
      <c r="Z786" s="286" t="s">
        <v>21</v>
      </c>
      <c r="AA786" s="286" t="s">
        <v>21</v>
      </c>
      <c r="AB786" s="378"/>
      <c r="AC786" s="381">
        <v>96029</v>
      </c>
      <c r="AD786" s="378">
        <v>2.5185577942735951E-3</v>
      </c>
      <c r="AE786" s="378">
        <v>1</v>
      </c>
      <c r="AF786" s="378">
        <v>2.5185577942735951E-3</v>
      </c>
      <c r="AG786" s="378"/>
      <c r="AI786" s="378">
        <v>0</v>
      </c>
      <c r="AJ786" s="378">
        <v>0</v>
      </c>
      <c r="AL786" s="286"/>
      <c r="AM786" s="286">
        <v>42440</v>
      </c>
    </row>
    <row r="787" spans="1:39" s="51" customFormat="1" ht="33.75" x14ac:dyDescent="0.25">
      <c r="A787" s="59" t="s">
        <v>3678</v>
      </c>
      <c r="B787" s="59" t="s">
        <v>87</v>
      </c>
      <c r="C787" s="59"/>
      <c r="D787" s="59">
        <v>5932</v>
      </c>
      <c r="E787" s="60" t="s">
        <v>607</v>
      </c>
      <c r="F787" s="59" t="s">
        <v>76</v>
      </c>
      <c r="G787" s="61">
        <f>(1 * 1) / 150.88</f>
        <v>6.6277836691410394E-3</v>
      </c>
      <c r="H787" s="62">
        <v>170.84</v>
      </c>
      <c r="I787" s="62">
        <f t="shared" si="87"/>
        <v>1.1322905620360553</v>
      </c>
      <c r="J787" s="62"/>
      <c r="K787" s="62">
        <v>0.13282078472958642</v>
      </c>
      <c r="L787" s="62">
        <v>0.4574496288441145</v>
      </c>
      <c r="M787" s="62">
        <v>0.54202014846235425</v>
      </c>
      <c r="N787" s="62">
        <v>0</v>
      </c>
      <c r="O787" s="62">
        <v>0</v>
      </c>
      <c r="P787" s="298" t="s">
        <v>4160</v>
      </c>
      <c r="Q787" s="60" t="s">
        <v>27</v>
      </c>
      <c r="R787" s="60" t="s">
        <v>174</v>
      </c>
      <c r="S787" s="286" t="str">
        <f t="shared" si="84"/>
        <v>SIM</v>
      </c>
      <c r="T787" s="286" t="str">
        <f>IF($C787= "", T786, IF(ISNA(VLOOKUP($C787,'ABC-S'!$A$5:$A$271,1,FALSE)), "", VLOOKUP($C787,'ABC-S'!$A$5:$A$271,1,FALSE)))</f>
        <v>CP0621</v>
      </c>
      <c r="W787" s="286" t="s">
        <v>3678</v>
      </c>
      <c r="X787" s="286" t="s">
        <v>21</v>
      </c>
      <c r="Y787" s="286" t="s">
        <v>423</v>
      </c>
      <c r="Z787" s="286" t="s">
        <v>21</v>
      </c>
      <c r="AA787" s="286" t="s">
        <v>21</v>
      </c>
      <c r="AB787" s="378"/>
      <c r="AC787" s="381">
        <v>5932</v>
      </c>
      <c r="AD787" s="378">
        <v>6.6277836691410394E-3</v>
      </c>
      <c r="AE787" s="378">
        <v>1</v>
      </c>
      <c r="AF787" s="378">
        <v>6.6277836691410394E-3</v>
      </c>
      <c r="AG787" s="378"/>
      <c r="AI787" s="378">
        <v>0</v>
      </c>
      <c r="AJ787" s="378">
        <v>0</v>
      </c>
      <c r="AL787" s="286"/>
      <c r="AM787" s="286">
        <v>42440</v>
      </c>
    </row>
    <row r="788" spans="1:39" s="51" customFormat="1" ht="33.75" x14ac:dyDescent="0.25">
      <c r="A788" s="59" t="s">
        <v>3678</v>
      </c>
      <c r="B788" s="59" t="s">
        <v>87</v>
      </c>
      <c r="C788" s="59"/>
      <c r="D788" s="59">
        <v>5932</v>
      </c>
      <c r="E788" s="60" t="s">
        <v>607</v>
      </c>
      <c r="F788" s="59" t="s">
        <v>76</v>
      </c>
      <c r="G788" s="61">
        <f>(1 * 0) / 150.88</f>
        <v>0</v>
      </c>
      <c r="H788" s="62">
        <v>170.84</v>
      </c>
      <c r="I788" s="62">
        <f t="shared" si="87"/>
        <v>0</v>
      </c>
      <c r="J788" s="62"/>
      <c r="K788" s="62">
        <v>0</v>
      </c>
      <c r="L788" s="62">
        <v>0</v>
      </c>
      <c r="M788" s="62">
        <v>0</v>
      </c>
      <c r="N788" s="62">
        <v>0</v>
      </c>
      <c r="O788" s="62">
        <v>0</v>
      </c>
      <c r="P788" s="298" t="s">
        <v>4160</v>
      </c>
      <c r="Q788" s="60" t="s">
        <v>27</v>
      </c>
      <c r="R788" s="60" t="s">
        <v>174</v>
      </c>
      <c r="S788" s="286" t="str">
        <f t="shared" si="84"/>
        <v>SIM</v>
      </c>
      <c r="T788" s="286" t="str">
        <f>IF($C788= "", T787, IF(ISNA(VLOOKUP($C788,'ABC-S'!$A$5:$A$271,1,FALSE)), "", VLOOKUP($C788,'ABC-S'!$A$5:$A$271,1,FALSE)))</f>
        <v>CP0621</v>
      </c>
      <c r="W788" s="286" t="s">
        <v>3678</v>
      </c>
      <c r="X788" s="286" t="s">
        <v>21</v>
      </c>
      <c r="Y788" s="286" t="s">
        <v>423</v>
      </c>
      <c r="Z788" s="286" t="s">
        <v>21</v>
      </c>
      <c r="AA788" s="286" t="s">
        <v>21</v>
      </c>
      <c r="AB788" s="378"/>
      <c r="AC788" s="381">
        <v>5932</v>
      </c>
      <c r="AD788" s="378">
        <v>0</v>
      </c>
      <c r="AE788" s="378">
        <v>1</v>
      </c>
      <c r="AF788" s="378">
        <v>0</v>
      </c>
      <c r="AG788" s="378"/>
      <c r="AI788" s="378">
        <v>0</v>
      </c>
      <c r="AJ788" s="378">
        <v>0</v>
      </c>
      <c r="AL788" s="286"/>
      <c r="AM788" s="286">
        <v>42440</v>
      </c>
    </row>
    <row r="789" spans="1:39" s="51" customFormat="1" ht="22.5" x14ac:dyDescent="0.25">
      <c r="A789" s="59" t="s">
        <v>3678</v>
      </c>
      <c r="B789" s="59" t="s">
        <v>86</v>
      </c>
      <c r="C789" s="59"/>
      <c r="D789" s="59" t="s">
        <v>3685</v>
      </c>
      <c r="E789" s="60" t="s">
        <v>3686</v>
      </c>
      <c r="F789" s="59" t="s">
        <v>76</v>
      </c>
      <c r="G789" s="61">
        <f>(1 * 0.65) / 150.88</f>
        <v>4.3080593849416761E-3</v>
      </c>
      <c r="H789" s="62">
        <v>145.07</v>
      </c>
      <c r="I789" s="62">
        <f t="shared" si="87"/>
        <v>0.62497017497348895</v>
      </c>
      <c r="J789" s="62"/>
      <c r="K789" s="62">
        <v>0</v>
      </c>
      <c r="L789" s="62">
        <v>0</v>
      </c>
      <c r="M789" s="62">
        <v>0.62497017497348895</v>
      </c>
      <c r="N789" s="62">
        <v>0</v>
      </c>
      <c r="O789" s="62">
        <v>0</v>
      </c>
      <c r="P789" s="298" t="s">
        <v>423</v>
      </c>
      <c r="Q789" s="60" t="s">
        <v>174</v>
      </c>
      <c r="R789" s="60" t="s">
        <v>174</v>
      </c>
      <c r="S789" s="286" t="str">
        <f t="shared" si="84"/>
        <v>SIM</v>
      </c>
      <c r="T789" s="286" t="str">
        <f>IF($C789= "", T788, IF(ISNA(VLOOKUP($C789,'ABC-S'!$A$5:$A$271,1,FALSE)), "", VLOOKUP($C789,'ABC-S'!$A$5:$A$271,1,FALSE)))</f>
        <v>CP0621</v>
      </c>
      <c r="W789" s="286" t="s">
        <v>3678</v>
      </c>
      <c r="X789" s="286" t="s">
        <v>21</v>
      </c>
      <c r="Y789" s="286" t="s">
        <v>21</v>
      </c>
      <c r="Z789" s="286" t="s">
        <v>21</v>
      </c>
      <c r="AA789" s="286" t="s">
        <v>21</v>
      </c>
      <c r="AB789" s="378"/>
      <c r="AC789" s="381" t="s">
        <v>21</v>
      </c>
      <c r="AD789" s="378" t="s">
        <v>21</v>
      </c>
      <c r="AE789" s="378" t="s">
        <v>21</v>
      </c>
      <c r="AF789" s="378" t="s">
        <v>21</v>
      </c>
      <c r="AG789" s="378"/>
      <c r="AI789" s="378" t="s">
        <v>21</v>
      </c>
      <c r="AJ789" s="378" t="s">
        <v>21</v>
      </c>
      <c r="AL789" s="286"/>
      <c r="AM789" s="286">
        <v>42440</v>
      </c>
    </row>
    <row r="790" spans="1:39" s="51" customFormat="1" ht="22.5" x14ac:dyDescent="0.25">
      <c r="A790" s="59" t="s">
        <v>3678</v>
      </c>
      <c r="B790" s="59" t="s">
        <v>86</v>
      </c>
      <c r="C790" s="59"/>
      <c r="D790" s="59" t="s">
        <v>3688</v>
      </c>
      <c r="E790" s="60" t="s">
        <v>3686</v>
      </c>
      <c r="F790" s="59" t="s">
        <v>76</v>
      </c>
      <c r="G790" s="61">
        <f>(1 * 0.35) / 150.88</f>
        <v>2.3197242841993637E-3</v>
      </c>
      <c r="H790" s="62">
        <v>68.790000000000006</v>
      </c>
      <c r="I790" s="62">
        <f t="shared" si="87"/>
        <v>0.15957383351007423</v>
      </c>
      <c r="J790" s="62"/>
      <c r="K790" s="62">
        <v>0</v>
      </c>
      <c r="L790" s="62">
        <v>0</v>
      </c>
      <c r="M790" s="62">
        <v>0.15957383351007423</v>
      </c>
      <c r="N790" s="62">
        <v>0</v>
      </c>
      <c r="O790" s="62">
        <v>0</v>
      </c>
      <c r="P790" s="298" t="s">
        <v>423</v>
      </c>
      <c r="Q790" s="60" t="s">
        <v>174</v>
      </c>
      <c r="R790" s="60" t="s">
        <v>174</v>
      </c>
      <c r="S790" s="286" t="str">
        <f t="shared" si="84"/>
        <v>SIM</v>
      </c>
      <c r="T790" s="286" t="str">
        <f>IF($C790= "", T789, IF(ISNA(VLOOKUP($C790,'ABC-S'!$A$5:$A$271,1,FALSE)), "", VLOOKUP($C790,'ABC-S'!$A$5:$A$271,1,FALSE)))</f>
        <v>CP0621</v>
      </c>
      <c r="W790" s="286" t="s">
        <v>3678</v>
      </c>
      <c r="X790" s="286" t="s">
        <v>21</v>
      </c>
      <c r="Y790" s="286" t="s">
        <v>21</v>
      </c>
      <c r="Z790" s="286" t="s">
        <v>21</v>
      </c>
      <c r="AA790" s="286" t="s">
        <v>21</v>
      </c>
      <c r="AB790" s="378"/>
      <c r="AC790" s="381" t="s">
        <v>21</v>
      </c>
      <c r="AD790" s="378" t="s">
        <v>21</v>
      </c>
      <c r="AE790" s="378" t="s">
        <v>21</v>
      </c>
      <c r="AF790" s="378" t="s">
        <v>21</v>
      </c>
      <c r="AG790" s="378"/>
      <c r="AI790" s="378" t="s">
        <v>21</v>
      </c>
      <c r="AJ790" s="378" t="s">
        <v>21</v>
      </c>
      <c r="AL790" s="286"/>
      <c r="AM790" s="286">
        <v>42440</v>
      </c>
    </row>
    <row r="791" spans="1:39" s="51" customFormat="1" ht="56.25" x14ac:dyDescent="0.25">
      <c r="A791" s="59" t="s">
        <v>3678</v>
      </c>
      <c r="B791" s="59" t="s">
        <v>87</v>
      </c>
      <c r="C791" s="59"/>
      <c r="D791" s="59">
        <v>7049</v>
      </c>
      <c r="E791" s="60" t="s">
        <v>643</v>
      </c>
      <c r="F791" s="59" t="s">
        <v>76</v>
      </c>
      <c r="G791" s="61">
        <f>(1 * 0.67) / 150.88</f>
        <v>4.4406150583244965E-3</v>
      </c>
      <c r="H791" s="62">
        <v>152.80000000000001</v>
      </c>
      <c r="I791" s="62">
        <f t="shared" si="87"/>
        <v>0.67852598091198313</v>
      </c>
      <c r="J791" s="62"/>
      <c r="K791" s="62">
        <v>5.9770678685047728E-2</v>
      </c>
      <c r="L791" s="62">
        <v>0.32531945917285265</v>
      </c>
      <c r="M791" s="62">
        <v>0.29343584305408271</v>
      </c>
      <c r="N791" s="62">
        <v>0</v>
      </c>
      <c r="O791" s="62">
        <v>1.1102230246251565E-16</v>
      </c>
      <c r="P791" s="298" t="s">
        <v>4160</v>
      </c>
      <c r="Q791" s="60" t="s">
        <v>27</v>
      </c>
      <c r="R791" s="60" t="s">
        <v>174</v>
      </c>
      <c r="S791" s="286" t="str">
        <f t="shared" si="84"/>
        <v>SIM</v>
      </c>
      <c r="T791" s="286" t="str">
        <f>IF($C791= "", T790, IF(ISNA(VLOOKUP($C791,'ABC-S'!$A$5:$A$271,1,FALSE)), "", VLOOKUP($C791,'ABC-S'!$A$5:$A$271,1,FALSE)))</f>
        <v>CP0621</v>
      </c>
      <c r="W791" s="286" t="s">
        <v>3678</v>
      </c>
      <c r="X791" s="286" t="s">
        <v>21</v>
      </c>
      <c r="Y791" s="286" t="s">
        <v>423</v>
      </c>
      <c r="Z791" s="286" t="s">
        <v>21</v>
      </c>
      <c r="AA791" s="286" t="s">
        <v>21</v>
      </c>
      <c r="AB791" s="378"/>
      <c r="AC791" s="381">
        <v>7049</v>
      </c>
      <c r="AD791" s="378">
        <v>4.4406150583244965E-3</v>
      </c>
      <c r="AE791" s="378">
        <v>1</v>
      </c>
      <c r="AF791" s="378">
        <v>4.4406150583244965E-3</v>
      </c>
      <c r="AG791" s="378"/>
      <c r="AI791" s="378">
        <v>0</v>
      </c>
      <c r="AJ791" s="378">
        <v>0</v>
      </c>
      <c r="AL791" s="286"/>
      <c r="AM791" s="286">
        <v>42440</v>
      </c>
    </row>
    <row r="792" spans="1:39" s="51" customFormat="1" ht="56.25" x14ac:dyDescent="0.25">
      <c r="A792" s="59" t="s">
        <v>3678</v>
      </c>
      <c r="B792" s="59" t="s">
        <v>87</v>
      </c>
      <c r="C792" s="59"/>
      <c r="D792" s="59">
        <v>7050</v>
      </c>
      <c r="E792" s="60" t="s">
        <v>642</v>
      </c>
      <c r="F792" s="59" t="s">
        <v>75</v>
      </c>
      <c r="G792" s="61">
        <f>(1 * 0.33) / 150.88</f>
        <v>2.1871686108165429E-3</v>
      </c>
      <c r="H792" s="62">
        <v>50.17</v>
      </c>
      <c r="I792" s="62">
        <f t="shared" si="87"/>
        <v>0.10973024920466597</v>
      </c>
      <c r="J792" s="62"/>
      <c r="K792" s="62">
        <v>2.9439289501590669E-2</v>
      </c>
      <c r="L792" s="62">
        <v>1.143889183457052E-2</v>
      </c>
      <c r="M792" s="62">
        <v>6.8852067868504771E-2</v>
      </c>
      <c r="N792" s="62">
        <v>0</v>
      </c>
      <c r="O792" s="62">
        <v>1.3877787807814457E-17</v>
      </c>
      <c r="P792" s="298" t="s">
        <v>4160</v>
      </c>
      <c r="Q792" s="60" t="s">
        <v>27</v>
      </c>
      <c r="R792" s="60" t="s">
        <v>174</v>
      </c>
      <c r="S792" s="286" t="str">
        <f t="shared" si="84"/>
        <v>SIM</v>
      </c>
      <c r="T792" s="286" t="str">
        <f>IF($C792= "", T791, IF(ISNA(VLOOKUP($C792,'ABC-S'!$A$5:$A$271,1,FALSE)), "", VLOOKUP($C792,'ABC-S'!$A$5:$A$271,1,FALSE)))</f>
        <v>CP0621</v>
      </c>
      <c r="W792" s="286" t="s">
        <v>3678</v>
      </c>
      <c r="X792" s="286" t="s">
        <v>21</v>
      </c>
      <c r="Y792" s="286" t="s">
        <v>423</v>
      </c>
      <c r="Z792" s="286" t="s">
        <v>21</v>
      </c>
      <c r="AA792" s="286" t="s">
        <v>21</v>
      </c>
      <c r="AB792" s="378"/>
      <c r="AC792" s="381">
        <v>7050</v>
      </c>
      <c r="AD792" s="378">
        <v>2.1871686108165429E-3</v>
      </c>
      <c r="AE792" s="378">
        <v>1</v>
      </c>
      <c r="AF792" s="378">
        <v>2.1871686108165429E-3</v>
      </c>
      <c r="AG792" s="378"/>
      <c r="AI792" s="378">
        <v>0</v>
      </c>
      <c r="AJ792" s="378">
        <v>0</v>
      </c>
      <c r="AL792" s="286"/>
      <c r="AM792" s="286">
        <v>42440</v>
      </c>
    </row>
    <row r="793" spans="1:39" s="51" customFormat="1" x14ac:dyDescent="0.25">
      <c r="A793" s="59" t="s">
        <v>3678</v>
      </c>
      <c r="B793" s="59" t="s">
        <v>87</v>
      </c>
      <c r="C793" s="59"/>
      <c r="D793" s="59">
        <v>88316</v>
      </c>
      <c r="E793" s="60" t="s">
        <v>649</v>
      </c>
      <c r="F793" s="59" t="s">
        <v>46</v>
      </c>
      <c r="G793" s="61">
        <f>1 / 150.88</f>
        <v>6.6277836691410394E-3</v>
      </c>
      <c r="H793" s="62">
        <v>17.61</v>
      </c>
      <c r="I793" s="62">
        <f t="shared" si="87"/>
        <v>0.1167152704135737</v>
      </c>
      <c r="J793" s="62"/>
      <c r="K793" s="62">
        <v>7.6882290562036049E-2</v>
      </c>
      <c r="L793" s="62">
        <v>3.9832979851537643E-2</v>
      </c>
      <c r="M793" s="62">
        <v>0</v>
      </c>
      <c r="N793" s="62">
        <v>0</v>
      </c>
      <c r="O793" s="62">
        <v>1.3877787807814457E-17</v>
      </c>
      <c r="P793" s="298" t="s">
        <v>4160</v>
      </c>
      <c r="Q793" s="60" t="s">
        <v>27</v>
      </c>
      <c r="R793" s="60" t="s">
        <v>174</v>
      </c>
      <c r="S793" s="286" t="str">
        <f t="shared" si="84"/>
        <v>SIM</v>
      </c>
      <c r="T793" s="286" t="str">
        <f>IF($C793= "", T792, IF(ISNA(VLOOKUP($C793,'ABC-S'!$A$5:$A$271,1,FALSE)), "", VLOOKUP($C793,'ABC-S'!$A$5:$A$271,1,FALSE)))</f>
        <v>CP0621</v>
      </c>
      <c r="W793" s="286" t="s">
        <v>3678</v>
      </c>
      <c r="X793" s="286">
        <v>88316</v>
      </c>
      <c r="Y793" s="286" t="s">
        <v>424</v>
      </c>
      <c r="Z793" s="286">
        <v>9974.7624000000014</v>
      </c>
      <c r="AA793" s="286">
        <v>6.6277836691410394E-3</v>
      </c>
      <c r="AB793" s="378"/>
      <c r="AC793" s="381" t="s">
        <v>21</v>
      </c>
      <c r="AD793" s="378" t="s">
        <v>21</v>
      </c>
      <c r="AE793" s="378" t="s">
        <v>21</v>
      </c>
      <c r="AF793" s="378" t="s">
        <v>21</v>
      </c>
      <c r="AG793" s="378"/>
      <c r="AI793" s="378">
        <v>0</v>
      </c>
      <c r="AJ793" s="378">
        <v>0</v>
      </c>
      <c r="AL793" s="286"/>
      <c r="AM793" s="286">
        <v>42440</v>
      </c>
    </row>
    <row r="794" spans="1:39" s="51" customFormat="1" x14ac:dyDescent="0.25">
      <c r="A794" s="59" t="s">
        <v>3678</v>
      </c>
      <c r="B794" s="59" t="s">
        <v>86</v>
      </c>
      <c r="C794" s="59"/>
      <c r="D794" s="59">
        <v>1106</v>
      </c>
      <c r="E794" s="60" t="s">
        <v>96</v>
      </c>
      <c r="F794" s="59" t="s">
        <v>3669</v>
      </c>
      <c r="G794" s="61">
        <v>61.89</v>
      </c>
      <c r="H794" s="62">
        <v>0.95</v>
      </c>
      <c r="I794" s="62">
        <f t="shared" si="87"/>
        <v>58.795499999999997</v>
      </c>
      <c r="J794" s="62"/>
      <c r="K794" s="62">
        <v>0</v>
      </c>
      <c r="L794" s="62">
        <v>58.795499999999997</v>
      </c>
      <c r="M794" s="62">
        <v>0</v>
      </c>
      <c r="N794" s="62">
        <v>0</v>
      </c>
      <c r="O794" s="62">
        <v>0</v>
      </c>
      <c r="P794" s="298" t="s">
        <v>89</v>
      </c>
      <c r="Q794" s="60" t="s">
        <v>27</v>
      </c>
      <c r="R794" s="60" t="s">
        <v>174</v>
      </c>
      <c r="S794" s="286" t="str">
        <f t="shared" si="84"/>
        <v>SIM</v>
      </c>
      <c r="T794" s="286" t="str">
        <f>IF($C794= "", T793, IF(ISNA(VLOOKUP($C794,'ABC-S'!$A$5:$A$271,1,FALSE)), "", VLOOKUP($C794,'ABC-S'!$A$5:$A$271,1,FALSE)))</f>
        <v>CP0621</v>
      </c>
      <c r="W794" s="286" t="s">
        <v>3678</v>
      </c>
      <c r="X794" s="286" t="s">
        <v>21</v>
      </c>
      <c r="Y794" s="286" t="s">
        <v>21</v>
      </c>
      <c r="Z794" s="286" t="s">
        <v>21</v>
      </c>
      <c r="AA794" s="286" t="s">
        <v>21</v>
      </c>
      <c r="AB794" s="378"/>
      <c r="AC794" s="381" t="s">
        <v>21</v>
      </c>
      <c r="AD794" s="378" t="s">
        <v>21</v>
      </c>
      <c r="AE794" s="378" t="s">
        <v>21</v>
      </c>
      <c r="AF794" s="378" t="s">
        <v>21</v>
      </c>
      <c r="AG794" s="378"/>
      <c r="AI794" s="378" t="s">
        <v>21</v>
      </c>
      <c r="AJ794" s="378" t="s">
        <v>21</v>
      </c>
      <c r="AL794" s="286"/>
      <c r="AM794" s="286">
        <v>42440</v>
      </c>
    </row>
    <row r="795" spans="1:39" s="51" customFormat="1" ht="22.5" x14ac:dyDescent="0.25">
      <c r="A795" s="59" t="s">
        <v>3678</v>
      </c>
      <c r="B795" s="59" t="s">
        <v>87</v>
      </c>
      <c r="C795" s="59"/>
      <c r="D795" s="59" t="s">
        <v>3690</v>
      </c>
      <c r="E795" s="60" t="s">
        <v>3691</v>
      </c>
      <c r="F795" s="59" t="s">
        <v>55</v>
      </c>
      <c r="G795" s="61">
        <f>G794 / 1000</f>
        <v>6.1890000000000001E-2</v>
      </c>
      <c r="H795" s="62">
        <v>11.464767038891029</v>
      </c>
      <c r="I795" s="62">
        <f t="shared" si="87"/>
        <v>0.70955443203696578</v>
      </c>
      <c r="J795" s="62"/>
      <c r="K795" s="62">
        <v>0</v>
      </c>
      <c r="L795" s="62">
        <v>0</v>
      </c>
      <c r="M795" s="62">
        <v>0.70955443203696578</v>
      </c>
      <c r="N795" s="62">
        <v>0</v>
      </c>
      <c r="O795" s="62">
        <v>0</v>
      </c>
      <c r="P795" s="298" t="s">
        <v>4160</v>
      </c>
      <c r="Q795" s="60" t="s">
        <v>174</v>
      </c>
      <c r="R795" s="60" t="s">
        <v>174</v>
      </c>
      <c r="S795" s="286" t="str">
        <f t="shared" si="84"/>
        <v>SIM</v>
      </c>
      <c r="T795" s="286" t="str">
        <f>IF($C795= "", T794, IF(ISNA(VLOOKUP($C795,'ABC-S'!$A$5:$A$271,1,FALSE)), "", VLOOKUP($C795,'ABC-S'!$A$5:$A$271,1,FALSE)))</f>
        <v>CP0621</v>
      </c>
      <c r="W795" s="286" t="s">
        <v>3678</v>
      </c>
      <c r="X795" s="286" t="s">
        <v>21</v>
      </c>
      <c r="Y795" s="286" t="s">
        <v>1513</v>
      </c>
      <c r="Z795" s="286" t="s">
        <v>21</v>
      </c>
      <c r="AA795" s="286" t="s">
        <v>21</v>
      </c>
      <c r="AB795" s="378"/>
      <c r="AC795" s="381" t="s">
        <v>3690</v>
      </c>
      <c r="AD795" s="378">
        <v>6.1890000000000001E-2</v>
      </c>
      <c r="AE795" s="378">
        <v>0</v>
      </c>
      <c r="AF795" s="378">
        <v>0</v>
      </c>
      <c r="AG795" s="378"/>
      <c r="AI795" s="378" t="s">
        <v>21</v>
      </c>
      <c r="AJ795" s="378" t="s">
        <v>21</v>
      </c>
      <c r="AL795" s="286"/>
      <c r="AM795" s="286">
        <v>42440</v>
      </c>
    </row>
    <row r="796" spans="1:39" s="51" customFormat="1" ht="33.75" x14ac:dyDescent="0.25">
      <c r="A796" s="59" t="s">
        <v>3678</v>
      </c>
      <c r="B796" s="59" t="s">
        <v>3027</v>
      </c>
      <c r="C796" s="59"/>
      <c r="D796" s="59"/>
      <c r="E796" s="60" t="s">
        <v>3689</v>
      </c>
      <c r="F796" s="59" t="s">
        <v>21</v>
      </c>
      <c r="G796" s="61"/>
      <c r="H796" s="62" t="s">
        <v>21</v>
      </c>
      <c r="I796" s="62" t="str">
        <f t="shared" si="87"/>
        <v/>
      </c>
      <c r="J796" s="62"/>
      <c r="K796" s="62" t="s">
        <v>21</v>
      </c>
      <c r="L796" s="62" t="s">
        <v>21</v>
      </c>
      <c r="M796" s="62" t="s">
        <v>21</v>
      </c>
      <c r="N796" s="62" t="s">
        <v>21</v>
      </c>
      <c r="O796" s="62" t="s">
        <v>21</v>
      </c>
      <c r="P796" s="298" t="s">
        <v>21</v>
      </c>
      <c r="Q796" s="60" t="s">
        <v>27</v>
      </c>
      <c r="R796" s="60" t="s">
        <v>174</v>
      </c>
      <c r="S796" s="286" t="str">
        <f t="shared" si="84"/>
        <v>SIM</v>
      </c>
      <c r="T796" s="286" t="str">
        <f>IF($C796= "", T795, IF(ISNA(VLOOKUP($C796,'ABC-S'!$A$5:$A$271,1,FALSE)), "", VLOOKUP($C796,'ABC-S'!$A$5:$A$271,1,FALSE)))</f>
        <v>CP0621</v>
      </c>
      <c r="W796" s="286" t="s">
        <v>3678</v>
      </c>
      <c r="X796" s="286" t="s">
        <v>21</v>
      </c>
      <c r="Y796" s="286" t="s">
        <v>21</v>
      </c>
      <c r="Z796" s="286" t="s">
        <v>21</v>
      </c>
      <c r="AA796" s="286" t="s">
        <v>21</v>
      </c>
      <c r="AB796" s="378"/>
      <c r="AC796" s="381" t="s">
        <v>21</v>
      </c>
      <c r="AD796" s="378" t="s">
        <v>21</v>
      </c>
      <c r="AE796" s="378" t="s">
        <v>21</v>
      </c>
      <c r="AF796" s="378" t="s">
        <v>21</v>
      </c>
      <c r="AG796" s="378"/>
      <c r="AI796" s="378" t="s">
        <v>21</v>
      </c>
      <c r="AJ796" s="378" t="s">
        <v>21</v>
      </c>
      <c r="AL796" s="286"/>
      <c r="AM796" s="286">
        <v>42440</v>
      </c>
    </row>
    <row r="797" spans="1:39" s="51" customFormat="1" ht="22.5" x14ac:dyDescent="0.25">
      <c r="A797" s="59" t="s">
        <v>3678</v>
      </c>
      <c r="B797" s="59" t="s">
        <v>3027</v>
      </c>
      <c r="C797" s="59"/>
      <c r="D797" s="59"/>
      <c r="E797" s="60" t="s">
        <v>3698</v>
      </c>
      <c r="F797" s="59" t="s">
        <v>21</v>
      </c>
      <c r="G797" s="61"/>
      <c r="H797" s="62" t="s">
        <v>21</v>
      </c>
      <c r="I797" s="62" t="str">
        <f t="shared" si="87"/>
        <v/>
      </c>
      <c r="J797" s="62"/>
      <c r="K797" s="62" t="s">
        <v>21</v>
      </c>
      <c r="L797" s="62" t="s">
        <v>21</v>
      </c>
      <c r="M797" s="62" t="s">
        <v>21</v>
      </c>
      <c r="N797" s="62" t="s">
        <v>21</v>
      </c>
      <c r="O797" s="62" t="s">
        <v>21</v>
      </c>
      <c r="P797" s="298" t="s">
        <v>21</v>
      </c>
      <c r="Q797" s="60" t="s">
        <v>27</v>
      </c>
      <c r="R797" s="60" t="s">
        <v>174</v>
      </c>
      <c r="S797" s="286" t="str">
        <f t="shared" si="84"/>
        <v>SIM</v>
      </c>
      <c r="T797" s="286" t="str">
        <f>IF($C797= "", T796, IF(ISNA(VLOOKUP($C797,'ABC-S'!$A$5:$A$271,1,FALSE)), "", VLOOKUP($C797,'ABC-S'!$A$5:$A$271,1,FALSE)))</f>
        <v>CP0621</v>
      </c>
      <c r="W797" s="286" t="s">
        <v>3678</v>
      </c>
      <c r="X797" s="286" t="s">
        <v>21</v>
      </c>
      <c r="Y797" s="286" t="s">
        <v>1513</v>
      </c>
      <c r="Z797" s="335" t="s">
        <v>21</v>
      </c>
      <c r="AA797" s="286" t="s">
        <v>21</v>
      </c>
      <c r="AB797" s="378"/>
      <c r="AC797" s="381" t="s">
        <v>21</v>
      </c>
      <c r="AD797" s="378" t="s">
        <v>21</v>
      </c>
      <c r="AE797" s="378" t="s">
        <v>21</v>
      </c>
      <c r="AF797" s="378" t="s">
        <v>21</v>
      </c>
      <c r="AG797" s="378"/>
      <c r="AI797" s="378" t="s">
        <v>21</v>
      </c>
      <c r="AJ797" s="378" t="s">
        <v>21</v>
      </c>
      <c r="AL797" s="286">
        <v>72850</v>
      </c>
      <c r="AM797" s="286"/>
    </row>
    <row r="798" spans="1:39" s="51" customFormat="1" ht="22.5" hidden="1" x14ac:dyDescent="0.25">
      <c r="A798" s="55" t="s">
        <v>3690</v>
      </c>
      <c r="B798" s="55" t="s">
        <v>138</v>
      </c>
      <c r="C798" s="55" t="s">
        <v>3690</v>
      </c>
      <c r="D798" s="55"/>
      <c r="E798" s="56" t="s">
        <v>3691</v>
      </c>
      <c r="F798" s="55" t="s">
        <v>55</v>
      </c>
      <c r="G798" s="57"/>
      <c r="H798" s="58"/>
      <c r="I798" s="58"/>
      <c r="J798" s="58">
        <f>SUM(I798:I800)</f>
        <v>11.464767038891029</v>
      </c>
      <c r="K798" s="58">
        <v>0</v>
      </c>
      <c r="L798" s="58">
        <v>0</v>
      </c>
      <c r="M798" s="58">
        <v>11.464767038891029</v>
      </c>
      <c r="N798" s="58">
        <v>0</v>
      </c>
      <c r="O798" s="58">
        <v>0</v>
      </c>
      <c r="P798" s="58"/>
      <c r="Q798" s="56"/>
      <c r="R798" s="56" t="s">
        <v>3697</v>
      </c>
      <c r="S798" s="286" t="str">
        <f t="shared" si="84"/>
        <v/>
      </c>
      <c r="T798" s="286" t="str">
        <f>IF($C798= "", T797, IF(ISNA(VLOOKUP($C798,'ABC-S'!$A$5:$A$271,1,FALSE)), "", VLOOKUP($C798,'ABC-S'!$A$5:$A$271,1,FALSE)))</f>
        <v/>
      </c>
      <c r="W798" s="286" t="s">
        <v>3690</v>
      </c>
      <c r="X798" s="286"/>
      <c r="Y798" s="286"/>
      <c r="Z798" s="286"/>
      <c r="AA798" s="286" t="s">
        <v>21</v>
      </c>
      <c r="AB798" s="378">
        <v>0</v>
      </c>
      <c r="AC798" s="378"/>
      <c r="AD798" s="335"/>
      <c r="AE798" s="335"/>
      <c r="AF798" s="335"/>
      <c r="AG798" s="378">
        <v>0</v>
      </c>
      <c r="AI798" s="378" t="s">
        <v>21</v>
      </c>
      <c r="AJ798" s="378" t="s">
        <v>21</v>
      </c>
      <c r="AL798" s="286"/>
      <c r="AM798" s="286"/>
    </row>
    <row r="799" spans="1:39" s="51" customFormat="1" ht="22.5" hidden="1" x14ac:dyDescent="0.25">
      <c r="A799" s="59" t="s">
        <v>3690</v>
      </c>
      <c r="B799" s="59" t="s">
        <v>86</v>
      </c>
      <c r="C799" s="248"/>
      <c r="D799" s="59" t="s">
        <v>3692</v>
      </c>
      <c r="E799" s="60" t="s">
        <v>3694</v>
      </c>
      <c r="F799" s="59" t="s">
        <v>76</v>
      </c>
      <c r="G799" s="61">
        <f>(1 * 1) / 25.97</f>
        <v>3.8505968425105896E-2</v>
      </c>
      <c r="H799" s="62">
        <v>297.74</v>
      </c>
      <c r="I799" s="62">
        <f>IF($D799="","",G799*H799)</f>
        <v>11.464767038891029</v>
      </c>
      <c r="J799" s="62"/>
      <c r="K799" s="62">
        <v>0</v>
      </c>
      <c r="L799" s="62">
        <v>0</v>
      </c>
      <c r="M799" s="62">
        <v>11.464767038891029</v>
      </c>
      <c r="N799" s="62">
        <v>0</v>
      </c>
      <c r="O799" s="62">
        <v>0</v>
      </c>
      <c r="P799" s="298" t="s">
        <v>423</v>
      </c>
      <c r="Q799" s="60" t="s">
        <v>174</v>
      </c>
      <c r="R799" s="60" t="s">
        <v>174</v>
      </c>
      <c r="S799" s="286" t="str">
        <f t="shared" si="84"/>
        <v/>
      </c>
      <c r="T799" s="286" t="str">
        <f>IF($C799= "", T798, IF(ISNA(VLOOKUP($C799,'ABC-S'!$A$5:$A$271,1,FALSE)), "", VLOOKUP($C799,'ABC-S'!$A$5:$A$271,1,FALSE)))</f>
        <v/>
      </c>
      <c r="W799" s="286" t="s">
        <v>3690</v>
      </c>
      <c r="X799" s="286" t="s">
        <v>21</v>
      </c>
      <c r="Y799" s="286" t="s">
        <v>21</v>
      </c>
      <c r="Z799" s="286" t="s">
        <v>21</v>
      </c>
      <c r="AA799" s="286" t="s">
        <v>21</v>
      </c>
      <c r="AB799" s="378"/>
      <c r="AC799" s="381" t="s">
        <v>21</v>
      </c>
      <c r="AD799" s="378" t="s">
        <v>21</v>
      </c>
      <c r="AE799" s="378" t="s">
        <v>21</v>
      </c>
      <c r="AF799" s="378" t="s">
        <v>21</v>
      </c>
      <c r="AG799" s="378"/>
      <c r="AI799" s="378" t="s">
        <v>21</v>
      </c>
      <c r="AJ799" s="378" t="s">
        <v>21</v>
      </c>
      <c r="AL799" s="286"/>
      <c r="AM799" s="286">
        <v>3408</v>
      </c>
    </row>
    <row r="800" spans="1:39" s="51" customFormat="1" ht="22.5" hidden="1" x14ac:dyDescent="0.25">
      <c r="A800" s="59" t="s">
        <v>3690</v>
      </c>
      <c r="B800" s="59" t="s">
        <v>86</v>
      </c>
      <c r="C800" s="59"/>
      <c r="D800" s="59" t="s">
        <v>3693</v>
      </c>
      <c r="E800" s="60" t="s">
        <v>3695</v>
      </c>
      <c r="F800" s="59" t="s">
        <v>75</v>
      </c>
      <c r="G800" s="61">
        <f>(1 * 0) / 25.97</f>
        <v>0</v>
      </c>
      <c r="H800" s="62">
        <v>71.040000000000006</v>
      </c>
      <c r="I800" s="62">
        <f>IF($D800="","",G800*H800)</f>
        <v>0</v>
      </c>
      <c r="J800" s="62"/>
      <c r="K800" s="62">
        <v>0</v>
      </c>
      <c r="L800" s="62">
        <v>0</v>
      </c>
      <c r="M800" s="62">
        <v>0</v>
      </c>
      <c r="N800" s="62">
        <v>0</v>
      </c>
      <c r="O800" s="62">
        <v>0</v>
      </c>
      <c r="P800" s="298" t="s">
        <v>423</v>
      </c>
      <c r="Q800" s="60" t="s">
        <v>174</v>
      </c>
      <c r="R800" s="60" t="s">
        <v>174</v>
      </c>
      <c r="S800" s="286" t="str">
        <f t="shared" si="84"/>
        <v/>
      </c>
      <c r="T800" s="286" t="str">
        <f>IF($C800= "", T799, IF(ISNA(VLOOKUP($C800,'ABC-S'!$A$5:$A$271,1,FALSE)), "", VLOOKUP($C800,'ABC-S'!$A$5:$A$271,1,FALSE)))</f>
        <v/>
      </c>
      <c r="W800" s="286" t="s">
        <v>3690</v>
      </c>
      <c r="X800" s="286" t="s">
        <v>21</v>
      </c>
      <c r="Y800" s="286" t="s">
        <v>21</v>
      </c>
      <c r="Z800" s="286" t="s">
        <v>21</v>
      </c>
      <c r="AA800" s="286" t="s">
        <v>21</v>
      </c>
      <c r="AB800" s="378"/>
      <c r="AC800" s="381" t="s">
        <v>21</v>
      </c>
      <c r="AD800" s="378" t="s">
        <v>21</v>
      </c>
      <c r="AE800" s="378" t="s">
        <v>21</v>
      </c>
      <c r="AF800" s="378" t="s">
        <v>21</v>
      </c>
      <c r="AG800" s="378"/>
      <c r="AI800" s="378" t="s">
        <v>21</v>
      </c>
      <c r="AJ800" s="378" t="s">
        <v>21</v>
      </c>
      <c r="AL800" s="286"/>
      <c r="AM800" s="286">
        <v>3410</v>
      </c>
    </row>
    <row r="801" spans="1:39" s="51" customFormat="1" ht="22.5" hidden="1" x14ac:dyDescent="0.25">
      <c r="A801" s="55" t="s">
        <v>1145</v>
      </c>
      <c r="B801" s="55" t="s">
        <v>138</v>
      </c>
      <c r="C801" s="55" t="s">
        <v>1145</v>
      </c>
      <c r="D801" s="55"/>
      <c r="E801" s="56" t="s">
        <v>1148</v>
      </c>
      <c r="F801" s="55" t="s">
        <v>51</v>
      </c>
      <c r="G801" s="57"/>
      <c r="H801" s="58"/>
      <c r="I801" s="58"/>
      <c r="J801" s="58">
        <f>SUM(I801:I804)</f>
        <v>39.876779999999997</v>
      </c>
      <c r="K801" s="58">
        <v>9.6604199999999985</v>
      </c>
      <c r="L801" s="58">
        <v>30.216359999999998</v>
      </c>
      <c r="M801" s="58">
        <v>0</v>
      </c>
      <c r="N801" s="58">
        <v>0</v>
      </c>
      <c r="O801" s="58">
        <v>1.7763568394002505E-15</v>
      </c>
      <c r="P801" s="58"/>
      <c r="Q801" s="56"/>
      <c r="R801" s="56" t="s">
        <v>1146</v>
      </c>
      <c r="S801" s="286" t="str">
        <f t="shared" si="84"/>
        <v/>
      </c>
      <c r="T801" s="286" t="str">
        <f>IF($C801= "", T800, IF(ISNA(VLOOKUP($C801,'ABC-S'!$A$5:$A$271,1,FALSE)), "", VLOOKUP($C801,'ABC-S'!$A$5:$A$271,1,FALSE)))</f>
        <v/>
      </c>
      <c r="W801" s="286" t="s">
        <v>1145</v>
      </c>
      <c r="X801" s="286"/>
      <c r="Y801" s="286"/>
      <c r="Z801" s="286"/>
      <c r="AA801" s="286" t="s">
        <v>21</v>
      </c>
      <c r="AB801" s="378">
        <v>0.69299999999999995</v>
      </c>
      <c r="AC801" s="378"/>
      <c r="AD801" s="335"/>
      <c r="AE801" s="335"/>
      <c r="AF801" s="335"/>
      <c r="AG801" s="378">
        <v>0.69299999999999995</v>
      </c>
      <c r="AI801" s="378" t="s">
        <v>21</v>
      </c>
      <c r="AJ801" s="378" t="s">
        <v>21</v>
      </c>
      <c r="AL801" s="286"/>
      <c r="AM801" s="286"/>
    </row>
    <row r="802" spans="1:39" s="51" customFormat="1" ht="33.75" hidden="1" x14ac:dyDescent="0.25">
      <c r="A802" s="59" t="s">
        <v>1145</v>
      </c>
      <c r="B802" s="59" t="s">
        <v>86</v>
      </c>
      <c r="C802" s="248"/>
      <c r="D802" s="59">
        <v>3408</v>
      </c>
      <c r="E802" s="60" t="s">
        <v>709</v>
      </c>
      <c r="F802" s="59" t="s">
        <v>3665</v>
      </c>
      <c r="G802" s="61">
        <v>1.05</v>
      </c>
      <c r="H802" s="62">
        <v>9.25</v>
      </c>
      <c r="I802" s="62">
        <f>IF($D802="","",G802*H802)</f>
        <v>9.7125000000000004</v>
      </c>
      <c r="J802" s="62"/>
      <c r="K802" s="62">
        <v>0</v>
      </c>
      <c r="L802" s="62">
        <v>9.7125000000000004</v>
      </c>
      <c r="M802" s="62">
        <v>0</v>
      </c>
      <c r="N802" s="62">
        <v>0</v>
      </c>
      <c r="O802" s="62">
        <v>0</v>
      </c>
      <c r="P802" s="298" t="s">
        <v>89</v>
      </c>
      <c r="Q802" s="60" t="s">
        <v>27</v>
      </c>
      <c r="R802" s="60" t="s">
        <v>304</v>
      </c>
      <c r="S802" s="286" t="str">
        <f t="shared" si="84"/>
        <v/>
      </c>
      <c r="T802" s="286" t="str">
        <f>IF($C802= "", T801, IF(ISNA(VLOOKUP($C802,'ABC-S'!$A$5:$A$271,1,FALSE)), "", VLOOKUP($C802,'ABC-S'!$A$5:$A$271,1,FALSE)))</f>
        <v/>
      </c>
      <c r="W802" s="286" t="s">
        <v>1145</v>
      </c>
      <c r="X802" s="286" t="s">
        <v>21</v>
      </c>
      <c r="Y802" s="286" t="s">
        <v>21</v>
      </c>
      <c r="Z802" s="286" t="s">
        <v>21</v>
      </c>
      <c r="AA802" s="286" t="s">
        <v>21</v>
      </c>
      <c r="AB802" s="378"/>
      <c r="AC802" s="381" t="s">
        <v>21</v>
      </c>
      <c r="AD802" s="378" t="s">
        <v>21</v>
      </c>
      <c r="AE802" s="378" t="s">
        <v>21</v>
      </c>
      <c r="AF802" s="378" t="s">
        <v>21</v>
      </c>
      <c r="AG802" s="378"/>
      <c r="AI802" s="378" t="s">
        <v>21</v>
      </c>
      <c r="AJ802" s="378" t="s">
        <v>21</v>
      </c>
      <c r="AL802" s="286"/>
      <c r="AM802" s="286">
        <v>3408</v>
      </c>
    </row>
    <row r="803" spans="1:39" s="51" customFormat="1" ht="22.5" hidden="1" x14ac:dyDescent="0.25">
      <c r="A803" s="59" t="s">
        <v>1145</v>
      </c>
      <c r="B803" s="59" t="s">
        <v>86</v>
      </c>
      <c r="C803" s="59"/>
      <c r="D803" s="59">
        <v>3410</v>
      </c>
      <c r="E803" s="60" t="s">
        <v>681</v>
      </c>
      <c r="F803" s="59" t="s">
        <v>3669</v>
      </c>
      <c r="G803" s="61">
        <v>0.6</v>
      </c>
      <c r="H803" s="62">
        <v>27.22</v>
      </c>
      <c r="I803" s="62">
        <f>IF($D803="","",G803*H803)</f>
        <v>16.331999999999997</v>
      </c>
      <c r="J803" s="62"/>
      <c r="K803" s="62">
        <v>0</v>
      </c>
      <c r="L803" s="62">
        <v>16.331999999999997</v>
      </c>
      <c r="M803" s="62">
        <v>0</v>
      </c>
      <c r="N803" s="62">
        <v>0</v>
      </c>
      <c r="O803" s="62">
        <v>0</v>
      </c>
      <c r="P803" s="298" t="s">
        <v>89</v>
      </c>
      <c r="Q803" s="60" t="s">
        <v>27</v>
      </c>
      <c r="R803" s="60" t="s">
        <v>304</v>
      </c>
      <c r="S803" s="286" t="str">
        <f t="shared" si="84"/>
        <v/>
      </c>
      <c r="T803" s="286" t="str">
        <f>IF($C803= "", T802, IF(ISNA(VLOOKUP($C803,'ABC-S'!$A$5:$A$271,1,FALSE)), "", VLOOKUP($C803,'ABC-S'!$A$5:$A$271,1,FALSE)))</f>
        <v/>
      </c>
      <c r="W803" s="286" t="s">
        <v>1145</v>
      </c>
      <c r="X803" s="286" t="s">
        <v>21</v>
      </c>
      <c r="Y803" s="286" t="s">
        <v>21</v>
      </c>
      <c r="Z803" s="286" t="s">
        <v>21</v>
      </c>
      <c r="AA803" s="286" t="s">
        <v>21</v>
      </c>
      <c r="AB803" s="378"/>
      <c r="AC803" s="381" t="s">
        <v>21</v>
      </c>
      <c r="AD803" s="378" t="s">
        <v>21</v>
      </c>
      <c r="AE803" s="378" t="s">
        <v>21</v>
      </c>
      <c r="AF803" s="378" t="s">
        <v>21</v>
      </c>
      <c r="AG803" s="378"/>
      <c r="AI803" s="378" t="s">
        <v>21</v>
      </c>
      <c r="AJ803" s="378" t="s">
        <v>21</v>
      </c>
      <c r="AL803" s="286"/>
      <c r="AM803" s="286">
        <v>3410</v>
      </c>
    </row>
    <row r="804" spans="1:39" s="51" customFormat="1" ht="22.5" hidden="1" x14ac:dyDescent="0.25">
      <c r="A804" s="59" t="s">
        <v>1145</v>
      </c>
      <c r="B804" s="59" t="s">
        <v>87</v>
      </c>
      <c r="C804" s="59"/>
      <c r="D804" s="59">
        <v>88239</v>
      </c>
      <c r="E804" s="60" t="s">
        <v>483</v>
      </c>
      <c r="F804" s="59" t="s">
        <v>46</v>
      </c>
      <c r="G804" s="61">
        <v>0.69299999999999995</v>
      </c>
      <c r="H804" s="62">
        <v>19.96</v>
      </c>
      <c r="I804" s="62">
        <f>IF($D804="","",G804*H804)</f>
        <v>13.832279999999999</v>
      </c>
      <c r="J804" s="62"/>
      <c r="K804" s="62">
        <v>9.6604199999999985</v>
      </c>
      <c r="L804" s="62">
        <v>4.1718599999999997</v>
      </c>
      <c r="M804" s="62">
        <v>0</v>
      </c>
      <c r="N804" s="62">
        <v>0</v>
      </c>
      <c r="O804" s="62">
        <v>1.7763568394002505E-15</v>
      </c>
      <c r="P804" s="298" t="s">
        <v>4160</v>
      </c>
      <c r="Q804" s="60" t="s">
        <v>27</v>
      </c>
      <c r="R804" s="60" t="s">
        <v>304</v>
      </c>
      <c r="S804" s="286" t="str">
        <f t="shared" si="84"/>
        <v/>
      </c>
      <c r="T804" s="286" t="str">
        <f>IF($C804= "", T803, IF(ISNA(VLOOKUP($C804,'ABC-S'!$A$5:$A$271,1,FALSE)), "", VLOOKUP($C804,'ABC-S'!$A$5:$A$271,1,FALSE)))</f>
        <v/>
      </c>
      <c r="W804" s="286" t="s">
        <v>1145</v>
      </c>
      <c r="X804" s="286">
        <v>88239</v>
      </c>
      <c r="Y804" s="286" t="s">
        <v>424</v>
      </c>
      <c r="Z804" s="335">
        <v>0</v>
      </c>
      <c r="AA804" s="286">
        <v>0.69299999999999995</v>
      </c>
      <c r="AB804" s="378"/>
      <c r="AC804" s="381" t="s">
        <v>21</v>
      </c>
      <c r="AD804" s="378" t="s">
        <v>21</v>
      </c>
      <c r="AE804" s="378" t="s">
        <v>21</v>
      </c>
      <c r="AF804" s="378" t="s">
        <v>21</v>
      </c>
      <c r="AG804" s="378"/>
      <c r="AI804" s="378">
        <v>0</v>
      </c>
      <c r="AJ804" s="378">
        <v>0</v>
      </c>
      <c r="AL804" s="286">
        <v>88239</v>
      </c>
      <c r="AM804" s="286"/>
    </row>
    <row r="805" spans="1:39" s="51" customFormat="1" ht="45" hidden="1" x14ac:dyDescent="0.25">
      <c r="A805" s="55" t="s">
        <v>1048</v>
      </c>
      <c r="B805" s="55" t="s">
        <v>138</v>
      </c>
      <c r="C805" s="55" t="s">
        <v>1048</v>
      </c>
      <c r="D805" s="55"/>
      <c r="E805" s="56" t="s">
        <v>1049</v>
      </c>
      <c r="F805" s="55" t="s">
        <v>46</v>
      </c>
      <c r="G805" s="57"/>
      <c r="H805" s="58"/>
      <c r="I805" s="58"/>
      <c r="J805" s="58">
        <f>SUM(I805:I808)</f>
        <v>510.75</v>
      </c>
      <c r="K805" s="58">
        <v>75.3</v>
      </c>
      <c r="L805" s="58">
        <v>327.78</v>
      </c>
      <c r="M805" s="58">
        <v>107.67</v>
      </c>
      <c r="N805" s="58">
        <v>0</v>
      </c>
      <c r="O805" s="58">
        <v>2.8421709430404007E-14</v>
      </c>
      <c r="P805" s="58"/>
      <c r="Q805" s="56"/>
      <c r="R805" s="56" t="s">
        <v>1050</v>
      </c>
      <c r="S805" s="286" t="str">
        <f t="shared" si="84"/>
        <v/>
      </c>
      <c r="T805" s="286" t="str">
        <f>IF($C805= "", T804, IF(ISNA(VLOOKUP($C805,'ABC-S'!$A$5:$A$271,1,FALSE)), "", VLOOKUP($C805,'ABC-S'!$A$5:$A$271,1,FALSE)))</f>
        <v/>
      </c>
      <c r="W805" s="286" t="s">
        <v>1048</v>
      </c>
      <c r="X805" s="286"/>
      <c r="Y805" s="286"/>
      <c r="Z805" s="286"/>
      <c r="AA805" s="286" t="s">
        <v>21</v>
      </c>
      <c r="AB805" s="378">
        <v>6.5390000000000006</v>
      </c>
      <c r="AC805" s="378"/>
      <c r="AD805" s="335"/>
      <c r="AE805" s="335"/>
      <c r="AF805" s="335"/>
      <c r="AG805" s="378">
        <v>11.666478659999999</v>
      </c>
      <c r="AI805" s="378" t="s">
        <v>21</v>
      </c>
      <c r="AJ805" s="378" t="s">
        <v>21</v>
      </c>
      <c r="AL805" s="286"/>
      <c r="AM805" s="286"/>
    </row>
    <row r="806" spans="1:39" s="51" customFormat="1" hidden="1" x14ac:dyDescent="0.25">
      <c r="A806" s="59" t="s">
        <v>1048</v>
      </c>
      <c r="B806" s="59" t="s">
        <v>87</v>
      </c>
      <c r="C806" s="248"/>
      <c r="D806" s="59">
        <v>88316</v>
      </c>
      <c r="E806" s="60" t="s">
        <v>649</v>
      </c>
      <c r="F806" s="59" t="s">
        <v>46</v>
      </c>
      <c r="G806" s="61">
        <v>4</v>
      </c>
      <c r="H806" s="62">
        <v>17.61</v>
      </c>
      <c r="I806" s="62">
        <f>IF($D806="","",G806*H806)</f>
        <v>70.44</v>
      </c>
      <c r="J806" s="62"/>
      <c r="K806" s="62">
        <v>46.4</v>
      </c>
      <c r="L806" s="62">
        <v>24.04</v>
      </c>
      <c r="M806" s="62">
        <v>0</v>
      </c>
      <c r="N806" s="62">
        <v>0</v>
      </c>
      <c r="O806" s="62">
        <v>0</v>
      </c>
      <c r="P806" s="298" t="s">
        <v>4160</v>
      </c>
      <c r="Q806" s="60" t="s">
        <v>27</v>
      </c>
      <c r="R806" s="60" t="s">
        <v>1051</v>
      </c>
      <c r="S806" s="286" t="str">
        <f t="shared" si="84"/>
        <v/>
      </c>
      <c r="T806" s="286" t="str">
        <f>IF($C806= "", T805, IF(ISNA(VLOOKUP($C806,'ABC-S'!$A$5:$A$271,1,FALSE)), "", VLOOKUP($C806,'ABC-S'!$A$5:$A$271,1,FALSE)))</f>
        <v/>
      </c>
      <c r="W806" s="286" t="s">
        <v>1048</v>
      </c>
      <c r="X806" s="286">
        <v>88316</v>
      </c>
      <c r="Y806" s="286" t="s">
        <v>424</v>
      </c>
      <c r="Z806" s="335">
        <v>0</v>
      </c>
      <c r="AA806" s="286">
        <v>4</v>
      </c>
      <c r="AB806" s="378"/>
      <c r="AC806" s="381" t="s">
        <v>21</v>
      </c>
      <c r="AD806" s="378" t="s">
        <v>21</v>
      </c>
      <c r="AE806" s="378" t="s">
        <v>21</v>
      </c>
      <c r="AF806" s="378" t="s">
        <v>21</v>
      </c>
      <c r="AG806" s="378"/>
      <c r="AI806" s="378">
        <v>0</v>
      </c>
      <c r="AJ806" s="378">
        <v>0</v>
      </c>
      <c r="AL806" s="286">
        <v>88316</v>
      </c>
      <c r="AM806" s="286"/>
    </row>
    <row r="807" spans="1:39" s="51" customFormat="1" ht="56.25" hidden="1" x14ac:dyDescent="0.25">
      <c r="A807" s="59" t="s">
        <v>1048</v>
      </c>
      <c r="B807" s="59" t="s">
        <v>87</v>
      </c>
      <c r="C807" s="59"/>
      <c r="D807" s="59">
        <v>5901</v>
      </c>
      <c r="E807" s="60" t="s">
        <v>531</v>
      </c>
      <c r="F807" s="59" t="s">
        <v>76</v>
      </c>
      <c r="G807" s="61">
        <v>1</v>
      </c>
      <c r="H807" s="62">
        <v>217.9</v>
      </c>
      <c r="I807" s="62">
        <f>IF($D807="","",G807*H807)</f>
        <v>217.9</v>
      </c>
      <c r="J807" s="62"/>
      <c r="K807" s="62">
        <v>14.45</v>
      </c>
      <c r="L807" s="62">
        <v>151.87</v>
      </c>
      <c r="M807" s="62">
        <v>51.58</v>
      </c>
      <c r="N807" s="62">
        <v>0</v>
      </c>
      <c r="O807" s="62">
        <v>2.8421709430404007E-14</v>
      </c>
      <c r="P807" s="298" t="s">
        <v>4160</v>
      </c>
      <c r="Q807" s="60" t="s">
        <v>27</v>
      </c>
      <c r="R807" s="60" t="s">
        <v>1051</v>
      </c>
      <c r="S807" s="286" t="str">
        <f t="shared" si="84"/>
        <v/>
      </c>
      <c r="T807" s="286" t="str">
        <f>IF($C807= "", T806, IF(ISNA(VLOOKUP($C807,'ABC-S'!$A$5:$A$271,1,FALSE)), "", VLOOKUP($C807,'ABC-S'!$A$5:$A$271,1,FALSE)))</f>
        <v/>
      </c>
      <c r="W807" s="286" t="s">
        <v>1048</v>
      </c>
      <c r="X807" s="286" t="s">
        <v>21</v>
      </c>
      <c r="Y807" s="286" t="s">
        <v>423</v>
      </c>
      <c r="Z807" s="335" t="s">
        <v>21</v>
      </c>
      <c r="AA807" s="286" t="s">
        <v>21</v>
      </c>
      <c r="AB807" s="378"/>
      <c r="AC807" s="381">
        <v>5901</v>
      </c>
      <c r="AD807" s="378">
        <v>1</v>
      </c>
      <c r="AE807" s="378">
        <v>1</v>
      </c>
      <c r="AF807" s="378">
        <v>1</v>
      </c>
      <c r="AG807" s="378"/>
      <c r="AI807" s="378">
        <v>0</v>
      </c>
      <c r="AJ807" s="378">
        <v>0</v>
      </c>
      <c r="AL807" s="286">
        <v>5901</v>
      </c>
      <c r="AM807" s="286"/>
    </row>
    <row r="808" spans="1:39" s="51" customFormat="1" ht="67.5" hidden="1" x14ac:dyDescent="0.25">
      <c r="A808" s="59" t="s">
        <v>1048</v>
      </c>
      <c r="B808" s="59" t="s">
        <v>87</v>
      </c>
      <c r="C808" s="59"/>
      <c r="D808" s="59">
        <v>92106</v>
      </c>
      <c r="E808" s="60" t="s">
        <v>529</v>
      </c>
      <c r="F808" s="59" t="s">
        <v>76</v>
      </c>
      <c r="G808" s="61">
        <v>1</v>
      </c>
      <c r="H808" s="62">
        <v>222.41</v>
      </c>
      <c r="I808" s="62">
        <f>IF($D808="","",G808*H808)</f>
        <v>222.41</v>
      </c>
      <c r="J808" s="62"/>
      <c r="K808" s="62">
        <v>14.45</v>
      </c>
      <c r="L808" s="62">
        <v>151.87</v>
      </c>
      <c r="M808" s="62">
        <v>56.09</v>
      </c>
      <c r="N808" s="62">
        <v>0</v>
      </c>
      <c r="O808" s="62">
        <v>0</v>
      </c>
      <c r="P808" s="298" t="s">
        <v>4160</v>
      </c>
      <c r="Q808" s="60" t="s">
        <v>27</v>
      </c>
      <c r="R808" s="60" t="s">
        <v>1051</v>
      </c>
      <c r="S808" s="286" t="str">
        <f t="shared" si="84"/>
        <v/>
      </c>
      <c r="T808" s="286" t="str">
        <f>IF($C808= "", T807, IF(ISNA(VLOOKUP($C808,'ABC-S'!$A$5:$A$271,1,FALSE)), "", VLOOKUP($C808,'ABC-S'!$A$5:$A$271,1,FALSE)))</f>
        <v/>
      </c>
      <c r="W808" s="286" t="s">
        <v>1048</v>
      </c>
      <c r="X808" s="286" t="s">
        <v>21</v>
      </c>
      <c r="Y808" s="286" t="s">
        <v>423</v>
      </c>
      <c r="Z808" s="335" t="s">
        <v>21</v>
      </c>
      <c r="AA808" s="286" t="s">
        <v>21</v>
      </c>
      <c r="AB808" s="378"/>
      <c r="AC808" s="381">
        <v>92106</v>
      </c>
      <c r="AD808" s="378">
        <v>1</v>
      </c>
      <c r="AE808" s="378">
        <v>1</v>
      </c>
      <c r="AF808" s="378">
        <v>1</v>
      </c>
      <c r="AG808" s="378"/>
      <c r="AI808" s="378">
        <v>0</v>
      </c>
      <c r="AJ808" s="378">
        <v>0</v>
      </c>
      <c r="AL808" s="286">
        <v>92106</v>
      </c>
      <c r="AM808" s="286"/>
    </row>
    <row r="809" spans="1:39" s="51" customFormat="1" ht="45" x14ac:dyDescent="0.25">
      <c r="A809" s="55" t="s">
        <v>3719</v>
      </c>
      <c r="B809" s="55" t="s">
        <v>138</v>
      </c>
      <c r="C809" s="55" t="s">
        <v>3719</v>
      </c>
      <c r="D809" s="55"/>
      <c r="E809" s="56" t="s">
        <v>4138</v>
      </c>
      <c r="F809" s="55" t="s">
        <v>22</v>
      </c>
      <c r="G809" s="57"/>
      <c r="H809" s="58"/>
      <c r="I809" s="58"/>
      <c r="J809" s="58">
        <f>SUM(I809:I824)</f>
        <v>2959.0903560000006</v>
      </c>
      <c r="K809" s="58">
        <v>67.81769700000001</v>
      </c>
      <c r="L809" s="58">
        <v>2852.4656559999999</v>
      </c>
      <c r="M809" s="58">
        <v>37.488460000000003</v>
      </c>
      <c r="N809" s="58">
        <v>0</v>
      </c>
      <c r="O809" s="58">
        <v>1.3185430000000364</v>
      </c>
      <c r="P809" s="58"/>
      <c r="Q809" s="56"/>
      <c r="R809" s="56" t="s">
        <v>3720</v>
      </c>
      <c r="S809" s="286" t="str">
        <f t="shared" si="84"/>
        <v>SIM</v>
      </c>
      <c r="T809" s="286" t="str">
        <f>IF($C809= "", T808, IF(ISNA(VLOOKUP($C809,'ABC-S'!$A$5:$A$271,1,FALSE)), "", VLOOKUP($C809,'ABC-S'!$A$5:$A$271,1,FALSE)))</f>
        <v>CP0711</v>
      </c>
      <c r="W809" s="286" t="s">
        <v>1048</v>
      </c>
      <c r="X809" s="286"/>
      <c r="Y809" s="286"/>
      <c r="Z809" s="286"/>
      <c r="AA809" s="286" t="s">
        <v>21</v>
      </c>
      <c r="AB809" s="378">
        <v>2.5390000000000001</v>
      </c>
      <c r="AC809" s="378"/>
      <c r="AD809" s="335"/>
      <c r="AE809" s="335"/>
      <c r="AF809" s="335"/>
      <c r="AG809" s="378">
        <v>5.6664786599999992</v>
      </c>
      <c r="AI809" s="378" t="s">
        <v>21</v>
      </c>
      <c r="AJ809" s="378" t="s">
        <v>21</v>
      </c>
      <c r="AL809" s="286"/>
      <c r="AM809" s="286"/>
    </row>
    <row r="810" spans="1:39" s="51" customFormat="1" ht="22.5" x14ac:dyDescent="0.25">
      <c r="A810" s="59" t="s">
        <v>3719</v>
      </c>
      <c r="B810" s="59" t="s">
        <v>86</v>
      </c>
      <c r="C810" s="248"/>
      <c r="D810" s="59">
        <v>9875</v>
      </c>
      <c r="E810" s="60" t="s">
        <v>718</v>
      </c>
      <c r="F810" s="59" t="s">
        <v>3667</v>
      </c>
      <c r="G810" s="61">
        <v>8.3000000000000001E-3</v>
      </c>
      <c r="H810" s="62">
        <v>15.17</v>
      </c>
      <c r="I810" s="62">
        <f>IF($D810="","",G810*H810)</f>
        <v>0.125911</v>
      </c>
      <c r="J810" s="62"/>
      <c r="K810" s="62">
        <v>0</v>
      </c>
      <c r="L810" s="62">
        <v>0.125911</v>
      </c>
      <c r="M810" s="62">
        <v>0</v>
      </c>
      <c r="N810" s="62">
        <v>0</v>
      </c>
      <c r="O810" s="62">
        <v>0</v>
      </c>
      <c r="P810" s="298" t="s">
        <v>89</v>
      </c>
      <c r="Q810" s="60" t="s">
        <v>27</v>
      </c>
      <c r="R810" s="60" t="s">
        <v>27</v>
      </c>
      <c r="S810" s="286" t="str">
        <f t="shared" si="84"/>
        <v>SIM</v>
      </c>
      <c r="T810" s="286" t="str">
        <f>IF($C810= "", T809, IF(ISNA(VLOOKUP($C810,'ABC-S'!$A$5:$A$271,1,FALSE)), "", VLOOKUP($C810,'ABC-S'!$A$5:$A$271,1,FALSE)))</f>
        <v>CP0711</v>
      </c>
      <c r="W810" s="286" t="s">
        <v>1048</v>
      </c>
      <c r="X810" s="286" t="s">
        <v>21</v>
      </c>
      <c r="Y810" s="286" t="s">
        <v>21</v>
      </c>
      <c r="Z810" s="335" t="s">
        <v>21</v>
      </c>
      <c r="AA810" s="286" t="s">
        <v>21</v>
      </c>
      <c r="AB810" s="378"/>
      <c r="AC810" s="381" t="s">
        <v>21</v>
      </c>
      <c r="AD810" s="378" t="s">
        <v>21</v>
      </c>
      <c r="AE810" s="378" t="s">
        <v>21</v>
      </c>
      <c r="AF810" s="378" t="s">
        <v>21</v>
      </c>
      <c r="AG810" s="378"/>
      <c r="AI810" s="378" t="s">
        <v>21</v>
      </c>
      <c r="AJ810" s="378" t="s">
        <v>21</v>
      </c>
      <c r="AL810" s="286">
        <v>88316</v>
      </c>
      <c r="AM810" s="286"/>
    </row>
    <row r="811" spans="1:39" s="51" customFormat="1" x14ac:dyDescent="0.25">
      <c r="A811" s="59" t="s">
        <v>3719</v>
      </c>
      <c r="B811" s="59" t="s">
        <v>86</v>
      </c>
      <c r="C811" s="59"/>
      <c r="D811" s="59">
        <v>14583</v>
      </c>
      <c r="E811" s="60" t="s">
        <v>425</v>
      </c>
      <c r="F811" s="59" t="s">
        <v>3670</v>
      </c>
      <c r="G811" s="61">
        <v>0.28899999999999998</v>
      </c>
      <c r="H811" s="62">
        <v>12.48</v>
      </c>
      <c r="I811" s="62">
        <f>IF($D811="","",G811*H811)</f>
        <v>3.6067199999999997</v>
      </c>
      <c r="J811" s="62"/>
      <c r="K811" s="62">
        <v>0</v>
      </c>
      <c r="L811" s="62">
        <v>3.6067199999999997</v>
      </c>
      <c r="M811" s="62">
        <v>0</v>
      </c>
      <c r="N811" s="62">
        <v>0</v>
      </c>
      <c r="O811" s="62">
        <v>0</v>
      </c>
      <c r="P811" s="298" t="s">
        <v>89</v>
      </c>
      <c r="Q811" s="60" t="s">
        <v>27</v>
      </c>
      <c r="R811" s="60" t="s">
        <v>27</v>
      </c>
      <c r="S811" s="286" t="str">
        <f t="shared" si="84"/>
        <v>SIM</v>
      </c>
      <c r="T811" s="286" t="str">
        <f>IF($C811= "", T810, IF(ISNA(VLOOKUP($C811,'ABC-S'!$A$5:$A$271,1,FALSE)), "", VLOOKUP($C811,'ABC-S'!$A$5:$A$271,1,FALSE)))</f>
        <v>CP0711</v>
      </c>
      <c r="W811" s="286" t="s">
        <v>1048</v>
      </c>
      <c r="X811" s="286" t="s">
        <v>21</v>
      </c>
      <c r="Y811" s="286" t="s">
        <v>21</v>
      </c>
      <c r="Z811" s="335" t="s">
        <v>21</v>
      </c>
      <c r="AA811" s="286" t="s">
        <v>21</v>
      </c>
      <c r="AB811" s="378"/>
      <c r="AC811" s="381" t="s">
        <v>21</v>
      </c>
      <c r="AD811" s="378" t="s">
        <v>21</v>
      </c>
      <c r="AE811" s="378" t="s">
        <v>21</v>
      </c>
      <c r="AF811" s="378" t="s">
        <v>21</v>
      </c>
      <c r="AG811" s="378"/>
      <c r="AI811" s="378" t="s">
        <v>21</v>
      </c>
      <c r="AJ811" s="378" t="s">
        <v>21</v>
      </c>
      <c r="AL811" s="286">
        <v>5901</v>
      </c>
      <c r="AM811" s="286"/>
    </row>
    <row r="812" spans="1:39" s="51" customFormat="1" ht="33.75" x14ac:dyDescent="0.25">
      <c r="A812" s="59" t="s">
        <v>3719</v>
      </c>
      <c r="B812" s="59" t="s">
        <v>86</v>
      </c>
      <c r="C812" s="59"/>
      <c r="D812" s="59">
        <v>41987</v>
      </c>
      <c r="E812" s="60" t="s">
        <v>823</v>
      </c>
      <c r="F812" s="59" t="s">
        <v>3667</v>
      </c>
      <c r="G812" s="61">
        <f>((16 * 10) + ((16 * 2) * 3) + (18 * 16) + 2) / ((10 * 23) + ((16 + 16) * 13) + (18 * 19))</f>
        <v>0.55263157894736847</v>
      </c>
      <c r="H812" s="62">
        <v>4574.63</v>
      </c>
      <c r="I812" s="62">
        <f t="shared" ref="I812:I823" si="88">IF($D812="","",G812*H812)</f>
        <v>2528.0850000000005</v>
      </c>
      <c r="J812" s="62"/>
      <c r="K812" s="62">
        <v>0</v>
      </c>
      <c r="L812" s="62">
        <v>2528.0850000000005</v>
      </c>
      <c r="M812" s="62">
        <v>0</v>
      </c>
      <c r="N812" s="62">
        <v>0</v>
      </c>
      <c r="O812" s="62">
        <v>0</v>
      </c>
      <c r="P812" s="298" t="s">
        <v>89</v>
      </c>
      <c r="Q812" s="60" t="s">
        <v>27</v>
      </c>
      <c r="R812" s="60" t="s">
        <v>3722</v>
      </c>
      <c r="S812" s="286" t="str">
        <f t="shared" si="84"/>
        <v>SIM</v>
      </c>
      <c r="T812" s="286" t="str">
        <f>IF($C812= "", T811, IF(ISNA(VLOOKUP($C812,'ABC-S'!$A$5:$A$271,1,FALSE)), "", VLOOKUP($C812,'ABC-S'!$A$5:$A$271,1,FALSE)))</f>
        <v>CP0711</v>
      </c>
      <c r="W812" s="286" t="s">
        <v>1048</v>
      </c>
      <c r="X812" s="286" t="s">
        <v>21</v>
      </c>
      <c r="Y812" s="286" t="s">
        <v>21</v>
      </c>
      <c r="Z812" s="335" t="s">
        <v>21</v>
      </c>
      <c r="AA812" s="286" t="s">
        <v>21</v>
      </c>
      <c r="AB812" s="378"/>
      <c r="AC812" s="381" t="s">
        <v>21</v>
      </c>
      <c r="AD812" s="378" t="s">
        <v>21</v>
      </c>
      <c r="AE812" s="378" t="s">
        <v>21</v>
      </c>
      <c r="AF812" s="378" t="s">
        <v>21</v>
      </c>
      <c r="AG812" s="378"/>
      <c r="AI812" s="378" t="s">
        <v>21</v>
      </c>
      <c r="AJ812" s="378" t="s">
        <v>21</v>
      </c>
      <c r="AL812" s="286">
        <v>5901</v>
      </c>
      <c r="AM812" s="286"/>
    </row>
    <row r="813" spans="1:39" s="51" customFormat="1" x14ac:dyDescent="0.25">
      <c r="A813" s="59" t="s">
        <v>3719</v>
      </c>
      <c r="B813" s="59" t="s">
        <v>87</v>
      </c>
      <c r="C813" s="59"/>
      <c r="D813" s="59">
        <v>88316</v>
      </c>
      <c r="E813" s="60" t="s">
        <v>649</v>
      </c>
      <c r="F813" s="59" t="s">
        <v>46</v>
      </c>
      <c r="G813" s="61">
        <v>1.1080000000000001</v>
      </c>
      <c r="H813" s="62">
        <v>17.61</v>
      </c>
      <c r="I813" s="62">
        <f t="shared" si="88"/>
        <v>19.511880000000001</v>
      </c>
      <c r="J813" s="62"/>
      <c r="K813" s="62">
        <v>12.8528</v>
      </c>
      <c r="L813" s="62">
        <v>6.6590800000000003</v>
      </c>
      <c r="M813" s="62">
        <v>0</v>
      </c>
      <c r="N813" s="62">
        <v>0</v>
      </c>
      <c r="O813" s="62">
        <v>0</v>
      </c>
      <c r="P813" s="298" t="s">
        <v>4160</v>
      </c>
      <c r="Q813" s="60" t="s">
        <v>27</v>
      </c>
      <c r="R813" s="60" t="s">
        <v>27</v>
      </c>
      <c r="S813" s="286" t="str">
        <f t="shared" si="84"/>
        <v>SIM</v>
      </c>
      <c r="T813" s="286" t="str">
        <f>IF($C813= "", T812, IF(ISNA(VLOOKUP($C813,'ABC-S'!$A$5:$A$271,1,FALSE)), "", VLOOKUP($C813,'ABC-S'!$A$5:$A$271,1,FALSE)))</f>
        <v>CP0711</v>
      </c>
      <c r="W813" s="286" t="s">
        <v>1048</v>
      </c>
      <c r="X813" s="286">
        <v>88316</v>
      </c>
      <c r="Y813" s="286" t="s">
        <v>424</v>
      </c>
      <c r="Z813" s="335">
        <v>0</v>
      </c>
      <c r="AA813" s="286">
        <v>1.1080000000000001</v>
      </c>
      <c r="AB813" s="378"/>
      <c r="AC813" s="381" t="s">
        <v>21</v>
      </c>
      <c r="AD813" s="378" t="s">
        <v>21</v>
      </c>
      <c r="AE813" s="378" t="s">
        <v>21</v>
      </c>
      <c r="AF813" s="378" t="s">
        <v>21</v>
      </c>
      <c r="AG813" s="378"/>
      <c r="AI813" s="378">
        <v>0</v>
      </c>
      <c r="AJ813" s="378">
        <v>0</v>
      </c>
      <c r="AL813" s="286">
        <v>5901</v>
      </c>
      <c r="AM813" s="286"/>
    </row>
    <row r="814" spans="1:39" s="51" customFormat="1" ht="33.75" x14ac:dyDescent="0.25">
      <c r="A814" s="59" t="s">
        <v>3719</v>
      </c>
      <c r="B814" s="59" t="s">
        <v>87</v>
      </c>
      <c r="C814" s="59"/>
      <c r="D814" s="59">
        <v>90643</v>
      </c>
      <c r="E814" s="60" t="s">
        <v>429</v>
      </c>
      <c r="F814" s="59" t="s">
        <v>76</v>
      </c>
      <c r="G814" s="61">
        <v>3.1099999999999999E-2</v>
      </c>
      <c r="H814" s="62">
        <v>18.14</v>
      </c>
      <c r="I814" s="62">
        <f t="shared" si="88"/>
        <v>0.56415400000000004</v>
      </c>
      <c r="J814" s="62"/>
      <c r="K814" s="62">
        <v>0</v>
      </c>
      <c r="L814" s="62">
        <v>0.21832199999999999</v>
      </c>
      <c r="M814" s="62">
        <v>0.34583199999999997</v>
      </c>
      <c r="N814" s="62">
        <v>0</v>
      </c>
      <c r="O814" s="62">
        <v>1.1102230246251565E-16</v>
      </c>
      <c r="P814" s="298" t="s">
        <v>4160</v>
      </c>
      <c r="Q814" s="60" t="s">
        <v>27</v>
      </c>
      <c r="R814" s="60" t="s">
        <v>27</v>
      </c>
      <c r="S814" s="286" t="str">
        <f t="shared" si="84"/>
        <v>SIM</v>
      </c>
      <c r="T814" s="286" t="str">
        <f>IF($C814= "", T813, IF(ISNA(VLOOKUP($C814,'ABC-S'!$A$5:$A$271,1,FALSE)), "", VLOOKUP($C814,'ABC-S'!$A$5:$A$271,1,FALSE)))</f>
        <v>CP0711</v>
      </c>
      <c r="W814" s="286" t="s">
        <v>1048</v>
      </c>
      <c r="X814" s="286" t="s">
        <v>21</v>
      </c>
      <c r="Y814" s="286" t="s">
        <v>423</v>
      </c>
      <c r="Z814" s="335" t="s">
        <v>21</v>
      </c>
      <c r="AA814" s="286" t="s">
        <v>21</v>
      </c>
      <c r="AB814" s="378"/>
      <c r="AC814" s="381">
        <v>90643</v>
      </c>
      <c r="AD814" s="378">
        <v>3.1099999999999999E-2</v>
      </c>
      <c r="AE814" s="378">
        <v>0</v>
      </c>
      <c r="AF814" s="378">
        <v>0</v>
      </c>
      <c r="AG814" s="378"/>
      <c r="AI814" s="378">
        <v>0</v>
      </c>
      <c r="AJ814" s="378">
        <v>0</v>
      </c>
      <c r="AL814" s="286">
        <v>5901</v>
      </c>
      <c r="AM814" s="286"/>
    </row>
    <row r="815" spans="1:39" s="51" customFormat="1" ht="33.75" x14ac:dyDescent="0.25">
      <c r="A815" s="59" t="s">
        <v>3719</v>
      </c>
      <c r="B815" s="59" t="s">
        <v>87</v>
      </c>
      <c r="C815" s="59"/>
      <c r="D815" s="59">
        <v>90644</v>
      </c>
      <c r="E815" s="60" t="s">
        <v>434</v>
      </c>
      <c r="F815" s="59" t="s">
        <v>75</v>
      </c>
      <c r="G815" s="61">
        <v>0.33839999999999998</v>
      </c>
      <c r="H815" s="62">
        <v>5.62</v>
      </c>
      <c r="I815" s="62">
        <f t="shared" si="88"/>
        <v>1.9018079999999999</v>
      </c>
      <c r="J815" s="62"/>
      <c r="K815" s="62">
        <v>0</v>
      </c>
      <c r="L815" s="62">
        <v>0</v>
      </c>
      <c r="M815" s="62">
        <v>1.9018079999999999</v>
      </c>
      <c r="N815" s="62">
        <v>0</v>
      </c>
      <c r="O815" s="62">
        <v>0</v>
      </c>
      <c r="P815" s="298" t="s">
        <v>4160</v>
      </c>
      <c r="Q815" s="60" t="s">
        <v>27</v>
      </c>
      <c r="R815" s="60" t="s">
        <v>27</v>
      </c>
      <c r="S815" s="286" t="str">
        <f t="shared" si="84"/>
        <v>SIM</v>
      </c>
      <c r="T815" s="286" t="str">
        <f>IF($C815= "", T814, IF(ISNA(VLOOKUP($C815,'ABC-S'!$A$5:$A$271,1,FALSE)), "", VLOOKUP($C815,'ABC-S'!$A$5:$A$271,1,FALSE)))</f>
        <v>CP0711</v>
      </c>
      <c r="W815" s="286" t="s">
        <v>1048</v>
      </c>
      <c r="X815" s="286" t="s">
        <v>21</v>
      </c>
      <c r="Y815" s="286" t="s">
        <v>423</v>
      </c>
      <c r="Z815" s="335" t="s">
        <v>21</v>
      </c>
      <c r="AA815" s="286" t="s">
        <v>21</v>
      </c>
      <c r="AB815" s="378"/>
      <c r="AC815" s="381">
        <v>90644</v>
      </c>
      <c r="AD815" s="378">
        <v>0.33839999999999998</v>
      </c>
      <c r="AE815" s="378">
        <v>0</v>
      </c>
      <c r="AF815" s="378">
        <v>0</v>
      </c>
      <c r="AG815" s="378"/>
      <c r="AI815" s="378">
        <v>0</v>
      </c>
      <c r="AJ815" s="378">
        <v>0</v>
      </c>
      <c r="AL815" s="286">
        <v>5901</v>
      </c>
      <c r="AM815" s="286"/>
    </row>
    <row r="816" spans="1:39" s="51" customFormat="1" ht="45" x14ac:dyDescent="0.25">
      <c r="A816" s="59" t="s">
        <v>3719</v>
      </c>
      <c r="B816" s="59" t="s">
        <v>87</v>
      </c>
      <c r="C816" s="59"/>
      <c r="D816" s="59">
        <v>90650</v>
      </c>
      <c r="E816" s="60" t="s">
        <v>430</v>
      </c>
      <c r="F816" s="59" t="s">
        <v>76</v>
      </c>
      <c r="G816" s="61">
        <v>9.4899999999999998E-2</v>
      </c>
      <c r="H816" s="62">
        <v>8.06</v>
      </c>
      <c r="I816" s="62">
        <f t="shared" si="88"/>
        <v>0.76489400000000007</v>
      </c>
      <c r="J816" s="62"/>
      <c r="K816" s="62">
        <v>0</v>
      </c>
      <c r="L816" s="62">
        <v>0</v>
      </c>
      <c r="M816" s="62">
        <v>0.16987099999999999</v>
      </c>
      <c r="N816" s="62">
        <v>0</v>
      </c>
      <c r="O816" s="62">
        <v>0.59502300000000008</v>
      </c>
      <c r="P816" s="298" t="s">
        <v>4160</v>
      </c>
      <c r="Q816" s="60" t="s">
        <v>27</v>
      </c>
      <c r="R816" s="60" t="s">
        <v>27</v>
      </c>
      <c r="S816" s="286" t="str">
        <f t="shared" si="84"/>
        <v>SIM</v>
      </c>
      <c r="T816" s="286" t="str">
        <f>IF($C816= "", T815, IF(ISNA(VLOOKUP($C816,'ABC-S'!$A$5:$A$271,1,FALSE)), "", VLOOKUP($C816,'ABC-S'!$A$5:$A$271,1,FALSE)))</f>
        <v>CP0711</v>
      </c>
      <c r="W816" s="286" t="s">
        <v>1048</v>
      </c>
      <c r="X816" s="286" t="s">
        <v>21</v>
      </c>
      <c r="Y816" s="286" t="s">
        <v>423</v>
      </c>
      <c r="Z816" s="335" t="s">
        <v>21</v>
      </c>
      <c r="AA816" s="286" t="s">
        <v>21</v>
      </c>
      <c r="AB816" s="378"/>
      <c r="AC816" s="381">
        <v>90650</v>
      </c>
      <c r="AD816" s="378">
        <v>9.4899999999999998E-2</v>
      </c>
      <c r="AE816" s="378">
        <v>0</v>
      </c>
      <c r="AF816" s="378">
        <v>0</v>
      </c>
      <c r="AG816" s="378"/>
      <c r="AI816" s="378">
        <v>0</v>
      </c>
      <c r="AJ816" s="378">
        <v>0</v>
      </c>
      <c r="AL816" s="286">
        <v>5901</v>
      </c>
      <c r="AM816" s="286"/>
    </row>
    <row r="817" spans="1:39" s="51" customFormat="1" ht="45" x14ac:dyDescent="0.25">
      <c r="A817" s="59" t="s">
        <v>3719</v>
      </c>
      <c r="B817" s="59" t="s">
        <v>87</v>
      </c>
      <c r="C817" s="59"/>
      <c r="D817" s="59">
        <v>90651</v>
      </c>
      <c r="E817" s="60" t="s">
        <v>435</v>
      </c>
      <c r="F817" s="59" t="s">
        <v>75</v>
      </c>
      <c r="G817" s="61">
        <v>0.27460000000000001</v>
      </c>
      <c r="H817" s="62">
        <v>0.9</v>
      </c>
      <c r="I817" s="62">
        <f t="shared" si="88"/>
        <v>0.24714000000000003</v>
      </c>
      <c r="J817" s="62"/>
      <c r="K817" s="62">
        <v>0</v>
      </c>
      <c r="L817" s="62">
        <v>0</v>
      </c>
      <c r="M817" s="62">
        <v>0.24714000000000003</v>
      </c>
      <c r="N817" s="62">
        <v>0</v>
      </c>
      <c r="O817" s="62">
        <v>0</v>
      </c>
      <c r="P817" s="298" t="s">
        <v>4160</v>
      </c>
      <c r="Q817" s="60" t="s">
        <v>27</v>
      </c>
      <c r="R817" s="60" t="s">
        <v>27</v>
      </c>
      <c r="S817" s="286" t="str">
        <f t="shared" si="84"/>
        <v>SIM</v>
      </c>
      <c r="T817" s="286" t="str">
        <f>IF($C817= "", T816, IF(ISNA(VLOOKUP($C817,'ABC-S'!$A$5:$A$271,1,FALSE)), "", VLOOKUP($C817,'ABC-S'!$A$5:$A$271,1,FALSE)))</f>
        <v>CP0711</v>
      </c>
      <c r="W817" s="286" t="s">
        <v>1048</v>
      </c>
      <c r="X817" s="286" t="s">
        <v>21</v>
      </c>
      <c r="Y817" s="286" t="s">
        <v>423</v>
      </c>
      <c r="Z817" s="335" t="s">
        <v>21</v>
      </c>
      <c r="AA817" s="286" t="s">
        <v>21</v>
      </c>
      <c r="AB817" s="378"/>
      <c r="AC817" s="381">
        <v>90651</v>
      </c>
      <c r="AD817" s="378">
        <v>0.27460000000000001</v>
      </c>
      <c r="AE817" s="378">
        <v>0</v>
      </c>
      <c r="AF817" s="378">
        <v>0</v>
      </c>
      <c r="AG817" s="378"/>
      <c r="AI817" s="378">
        <v>0</v>
      </c>
      <c r="AJ817" s="378">
        <v>0</v>
      </c>
      <c r="AL817" s="286">
        <v>5901</v>
      </c>
      <c r="AM817" s="286"/>
    </row>
    <row r="818" spans="1:39" s="51" customFormat="1" x14ac:dyDescent="0.25">
      <c r="A818" s="59" t="s">
        <v>3719</v>
      </c>
      <c r="B818" s="59" t="s">
        <v>87</v>
      </c>
      <c r="C818" s="59"/>
      <c r="D818" s="59">
        <v>90776</v>
      </c>
      <c r="E818" s="60" t="s">
        <v>557</v>
      </c>
      <c r="F818" s="59" t="s">
        <v>46</v>
      </c>
      <c r="G818" s="61">
        <v>0.36940000000000001</v>
      </c>
      <c r="H818" s="62">
        <v>19.41</v>
      </c>
      <c r="I818" s="62">
        <f t="shared" si="88"/>
        <v>7.1700540000000004</v>
      </c>
      <c r="J818" s="62"/>
      <c r="K818" s="62">
        <v>6.5679320000000008</v>
      </c>
      <c r="L818" s="62">
        <v>0.60212199999999994</v>
      </c>
      <c r="M818" s="62">
        <v>0</v>
      </c>
      <c r="N818" s="62">
        <v>0</v>
      </c>
      <c r="O818" s="62">
        <v>0</v>
      </c>
      <c r="P818" s="298" t="s">
        <v>4160</v>
      </c>
      <c r="Q818" s="60" t="s">
        <v>27</v>
      </c>
      <c r="R818" s="60" t="s">
        <v>27</v>
      </c>
      <c r="S818" s="286" t="str">
        <f t="shared" si="84"/>
        <v>SIM</v>
      </c>
      <c r="T818" s="286" t="str">
        <f>IF($C818= "", T817, IF(ISNA(VLOOKUP($C818,'ABC-S'!$A$5:$A$271,1,FALSE)), "", VLOOKUP($C818,'ABC-S'!$A$5:$A$271,1,FALSE)))</f>
        <v>CP0711</v>
      </c>
      <c r="W818" s="286" t="s">
        <v>1048</v>
      </c>
      <c r="X818" s="286">
        <v>90776</v>
      </c>
      <c r="Y818" s="286" t="s">
        <v>424</v>
      </c>
      <c r="Z818" s="335">
        <v>0</v>
      </c>
      <c r="AA818" s="286">
        <v>0.36940000000000001</v>
      </c>
      <c r="AB818" s="378"/>
      <c r="AC818" s="381" t="s">
        <v>21</v>
      </c>
      <c r="AD818" s="378" t="s">
        <v>21</v>
      </c>
      <c r="AE818" s="378" t="s">
        <v>21</v>
      </c>
      <c r="AF818" s="378" t="s">
        <v>21</v>
      </c>
      <c r="AG818" s="378"/>
      <c r="AI818" s="378">
        <v>0</v>
      </c>
      <c r="AJ818" s="378">
        <v>0</v>
      </c>
      <c r="AL818" s="286">
        <v>5901</v>
      </c>
      <c r="AM818" s="286"/>
    </row>
    <row r="819" spans="1:39" s="51" customFormat="1" ht="22.5" x14ac:dyDescent="0.25">
      <c r="A819" s="59" t="s">
        <v>3719</v>
      </c>
      <c r="B819" s="59" t="s">
        <v>87</v>
      </c>
      <c r="C819" s="59"/>
      <c r="D819" s="59">
        <v>90778</v>
      </c>
      <c r="E819" s="60" t="s">
        <v>48</v>
      </c>
      <c r="F819" s="59" t="s">
        <v>46</v>
      </c>
      <c r="G819" s="61">
        <v>6.1600000000000002E-2</v>
      </c>
      <c r="H819" s="62">
        <v>105.61</v>
      </c>
      <c r="I819" s="62">
        <f t="shared" si="88"/>
        <v>6.5055760000000005</v>
      </c>
      <c r="J819" s="62"/>
      <c r="K819" s="62">
        <v>6.4335040000000001</v>
      </c>
      <c r="L819" s="62">
        <v>7.2071999999999997E-2</v>
      </c>
      <c r="M819" s="62">
        <v>0</v>
      </c>
      <c r="N819" s="62">
        <v>0</v>
      </c>
      <c r="O819" s="62">
        <v>0</v>
      </c>
      <c r="P819" s="298" t="s">
        <v>4160</v>
      </c>
      <c r="Q819" s="60" t="s">
        <v>27</v>
      </c>
      <c r="R819" s="60" t="s">
        <v>27</v>
      </c>
      <c r="S819" s="286" t="str">
        <f t="shared" si="84"/>
        <v>SIM</v>
      </c>
      <c r="T819" s="286" t="str">
        <f>IF($C819= "", T818, IF(ISNA(VLOOKUP($C819,'ABC-S'!$A$5:$A$271,1,FALSE)), "", VLOOKUP($C819,'ABC-S'!$A$5:$A$271,1,FALSE)))</f>
        <v>CP0711</v>
      </c>
      <c r="W819" s="286" t="s">
        <v>1048</v>
      </c>
      <c r="X819" s="286">
        <v>90778</v>
      </c>
      <c r="Y819" s="286" t="s">
        <v>424</v>
      </c>
      <c r="Z819" s="335">
        <v>0</v>
      </c>
      <c r="AA819" s="286">
        <v>6.1600000000000002E-2</v>
      </c>
      <c r="AB819" s="378"/>
      <c r="AC819" s="381" t="s">
        <v>21</v>
      </c>
      <c r="AD819" s="378" t="s">
        <v>21</v>
      </c>
      <c r="AE819" s="378" t="s">
        <v>21</v>
      </c>
      <c r="AF819" s="378" t="s">
        <v>21</v>
      </c>
      <c r="AG819" s="378"/>
      <c r="AI819" s="378">
        <v>0</v>
      </c>
      <c r="AJ819" s="378">
        <v>0</v>
      </c>
      <c r="AL819" s="286">
        <v>5901</v>
      </c>
      <c r="AM819" s="286"/>
    </row>
    <row r="820" spans="1:39" s="51" customFormat="1" ht="45" x14ac:dyDescent="0.25">
      <c r="A820" s="59" t="s">
        <v>3719</v>
      </c>
      <c r="B820" s="59" t="s">
        <v>87</v>
      </c>
      <c r="C820" s="59"/>
      <c r="D820" s="59">
        <v>95563</v>
      </c>
      <c r="E820" s="60" t="s">
        <v>489</v>
      </c>
      <c r="F820" s="59" t="s">
        <v>44</v>
      </c>
      <c r="G820" s="61">
        <v>0.23799999999999999</v>
      </c>
      <c r="H820" s="62">
        <v>614.41999999999996</v>
      </c>
      <c r="I820" s="62">
        <f t="shared" si="88"/>
        <v>146.23195999999999</v>
      </c>
      <c r="J820" s="62"/>
      <c r="K820" s="62">
        <v>23.121700000000001</v>
      </c>
      <c r="L820" s="62">
        <v>118.92384</v>
      </c>
      <c r="M820" s="62">
        <v>3.4628999999999999</v>
      </c>
      <c r="N820" s="62">
        <v>0</v>
      </c>
      <c r="O820" s="62">
        <v>0.72352000000000771</v>
      </c>
      <c r="P820" s="298" t="s">
        <v>4160</v>
      </c>
      <c r="Q820" s="60" t="s">
        <v>27</v>
      </c>
      <c r="R820" s="60" t="s">
        <v>27</v>
      </c>
      <c r="S820" s="286" t="str">
        <f t="shared" si="84"/>
        <v>SIM</v>
      </c>
      <c r="T820" s="286" t="str">
        <f>IF($C820= "", T819, IF(ISNA(VLOOKUP($C820,'ABC-S'!$A$5:$A$271,1,FALSE)), "", VLOOKUP($C820,'ABC-S'!$A$5:$A$271,1,FALSE)))</f>
        <v>CP0711</v>
      </c>
      <c r="W820" s="286" t="s">
        <v>1048</v>
      </c>
      <c r="X820" s="286" t="s">
        <v>21</v>
      </c>
      <c r="Y820" s="286" t="s">
        <v>1513</v>
      </c>
      <c r="Z820" s="335" t="s">
        <v>21</v>
      </c>
      <c r="AA820" s="286" t="s">
        <v>21</v>
      </c>
      <c r="AB820" s="378"/>
      <c r="AC820" s="381">
        <v>95563</v>
      </c>
      <c r="AD820" s="378">
        <v>0.23799999999999999</v>
      </c>
      <c r="AE820" s="378">
        <v>8.11</v>
      </c>
      <c r="AF820" s="378">
        <v>1.9301799999999998</v>
      </c>
      <c r="AG820" s="378"/>
      <c r="AI820" s="378">
        <v>3.12</v>
      </c>
      <c r="AJ820" s="378">
        <v>0.74256</v>
      </c>
      <c r="AL820" s="286">
        <v>5901</v>
      </c>
      <c r="AM820" s="286"/>
    </row>
    <row r="821" spans="1:39" s="51" customFormat="1" ht="22.5" x14ac:dyDescent="0.25">
      <c r="A821" s="59" t="s">
        <v>3719</v>
      </c>
      <c r="B821" s="59" t="s">
        <v>87</v>
      </c>
      <c r="C821" s="59"/>
      <c r="D821" s="59">
        <v>95580</v>
      </c>
      <c r="E821" s="60" t="s">
        <v>603</v>
      </c>
      <c r="F821" s="59" t="s">
        <v>54</v>
      </c>
      <c r="G821" s="61">
        <v>14.795999999999999</v>
      </c>
      <c r="H821" s="62">
        <v>12.47</v>
      </c>
      <c r="I821" s="62">
        <f t="shared" si="88"/>
        <v>184.50612000000001</v>
      </c>
      <c r="J821" s="62"/>
      <c r="K821" s="62">
        <v>10.357199999999999</v>
      </c>
      <c r="L821" s="62">
        <v>174.14891999999998</v>
      </c>
      <c r="M821" s="62">
        <v>0</v>
      </c>
      <c r="N821" s="62">
        <v>0</v>
      </c>
      <c r="O821" s="62">
        <v>2.8421709430404007E-14</v>
      </c>
      <c r="P821" s="298" t="s">
        <v>4160</v>
      </c>
      <c r="Q821" s="60" t="s">
        <v>27</v>
      </c>
      <c r="R821" s="60" t="s">
        <v>27</v>
      </c>
      <c r="S821" s="286" t="str">
        <f t="shared" si="84"/>
        <v>SIM</v>
      </c>
      <c r="T821" s="286" t="str">
        <f>IF($C821= "", T820, IF(ISNA(VLOOKUP($C821,'ABC-S'!$A$5:$A$271,1,FALSE)), "", VLOOKUP($C821,'ABC-S'!$A$5:$A$271,1,FALSE)))</f>
        <v>CP0711</v>
      </c>
      <c r="W821" s="286" t="s">
        <v>1048</v>
      </c>
      <c r="X821" s="286" t="s">
        <v>21</v>
      </c>
      <c r="Y821" s="286" t="s">
        <v>1513</v>
      </c>
      <c r="Z821" s="335" t="s">
        <v>21</v>
      </c>
      <c r="AA821" s="286" t="s">
        <v>21</v>
      </c>
      <c r="AB821" s="378"/>
      <c r="AC821" s="381">
        <v>95580</v>
      </c>
      <c r="AD821" s="378">
        <v>14.795999999999999</v>
      </c>
      <c r="AE821" s="378">
        <v>4.1999999999999996E-2</v>
      </c>
      <c r="AF821" s="378">
        <v>0.62143199999999987</v>
      </c>
      <c r="AG821" s="378"/>
      <c r="AI821" s="378">
        <v>0</v>
      </c>
      <c r="AJ821" s="378">
        <v>0</v>
      </c>
      <c r="AL821" s="286">
        <v>5901</v>
      </c>
      <c r="AM821" s="286"/>
    </row>
    <row r="822" spans="1:39" s="51" customFormat="1" ht="22.5" x14ac:dyDescent="0.25">
      <c r="A822" s="59" t="s">
        <v>3719</v>
      </c>
      <c r="B822" s="59" t="s">
        <v>87</v>
      </c>
      <c r="C822" s="59"/>
      <c r="D822" s="59">
        <v>95584</v>
      </c>
      <c r="E822" s="60" t="s">
        <v>66</v>
      </c>
      <c r="F822" s="59" t="s">
        <v>54</v>
      </c>
      <c r="G822" s="61">
        <v>0.96209999999999996</v>
      </c>
      <c r="H822" s="62">
        <v>15.67</v>
      </c>
      <c r="I822" s="62">
        <f t="shared" si="88"/>
        <v>15.076106999999999</v>
      </c>
      <c r="J822" s="62"/>
      <c r="K822" s="62">
        <v>3.5309069999999996</v>
      </c>
      <c r="L822" s="62">
        <v>11.545199999999999</v>
      </c>
      <c r="M822" s="62">
        <v>0</v>
      </c>
      <c r="N822" s="62">
        <v>0</v>
      </c>
      <c r="O822" s="62">
        <v>0</v>
      </c>
      <c r="P822" s="298" t="s">
        <v>4160</v>
      </c>
      <c r="Q822" s="60" t="s">
        <v>27</v>
      </c>
      <c r="R822" s="60" t="s">
        <v>27</v>
      </c>
      <c r="S822" s="286" t="str">
        <f t="shared" ref="S822:S885" si="89">IF(T822 &lt;&gt; "", "SIM", "")</f>
        <v>SIM</v>
      </c>
      <c r="T822" s="286" t="str">
        <f>IF($C822= "", T821, IF(ISNA(VLOOKUP($C822,'ABC-S'!$A$5:$A$271,1,FALSE)), "", VLOOKUP($C822,'ABC-S'!$A$5:$A$271,1,FALSE)))</f>
        <v>CP0711</v>
      </c>
      <c r="W822" s="286" t="s">
        <v>1048</v>
      </c>
      <c r="X822" s="286" t="s">
        <v>21</v>
      </c>
      <c r="Y822" s="286" t="s">
        <v>1513</v>
      </c>
      <c r="Z822" s="335" t="s">
        <v>21</v>
      </c>
      <c r="AA822" s="286" t="s">
        <v>21</v>
      </c>
      <c r="AB822" s="378"/>
      <c r="AC822" s="381">
        <v>95584</v>
      </c>
      <c r="AD822" s="378">
        <v>0.96209999999999996</v>
      </c>
      <c r="AE822" s="378">
        <v>0.21459999999999999</v>
      </c>
      <c r="AF822" s="378">
        <v>0.20646665999999997</v>
      </c>
      <c r="AG822" s="378"/>
      <c r="AI822" s="378">
        <v>0</v>
      </c>
      <c r="AJ822" s="378">
        <v>0</v>
      </c>
      <c r="AL822" s="286">
        <v>5901</v>
      </c>
      <c r="AM822" s="286"/>
    </row>
    <row r="823" spans="1:39" s="51" customFormat="1" ht="33.75" x14ac:dyDescent="0.25">
      <c r="A823" s="59" t="s">
        <v>3719</v>
      </c>
      <c r="B823" s="59" t="s">
        <v>87</v>
      </c>
      <c r="C823" s="59"/>
      <c r="D823" s="59">
        <v>96302</v>
      </c>
      <c r="E823" s="60" t="s">
        <v>618</v>
      </c>
      <c r="F823" s="59" t="s">
        <v>75</v>
      </c>
      <c r="G823" s="61">
        <v>0.19450000000000001</v>
      </c>
      <c r="H823" s="62">
        <v>74.48</v>
      </c>
      <c r="I823" s="62">
        <f t="shared" si="88"/>
        <v>14.486360000000001</v>
      </c>
      <c r="J823" s="62"/>
      <c r="K823" s="62">
        <v>2.6082450000000001</v>
      </c>
      <c r="L823" s="62">
        <v>1.0172350000000001</v>
      </c>
      <c r="M823" s="62">
        <v>10.860880000000002</v>
      </c>
      <c r="N823" s="62">
        <v>0</v>
      </c>
      <c r="O823" s="62">
        <v>0</v>
      </c>
      <c r="P823" s="298" t="s">
        <v>4160</v>
      </c>
      <c r="Q823" s="60" t="s">
        <v>27</v>
      </c>
      <c r="R823" s="60" t="s">
        <v>27</v>
      </c>
      <c r="S823" s="286" t="str">
        <f t="shared" si="89"/>
        <v>SIM</v>
      </c>
      <c r="T823" s="286" t="str">
        <f>IF($C823= "", T822, IF(ISNA(VLOOKUP($C823,'ABC-S'!$A$5:$A$271,1,FALSE)), "", VLOOKUP($C823,'ABC-S'!$A$5:$A$271,1,FALSE)))</f>
        <v>CP0711</v>
      </c>
      <c r="W823" s="286" t="s">
        <v>1048</v>
      </c>
      <c r="X823" s="286" t="s">
        <v>21</v>
      </c>
      <c r="Y823" s="286" t="s">
        <v>423</v>
      </c>
      <c r="Z823" s="335" t="s">
        <v>21</v>
      </c>
      <c r="AA823" s="286" t="s">
        <v>21</v>
      </c>
      <c r="AB823" s="378"/>
      <c r="AC823" s="381">
        <v>96302</v>
      </c>
      <c r="AD823" s="378">
        <v>0.19450000000000001</v>
      </c>
      <c r="AE823" s="378">
        <v>1</v>
      </c>
      <c r="AF823" s="378">
        <v>0.19450000000000001</v>
      </c>
      <c r="AG823" s="378"/>
      <c r="AI823" s="378">
        <v>0</v>
      </c>
      <c r="AJ823" s="378">
        <v>0</v>
      </c>
      <c r="AL823" s="286">
        <v>5901</v>
      </c>
      <c r="AM823" s="286"/>
    </row>
    <row r="824" spans="1:39" s="51" customFormat="1" ht="33.75" x14ac:dyDescent="0.25">
      <c r="A824" s="59" t="s">
        <v>3719</v>
      </c>
      <c r="B824" s="59" t="s">
        <v>87</v>
      </c>
      <c r="C824" s="59"/>
      <c r="D824" s="59">
        <v>96303</v>
      </c>
      <c r="E824" s="60" t="s">
        <v>619</v>
      </c>
      <c r="F824" s="59" t="s">
        <v>76</v>
      </c>
      <c r="G824" s="61">
        <v>0.1749</v>
      </c>
      <c r="H824" s="62">
        <v>173.28</v>
      </c>
      <c r="I824" s="62">
        <f>IF($D824="","",G824*H824)</f>
        <v>30.306671999999999</v>
      </c>
      <c r="J824" s="62"/>
      <c r="K824" s="62">
        <v>2.3454090000000001</v>
      </c>
      <c r="L824" s="62">
        <v>7.4612339999999993</v>
      </c>
      <c r="M824" s="62">
        <v>20.500028999999998</v>
      </c>
      <c r="N824" s="62">
        <v>0</v>
      </c>
      <c r="O824" s="62">
        <v>0</v>
      </c>
      <c r="P824" s="298" t="s">
        <v>4160</v>
      </c>
      <c r="Q824" s="60" t="s">
        <v>27</v>
      </c>
      <c r="R824" s="60" t="s">
        <v>27</v>
      </c>
      <c r="S824" s="286" t="str">
        <f t="shared" si="89"/>
        <v>SIM</v>
      </c>
      <c r="T824" s="286" t="str">
        <f>IF($C824= "", T823, IF(ISNA(VLOOKUP($C824,'ABC-S'!$A$5:$A$271,1,FALSE)), "", VLOOKUP($C824,'ABC-S'!$A$5:$A$271,1,FALSE)))</f>
        <v>CP0711</v>
      </c>
      <c r="W824" s="286" t="s">
        <v>1048</v>
      </c>
      <c r="X824" s="286" t="s">
        <v>21</v>
      </c>
      <c r="Y824" s="286" t="s">
        <v>423</v>
      </c>
      <c r="Z824" s="335" t="s">
        <v>21</v>
      </c>
      <c r="AA824" s="286" t="s">
        <v>21</v>
      </c>
      <c r="AB824" s="378"/>
      <c r="AC824" s="381">
        <v>96303</v>
      </c>
      <c r="AD824" s="378">
        <v>0.1749</v>
      </c>
      <c r="AE824" s="378">
        <v>1</v>
      </c>
      <c r="AF824" s="378">
        <v>0.1749</v>
      </c>
      <c r="AG824" s="378"/>
      <c r="AI824" s="378">
        <v>0</v>
      </c>
      <c r="AJ824" s="378">
        <v>0</v>
      </c>
      <c r="AL824" s="286">
        <v>92106</v>
      </c>
      <c r="AM824" s="286"/>
    </row>
    <row r="825" spans="1:39" s="51" customFormat="1" ht="22.5" x14ac:dyDescent="0.25">
      <c r="A825" s="55" t="s">
        <v>3723</v>
      </c>
      <c r="B825" s="55" t="s">
        <v>138</v>
      </c>
      <c r="C825" s="55" t="s">
        <v>3723</v>
      </c>
      <c r="D825" s="55"/>
      <c r="E825" s="56" t="s">
        <v>3730</v>
      </c>
      <c r="F825" s="55" t="s">
        <v>22</v>
      </c>
      <c r="G825" s="57"/>
      <c r="H825" s="58"/>
      <c r="I825" s="58"/>
      <c r="J825" s="58">
        <f>SUM(I825:I829)</f>
        <v>770.01732766427187</v>
      </c>
      <c r="K825" s="58">
        <v>14.690000000000001</v>
      </c>
      <c r="L825" s="58">
        <v>755.32732766427182</v>
      </c>
      <c r="M825" s="58">
        <v>0</v>
      </c>
      <c r="N825" s="58">
        <v>0</v>
      </c>
      <c r="O825" s="58">
        <v>-1.7763568394002505E-15</v>
      </c>
      <c r="P825" s="58"/>
      <c r="Q825" s="56"/>
      <c r="R825" s="56" t="s">
        <v>3731</v>
      </c>
      <c r="S825" s="286" t="str">
        <f t="shared" si="89"/>
        <v>SIM</v>
      </c>
      <c r="T825" s="286" t="str">
        <f>IF($C825= "", T824, IF(ISNA(VLOOKUP($C825,'ABC-S'!$A$5:$A$271,1,FALSE)), "", VLOOKUP($C825,'ABC-S'!$A$5:$A$271,1,FALSE)))</f>
        <v>CP0721</v>
      </c>
      <c r="W825" s="286" t="s">
        <v>1048</v>
      </c>
      <c r="X825" s="286"/>
      <c r="Y825" s="286"/>
      <c r="Z825" s="286"/>
      <c r="AA825" s="286" t="s">
        <v>21</v>
      </c>
      <c r="AB825" s="378">
        <v>1</v>
      </c>
      <c r="AC825" s="378"/>
      <c r="AD825" s="335"/>
      <c r="AE825" s="335"/>
      <c r="AF825" s="335"/>
      <c r="AG825" s="378">
        <v>1</v>
      </c>
      <c r="AI825" s="378" t="s">
        <v>21</v>
      </c>
      <c r="AJ825" s="378" t="s">
        <v>21</v>
      </c>
      <c r="AL825" s="286"/>
      <c r="AM825" s="286"/>
    </row>
    <row r="826" spans="1:39" s="51" customFormat="1" x14ac:dyDescent="0.25">
      <c r="A826" s="59" t="s">
        <v>3723</v>
      </c>
      <c r="B826" s="59" t="s">
        <v>87</v>
      </c>
      <c r="C826" s="248"/>
      <c r="D826" s="59">
        <v>88309</v>
      </c>
      <c r="E826" s="60" t="s">
        <v>617</v>
      </c>
      <c r="F826" s="59" t="s">
        <v>46</v>
      </c>
      <c r="G826" s="61">
        <f>1 / 2</f>
        <v>0.5</v>
      </c>
      <c r="H826" s="62">
        <v>23.9</v>
      </c>
      <c r="I826" s="62">
        <f>IF($D826="","",G826*H826)</f>
        <v>11.95</v>
      </c>
      <c r="J826" s="62"/>
      <c r="K826" s="62">
        <v>8.89</v>
      </c>
      <c r="L826" s="62">
        <v>3.06</v>
      </c>
      <c r="M826" s="62">
        <v>0</v>
      </c>
      <c r="N826" s="62">
        <v>0</v>
      </c>
      <c r="O826" s="62">
        <v>-1.7763568394002505E-15</v>
      </c>
      <c r="P826" s="298" t="s">
        <v>4160</v>
      </c>
      <c r="Q826" s="60" t="s">
        <v>27</v>
      </c>
      <c r="R826" s="60" t="s">
        <v>174</v>
      </c>
      <c r="S826" s="286" t="str">
        <f t="shared" si="89"/>
        <v>SIM</v>
      </c>
      <c r="T826" s="286" t="str">
        <f>IF($C826= "", T825, IF(ISNA(VLOOKUP($C826,'ABC-S'!$A$5:$A$271,1,FALSE)), "", VLOOKUP($C826,'ABC-S'!$A$5:$A$271,1,FALSE)))</f>
        <v>CP0721</v>
      </c>
      <c r="W826" s="286" t="s">
        <v>1048</v>
      </c>
      <c r="X826" s="286">
        <v>88309</v>
      </c>
      <c r="Y826" s="286" t="s">
        <v>424</v>
      </c>
      <c r="Z826" s="335">
        <v>0</v>
      </c>
      <c r="AA826" s="286">
        <v>0.5</v>
      </c>
      <c r="AB826" s="378"/>
      <c r="AC826" s="381" t="s">
        <v>21</v>
      </c>
      <c r="AD826" s="378" t="s">
        <v>21</v>
      </c>
      <c r="AE826" s="378" t="s">
        <v>21</v>
      </c>
      <c r="AF826" s="378" t="s">
        <v>21</v>
      </c>
      <c r="AG826" s="378"/>
      <c r="AI826" s="378">
        <v>0</v>
      </c>
      <c r="AJ826" s="378">
        <v>0</v>
      </c>
      <c r="AL826" s="286">
        <v>88316</v>
      </c>
      <c r="AM826" s="286"/>
    </row>
    <row r="827" spans="1:39" s="51" customFormat="1" x14ac:dyDescent="0.25">
      <c r="A827" s="59" t="s">
        <v>3723</v>
      </c>
      <c r="B827" s="59" t="s">
        <v>87</v>
      </c>
      <c r="C827" s="59"/>
      <c r="D827" s="59">
        <v>88316</v>
      </c>
      <c r="E827" s="60" t="s">
        <v>649</v>
      </c>
      <c r="F827" s="59" t="s">
        <v>46</v>
      </c>
      <c r="G827" s="61">
        <f>1 / 2</f>
        <v>0.5</v>
      </c>
      <c r="H827" s="62">
        <v>17.61</v>
      </c>
      <c r="I827" s="62">
        <f>IF($D827="","",G827*H827)</f>
        <v>8.8049999999999997</v>
      </c>
      <c r="J827" s="62"/>
      <c r="K827" s="62">
        <v>5.8</v>
      </c>
      <c r="L827" s="62">
        <v>3.0049999999999999</v>
      </c>
      <c r="M827" s="62">
        <v>0</v>
      </c>
      <c r="N827" s="62">
        <v>0</v>
      </c>
      <c r="O827" s="62">
        <v>0</v>
      </c>
      <c r="P827" s="298" t="s">
        <v>4160</v>
      </c>
      <c r="Q827" s="60" t="s">
        <v>27</v>
      </c>
      <c r="R827" s="60" t="s">
        <v>174</v>
      </c>
      <c r="S827" s="286" t="str">
        <f t="shared" si="89"/>
        <v>SIM</v>
      </c>
      <c r="T827" s="286" t="str">
        <f>IF($C827= "", T826, IF(ISNA(VLOOKUP($C827,'ABC-S'!$A$5:$A$271,1,FALSE)), "", VLOOKUP($C827,'ABC-S'!$A$5:$A$271,1,FALSE)))</f>
        <v>CP0721</v>
      </c>
      <c r="W827" s="286" t="s">
        <v>1048</v>
      </c>
      <c r="X827" s="286">
        <v>88316</v>
      </c>
      <c r="Y827" s="286" t="s">
        <v>424</v>
      </c>
      <c r="Z827" s="335">
        <v>0</v>
      </c>
      <c r="AA827" s="286">
        <v>0.5</v>
      </c>
      <c r="AB827" s="378"/>
      <c r="AC827" s="381" t="s">
        <v>21</v>
      </c>
      <c r="AD827" s="378" t="s">
        <v>21</v>
      </c>
      <c r="AE827" s="378" t="s">
        <v>21</v>
      </c>
      <c r="AF827" s="378" t="s">
        <v>21</v>
      </c>
      <c r="AG827" s="378"/>
      <c r="AI827" s="378">
        <v>0</v>
      </c>
      <c r="AJ827" s="378">
        <v>0</v>
      </c>
      <c r="AL827" s="286">
        <v>5901</v>
      </c>
      <c r="AM827" s="286"/>
    </row>
    <row r="828" spans="1:39" s="51" customFormat="1" ht="22.5" x14ac:dyDescent="0.25">
      <c r="A828" s="59" t="s">
        <v>3723</v>
      </c>
      <c r="B828" s="59" t="s">
        <v>86</v>
      </c>
      <c r="C828" s="59"/>
      <c r="D828" s="59">
        <v>156</v>
      </c>
      <c r="E828" s="60" t="s">
        <v>680</v>
      </c>
      <c r="F828" s="59" t="s">
        <v>3669</v>
      </c>
      <c r="G828" s="61">
        <v>0.93600000000000005</v>
      </c>
      <c r="H828" s="62">
        <v>49.21</v>
      </c>
      <c r="I828" s="62">
        <f t="shared" ref="I828:I829" si="90">IF($D828="","",G828*H828)</f>
        <v>46.060560000000002</v>
      </c>
      <c r="J828" s="62"/>
      <c r="K828" s="62">
        <v>0</v>
      </c>
      <c r="L828" s="62">
        <v>46.060560000000002</v>
      </c>
      <c r="M828" s="62">
        <v>0</v>
      </c>
      <c r="N828" s="62">
        <v>0</v>
      </c>
      <c r="O828" s="62">
        <v>0</v>
      </c>
      <c r="P828" s="298" t="s">
        <v>89</v>
      </c>
      <c r="Q828" s="60" t="s">
        <v>27</v>
      </c>
      <c r="R828" s="60" t="s">
        <v>174</v>
      </c>
      <c r="S828" s="286" t="str">
        <f t="shared" si="89"/>
        <v>SIM</v>
      </c>
      <c r="T828" s="286" t="str">
        <f>IF($C828= "", T827, IF(ISNA(VLOOKUP($C828,'ABC-S'!$A$5:$A$271,1,FALSE)), "", VLOOKUP($C828,'ABC-S'!$A$5:$A$271,1,FALSE)))</f>
        <v>CP0721</v>
      </c>
      <c r="W828" s="286" t="s">
        <v>1048</v>
      </c>
      <c r="X828" s="286" t="s">
        <v>21</v>
      </c>
      <c r="Y828" s="286" t="s">
        <v>21</v>
      </c>
      <c r="Z828" s="335" t="s">
        <v>21</v>
      </c>
      <c r="AA828" s="286" t="s">
        <v>21</v>
      </c>
      <c r="AB828" s="378"/>
      <c r="AC828" s="381" t="s">
        <v>21</v>
      </c>
      <c r="AD828" s="378" t="s">
        <v>21</v>
      </c>
      <c r="AE828" s="378" t="s">
        <v>21</v>
      </c>
      <c r="AF828" s="378" t="s">
        <v>21</v>
      </c>
      <c r="AG828" s="378"/>
      <c r="AI828" s="378" t="s">
        <v>21</v>
      </c>
      <c r="AJ828" s="378" t="s">
        <v>21</v>
      </c>
      <c r="AL828" s="286">
        <v>5901</v>
      </c>
      <c r="AM828" s="286"/>
    </row>
    <row r="829" spans="1:39" s="51" customFormat="1" ht="22.5" x14ac:dyDescent="0.25">
      <c r="A829" s="59" t="s">
        <v>3723</v>
      </c>
      <c r="B829" s="59" t="s">
        <v>86</v>
      </c>
      <c r="C829" s="59"/>
      <c r="D829" s="59" t="s">
        <v>3728</v>
      </c>
      <c r="E829" s="60" t="s">
        <v>3729</v>
      </c>
      <c r="F829" s="59" t="s">
        <v>26</v>
      </c>
      <c r="G829" s="61">
        <v>1</v>
      </c>
      <c r="H829" s="62">
        <v>703.20176766427187</v>
      </c>
      <c r="I829" s="62">
        <f t="shared" si="90"/>
        <v>703.20176766427187</v>
      </c>
      <c r="J829" s="62"/>
      <c r="K829" s="62">
        <v>0</v>
      </c>
      <c r="L829" s="62">
        <v>703.20176766427187</v>
      </c>
      <c r="M829" s="62">
        <v>0</v>
      </c>
      <c r="N829" s="62">
        <v>0</v>
      </c>
      <c r="O829" s="62">
        <v>0</v>
      </c>
      <c r="P829" s="298" t="s">
        <v>89</v>
      </c>
      <c r="Q829" s="60" t="s">
        <v>174</v>
      </c>
      <c r="R829" s="60" t="s">
        <v>174</v>
      </c>
      <c r="S829" s="286" t="str">
        <f t="shared" si="89"/>
        <v>SIM</v>
      </c>
      <c r="T829" s="286" t="str">
        <f>IF($C829= "", T828, IF(ISNA(VLOOKUP($C829,'ABC-S'!$A$5:$A$271,1,FALSE)), "", VLOOKUP($C829,'ABC-S'!$A$5:$A$271,1,FALSE)))</f>
        <v>CP0721</v>
      </c>
      <c r="W829" s="286" t="s">
        <v>1048</v>
      </c>
      <c r="X829" s="286" t="s">
        <v>21</v>
      </c>
      <c r="Y829" s="286" t="s">
        <v>21</v>
      </c>
      <c r="Z829" s="335" t="s">
        <v>21</v>
      </c>
      <c r="AA829" s="286" t="s">
        <v>21</v>
      </c>
      <c r="AB829" s="378"/>
      <c r="AC829" s="381" t="s">
        <v>21</v>
      </c>
      <c r="AD829" s="378" t="s">
        <v>21</v>
      </c>
      <c r="AE829" s="378" t="s">
        <v>21</v>
      </c>
      <c r="AF829" s="378" t="s">
        <v>21</v>
      </c>
      <c r="AG829" s="378"/>
      <c r="AI829" s="378" t="s">
        <v>21</v>
      </c>
      <c r="AJ829" s="378" t="s">
        <v>21</v>
      </c>
      <c r="AL829" s="286">
        <v>5901</v>
      </c>
      <c r="AM829" s="286"/>
    </row>
    <row r="830" spans="1:39" s="51" customFormat="1" ht="22.5" x14ac:dyDescent="0.25">
      <c r="A830" s="55" t="s">
        <v>1183</v>
      </c>
      <c r="B830" s="55" t="s">
        <v>138</v>
      </c>
      <c r="C830" s="55" t="s">
        <v>1183</v>
      </c>
      <c r="D830" s="55"/>
      <c r="E830" s="56" t="s">
        <v>2718</v>
      </c>
      <c r="F830" s="55" t="s">
        <v>51</v>
      </c>
      <c r="G830" s="57"/>
      <c r="H830" s="58"/>
      <c r="I830" s="58"/>
      <c r="J830" s="58">
        <f>SUM(I830:I834)</f>
        <v>1722.5153</v>
      </c>
      <c r="K830" s="58">
        <v>1606.9896000000001</v>
      </c>
      <c r="L830" s="58">
        <v>115.45983333333334</v>
      </c>
      <c r="M830" s="58">
        <v>4.2666666666666672E-2</v>
      </c>
      <c r="N830" s="58">
        <v>0</v>
      </c>
      <c r="O830" s="58">
        <v>2.3199999999969023E-2</v>
      </c>
      <c r="P830" s="58"/>
      <c r="Q830" s="56"/>
      <c r="R830" s="56" t="s">
        <v>1184</v>
      </c>
      <c r="S830" s="286" t="str">
        <f t="shared" si="89"/>
        <v>SIM</v>
      </c>
      <c r="T830" s="286" t="str">
        <f>IF($C830= "", T829, IF(ISNA(VLOOKUP($C830,'ABC-S'!$A$5:$A$271,1,FALSE)), "", VLOOKUP($C830,'ABC-S'!$A$5:$A$271,1,FALSE)))</f>
        <v>CP0806</v>
      </c>
      <c r="W830" s="286" t="s">
        <v>1183</v>
      </c>
      <c r="X830" s="286"/>
      <c r="Y830" s="286"/>
      <c r="Z830" s="286"/>
      <c r="AA830" s="286" t="s">
        <v>21</v>
      </c>
      <c r="AB830" s="378">
        <v>17.503333333333334</v>
      </c>
      <c r="AC830" s="378"/>
      <c r="AD830" s="335"/>
      <c r="AE830" s="335"/>
      <c r="AF830" s="335"/>
      <c r="AG830" s="378">
        <v>17.627066666666668</v>
      </c>
      <c r="AI830" s="378" t="s">
        <v>21</v>
      </c>
      <c r="AJ830" s="378" t="s">
        <v>21</v>
      </c>
      <c r="AL830" s="286"/>
      <c r="AM830" s="286"/>
    </row>
    <row r="831" spans="1:39" s="51" customFormat="1" ht="33.75" x14ac:dyDescent="0.25">
      <c r="A831" s="59" t="s">
        <v>1183</v>
      </c>
      <c r="B831" s="59" t="s">
        <v>86</v>
      </c>
      <c r="C831" s="248"/>
      <c r="D831" s="59">
        <v>11245</v>
      </c>
      <c r="E831" s="60" t="s">
        <v>698</v>
      </c>
      <c r="F831" s="59" t="s">
        <v>3666</v>
      </c>
      <c r="G831" s="280">
        <f>1 / 0.3</f>
        <v>3.3333333333333335</v>
      </c>
      <c r="H831" s="396">
        <v>404.65</v>
      </c>
      <c r="I831" s="396">
        <f>IF($D831="","",G831*H831)</f>
        <v>1348.8333333333333</v>
      </c>
      <c r="J831" s="396"/>
      <c r="K831" s="396">
        <v>1348.8333333333333</v>
      </c>
      <c r="L831" s="396">
        <v>0</v>
      </c>
      <c r="M831" s="396">
        <v>0</v>
      </c>
      <c r="N831" s="396">
        <v>0</v>
      </c>
      <c r="O831" s="396">
        <v>0</v>
      </c>
      <c r="P831" s="397" t="s">
        <v>85</v>
      </c>
      <c r="Q831" s="395" t="s">
        <v>27</v>
      </c>
      <c r="R831" s="395" t="s">
        <v>27</v>
      </c>
      <c r="S831" s="286" t="str">
        <f t="shared" si="89"/>
        <v>SIM</v>
      </c>
      <c r="T831" s="286" t="str">
        <f>IF($C831= "", T830, IF(ISNA(VLOOKUP($C831,'ABC-S'!$A$5:$A$271,1,FALSE)), "", VLOOKUP($C831,'ABC-S'!$A$5:$A$271,1,FALSE)))</f>
        <v>CP0806</v>
      </c>
      <c r="W831" s="286" t="s">
        <v>1183</v>
      </c>
      <c r="X831" s="286" t="s">
        <v>21</v>
      </c>
      <c r="Y831" s="286" t="s">
        <v>21</v>
      </c>
      <c r="Z831" s="286" t="s">
        <v>21</v>
      </c>
      <c r="AA831" s="286" t="s">
        <v>21</v>
      </c>
      <c r="AB831" s="378"/>
      <c r="AC831" s="381" t="s">
        <v>21</v>
      </c>
      <c r="AD831" s="378" t="s">
        <v>21</v>
      </c>
      <c r="AE831" s="378" t="s">
        <v>21</v>
      </c>
      <c r="AF831" s="378" t="s">
        <v>21</v>
      </c>
      <c r="AG831" s="378"/>
      <c r="AI831" s="378" t="s">
        <v>21</v>
      </c>
      <c r="AJ831" s="378" t="s">
        <v>21</v>
      </c>
      <c r="AL831" s="286"/>
      <c r="AM831" s="286">
        <v>11245</v>
      </c>
    </row>
    <row r="832" spans="1:39" s="51" customFormat="1" ht="33.75" x14ac:dyDescent="0.25">
      <c r="A832" s="59" t="s">
        <v>1183</v>
      </c>
      <c r="B832" s="59" t="s">
        <v>87</v>
      </c>
      <c r="C832" s="59"/>
      <c r="D832" s="59">
        <v>87316</v>
      </c>
      <c r="E832" s="60" t="s">
        <v>492</v>
      </c>
      <c r="F832" s="59" t="s">
        <v>44</v>
      </c>
      <c r="G832" s="280">
        <f>0.008 * G831</f>
        <v>2.6666666666666668E-2</v>
      </c>
      <c r="H832" s="396">
        <v>410.06</v>
      </c>
      <c r="I832" s="396">
        <f>IF($D832="","",G832*H832)</f>
        <v>10.934933333333333</v>
      </c>
      <c r="J832" s="396"/>
      <c r="K832" s="396">
        <v>1.5576000000000001</v>
      </c>
      <c r="L832" s="396">
        <v>9.3114666666666679</v>
      </c>
      <c r="M832" s="396">
        <v>4.2666666666666672E-2</v>
      </c>
      <c r="N832" s="396">
        <v>0</v>
      </c>
      <c r="O832" s="396">
        <v>2.3199999999997445E-2</v>
      </c>
      <c r="P832" s="397" t="s">
        <v>4160</v>
      </c>
      <c r="Q832" s="395" t="s">
        <v>27</v>
      </c>
      <c r="R832" s="395" t="s">
        <v>27</v>
      </c>
      <c r="S832" s="286" t="str">
        <f t="shared" si="89"/>
        <v>SIM</v>
      </c>
      <c r="T832" s="286" t="str">
        <f>IF($C832= "", T831, IF(ISNA(VLOOKUP($C832,'ABC-S'!$A$5:$A$271,1,FALSE)), "", VLOOKUP($C832,'ABC-S'!$A$5:$A$271,1,FALSE)))</f>
        <v>CP0806</v>
      </c>
      <c r="W832" s="286" t="s">
        <v>1183</v>
      </c>
      <c r="X832" s="286" t="s">
        <v>21</v>
      </c>
      <c r="Y832" s="286" t="s">
        <v>1513</v>
      </c>
      <c r="Z832" s="335" t="s">
        <v>21</v>
      </c>
      <c r="AA832" s="286" t="s">
        <v>21</v>
      </c>
      <c r="AB832" s="378"/>
      <c r="AC832" s="381">
        <v>87316</v>
      </c>
      <c r="AD832" s="378">
        <v>2.6666666666666668E-2</v>
      </c>
      <c r="AE832" s="378">
        <v>4.6399999999999997</v>
      </c>
      <c r="AF832" s="378">
        <v>0.12373333333333333</v>
      </c>
      <c r="AG832" s="378"/>
      <c r="AI832" s="378">
        <v>9.2799999999999994</v>
      </c>
      <c r="AJ832" s="378">
        <v>0.24746666666666667</v>
      </c>
      <c r="AL832" s="286">
        <v>87316</v>
      </c>
      <c r="AM832" s="286"/>
    </row>
    <row r="833" spans="1:39" s="51" customFormat="1" x14ac:dyDescent="0.25">
      <c r="A833" s="59" t="s">
        <v>1183</v>
      </c>
      <c r="B833" s="59" t="s">
        <v>87</v>
      </c>
      <c r="C833" s="59"/>
      <c r="D833" s="59">
        <v>88309</v>
      </c>
      <c r="E833" s="60" t="s">
        <v>617</v>
      </c>
      <c r="F833" s="59" t="s">
        <v>46</v>
      </c>
      <c r="G833" s="280">
        <f>2.6 * G831</f>
        <v>8.6666666666666679</v>
      </c>
      <c r="H833" s="396">
        <v>23.9</v>
      </c>
      <c r="I833" s="396">
        <f>IF($D833="","",G833*H833)</f>
        <v>207.13333333333335</v>
      </c>
      <c r="J833" s="396"/>
      <c r="K833" s="396">
        <v>154.09333333333336</v>
      </c>
      <c r="L833" s="396">
        <v>53.040000000000006</v>
      </c>
      <c r="M833" s="396">
        <v>0</v>
      </c>
      <c r="N833" s="396">
        <v>0</v>
      </c>
      <c r="O833" s="396">
        <v>-2.8421709430404007E-14</v>
      </c>
      <c r="P833" s="397" t="s">
        <v>4160</v>
      </c>
      <c r="Q833" s="395" t="s">
        <v>27</v>
      </c>
      <c r="R833" s="395" t="s">
        <v>27</v>
      </c>
      <c r="S833" s="286" t="str">
        <f t="shared" si="89"/>
        <v>SIM</v>
      </c>
      <c r="T833" s="286" t="str">
        <f>IF($C833= "", T832, IF(ISNA(VLOOKUP($C833,'ABC-S'!$A$5:$A$271,1,FALSE)), "", VLOOKUP($C833,'ABC-S'!$A$5:$A$271,1,FALSE)))</f>
        <v>CP0806</v>
      </c>
      <c r="W833" s="286" t="s">
        <v>1183</v>
      </c>
      <c r="X833" s="286">
        <v>88309</v>
      </c>
      <c r="Y833" s="286" t="s">
        <v>424</v>
      </c>
      <c r="Z833" s="335">
        <v>48.89</v>
      </c>
      <c r="AA833" s="286">
        <v>8.6666666666666679</v>
      </c>
      <c r="AB833" s="378"/>
      <c r="AC833" s="381" t="s">
        <v>21</v>
      </c>
      <c r="AD833" s="378" t="s">
        <v>21</v>
      </c>
      <c r="AE833" s="378" t="s">
        <v>21</v>
      </c>
      <c r="AF833" s="378" t="s">
        <v>21</v>
      </c>
      <c r="AG833" s="378"/>
      <c r="AI833" s="378">
        <v>0</v>
      </c>
      <c r="AJ833" s="378">
        <v>0</v>
      </c>
      <c r="AL833" s="286">
        <v>88309</v>
      </c>
      <c r="AM833" s="286"/>
    </row>
    <row r="834" spans="1:39" s="51" customFormat="1" x14ac:dyDescent="0.25">
      <c r="A834" s="59" t="s">
        <v>1183</v>
      </c>
      <c r="B834" s="59" t="s">
        <v>87</v>
      </c>
      <c r="C834" s="59"/>
      <c r="D834" s="59">
        <v>88316</v>
      </c>
      <c r="E834" s="60" t="s">
        <v>649</v>
      </c>
      <c r="F834" s="59" t="s">
        <v>46</v>
      </c>
      <c r="G834" s="280">
        <f>2.651 * G831</f>
        <v>8.836666666666666</v>
      </c>
      <c r="H834" s="396">
        <v>17.61</v>
      </c>
      <c r="I834" s="396">
        <f>IF($D834="","",G834*H834)</f>
        <v>155.61369999999999</v>
      </c>
      <c r="J834" s="396"/>
      <c r="K834" s="396">
        <v>102.50533333333333</v>
      </c>
      <c r="L834" s="396">
        <v>53.108366666666662</v>
      </c>
      <c r="M834" s="396">
        <v>0</v>
      </c>
      <c r="N834" s="396">
        <v>0</v>
      </c>
      <c r="O834" s="396">
        <v>0</v>
      </c>
      <c r="P834" s="397" t="s">
        <v>4160</v>
      </c>
      <c r="Q834" s="395" t="s">
        <v>27</v>
      </c>
      <c r="R834" s="395" t="s">
        <v>27</v>
      </c>
      <c r="S834" s="286" t="str">
        <f t="shared" si="89"/>
        <v>SIM</v>
      </c>
      <c r="T834" s="286" t="str">
        <f>IF($C834= "", T833, IF(ISNA(VLOOKUP($C834,'ABC-S'!$A$5:$A$271,1,FALSE)), "", VLOOKUP($C834,'ABC-S'!$A$5:$A$271,1,FALSE)))</f>
        <v>CP0806</v>
      </c>
      <c r="W834" s="286" t="s">
        <v>1183</v>
      </c>
      <c r="X834" s="286">
        <v>88316</v>
      </c>
      <c r="Y834" s="286" t="s">
        <v>424</v>
      </c>
      <c r="Z834" s="335">
        <v>48.89</v>
      </c>
      <c r="AA834" s="286">
        <v>8.836666666666666</v>
      </c>
      <c r="AB834" s="378"/>
      <c r="AC834" s="381" t="s">
        <v>21</v>
      </c>
      <c r="AD834" s="378" t="s">
        <v>21</v>
      </c>
      <c r="AE834" s="378" t="s">
        <v>21</v>
      </c>
      <c r="AF834" s="378" t="s">
        <v>21</v>
      </c>
      <c r="AG834" s="378"/>
      <c r="AI834" s="378">
        <v>0</v>
      </c>
      <c r="AJ834" s="378">
        <v>0</v>
      </c>
      <c r="AL834" s="286">
        <v>88316</v>
      </c>
      <c r="AM834" s="286"/>
    </row>
    <row r="835" spans="1:39" s="51" customFormat="1" ht="33.75" hidden="1" x14ac:dyDescent="0.25">
      <c r="A835" s="55" t="s">
        <v>1185</v>
      </c>
      <c r="B835" s="55" t="s">
        <v>138</v>
      </c>
      <c r="C835" s="55" t="s">
        <v>1185</v>
      </c>
      <c r="D835" s="55"/>
      <c r="E835" s="56" t="s">
        <v>1186</v>
      </c>
      <c r="F835" s="55" t="s">
        <v>22</v>
      </c>
      <c r="G835" s="57"/>
      <c r="H835" s="58"/>
      <c r="I835" s="58"/>
      <c r="J835" s="58">
        <f>SUM(I835:I839)</f>
        <v>394.73109666666664</v>
      </c>
      <c r="K835" s="58">
        <v>77.291120000000006</v>
      </c>
      <c r="L835" s="58">
        <v>317.42680333333334</v>
      </c>
      <c r="M835" s="58">
        <v>8.5333333333333355E-3</v>
      </c>
      <c r="N835" s="58">
        <v>0</v>
      </c>
      <c r="O835" s="58">
        <v>4.6400000000001995E-3</v>
      </c>
      <c r="P835" s="58"/>
      <c r="Q835" s="56"/>
      <c r="R835" s="56" t="s">
        <v>1184</v>
      </c>
      <c r="S835" s="286" t="str">
        <f t="shared" si="89"/>
        <v/>
      </c>
      <c r="T835" s="286" t="str">
        <f>IF($C835= "", T834, IF(ISNA(VLOOKUP($C835,'ABC-S'!$A$5:$A$271,1,FALSE)), "", VLOOKUP($C835,'ABC-S'!$A$5:$A$271,1,FALSE)))</f>
        <v/>
      </c>
      <c r="W835" s="286" t="s">
        <v>1185</v>
      </c>
      <c r="X835" s="286"/>
      <c r="Y835" s="286"/>
      <c r="Z835" s="286"/>
      <c r="AA835" s="286" t="s">
        <v>21</v>
      </c>
      <c r="AB835" s="378">
        <v>5.2509999999999994</v>
      </c>
      <c r="AC835" s="378"/>
      <c r="AD835" s="335"/>
      <c r="AE835" s="335"/>
      <c r="AF835" s="335"/>
      <c r="AG835" s="378">
        <v>5.2757466666666657</v>
      </c>
      <c r="AI835" s="378" t="s">
        <v>21</v>
      </c>
      <c r="AJ835" s="378" t="s">
        <v>21</v>
      </c>
      <c r="AL835" s="286"/>
      <c r="AM835" s="286"/>
    </row>
    <row r="836" spans="1:39" s="51" customFormat="1" ht="22.5" hidden="1" x14ac:dyDescent="0.25">
      <c r="A836" s="59" t="s">
        <v>1185</v>
      </c>
      <c r="B836" s="59" t="s">
        <v>86</v>
      </c>
      <c r="C836" s="248"/>
      <c r="D836" s="59">
        <v>11236</v>
      </c>
      <c r="E836" s="60" t="s">
        <v>699</v>
      </c>
      <c r="F836" s="59" t="s">
        <v>3666</v>
      </c>
      <c r="G836" s="280">
        <v>1</v>
      </c>
      <c r="H836" s="396">
        <v>283.72000000000003</v>
      </c>
      <c r="I836" s="396">
        <f>IF($D836="","",G836*H836)</f>
        <v>283.72000000000003</v>
      </c>
      <c r="J836" s="396"/>
      <c r="K836" s="396">
        <v>0</v>
      </c>
      <c r="L836" s="396">
        <v>283.72000000000003</v>
      </c>
      <c r="M836" s="396">
        <v>0</v>
      </c>
      <c r="N836" s="396">
        <v>0</v>
      </c>
      <c r="O836" s="396">
        <v>0</v>
      </c>
      <c r="P836" s="397" t="s">
        <v>89</v>
      </c>
      <c r="Q836" s="395" t="s">
        <v>27</v>
      </c>
      <c r="R836" s="395" t="s">
        <v>27</v>
      </c>
      <c r="S836" s="286" t="str">
        <f t="shared" si="89"/>
        <v/>
      </c>
      <c r="T836" s="286" t="str">
        <f>IF($C836= "", T835, IF(ISNA(VLOOKUP($C836,'ABC-S'!$A$5:$A$271,1,FALSE)), "", VLOOKUP($C836,'ABC-S'!$A$5:$A$271,1,FALSE)))</f>
        <v/>
      </c>
      <c r="W836" s="286" t="s">
        <v>1185</v>
      </c>
      <c r="X836" s="286" t="s">
        <v>21</v>
      </c>
      <c r="Y836" s="286" t="s">
        <v>21</v>
      </c>
      <c r="Z836" s="286" t="s">
        <v>21</v>
      </c>
      <c r="AA836" s="286" t="s">
        <v>21</v>
      </c>
      <c r="AB836" s="378"/>
      <c r="AC836" s="381" t="s">
        <v>21</v>
      </c>
      <c r="AD836" s="378" t="s">
        <v>21</v>
      </c>
      <c r="AE836" s="378" t="s">
        <v>21</v>
      </c>
      <c r="AF836" s="378" t="s">
        <v>21</v>
      </c>
      <c r="AG836" s="378"/>
      <c r="AI836" s="378" t="s">
        <v>21</v>
      </c>
      <c r="AJ836" s="378" t="s">
        <v>21</v>
      </c>
      <c r="AL836" s="286"/>
      <c r="AM836" s="286">
        <v>11236</v>
      </c>
    </row>
    <row r="837" spans="1:39" s="51" customFormat="1" ht="33.75" hidden="1" x14ac:dyDescent="0.25">
      <c r="A837" s="59" t="s">
        <v>1185</v>
      </c>
      <c r="B837" s="59" t="s">
        <v>87</v>
      </c>
      <c r="C837" s="59"/>
      <c r="D837" s="59">
        <v>87316</v>
      </c>
      <c r="E837" s="60" t="s">
        <v>492</v>
      </c>
      <c r="F837" s="59" t="s">
        <v>44</v>
      </c>
      <c r="G837" s="280">
        <f>0.008 * (0.2 / 0.3)</f>
        <v>5.333333333333334E-3</v>
      </c>
      <c r="H837" s="396">
        <v>410.06</v>
      </c>
      <c r="I837" s="396">
        <f>IF($D837="","",G837*H837)</f>
        <v>2.1869866666666669</v>
      </c>
      <c r="J837" s="396"/>
      <c r="K837" s="396">
        <v>0.31152000000000002</v>
      </c>
      <c r="L837" s="396">
        <v>1.8622933333333336</v>
      </c>
      <c r="M837" s="396">
        <v>8.5333333333333355E-3</v>
      </c>
      <c r="N837" s="396">
        <v>0</v>
      </c>
      <c r="O837" s="396">
        <v>4.6400000000001995E-3</v>
      </c>
      <c r="P837" s="397" t="s">
        <v>4160</v>
      </c>
      <c r="Q837" s="395" t="s">
        <v>27</v>
      </c>
      <c r="R837" s="395" t="s">
        <v>27</v>
      </c>
      <c r="S837" s="286" t="str">
        <f t="shared" si="89"/>
        <v/>
      </c>
      <c r="T837" s="286" t="str">
        <f>IF($C837= "", T836, IF(ISNA(VLOOKUP($C837,'ABC-S'!$A$5:$A$271,1,FALSE)), "", VLOOKUP($C837,'ABC-S'!$A$5:$A$271,1,FALSE)))</f>
        <v/>
      </c>
      <c r="W837" s="286" t="s">
        <v>1185</v>
      </c>
      <c r="X837" s="286" t="s">
        <v>21</v>
      </c>
      <c r="Y837" s="286" t="s">
        <v>1513</v>
      </c>
      <c r="Z837" s="335" t="s">
        <v>21</v>
      </c>
      <c r="AA837" s="286" t="s">
        <v>21</v>
      </c>
      <c r="AB837" s="378"/>
      <c r="AC837" s="381">
        <v>87316</v>
      </c>
      <c r="AD837" s="378">
        <v>5.333333333333334E-3</v>
      </c>
      <c r="AE837" s="378">
        <v>4.6399999999999997</v>
      </c>
      <c r="AF837" s="378">
        <v>2.4746666666666667E-2</v>
      </c>
      <c r="AG837" s="378"/>
      <c r="AI837" s="378">
        <v>9.2799999999999994</v>
      </c>
      <c r="AJ837" s="378">
        <v>4.9493333333333334E-2</v>
      </c>
      <c r="AL837" s="286">
        <v>87316</v>
      </c>
      <c r="AM837" s="286"/>
    </row>
    <row r="838" spans="1:39" s="51" customFormat="1" hidden="1" x14ac:dyDescent="0.25">
      <c r="A838" s="59" t="s">
        <v>1185</v>
      </c>
      <c r="B838" s="59" t="s">
        <v>87</v>
      </c>
      <c r="C838" s="59"/>
      <c r="D838" s="59">
        <v>88309</v>
      </c>
      <c r="E838" s="60" t="s">
        <v>617</v>
      </c>
      <c r="F838" s="59" t="s">
        <v>46</v>
      </c>
      <c r="G838" s="280">
        <v>2.6</v>
      </c>
      <c r="H838" s="396">
        <v>23.9</v>
      </c>
      <c r="I838" s="396">
        <f>IF($D838="","",G838*H838)</f>
        <v>62.14</v>
      </c>
      <c r="J838" s="396"/>
      <c r="K838" s="396">
        <v>46.228000000000002</v>
      </c>
      <c r="L838" s="396">
        <v>15.912000000000001</v>
      </c>
      <c r="M838" s="396">
        <v>0</v>
      </c>
      <c r="N838" s="396">
        <v>0</v>
      </c>
      <c r="O838" s="396">
        <v>0</v>
      </c>
      <c r="P838" s="397" t="s">
        <v>4160</v>
      </c>
      <c r="Q838" s="395" t="s">
        <v>27</v>
      </c>
      <c r="R838" s="395" t="s">
        <v>27</v>
      </c>
      <c r="S838" s="286" t="str">
        <f t="shared" si="89"/>
        <v/>
      </c>
      <c r="T838" s="286" t="str">
        <f>IF($C838= "", T837, IF(ISNA(VLOOKUP($C838,'ABC-S'!$A$5:$A$271,1,FALSE)), "", VLOOKUP($C838,'ABC-S'!$A$5:$A$271,1,FALSE)))</f>
        <v/>
      </c>
      <c r="W838" s="286" t="s">
        <v>1185</v>
      </c>
      <c r="X838" s="286">
        <v>88309</v>
      </c>
      <c r="Y838" s="286" t="s">
        <v>424</v>
      </c>
      <c r="Z838" s="335">
        <v>0</v>
      </c>
      <c r="AA838" s="286">
        <v>2.6</v>
      </c>
      <c r="AB838" s="378"/>
      <c r="AC838" s="381" t="s">
        <v>21</v>
      </c>
      <c r="AD838" s="378" t="s">
        <v>21</v>
      </c>
      <c r="AE838" s="378" t="s">
        <v>21</v>
      </c>
      <c r="AF838" s="378" t="s">
        <v>21</v>
      </c>
      <c r="AG838" s="378"/>
      <c r="AI838" s="378">
        <v>0</v>
      </c>
      <c r="AJ838" s="378">
        <v>0</v>
      </c>
      <c r="AL838" s="286">
        <v>88309</v>
      </c>
      <c r="AM838" s="286"/>
    </row>
    <row r="839" spans="1:39" s="51" customFormat="1" hidden="1" x14ac:dyDescent="0.25">
      <c r="A839" s="59" t="s">
        <v>1185</v>
      </c>
      <c r="B839" s="59" t="s">
        <v>87</v>
      </c>
      <c r="C839" s="59"/>
      <c r="D839" s="59">
        <v>88316</v>
      </c>
      <c r="E839" s="60" t="s">
        <v>649</v>
      </c>
      <c r="F839" s="59" t="s">
        <v>46</v>
      </c>
      <c r="G839" s="280">
        <v>2.6509999999999998</v>
      </c>
      <c r="H839" s="396">
        <v>17.61</v>
      </c>
      <c r="I839" s="396">
        <f>IF($D839="","",G839*H839)</f>
        <v>46.684109999999997</v>
      </c>
      <c r="J839" s="396"/>
      <c r="K839" s="396">
        <v>30.751599999999996</v>
      </c>
      <c r="L839" s="396">
        <v>15.932509999999999</v>
      </c>
      <c r="M839" s="396">
        <v>0</v>
      </c>
      <c r="N839" s="396">
        <v>0</v>
      </c>
      <c r="O839" s="396">
        <v>0</v>
      </c>
      <c r="P839" s="397" t="s">
        <v>4160</v>
      </c>
      <c r="Q839" s="395" t="s">
        <v>27</v>
      </c>
      <c r="R839" s="395" t="s">
        <v>27</v>
      </c>
      <c r="S839" s="286" t="str">
        <f t="shared" si="89"/>
        <v/>
      </c>
      <c r="T839" s="286" t="str">
        <f>IF($C839= "", T838, IF(ISNA(VLOOKUP($C839,'ABC-S'!$A$5:$A$271,1,FALSE)), "", VLOOKUP($C839,'ABC-S'!$A$5:$A$271,1,FALSE)))</f>
        <v/>
      </c>
      <c r="W839" s="286" t="s">
        <v>1185</v>
      </c>
      <c r="X839" s="286">
        <v>88316</v>
      </c>
      <c r="Y839" s="286" t="s">
        <v>424</v>
      </c>
      <c r="Z839" s="335">
        <v>0</v>
      </c>
      <c r="AA839" s="286">
        <v>2.6509999999999998</v>
      </c>
      <c r="AB839" s="378"/>
      <c r="AC839" s="381" t="s">
        <v>21</v>
      </c>
      <c r="AD839" s="378" t="s">
        <v>21</v>
      </c>
      <c r="AE839" s="378" t="s">
        <v>21</v>
      </c>
      <c r="AF839" s="378" t="s">
        <v>21</v>
      </c>
      <c r="AG839" s="378"/>
      <c r="AI839" s="378">
        <v>0</v>
      </c>
      <c r="AJ839" s="378">
        <v>0</v>
      </c>
      <c r="AL839" s="286">
        <v>88316</v>
      </c>
      <c r="AM839" s="286"/>
    </row>
    <row r="840" spans="1:39" s="51" customFormat="1" hidden="1" x14ac:dyDescent="0.25">
      <c r="A840" s="55" t="s">
        <v>1151</v>
      </c>
      <c r="B840" s="55" t="s">
        <v>138</v>
      </c>
      <c r="C840" s="55" t="s">
        <v>1151</v>
      </c>
      <c r="D840" s="55"/>
      <c r="E840" s="56" t="s">
        <v>478</v>
      </c>
      <c r="F840" s="55" t="s">
        <v>55</v>
      </c>
      <c r="G840" s="57"/>
      <c r="H840" s="58"/>
      <c r="I840" s="58"/>
      <c r="J840" s="58">
        <f>SUM(I840:I841)</f>
        <v>7.71</v>
      </c>
      <c r="K840" s="58">
        <v>0</v>
      </c>
      <c r="L840" s="58">
        <v>7.71</v>
      </c>
      <c r="M840" s="58">
        <v>0</v>
      </c>
      <c r="N840" s="58">
        <v>0</v>
      </c>
      <c r="O840" s="58">
        <v>0</v>
      </c>
      <c r="P840" s="58"/>
      <c r="Q840" s="56"/>
      <c r="R840" s="56" t="s">
        <v>137</v>
      </c>
      <c r="S840" s="286" t="str">
        <f t="shared" si="89"/>
        <v/>
      </c>
      <c r="T840" s="286" t="str">
        <f>IF($C840= "", T839, IF(ISNA(VLOOKUP($C840,'ABC-S'!$A$5:$A$271,1,FALSE)), "", VLOOKUP($C840,'ABC-S'!$A$5:$A$271,1,FALSE)))</f>
        <v/>
      </c>
      <c r="W840" s="286" t="s">
        <v>1151</v>
      </c>
      <c r="X840" s="286"/>
      <c r="Y840" s="286"/>
      <c r="Z840" s="286"/>
      <c r="AA840" s="286" t="s">
        <v>21</v>
      </c>
      <c r="AB840" s="378">
        <v>0</v>
      </c>
      <c r="AC840" s="378"/>
      <c r="AD840" s="335"/>
      <c r="AE840" s="335"/>
      <c r="AF840" s="335"/>
      <c r="AG840" s="378">
        <v>0</v>
      </c>
      <c r="AI840" s="378" t="s">
        <v>21</v>
      </c>
      <c r="AJ840" s="378" t="s">
        <v>21</v>
      </c>
      <c r="AL840" s="286"/>
      <c r="AM840" s="286"/>
    </row>
    <row r="841" spans="1:39" s="51" customFormat="1" hidden="1" x14ac:dyDescent="0.25">
      <c r="A841" s="59" t="s">
        <v>1151</v>
      </c>
      <c r="B841" s="59" t="s">
        <v>86</v>
      </c>
      <c r="C841" s="59"/>
      <c r="D841" s="59">
        <v>3324</v>
      </c>
      <c r="E841" s="60" t="s">
        <v>697</v>
      </c>
      <c r="F841" s="59" t="s">
        <v>3665</v>
      </c>
      <c r="G841" s="61">
        <v>1</v>
      </c>
      <c r="H841" s="62">
        <v>7.71</v>
      </c>
      <c r="I841" s="62">
        <f>IF($D841="","",G841*H841)</f>
        <v>7.71</v>
      </c>
      <c r="J841" s="62"/>
      <c r="K841" s="62">
        <v>0</v>
      </c>
      <c r="L841" s="62">
        <v>7.71</v>
      </c>
      <c r="M841" s="62">
        <v>0</v>
      </c>
      <c r="N841" s="62">
        <v>0</v>
      </c>
      <c r="O841" s="62">
        <v>0</v>
      </c>
      <c r="P841" s="298" t="s">
        <v>89</v>
      </c>
      <c r="Q841" s="60" t="s">
        <v>27</v>
      </c>
      <c r="R841" s="60" t="s">
        <v>174</v>
      </c>
      <c r="S841" s="286" t="str">
        <f t="shared" si="89"/>
        <v/>
      </c>
      <c r="T841" s="286" t="str">
        <f>IF($C841= "", T840, IF(ISNA(VLOOKUP($C841,'ABC-S'!$A$5:$A$271,1,FALSE)), "", VLOOKUP($C841,'ABC-S'!$A$5:$A$271,1,FALSE)))</f>
        <v/>
      </c>
      <c r="W841" s="286" t="s">
        <v>1151</v>
      </c>
      <c r="X841" s="286" t="s">
        <v>21</v>
      </c>
      <c r="Y841" s="286" t="s">
        <v>21</v>
      </c>
      <c r="Z841" s="286" t="s">
        <v>21</v>
      </c>
      <c r="AA841" s="286" t="s">
        <v>21</v>
      </c>
      <c r="AB841" s="378"/>
      <c r="AC841" s="381" t="s">
        <v>21</v>
      </c>
      <c r="AD841" s="378" t="s">
        <v>21</v>
      </c>
      <c r="AE841" s="378" t="s">
        <v>21</v>
      </c>
      <c r="AF841" s="378" t="s">
        <v>21</v>
      </c>
      <c r="AG841" s="378"/>
      <c r="AI841" s="378" t="s">
        <v>21</v>
      </c>
      <c r="AJ841" s="378" t="s">
        <v>21</v>
      </c>
      <c r="AL841" s="286"/>
      <c r="AM841" s="286">
        <v>3324</v>
      </c>
    </row>
    <row r="842" spans="1:39" s="51" customFormat="1" ht="45" x14ac:dyDescent="0.25">
      <c r="A842" s="55" t="s">
        <v>2118</v>
      </c>
      <c r="B842" s="55" t="s">
        <v>138</v>
      </c>
      <c r="C842" s="55" t="s">
        <v>2118</v>
      </c>
      <c r="D842" s="55"/>
      <c r="E842" s="56" t="s">
        <v>2331</v>
      </c>
      <c r="F842" s="55" t="s">
        <v>51</v>
      </c>
      <c r="G842" s="57"/>
      <c r="H842" s="58"/>
      <c r="I842" s="58"/>
      <c r="J842" s="58">
        <f>SUM(I842:I849)</f>
        <v>26.409175130000005</v>
      </c>
      <c r="K842" s="58">
        <v>8.8645554999999998</v>
      </c>
      <c r="L842" s="58">
        <v>16.495778219999998</v>
      </c>
      <c r="M842" s="58">
        <v>1.0488414100000001</v>
      </c>
      <c r="N842" s="58">
        <v>0</v>
      </c>
      <c r="O842" s="58">
        <v>-4.4408920985006262E-16</v>
      </c>
      <c r="P842" s="58"/>
      <c r="Q842" s="56"/>
      <c r="R842" s="56" t="s">
        <v>2332</v>
      </c>
      <c r="S842" s="286" t="str">
        <f t="shared" si="89"/>
        <v>SIM</v>
      </c>
      <c r="T842" s="286" t="str">
        <f>IF($C842= "", T841, IF(ISNA(VLOOKUP($C842,'ABC-S'!$A$5:$A$271,1,FALSE)), "", VLOOKUP($C842,'ABC-S'!$A$5:$A$271,1,FALSE)))</f>
        <v>CP4345</v>
      </c>
      <c r="W842" s="286" t="s">
        <v>2118</v>
      </c>
      <c r="X842" s="286"/>
      <c r="Y842" s="286"/>
      <c r="Z842" s="286"/>
      <c r="AA842" s="286" t="s">
        <v>21</v>
      </c>
      <c r="AB842" s="378">
        <v>0.57142800000000005</v>
      </c>
      <c r="AC842" s="378"/>
      <c r="AD842" s="335"/>
      <c r="AE842" s="335"/>
      <c r="AF842" s="335"/>
      <c r="AG842" s="378">
        <v>0.59999900000000006</v>
      </c>
      <c r="AI842" s="378" t="s">
        <v>21</v>
      </c>
      <c r="AJ842" s="378" t="s">
        <v>21</v>
      </c>
      <c r="AL842" s="286"/>
      <c r="AM842" s="286"/>
    </row>
    <row r="843" spans="1:39" s="51" customFormat="1" ht="22.5" x14ac:dyDescent="0.25">
      <c r="A843" s="59" t="s">
        <v>2118</v>
      </c>
      <c r="B843" s="59" t="s">
        <v>87</v>
      </c>
      <c r="C843" s="248"/>
      <c r="D843" s="59">
        <v>88262</v>
      </c>
      <c r="E843" s="60" t="s">
        <v>535</v>
      </c>
      <c r="F843" s="59" t="s">
        <v>46</v>
      </c>
      <c r="G843" s="280">
        <v>0.28571400000000002</v>
      </c>
      <c r="H843" s="396">
        <v>23.68</v>
      </c>
      <c r="I843" s="396">
        <f t="shared" ref="I843:I849" si="91">IF($D843="","",G843*H843)</f>
        <v>6.7657075200000003</v>
      </c>
      <c r="J843" s="396"/>
      <c r="K843" s="396">
        <v>5.0457092400000008</v>
      </c>
      <c r="L843" s="396">
        <v>1.71999828</v>
      </c>
      <c r="M843" s="396">
        <v>0</v>
      </c>
      <c r="N843" s="396">
        <v>0</v>
      </c>
      <c r="O843" s="396">
        <v>-8.8817841970012523E-16</v>
      </c>
      <c r="P843" s="397" t="s">
        <v>4160</v>
      </c>
      <c r="Q843" s="395" t="s">
        <v>27</v>
      </c>
      <c r="R843" s="395" t="s">
        <v>1051</v>
      </c>
      <c r="S843" s="286" t="str">
        <f t="shared" si="89"/>
        <v>SIM</v>
      </c>
      <c r="T843" s="286" t="str">
        <f>IF($C843= "", T842, IF(ISNA(VLOOKUP($C843,'ABC-S'!$A$5:$A$271,1,FALSE)), "", VLOOKUP($C843,'ABC-S'!$A$5:$A$271,1,FALSE)))</f>
        <v>CP4345</v>
      </c>
      <c r="W843" s="286" t="s">
        <v>2118</v>
      </c>
      <c r="X843" s="286">
        <v>88262</v>
      </c>
      <c r="Y843" s="286" t="s">
        <v>424</v>
      </c>
      <c r="Z843" s="286">
        <v>4011.1809200000002</v>
      </c>
      <c r="AA843" s="286">
        <v>0.28571400000000002</v>
      </c>
      <c r="AB843" s="378"/>
      <c r="AC843" s="381" t="s">
        <v>21</v>
      </c>
      <c r="AD843" s="378" t="s">
        <v>21</v>
      </c>
      <c r="AE843" s="378" t="s">
        <v>21</v>
      </c>
      <c r="AF843" s="378" t="s">
        <v>21</v>
      </c>
      <c r="AG843" s="378"/>
      <c r="AI843" s="378">
        <v>0</v>
      </c>
      <c r="AJ843" s="378">
        <v>0</v>
      </c>
      <c r="AL843" s="286"/>
      <c r="AM843" s="286">
        <v>4377</v>
      </c>
    </row>
    <row r="844" spans="1:39" s="51" customFormat="1" x14ac:dyDescent="0.25">
      <c r="A844" s="59" t="s">
        <v>2118</v>
      </c>
      <c r="B844" s="59" t="s">
        <v>87</v>
      </c>
      <c r="C844" s="59"/>
      <c r="D844" s="59">
        <v>88316</v>
      </c>
      <c r="E844" s="60" t="s">
        <v>649</v>
      </c>
      <c r="F844" s="59" t="s">
        <v>46</v>
      </c>
      <c r="G844" s="280">
        <v>0.28571400000000002</v>
      </c>
      <c r="H844" s="396">
        <v>17.61</v>
      </c>
      <c r="I844" s="396">
        <f t="shared" si="91"/>
        <v>5.0314235400000005</v>
      </c>
      <c r="J844" s="396"/>
      <c r="K844" s="396">
        <v>3.3142824000000002</v>
      </c>
      <c r="L844" s="396">
        <v>1.7171411400000001</v>
      </c>
      <c r="M844" s="396">
        <v>0</v>
      </c>
      <c r="N844" s="396">
        <v>0</v>
      </c>
      <c r="O844" s="396">
        <v>0</v>
      </c>
      <c r="P844" s="397" t="s">
        <v>4160</v>
      </c>
      <c r="Q844" s="395" t="s">
        <v>27</v>
      </c>
      <c r="R844" s="395" t="s">
        <v>1051</v>
      </c>
      <c r="S844" s="286" t="str">
        <f t="shared" si="89"/>
        <v>SIM</v>
      </c>
      <c r="T844" s="286" t="str">
        <f>IF($C844= "", T843, IF(ISNA(VLOOKUP($C844,'ABC-S'!$A$5:$A$271,1,FALSE)), "", VLOOKUP($C844,'ABC-S'!$A$5:$A$271,1,FALSE)))</f>
        <v>CP4345</v>
      </c>
      <c r="W844" s="286" t="s">
        <v>2118</v>
      </c>
      <c r="X844" s="286">
        <v>88316</v>
      </c>
      <c r="Y844" s="286" t="s">
        <v>424</v>
      </c>
      <c r="Z844" s="286">
        <v>4011.1809200000002</v>
      </c>
      <c r="AA844" s="286">
        <v>0.28571400000000002</v>
      </c>
      <c r="AB844" s="378"/>
      <c r="AC844" s="381" t="s">
        <v>21</v>
      </c>
      <c r="AD844" s="378" t="s">
        <v>21</v>
      </c>
      <c r="AE844" s="378" t="s">
        <v>21</v>
      </c>
      <c r="AF844" s="378" t="s">
        <v>21</v>
      </c>
      <c r="AG844" s="378"/>
      <c r="AI844" s="378">
        <v>0</v>
      </c>
      <c r="AJ844" s="378">
        <v>0</v>
      </c>
      <c r="AL844" s="286"/>
      <c r="AM844" s="286" t="s">
        <v>1187</v>
      </c>
    </row>
    <row r="845" spans="1:39" s="51" customFormat="1" ht="22.5" x14ac:dyDescent="0.25">
      <c r="A845" s="59" t="s">
        <v>2118</v>
      </c>
      <c r="B845" s="59" t="s">
        <v>86</v>
      </c>
      <c r="C845" s="59"/>
      <c r="D845" s="59">
        <v>39026</v>
      </c>
      <c r="E845" s="60" t="s">
        <v>712</v>
      </c>
      <c r="F845" s="59" t="s">
        <v>3669</v>
      </c>
      <c r="G845" s="280">
        <v>0.01</v>
      </c>
      <c r="H845" s="396">
        <v>22.76</v>
      </c>
      <c r="I845" s="396">
        <f t="shared" si="91"/>
        <v>0.22760000000000002</v>
      </c>
      <c r="J845" s="396"/>
      <c r="K845" s="396">
        <v>0</v>
      </c>
      <c r="L845" s="396">
        <v>0.22760000000000002</v>
      </c>
      <c r="M845" s="396">
        <v>0</v>
      </c>
      <c r="N845" s="396">
        <v>0</v>
      </c>
      <c r="O845" s="396">
        <v>0</v>
      </c>
      <c r="P845" s="397" t="s">
        <v>89</v>
      </c>
      <c r="Q845" s="395" t="s">
        <v>27</v>
      </c>
      <c r="R845" s="395" t="s">
        <v>1051</v>
      </c>
      <c r="S845" s="286" t="str">
        <f t="shared" si="89"/>
        <v>SIM</v>
      </c>
      <c r="T845" s="286" t="str">
        <f>IF($C845= "", T844, IF(ISNA(VLOOKUP($C845,'ABC-S'!$A$5:$A$271,1,FALSE)), "", VLOOKUP($C845,'ABC-S'!$A$5:$A$271,1,FALSE)))</f>
        <v>CP4345</v>
      </c>
      <c r="W845" s="286" t="s">
        <v>2118</v>
      </c>
      <c r="X845" s="286" t="s">
        <v>21</v>
      </c>
      <c r="Y845" s="286" t="s">
        <v>21</v>
      </c>
      <c r="Z845" s="286" t="s">
        <v>21</v>
      </c>
      <c r="AA845" s="286" t="s">
        <v>21</v>
      </c>
      <c r="AB845" s="378"/>
      <c r="AC845" s="381" t="s">
        <v>21</v>
      </c>
      <c r="AD845" s="378" t="s">
        <v>21</v>
      </c>
      <c r="AE845" s="378" t="s">
        <v>21</v>
      </c>
      <c r="AF845" s="378" t="s">
        <v>21</v>
      </c>
      <c r="AG845" s="378"/>
      <c r="AI845" s="378" t="s">
        <v>21</v>
      </c>
      <c r="AJ845" s="378" t="s">
        <v>21</v>
      </c>
      <c r="AL845" s="286"/>
      <c r="AM845" s="286">
        <v>39961</v>
      </c>
    </row>
    <row r="846" spans="1:39" s="51" customFormat="1" ht="22.5" x14ac:dyDescent="0.25">
      <c r="A846" s="59" t="s">
        <v>2118</v>
      </c>
      <c r="B846" s="59" t="s">
        <v>86</v>
      </c>
      <c r="C846" s="59"/>
      <c r="D846" s="59">
        <v>6194</v>
      </c>
      <c r="E846" s="60" t="s">
        <v>1180</v>
      </c>
      <c r="F846" s="59" t="s">
        <v>3667</v>
      </c>
      <c r="G846" s="280">
        <v>0.2</v>
      </c>
      <c r="H846" s="396">
        <v>4.63</v>
      </c>
      <c r="I846" s="396">
        <f t="shared" si="91"/>
        <v>0.92600000000000005</v>
      </c>
      <c r="J846" s="396"/>
      <c r="K846" s="396">
        <v>0</v>
      </c>
      <c r="L846" s="396">
        <v>0.92600000000000005</v>
      </c>
      <c r="M846" s="396">
        <v>0</v>
      </c>
      <c r="N846" s="396">
        <v>0</v>
      </c>
      <c r="O846" s="396">
        <v>0</v>
      </c>
      <c r="P846" s="397" t="s">
        <v>89</v>
      </c>
      <c r="Q846" s="395" t="s">
        <v>27</v>
      </c>
      <c r="R846" s="395" t="s">
        <v>1051</v>
      </c>
      <c r="S846" s="286" t="str">
        <f t="shared" si="89"/>
        <v>SIM</v>
      </c>
      <c r="T846" s="286" t="str">
        <f>IF($C846= "", T845, IF(ISNA(VLOOKUP($C846,'ABC-S'!$A$5:$A$271,1,FALSE)), "", VLOOKUP($C846,'ABC-S'!$A$5:$A$271,1,FALSE)))</f>
        <v>CP4345</v>
      </c>
      <c r="W846" s="286" t="s">
        <v>2118</v>
      </c>
      <c r="X846" s="286" t="s">
        <v>21</v>
      </c>
      <c r="Y846" s="286" t="s">
        <v>21</v>
      </c>
      <c r="Z846" s="286" t="s">
        <v>21</v>
      </c>
      <c r="AA846" s="286" t="s">
        <v>21</v>
      </c>
      <c r="AB846" s="378"/>
      <c r="AC846" s="381" t="s">
        <v>21</v>
      </c>
      <c r="AD846" s="378" t="s">
        <v>21</v>
      </c>
      <c r="AE846" s="378" t="s">
        <v>21</v>
      </c>
      <c r="AF846" s="378" t="s">
        <v>21</v>
      </c>
      <c r="AG846" s="378"/>
      <c r="AI846" s="378" t="s">
        <v>21</v>
      </c>
      <c r="AJ846" s="378" t="s">
        <v>21</v>
      </c>
      <c r="AL846" s="286"/>
      <c r="AM846" s="286">
        <v>39961</v>
      </c>
    </row>
    <row r="847" spans="1:39" s="51" customFormat="1" ht="33.75" x14ac:dyDescent="0.25">
      <c r="A847" s="59" t="s">
        <v>2118</v>
      </c>
      <c r="B847" s="59" t="s">
        <v>86</v>
      </c>
      <c r="C847" s="59"/>
      <c r="D847" s="59">
        <v>4437</v>
      </c>
      <c r="E847" s="60" t="s">
        <v>1474</v>
      </c>
      <c r="F847" s="59" t="s">
        <v>3667</v>
      </c>
      <c r="G847" s="280">
        <v>0.1</v>
      </c>
      <c r="H847" s="396">
        <v>82.16</v>
      </c>
      <c r="I847" s="396">
        <f t="shared" si="91"/>
        <v>8.2159999999999993</v>
      </c>
      <c r="J847" s="396"/>
      <c r="K847" s="396">
        <v>0</v>
      </c>
      <c r="L847" s="396">
        <v>8.2159999999999993</v>
      </c>
      <c r="M847" s="396">
        <v>0</v>
      </c>
      <c r="N847" s="396">
        <v>0</v>
      </c>
      <c r="O847" s="396">
        <v>0</v>
      </c>
      <c r="P847" s="397" t="s">
        <v>89</v>
      </c>
      <c r="Q847" s="395" t="s">
        <v>27</v>
      </c>
      <c r="R847" s="395" t="s">
        <v>1051</v>
      </c>
      <c r="S847" s="286" t="str">
        <f t="shared" si="89"/>
        <v>SIM</v>
      </c>
      <c r="T847" s="286" t="str">
        <f>IF($C847= "", T846, IF(ISNA(VLOOKUP($C847,'ABC-S'!$A$5:$A$271,1,FALSE)), "", VLOOKUP($C847,'ABC-S'!$A$5:$A$271,1,FALSE)))</f>
        <v>CP4345</v>
      </c>
      <c r="W847" s="286" t="s">
        <v>2118</v>
      </c>
      <c r="X847" s="286" t="s">
        <v>21</v>
      </c>
      <c r="Y847" s="286" t="s">
        <v>21</v>
      </c>
      <c r="Z847" s="286" t="s">
        <v>21</v>
      </c>
      <c r="AA847" s="286" t="s">
        <v>21</v>
      </c>
      <c r="AB847" s="378"/>
      <c r="AC847" s="381" t="s">
        <v>21</v>
      </c>
      <c r="AD847" s="378" t="s">
        <v>21</v>
      </c>
      <c r="AE847" s="378" t="s">
        <v>21</v>
      </c>
      <c r="AF847" s="378" t="s">
        <v>21</v>
      </c>
      <c r="AG847" s="378"/>
      <c r="AI847" s="378" t="s">
        <v>21</v>
      </c>
      <c r="AJ847" s="378" t="s">
        <v>21</v>
      </c>
      <c r="AL847" s="286"/>
      <c r="AM847" s="286">
        <v>39961</v>
      </c>
    </row>
    <row r="848" spans="1:39" s="51" customFormat="1" ht="22.5" x14ac:dyDescent="0.25">
      <c r="A848" s="59" t="s">
        <v>2118</v>
      </c>
      <c r="B848" s="59" t="s">
        <v>86</v>
      </c>
      <c r="C848" s="59"/>
      <c r="D848" s="59">
        <v>4491</v>
      </c>
      <c r="E848" s="60" t="s">
        <v>1176</v>
      </c>
      <c r="F848" s="59" t="s">
        <v>3667</v>
      </c>
      <c r="G848" s="280">
        <v>0.38</v>
      </c>
      <c r="H848" s="396">
        <v>6.49</v>
      </c>
      <c r="I848" s="396">
        <f t="shared" si="91"/>
        <v>2.4662000000000002</v>
      </c>
      <c r="J848" s="396"/>
      <c r="K848" s="396">
        <v>0</v>
      </c>
      <c r="L848" s="396">
        <v>2.4662000000000002</v>
      </c>
      <c r="M848" s="396">
        <v>0</v>
      </c>
      <c r="N848" s="396">
        <v>0</v>
      </c>
      <c r="O848" s="396">
        <v>0</v>
      </c>
      <c r="P848" s="397" t="s">
        <v>89</v>
      </c>
      <c r="Q848" s="395" t="s">
        <v>27</v>
      </c>
      <c r="R848" s="395" t="s">
        <v>1051</v>
      </c>
      <c r="S848" s="286" t="str">
        <f t="shared" si="89"/>
        <v>SIM</v>
      </c>
      <c r="T848" s="286" t="str">
        <f>IF($C848= "", T847, IF(ISNA(VLOOKUP($C848,'ABC-S'!$A$5:$A$271,1,FALSE)), "", VLOOKUP($C848,'ABC-S'!$A$5:$A$271,1,FALSE)))</f>
        <v>CP4345</v>
      </c>
      <c r="W848" s="286" t="s">
        <v>2118</v>
      </c>
      <c r="X848" s="286" t="s">
        <v>21</v>
      </c>
      <c r="Y848" s="286" t="s">
        <v>21</v>
      </c>
      <c r="Z848" s="335" t="s">
        <v>21</v>
      </c>
      <c r="AA848" s="286" t="s">
        <v>21</v>
      </c>
      <c r="AB848" s="378"/>
      <c r="AC848" s="381" t="s">
        <v>21</v>
      </c>
      <c r="AD848" s="378" t="s">
        <v>21</v>
      </c>
      <c r="AE848" s="378" t="s">
        <v>21</v>
      </c>
      <c r="AF848" s="378" t="s">
        <v>21</v>
      </c>
      <c r="AG848" s="378"/>
      <c r="AI848" s="378" t="s">
        <v>21</v>
      </c>
      <c r="AJ848" s="378" t="s">
        <v>21</v>
      </c>
      <c r="AL848" s="286">
        <v>88309</v>
      </c>
      <c r="AM848" s="286"/>
    </row>
    <row r="849" spans="1:39" s="51" customFormat="1" ht="56.25" x14ac:dyDescent="0.25">
      <c r="A849" s="59" t="s">
        <v>2118</v>
      </c>
      <c r="B849" s="59" t="s">
        <v>87</v>
      </c>
      <c r="C849" s="59"/>
      <c r="D849" s="59">
        <v>5680</v>
      </c>
      <c r="E849" s="60" t="s">
        <v>637</v>
      </c>
      <c r="F849" s="59" t="s">
        <v>76</v>
      </c>
      <c r="G849" s="280">
        <v>2.8570999999999999E-2</v>
      </c>
      <c r="H849" s="396">
        <v>97.17</v>
      </c>
      <c r="I849" s="396">
        <f t="shared" si="91"/>
        <v>2.7762440700000002</v>
      </c>
      <c r="J849" s="396"/>
      <c r="K849" s="396">
        <v>0.50456385999999998</v>
      </c>
      <c r="L849" s="396">
        <v>1.2228387999999999</v>
      </c>
      <c r="M849" s="396">
        <v>1.0488414100000001</v>
      </c>
      <c r="N849" s="396">
        <v>0</v>
      </c>
      <c r="O849" s="396">
        <v>4.4408920985006262E-16</v>
      </c>
      <c r="P849" s="397" t="s">
        <v>4160</v>
      </c>
      <c r="Q849" s="395" t="s">
        <v>27</v>
      </c>
      <c r="R849" s="395" t="s">
        <v>1051</v>
      </c>
      <c r="S849" s="286" t="str">
        <f t="shared" si="89"/>
        <v>SIM</v>
      </c>
      <c r="T849" s="286" t="str">
        <f>IF($C849= "", T848, IF(ISNA(VLOOKUP($C849,'ABC-S'!$A$5:$A$271,1,FALSE)), "", VLOOKUP($C849,'ABC-S'!$A$5:$A$271,1,FALSE)))</f>
        <v>CP4345</v>
      </c>
      <c r="W849" s="286" t="s">
        <v>2118</v>
      </c>
      <c r="X849" s="286" t="s">
        <v>21</v>
      </c>
      <c r="Y849" s="286" t="s">
        <v>423</v>
      </c>
      <c r="Z849" s="335" t="s">
        <v>21</v>
      </c>
      <c r="AA849" s="286" t="s">
        <v>21</v>
      </c>
      <c r="AB849" s="378"/>
      <c r="AC849" s="381">
        <v>5680</v>
      </c>
      <c r="AD849" s="378">
        <v>2.8570999999999999E-2</v>
      </c>
      <c r="AE849" s="378">
        <v>1</v>
      </c>
      <c r="AF849" s="378">
        <v>2.8570999999999999E-2</v>
      </c>
      <c r="AG849" s="378"/>
      <c r="AI849" s="378">
        <v>0</v>
      </c>
      <c r="AJ849" s="378">
        <v>0</v>
      </c>
      <c r="AL849" s="286">
        <v>88316</v>
      </c>
      <c r="AM849" s="286"/>
    </row>
    <row r="850" spans="1:39" s="51" customFormat="1" ht="22.5" x14ac:dyDescent="0.25">
      <c r="A850" s="55" t="s">
        <v>164</v>
      </c>
      <c r="B850" s="55" t="s">
        <v>138</v>
      </c>
      <c r="C850" s="55" t="s">
        <v>164</v>
      </c>
      <c r="D850" s="55"/>
      <c r="E850" s="56" t="s">
        <v>3638</v>
      </c>
      <c r="F850" s="55" t="s">
        <v>55</v>
      </c>
      <c r="G850" s="57"/>
      <c r="H850" s="58"/>
      <c r="I850" s="58"/>
      <c r="J850" s="58">
        <f>SUM(I850:I851)</f>
        <v>12.23</v>
      </c>
      <c r="K850" s="58">
        <v>0</v>
      </c>
      <c r="L850" s="58">
        <v>0</v>
      </c>
      <c r="M850" s="58">
        <v>0</v>
      </c>
      <c r="N850" s="58">
        <v>12.23</v>
      </c>
      <c r="O850" s="58">
        <v>0</v>
      </c>
      <c r="P850" s="58"/>
      <c r="Q850" s="56"/>
      <c r="R850" s="56" t="s">
        <v>137</v>
      </c>
      <c r="S850" s="286" t="str">
        <f t="shared" si="89"/>
        <v>SIM</v>
      </c>
      <c r="T850" s="286" t="str">
        <f>IF($C850= "", T849, IF(ISNA(VLOOKUP($C850,'ABC-S'!$A$5:$A$271,1,FALSE)), "", VLOOKUP($C850,'ABC-S'!$A$5:$A$271,1,FALSE)))</f>
        <v>CP9001</v>
      </c>
      <c r="W850" s="286" t="s">
        <v>164</v>
      </c>
      <c r="X850" s="286"/>
      <c r="Y850" s="286"/>
      <c r="Z850" s="286"/>
      <c r="AA850" s="286" t="s">
        <v>21</v>
      </c>
      <c r="AB850" s="378">
        <v>0</v>
      </c>
      <c r="AC850" s="378"/>
      <c r="AD850" s="335"/>
      <c r="AE850" s="335"/>
      <c r="AF850" s="335"/>
      <c r="AG850" s="378">
        <v>0</v>
      </c>
      <c r="AI850" s="378" t="s">
        <v>21</v>
      </c>
      <c r="AJ850" s="378" t="s">
        <v>21</v>
      </c>
      <c r="AL850" s="286"/>
      <c r="AM850" s="286"/>
    </row>
    <row r="851" spans="1:39" s="51" customFormat="1" ht="33.75" x14ac:dyDescent="0.25">
      <c r="A851" s="59" t="s">
        <v>164</v>
      </c>
      <c r="B851" s="59" t="s">
        <v>86</v>
      </c>
      <c r="C851" s="59"/>
      <c r="D851" s="59" t="s">
        <v>162</v>
      </c>
      <c r="E851" s="60" t="s">
        <v>3643</v>
      </c>
      <c r="F851" s="59" t="s">
        <v>55</v>
      </c>
      <c r="G851" s="61">
        <v>1</v>
      </c>
      <c r="H851" s="62">
        <v>12.23</v>
      </c>
      <c r="I851" s="62">
        <f>IF($D851="","",G851*H851)</f>
        <v>12.23</v>
      </c>
      <c r="J851" s="62"/>
      <c r="K851" s="62">
        <v>0</v>
      </c>
      <c r="L851" s="62">
        <v>0</v>
      </c>
      <c r="M851" s="62">
        <v>0</v>
      </c>
      <c r="N851" s="62">
        <v>12.23</v>
      </c>
      <c r="O851" s="62">
        <v>0</v>
      </c>
      <c r="P851" s="298" t="s">
        <v>88</v>
      </c>
      <c r="Q851" s="60" t="s">
        <v>27</v>
      </c>
      <c r="R851" s="60" t="s">
        <v>133</v>
      </c>
      <c r="S851" s="286" t="str">
        <f t="shared" si="89"/>
        <v>SIM</v>
      </c>
      <c r="T851" s="286" t="str">
        <f>IF($C851= "", T850, IF(ISNA(VLOOKUP($C851,'ABC-S'!$A$5:$A$271,1,FALSE)), "", VLOOKUP($C851,'ABC-S'!$A$5:$A$271,1,FALSE)))</f>
        <v>CP9001</v>
      </c>
      <c r="W851" s="286" t="s">
        <v>164</v>
      </c>
      <c r="X851" s="286" t="s">
        <v>21</v>
      </c>
      <c r="Y851" s="286" t="s">
        <v>21</v>
      </c>
      <c r="Z851" s="286" t="s">
        <v>21</v>
      </c>
      <c r="AA851" s="286" t="s">
        <v>21</v>
      </c>
      <c r="AB851" s="378"/>
      <c r="AC851" s="381" t="s">
        <v>21</v>
      </c>
      <c r="AD851" s="378" t="s">
        <v>21</v>
      </c>
      <c r="AE851" s="378" t="s">
        <v>21</v>
      </c>
      <c r="AF851" s="378" t="s">
        <v>21</v>
      </c>
      <c r="AG851" s="378"/>
      <c r="AI851" s="378" t="s">
        <v>21</v>
      </c>
      <c r="AJ851" s="378" t="s">
        <v>21</v>
      </c>
      <c r="AL851" s="286"/>
      <c r="AM851" s="286" t="s">
        <v>162</v>
      </c>
    </row>
    <row r="852" spans="1:39" s="51" customFormat="1" ht="33.75" x14ac:dyDescent="0.25">
      <c r="A852" s="55" t="s">
        <v>237</v>
      </c>
      <c r="B852" s="55" t="s">
        <v>138</v>
      </c>
      <c r="C852" s="55" t="s">
        <v>237</v>
      </c>
      <c r="D852" s="55"/>
      <c r="E852" s="56" t="s">
        <v>238</v>
      </c>
      <c r="F852" s="55" t="s">
        <v>46</v>
      </c>
      <c r="G852" s="57"/>
      <c r="H852" s="58"/>
      <c r="I852" s="58"/>
      <c r="J852" s="58">
        <f>SUM(I852:I855)</f>
        <v>290.7</v>
      </c>
      <c r="K852" s="58">
        <v>23.2</v>
      </c>
      <c r="L852" s="58">
        <v>12.02</v>
      </c>
      <c r="M852" s="58">
        <v>255.48</v>
      </c>
      <c r="N852" s="58">
        <v>0</v>
      </c>
      <c r="O852" s="58">
        <v>0</v>
      </c>
      <c r="P852" s="58"/>
      <c r="Q852" s="56"/>
      <c r="R852" s="56" t="s">
        <v>446</v>
      </c>
      <c r="S852" s="286" t="str">
        <f t="shared" si="89"/>
        <v>SIM</v>
      </c>
      <c r="T852" s="286" t="str">
        <f>IF($C852= "", T851, IF(ISNA(VLOOKUP($C852,'ABC-S'!$A$5:$A$271,1,FALSE)), "", VLOOKUP($C852,'ABC-S'!$A$5:$A$271,1,FALSE)))</f>
        <v>CP9002</v>
      </c>
      <c r="W852" s="286" t="s">
        <v>237</v>
      </c>
      <c r="X852" s="286"/>
      <c r="Y852" s="286"/>
      <c r="Z852" s="286"/>
      <c r="AA852" s="286" t="s">
        <v>21</v>
      </c>
      <c r="AB852" s="378">
        <v>2</v>
      </c>
      <c r="AC852" s="378"/>
      <c r="AD852" s="335"/>
      <c r="AE852" s="335"/>
      <c r="AF852" s="335"/>
      <c r="AG852" s="378">
        <v>2</v>
      </c>
      <c r="AI852" s="378" t="s">
        <v>21</v>
      </c>
      <c r="AJ852" s="378" t="s">
        <v>21</v>
      </c>
      <c r="AL852" s="286"/>
      <c r="AM852" s="286"/>
    </row>
    <row r="853" spans="1:39" s="51" customFormat="1" ht="22.5" x14ac:dyDescent="0.25">
      <c r="A853" s="59" t="s">
        <v>237</v>
      </c>
      <c r="B853" s="59" t="s">
        <v>86</v>
      </c>
      <c r="C853" s="248"/>
      <c r="D853" s="59" t="s">
        <v>285</v>
      </c>
      <c r="E853" s="60" t="s">
        <v>4157</v>
      </c>
      <c r="F853" s="59" t="s">
        <v>46</v>
      </c>
      <c r="G853" s="61">
        <f>0.875*2</f>
        <v>1.75</v>
      </c>
      <c r="H853" s="62">
        <v>127.74</v>
      </c>
      <c r="I853" s="62">
        <f>IF($D853="","",G853*H853)</f>
        <v>223.54499999999999</v>
      </c>
      <c r="J853" s="62"/>
      <c r="K853" s="62">
        <v>0</v>
      </c>
      <c r="L853" s="62">
        <v>0</v>
      </c>
      <c r="M853" s="62">
        <v>223.54499999999999</v>
      </c>
      <c r="N853" s="62">
        <v>0</v>
      </c>
      <c r="O853" s="62">
        <v>0</v>
      </c>
      <c r="P853" s="298" t="s">
        <v>423</v>
      </c>
      <c r="Q853" s="60" t="s">
        <v>174</v>
      </c>
      <c r="R853" s="60" t="s">
        <v>138</v>
      </c>
      <c r="S853" s="286" t="str">
        <f t="shared" si="89"/>
        <v>SIM</v>
      </c>
      <c r="T853" s="286" t="str">
        <f>IF($C853= "", T852, IF(ISNA(VLOOKUP($C853,'ABC-S'!$A$5:$A$271,1,FALSE)), "", VLOOKUP($C853,'ABC-S'!$A$5:$A$271,1,FALSE)))</f>
        <v>CP9002</v>
      </c>
      <c r="W853" s="286" t="s">
        <v>237</v>
      </c>
      <c r="X853" s="286" t="s">
        <v>21</v>
      </c>
      <c r="Y853" s="286" t="s">
        <v>21</v>
      </c>
      <c r="Z853" s="286" t="s">
        <v>21</v>
      </c>
      <c r="AA853" s="286" t="s">
        <v>21</v>
      </c>
      <c r="AB853" s="378"/>
      <c r="AC853" s="381" t="s">
        <v>21</v>
      </c>
      <c r="AD853" s="378" t="s">
        <v>21</v>
      </c>
      <c r="AE853" s="378" t="s">
        <v>21</v>
      </c>
      <c r="AF853" s="378" t="s">
        <v>21</v>
      </c>
      <c r="AG853" s="378"/>
      <c r="AI853" s="378" t="s">
        <v>21</v>
      </c>
      <c r="AJ853" s="378" t="s">
        <v>21</v>
      </c>
      <c r="AL853" s="286"/>
      <c r="AM853" s="286" t="s">
        <v>285</v>
      </c>
    </row>
    <row r="854" spans="1:39" s="51" customFormat="1" ht="22.5" x14ac:dyDescent="0.25">
      <c r="A854" s="59" t="s">
        <v>237</v>
      </c>
      <c r="B854" s="59" t="s">
        <v>86</v>
      </c>
      <c r="C854" s="248"/>
      <c r="D854" s="59" t="s">
        <v>285</v>
      </c>
      <c r="E854" s="60" t="s">
        <v>4157</v>
      </c>
      <c r="F854" s="59" t="s">
        <v>46</v>
      </c>
      <c r="G854" s="61">
        <f>0.125*2</f>
        <v>0.25</v>
      </c>
      <c r="H854" s="62">
        <v>127.74</v>
      </c>
      <c r="I854" s="62">
        <f>IF($D854="","",G854*H854)</f>
        <v>31.934999999999999</v>
      </c>
      <c r="J854" s="62"/>
      <c r="K854" s="62">
        <v>0</v>
      </c>
      <c r="L854" s="62">
        <v>0</v>
      </c>
      <c r="M854" s="62">
        <v>31.934999999999999</v>
      </c>
      <c r="N854" s="62">
        <v>0</v>
      </c>
      <c r="O854" s="62">
        <v>0</v>
      </c>
      <c r="P854" s="298" t="s">
        <v>423</v>
      </c>
      <c r="Q854" s="60" t="s">
        <v>174</v>
      </c>
      <c r="R854" s="60" t="s">
        <v>138</v>
      </c>
      <c r="S854" s="286" t="str">
        <f t="shared" si="89"/>
        <v>SIM</v>
      </c>
      <c r="T854" s="286" t="str">
        <f>IF($C854= "", T853, IF(ISNA(VLOOKUP($C854,'ABC-S'!$A$5:$A$271,1,FALSE)), "", VLOOKUP($C854,'ABC-S'!$A$5:$A$271,1,FALSE)))</f>
        <v>CP9002</v>
      </c>
      <c r="W854" s="286" t="s">
        <v>237</v>
      </c>
      <c r="X854" s="286" t="s">
        <v>21</v>
      </c>
      <c r="Y854" s="286" t="s">
        <v>21</v>
      </c>
      <c r="Z854" s="286" t="s">
        <v>21</v>
      </c>
      <c r="AA854" s="286" t="s">
        <v>21</v>
      </c>
      <c r="AB854" s="378"/>
      <c r="AC854" s="381" t="s">
        <v>21</v>
      </c>
      <c r="AD854" s="378" t="s">
        <v>21</v>
      </c>
      <c r="AE854" s="378" t="s">
        <v>21</v>
      </c>
      <c r="AF854" s="378" t="s">
        <v>21</v>
      </c>
      <c r="AG854" s="378"/>
      <c r="AI854" s="378" t="s">
        <v>21</v>
      </c>
      <c r="AJ854" s="378" t="s">
        <v>21</v>
      </c>
      <c r="AL854" s="286"/>
      <c r="AM854" s="286" t="s">
        <v>285</v>
      </c>
    </row>
    <row r="855" spans="1:39" s="51" customFormat="1" x14ac:dyDescent="0.25">
      <c r="A855" s="59" t="s">
        <v>237</v>
      </c>
      <c r="B855" s="59" t="s">
        <v>87</v>
      </c>
      <c r="C855" s="248"/>
      <c r="D855" s="59">
        <v>88316</v>
      </c>
      <c r="E855" s="60" t="s">
        <v>649</v>
      </c>
      <c r="F855" s="59" t="s">
        <v>46</v>
      </c>
      <c r="G855" s="61">
        <v>2</v>
      </c>
      <c r="H855" s="62">
        <v>17.61</v>
      </c>
      <c r="I855" s="62">
        <f>IF($D855="","",G855*H855)</f>
        <v>35.22</v>
      </c>
      <c r="J855" s="62"/>
      <c r="K855" s="62">
        <v>23.2</v>
      </c>
      <c r="L855" s="62">
        <v>12.02</v>
      </c>
      <c r="M855" s="62">
        <v>0</v>
      </c>
      <c r="N855" s="62">
        <v>0</v>
      </c>
      <c r="O855" s="62">
        <v>0</v>
      </c>
      <c r="P855" s="298" t="s">
        <v>4160</v>
      </c>
      <c r="Q855" s="60" t="s">
        <v>27</v>
      </c>
      <c r="R855" s="60" t="s">
        <v>138</v>
      </c>
      <c r="S855" s="286" t="str">
        <f t="shared" si="89"/>
        <v>SIM</v>
      </c>
      <c r="T855" s="286" t="str">
        <f>IF($C855= "", T854, IF(ISNA(VLOOKUP($C855,'ABC-S'!$A$5:$A$271,1,FALSE)), "", VLOOKUP($C855,'ABC-S'!$A$5:$A$271,1,FALSE)))</f>
        <v>CP9002</v>
      </c>
      <c r="W855" s="286" t="s">
        <v>237</v>
      </c>
      <c r="X855" s="286">
        <v>88316</v>
      </c>
      <c r="Y855" s="286" t="s">
        <v>424</v>
      </c>
      <c r="Z855" s="335">
        <v>88</v>
      </c>
      <c r="AA855" s="286">
        <v>2</v>
      </c>
      <c r="AB855" s="378"/>
      <c r="AC855" s="381" t="s">
        <v>21</v>
      </c>
      <c r="AD855" s="378" t="s">
        <v>21</v>
      </c>
      <c r="AE855" s="378" t="s">
        <v>21</v>
      </c>
      <c r="AF855" s="378" t="s">
        <v>21</v>
      </c>
      <c r="AG855" s="378"/>
      <c r="AI855" s="378">
        <v>0</v>
      </c>
      <c r="AJ855" s="378">
        <v>0</v>
      </c>
      <c r="AL855" s="286">
        <v>88316</v>
      </c>
      <c r="AM855" s="286"/>
    </row>
    <row r="856" spans="1:39" s="51" customFormat="1" ht="45" x14ac:dyDescent="0.25">
      <c r="A856" s="55" t="s">
        <v>239</v>
      </c>
      <c r="B856" s="55" t="s">
        <v>138</v>
      </c>
      <c r="C856" s="55" t="s">
        <v>239</v>
      </c>
      <c r="D856" s="55"/>
      <c r="E856" s="56" t="s">
        <v>240</v>
      </c>
      <c r="F856" s="55" t="s">
        <v>46</v>
      </c>
      <c r="G856" s="57"/>
      <c r="H856" s="58"/>
      <c r="I856" s="58"/>
      <c r="J856" s="58">
        <f>SUM(I856:I859)</f>
        <v>427.68000000000006</v>
      </c>
      <c r="K856" s="58">
        <v>46.4</v>
      </c>
      <c r="L856" s="58">
        <v>24.04</v>
      </c>
      <c r="M856" s="58">
        <v>357.24</v>
      </c>
      <c r="N856" s="58">
        <v>0</v>
      </c>
      <c r="O856" s="58">
        <v>0</v>
      </c>
      <c r="P856" s="58"/>
      <c r="Q856" s="56"/>
      <c r="R856" s="56" t="s">
        <v>447</v>
      </c>
      <c r="S856" s="286" t="str">
        <f t="shared" si="89"/>
        <v>SIM</v>
      </c>
      <c r="T856" s="286" t="str">
        <f>IF($C856= "", T855, IF(ISNA(VLOOKUP($C856,'ABC-S'!$A$5:$A$271,1,FALSE)), "", VLOOKUP($C856,'ABC-S'!$A$5:$A$271,1,FALSE)))</f>
        <v>CP9003</v>
      </c>
      <c r="W856" s="286" t="s">
        <v>239</v>
      </c>
      <c r="X856" s="286"/>
      <c r="Y856" s="286"/>
      <c r="Z856" s="286"/>
      <c r="AA856" s="286" t="s">
        <v>21</v>
      </c>
      <c r="AB856" s="378">
        <v>4</v>
      </c>
      <c r="AC856" s="378"/>
      <c r="AD856" s="335"/>
      <c r="AE856" s="335"/>
      <c r="AF856" s="335"/>
      <c r="AG856" s="378">
        <v>4</v>
      </c>
      <c r="AI856" s="378" t="s">
        <v>21</v>
      </c>
      <c r="AJ856" s="378" t="s">
        <v>21</v>
      </c>
      <c r="AL856" s="286"/>
      <c r="AM856" s="286"/>
    </row>
    <row r="857" spans="1:39" s="51" customFormat="1" ht="22.5" x14ac:dyDescent="0.25">
      <c r="A857" s="59" t="s">
        <v>239</v>
      </c>
      <c r="B857" s="59" t="s">
        <v>86</v>
      </c>
      <c r="C857" s="248"/>
      <c r="D857" s="59" t="s">
        <v>284</v>
      </c>
      <c r="E857" s="60" t="s">
        <v>4158</v>
      </c>
      <c r="F857" s="59" t="s">
        <v>46</v>
      </c>
      <c r="G857" s="61">
        <f>0.875*2</f>
        <v>1.75</v>
      </c>
      <c r="H857" s="62">
        <v>178.62</v>
      </c>
      <c r="I857" s="62">
        <f>IF($D857="","",G857*H857)</f>
        <v>312.58500000000004</v>
      </c>
      <c r="J857" s="62"/>
      <c r="K857" s="62">
        <v>0</v>
      </c>
      <c r="L857" s="62">
        <v>0</v>
      </c>
      <c r="M857" s="62">
        <v>312.58500000000004</v>
      </c>
      <c r="N857" s="62">
        <v>0</v>
      </c>
      <c r="O857" s="62">
        <v>0</v>
      </c>
      <c r="P857" s="298" t="s">
        <v>423</v>
      </c>
      <c r="Q857" s="60" t="s">
        <v>174</v>
      </c>
      <c r="R857" s="60" t="s">
        <v>138</v>
      </c>
      <c r="S857" s="286" t="str">
        <f t="shared" si="89"/>
        <v>SIM</v>
      </c>
      <c r="T857" s="286" t="str">
        <f>IF($C857= "", T856, IF(ISNA(VLOOKUP($C857,'ABC-S'!$A$5:$A$271,1,FALSE)), "", VLOOKUP($C857,'ABC-S'!$A$5:$A$271,1,FALSE)))</f>
        <v>CP9003</v>
      </c>
      <c r="W857" s="286" t="s">
        <v>239</v>
      </c>
      <c r="X857" s="286" t="s">
        <v>21</v>
      </c>
      <c r="Y857" s="286" t="s">
        <v>21</v>
      </c>
      <c r="Z857" s="286" t="s">
        <v>21</v>
      </c>
      <c r="AA857" s="286" t="s">
        <v>21</v>
      </c>
      <c r="AB857" s="378"/>
      <c r="AC857" s="381" t="s">
        <v>21</v>
      </c>
      <c r="AD857" s="378" t="s">
        <v>21</v>
      </c>
      <c r="AE857" s="378" t="s">
        <v>21</v>
      </c>
      <c r="AF857" s="378" t="s">
        <v>21</v>
      </c>
      <c r="AG857" s="378"/>
      <c r="AI857" s="378" t="s">
        <v>21</v>
      </c>
      <c r="AJ857" s="378" t="s">
        <v>21</v>
      </c>
      <c r="AL857" s="286"/>
      <c r="AM857" s="286" t="s">
        <v>284</v>
      </c>
    </row>
    <row r="858" spans="1:39" s="51" customFormat="1" x14ac:dyDescent="0.25">
      <c r="A858" s="59" t="s">
        <v>239</v>
      </c>
      <c r="B858" s="59" t="s">
        <v>87</v>
      </c>
      <c r="C858" s="248"/>
      <c r="D858" s="59">
        <v>88316</v>
      </c>
      <c r="E858" s="60" t="s">
        <v>649</v>
      </c>
      <c r="F858" s="59" t="s">
        <v>46</v>
      </c>
      <c r="G858" s="61">
        <v>4</v>
      </c>
      <c r="H858" s="62">
        <v>17.61</v>
      </c>
      <c r="I858" s="62">
        <f>IF($D858="","",G858*H858)</f>
        <v>70.44</v>
      </c>
      <c r="J858" s="62"/>
      <c r="K858" s="62">
        <v>46.4</v>
      </c>
      <c r="L858" s="62">
        <v>24.04</v>
      </c>
      <c r="M858" s="62">
        <v>0</v>
      </c>
      <c r="N858" s="62">
        <v>0</v>
      </c>
      <c r="O858" s="62">
        <v>0</v>
      </c>
      <c r="P858" s="298" t="s">
        <v>4160</v>
      </c>
      <c r="Q858" s="60" t="s">
        <v>27</v>
      </c>
      <c r="R858" s="60" t="s">
        <v>138</v>
      </c>
      <c r="S858" s="286" t="str">
        <f t="shared" si="89"/>
        <v>SIM</v>
      </c>
      <c r="T858" s="286" t="str">
        <f>IF($C858= "", T857, IF(ISNA(VLOOKUP($C858,'ABC-S'!$A$5:$A$271,1,FALSE)), "", VLOOKUP($C858,'ABC-S'!$A$5:$A$271,1,FALSE)))</f>
        <v>CP9003</v>
      </c>
      <c r="W858" s="286" t="s">
        <v>239</v>
      </c>
      <c r="X858" s="286">
        <v>88316</v>
      </c>
      <c r="Y858" s="286" t="s">
        <v>424</v>
      </c>
      <c r="Z858" s="335">
        <v>88</v>
      </c>
      <c r="AA858" s="286">
        <v>4</v>
      </c>
      <c r="AB858" s="378"/>
      <c r="AC858" s="381" t="s">
        <v>21</v>
      </c>
      <c r="AD858" s="378" t="s">
        <v>21</v>
      </c>
      <c r="AE858" s="378" t="s">
        <v>21</v>
      </c>
      <c r="AF858" s="378" t="s">
        <v>21</v>
      </c>
      <c r="AG858" s="378"/>
      <c r="AI858" s="378">
        <v>0</v>
      </c>
      <c r="AJ858" s="378">
        <v>0</v>
      </c>
      <c r="AL858" s="286">
        <v>88316</v>
      </c>
      <c r="AM858" s="286"/>
    </row>
    <row r="859" spans="1:39" s="51" customFormat="1" ht="22.5" x14ac:dyDescent="0.25">
      <c r="A859" s="59" t="s">
        <v>239</v>
      </c>
      <c r="B859" s="59" t="s">
        <v>86</v>
      </c>
      <c r="C859" s="248"/>
      <c r="D859" s="59" t="s">
        <v>284</v>
      </c>
      <c r="E859" s="60" t="s">
        <v>4158</v>
      </c>
      <c r="F859" s="59" t="s">
        <v>46</v>
      </c>
      <c r="G859" s="61">
        <f>0.125*2</f>
        <v>0.25</v>
      </c>
      <c r="H859" s="62">
        <v>178.62</v>
      </c>
      <c r="I859" s="62">
        <f>IF($D859="","",G859*H859)</f>
        <v>44.655000000000001</v>
      </c>
      <c r="J859" s="62"/>
      <c r="K859" s="62">
        <v>0</v>
      </c>
      <c r="L859" s="62">
        <v>0</v>
      </c>
      <c r="M859" s="62">
        <v>44.655000000000001</v>
      </c>
      <c r="N859" s="62">
        <v>0</v>
      </c>
      <c r="O859" s="62">
        <v>0</v>
      </c>
      <c r="P859" s="298" t="s">
        <v>423</v>
      </c>
      <c r="Q859" s="60" t="s">
        <v>174</v>
      </c>
      <c r="R859" s="60" t="s">
        <v>138</v>
      </c>
      <c r="S859" s="286" t="str">
        <f t="shared" si="89"/>
        <v>SIM</v>
      </c>
      <c r="T859" s="286" t="str">
        <f>IF($C859= "", T858, IF(ISNA(VLOOKUP($C859,'ABC-S'!$A$5:$A$271,1,FALSE)), "", VLOOKUP($C859,'ABC-S'!$A$5:$A$271,1,FALSE)))</f>
        <v>CP9003</v>
      </c>
      <c r="W859" s="286" t="s">
        <v>239</v>
      </c>
      <c r="X859" s="286" t="s">
        <v>21</v>
      </c>
      <c r="Y859" s="286" t="s">
        <v>21</v>
      </c>
      <c r="Z859" s="286" t="s">
        <v>21</v>
      </c>
      <c r="AA859" s="286" t="s">
        <v>21</v>
      </c>
      <c r="AB859" s="378"/>
      <c r="AC859" s="381" t="s">
        <v>21</v>
      </c>
      <c r="AD859" s="378" t="s">
        <v>21</v>
      </c>
      <c r="AE859" s="378" t="s">
        <v>21</v>
      </c>
      <c r="AF859" s="378" t="s">
        <v>21</v>
      </c>
      <c r="AG859" s="378"/>
      <c r="AI859" s="378" t="s">
        <v>21</v>
      </c>
      <c r="AJ859" s="378" t="s">
        <v>21</v>
      </c>
      <c r="AL859" s="286"/>
      <c r="AM859" s="286" t="s">
        <v>284</v>
      </c>
    </row>
    <row r="860" spans="1:39" s="51" customFormat="1" ht="22.5" x14ac:dyDescent="0.25">
      <c r="A860" s="55" t="s">
        <v>3348</v>
      </c>
      <c r="B860" s="55" t="s">
        <v>138</v>
      </c>
      <c r="C860" s="55" t="s">
        <v>3348</v>
      </c>
      <c r="D860" s="55"/>
      <c r="E860" s="56" t="s">
        <v>3349</v>
      </c>
      <c r="F860" s="55" t="s">
        <v>46</v>
      </c>
      <c r="G860" s="57"/>
      <c r="H860" s="58"/>
      <c r="I860" s="58"/>
      <c r="J860" s="58">
        <f>SUM(I860:I861)</f>
        <v>0</v>
      </c>
      <c r="K860" s="58">
        <v>0</v>
      </c>
      <c r="L860" s="58">
        <v>0</v>
      </c>
      <c r="M860" s="58">
        <v>0</v>
      </c>
      <c r="N860" s="58">
        <v>0</v>
      </c>
      <c r="O860" s="58">
        <v>0</v>
      </c>
      <c r="P860" s="58"/>
      <c r="Q860" s="56"/>
      <c r="R860" s="56" t="s">
        <v>137</v>
      </c>
      <c r="S860" s="286" t="str">
        <f t="shared" si="89"/>
        <v>SIM</v>
      </c>
      <c r="T860" s="286" t="str">
        <f>IF($C860= "", T859, IF(ISNA(VLOOKUP($C860,'ABC-S'!$A$5:$A$271,1,FALSE)), "", VLOOKUP($C860,'ABC-S'!$A$5:$A$271,1,FALSE)))</f>
        <v>CP9004</v>
      </c>
      <c r="W860" s="286" t="s">
        <v>3348</v>
      </c>
      <c r="X860" s="286"/>
      <c r="Y860" s="286"/>
      <c r="Z860" s="286"/>
      <c r="AA860" s="286" t="s">
        <v>21</v>
      </c>
      <c r="AB860" s="378">
        <v>0</v>
      </c>
      <c r="AC860" s="378"/>
      <c r="AD860" s="335"/>
      <c r="AE860" s="335"/>
      <c r="AF860" s="335"/>
      <c r="AG860" s="378">
        <v>0</v>
      </c>
      <c r="AI860" s="378" t="s">
        <v>21</v>
      </c>
      <c r="AJ860" s="378" t="s">
        <v>21</v>
      </c>
      <c r="AL860" s="286"/>
      <c r="AM860" s="286"/>
    </row>
    <row r="861" spans="1:39" s="51" customFormat="1" ht="22.5" x14ac:dyDescent="0.25">
      <c r="A861" s="59" t="s">
        <v>3348</v>
      </c>
      <c r="B861" s="59" t="s">
        <v>86</v>
      </c>
      <c r="C861" s="59"/>
      <c r="D861" s="59" t="s">
        <v>3350</v>
      </c>
      <c r="E861" s="60" t="s">
        <v>3351</v>
      </c>
      <c r="F861" s="59" t="s">
        <v>46</v>
      </c>
      <c r="G861" s="61">
        <v>1</v>
      </c>
      <c r="H861" s="62">
        <v>0</v>
      </c>
      <c r="I861" s="62">
        <f>IF($D861="","",G861*H861)</f>
        <v>0</v>
      </c>
      <c r="J861" s="62"/>
      <c r="K861" s="62">
        <v>0</v>
      </c>
      <c r="L861" s="62">
        <v>0</v>
      </c>
      <c r="M861" s="62">
        <v>0</v>
      </c>
      <c r="N861" s="62">
        <v>0</v>
      </c>
      <c r="O861" s="62">
        <v>0</v>
      </c>
      <c r="P861" s="298" t="s">
        <v>1513</v>
      </c>
      <c r="Q861" s="60" t="s">
        <v>27</v>
      </c>
      <c r="R861" s="60" t="s">
        <v>133</v>
      </c>
      <c r="S861" s="286" t="str">
        <f t="shared" si="89"/>
        <v>SIM</v>
      </c>
      <c r="T861" s="286" t="str">
        <f>IF($C861= "", T860, IF(ISNA(VLOOKUP($C861,'ABC-S'!$A$5:$A$271,1,FALSE)), "", VLOOKUP($C861,'ABC-S'!$A$5:$A$271,1,FALSE)))</f>
        <v>CP9004</v>
      </c>
      <c r="W861" s="286" t="s">
        <v>3348</v>
      </c>
      <c r="X861" s="286" t="s">
        <v>21</v>
      </c>
      <c r="Y861" s="286" t="s">
        <v>21</v>
      </c>
      <c r="Z861" s="286" t="s">
        <v>21</v>
      </c>
      <c r="AA861" s="286" t="s">
        <v>21</v>
      </c>
      <c r="AB861" s="378"/>
      <c r="AC861" s="381" t="s">
        <v>21</v>
      </c>
      <c r="AD861" s="378" t="s">
        <v>21</v>
      </c>
      <c r="AE861" s="378" t="s">
        <v>21</v>
      </c>
      <c r="AF861" s="378" t="s">
        <v>21</v>
      </c>
      <c r="AG861" s="378"/>
      <c r="AI861" s="378" t="s">
        <v>21</v>
      </c>
      <c r="AJ861" s="378" t="s">
        <v>21</v>
      </c>
      <c r="AL861" s="286"/>
      <c r="AM861" s="286" t="s">
        <v>162</v>
      </c>
    </row>
    <row r="862" spans="1:39" s="51" customFormat="1" ht="22.5" x14ac:dyDescent="0.25">
      <c r="A862" s="55" t="s">
        <v>3388</v>
      </c>
      <c r="B862" s="55" t="s">
        <v>138</v>
      </c>
      <c r="C862" s="55" t="s">
        <v>3388</v>
      </c>
      <c r="D862" s="55"/>
      <c r="E862" s="56" t="s">
        <v>3387</v>
      </c>
      <c r="F862" s="55" t="s">
        <v>46</v>
      </c>
      <c r="G862" s="57"/>
      <c r="H862" s="58"/>
      <c r="I862" s="58"/>
      <c r="J862" s="58">
        <f>SUM(I862:I863)</f>
        <v>19.442531110412933</v>
      </c>
      <c r="K862" s="58">
        <v>0</v>
      </c>
      <c r="L862" s="58">
        <v>0</v>
      </c>
      <c r="M862" s="58">
        <v>0</v>
      </c>
      <c r="N862" s="58">
        <v>0</v>
      </c>
      <c r="O862" s="58">
        <v>33.36</v>
      </c>
      <c r="P862" s="58"/>
      <c r="Q862" s="56"/>
      <c r="R862" s="56" t="s">
        <v>137</v>
      </c>
      <c r="S862" s="286" t="str">
        <f t="shared" si="89"/>
        <v>SIM</v>
      </c>
      <c r="T862" s="286" t="str">
        <f>IF($C862= "", T861, IF(ISNA(VLOOKUP($C862,'ABC-S'!$A$5:$A$271,1,FALSE)), "", VLOOKUP($C862,'ABC-S'!$A$5:$A$271,1,FALSE)))</f>
        <v>CP9005</v>
      </c>
      <c r="W862" s="286" t="s">
        <v>3388</v>
      </c>
      <c r="X862" s="286"/>
      <c r="Y862" s="286"/>
      <c r="Z862" s="286"/>
      <c r="AA862" s="286" t="s">
        <v>21</v>
      </c>
      <c r="AB862" s="378">
        <v>0</v>
      </c>
      <c r="AC862" s="378"/>
      <c r="AD862" s="335"/>
      <c r="AE862" s="335"/>
      <c r="AF862" s="335"/>
      <c r="AG862" s="378">
        <v>0</v>
      </c>
      <c r="AI862" s="378" t="s">
        <v>21</v>
      </c>
      <c r="AJ862" s="378" t="s">
        <v>21</v>
      </c>
      <c r="AL862" s="286"/>
      <c r="AM862" s="286"/>
    </row>
    <row r="863" spans="1:39" s="51" customFormat="1" ht="22.5" x14ac:dyDescent="0.25">
      <c r="A863" s="59" t="s">
        <v>3388</v>
      </c>
      <c r="B863" s="59" t="s">
        <v>86</v>
      </c>
      <c r="C863" s="59"/>
      <c r="D863" s="59" t="s">
        <v>3386</v>
      </c>
      <c r="E863" s="60" t="s">
        <v>3354</v>
      </c>
      <c r="F863" s="59" t="s">
        <v>46</v>
      </c>
      <c r="G863" s="61">
        <v>1</v>
      </c>
      <c r="H863" s="62">
        <v>19.442531110412933</v>
      </c>
      <c r="I863" s="62">
        <f>IF($D863="","",G863*H863)</f>
        <v>19.442531110412933</v>
      </c>
      <c r="J863" s="62"/>
      <c r="K863" s="62">
        <v>0</v>
      </c>
      <c r="L863" s="62">
        <v>0</v>
      </c>
      <c r="M863" s="62">
        <v>0</v>
      </c>
      <c r="N863" s="62">
        <v>0</v>
      </c>
      <c r="O863" s="62">
        <v>33.36</v>
      </c>
      <c r="P863" s="298" t="s">
        <v>1513</v>
      </c>
      <c r="Q863" s="60" t="s">
        <v>27</v>
      </c>
      <c r="R863" s="60" t="s">
        <v>133</v>
      </c>
      <c r="S863" s="286" t="str">
        <f t="shared" si="89"/>
        <v>SIM</v>
      </c>
      <c r="T863" s="286" t="str">
        <f>IF($C863= "", T862, IF(ISNA(VLOOKUP($C863,'ABC-S'!$A$5:$A$271,1,FALSE)), "", VLOOKUP($C863,'ABC-S'!$A$5:$A$271,1,FALSE)))</f>
        <v>CP9005</v>
      </c>
      <c r="W863" s="286" t="s">
        <v>3388</v>
      </c>
      <c r="X863" s="286" t="s">
        <v>21</v>
      </c>
      <c r="Y863" s="286" t="s">
        <v>21</v>
      </c>
      <c r="Z863" s="286" t="s">
        <v>21</v>
      </c>
      <c r="AA863" s="286" t="s">
        <v>21</v>
      </c>
      <c r="AB863" s="378"/>
      <c r="AC863" s="381" t="s">
        <v>21</v>
      </c>
      <c r="AD863" s="378" t="s">
        <v>21</v>
      </c>
      <c r="AE863" s="378" t="s">
        <v>21</v>
      </c>
      <c r="AF863" s="378" t="s">
        <v>21</v>
      </c>
      <c r="AG863" s="378"/>
      <c r="AI863" s="378" t="s">
        <v>21</v>
      </c>
      <c r="AJ863" s="378" t="s">
        <v>21</v>
      </c>
      <c r="AL863" s="286"/>
      <c r="AM863" s="286" t="s">
        <v>162</v>
      </c>
    </row>
    <row r="864" spans="1:39" s="51" customFormat="1" x14ac:dyDescent="0.25">
      <c r="A864" s="55" t="s">
        <v>248</v>
      </c>
      <c r="B864" s="55" t="s">
        <v>138</v>
      </c>
      <c r="C864" s="55" t="s">
        <v>248</v>
      </c>
      <c r="D864" s="55"/>
      <c r="E864" s="56" t="s">
        <v>245</v>
      </c>
      <c r="F864" s="55" t="s">
        <v>205</v>
      </c>
      <c r="G864" s="57"/>
      <c r="H864" s="58"/>
      <c r="I864" s="58"/>
      <c r="J864" s="58">
        <f>SUM(I864:I865)</f>
        <v>169.98</v>
      </c>
      <c r="K864" s="58">
        <v>0</v>
      </c>
      <c r="L864" s="58">
        <v>169.98</v>
      </c>
      <c r="M864" s="58">
        <v>0</v>
      </c>
      <c r="N864" s="58">
        <v>0</v>
      </c>
      <c r="O864" s="58">
        <v>0</v>
      </c>
      <c r="P864" s="58"/>
      <c r="Q864" s="56"/>
      <c r="R864" s="56" t="s">
        <v>137</v>
      </c>
      <c r="S864" s="286" t="str">
        <f t="shared" si="89"/>
        <v>SIM</v>
      </c>
      <c r="T864" s="286" t="str">
        <f>IF($C864= "", T863, IF(ISNA(VLOOKUP($C864,'ABC-S'!$A$5:$A$271,1,FALSE)), "", VLOOKUP($C864,'ABC-S'!$A$5:$A$271,1,FALSE)))</f>
        <v>CP9006</v>
      </c>
      <c r="W864" s="286" t="s">
        <v>248</v>
      </c>
      <c r="X864" s="286"/>
      <c r="Y864" s="286"/>
      <c r="Z864" s="286"/>
      <c r="AA864" s="286" t="s">
        <v>21</v>
      </c>
      <c r="AB864" s="378">
        <v>0</v>
      </c>
      <c r="AC864" s="378"/>
      <c r="AD864" s="335"/>
      <c r="AE864" s="335"/>
      <c r="AF864" s="335"/>
      <c r="AG864" s="378">
        <v>0</v>
      </c>
      <c r="AI864" s="378" t="s">
        <v>21</v>
      </c>
      <c r="AJ864" s="378" t="s">
        <v>21</v>
      </c>
      <c r="AL864" s="286"/>
      <c r="AM864" s="286"/>
    </row>
    <row r="865" spans="1:39" s="51" customFormat="1" x14ac:dyDescent="0.25">
      <c r="A865" s="59" t="s">
        <v>248</v>
      </c>
      <c r="B865" s="59" t="s">
        <v>86</v>
      </c>
      <c r="C865" s="248"/>
      <c r="D865" s="59" t="s">
        <v>244</v>
      </c>
      <c r="E865" s="60" t="s">
        <v>245</v>
      </c>
      <c r="F865" s="59" t="s">
        <v>205</v>
      </c>
      <c r="G865" s="61">
        <v>1</v>
      </c>
      <c r="H865" s="62">
        <v>169.98</v>
      </c>
      <c r="I865" s="62">
        <f>IF($D865="","",G865*H865)</f>
        <v>169.98</v>
      </c>
      <c r="J865" s="62"/>
      <c r="K865" s="62">
        <v>0</v>
      </c>
      <c r="L865" s="62">
        <v>169.98</v>
      </c>
      <c r="M865" s="62">
        <v>0</v>
      </c>
      <c r="N865" s="62">
        <v>0</v>
      </c>
      <c r="O865" s="62">
        <v>0</v>
      </c>
      <c r="P865" s="298" t="s">
        <v>89</v>
      </c>
      <c r="Q865" s="60" t="s">
        <v>133</v>
      </c>
      <c r="R865" s="60" t="s">
        <v>133</v>
      </c>
      <c r="S865" s="286" t="str">
        <f t="shared" si="89"/>
        <v>SIM</v>
      </c>
      <c r="T865" s="286" t="str">
        <f>IF($C865= "", T864, IF(ISNA(VLOOKUP($C865,'ABC-S'!$A$5:$A$271,1,FALSE)), "", VLOOKUP($C865,'ABC-S'!$A$5:$A$271,1,FALSE)))</f>
        <v>CP9006</v>
      </c>
      <c r="W865" s="286" t="s">
        <v>248</v>
      </c>
      <c r="X865" s="286" t="s">
        <v>21</v>
      </c>
      <c r="Y865" s="286" t="s">
        <v>21</v>
      </c>
      <c r="Z865" s="286" t="s">
        <v>21</v>
      </c>
      <c r="AA865" s="286" t="s">
        <v>21</v>
      </c>
      <c r="AB865" s="378"/>
      <c r="AC865" s="381" t="s">
        <v>21</v>
      </c>
      <c r="AD865" s="378" t="s">
        <v>21</v>
      </c>
      <c r="AE865" s="378" t="s">
        <v>21</v>
      </c>
      <c r="AF865" s="378" t="s">
        <v>21</v>
      </c>
      <c r="AG865" s="378"/>
      <c r="AI865" s="378" t="s">
        <v>21</v>
      </c>
      <c r="AJ865" s="378" t="s">
        <v>21</v>
      </c>
      <c r="AL865" s="286"/>
      <c r="AM865" s="286" t="s">
        <v>244</v>
      </c>
    </row>
    <row r="866" spans="1:39" s="51" customFormat="1" ht="45" x14ac:dyDescent="0.25">
      <c r="A866" s="55" t="s">
        <v>252</v>
      </c>
      <c r="B866" s="55" t="s">
        <v>138</v>
      </c>
      <c r="C866" s="55" t="s">
        <v>252</v>
      </c>
      <c r="D866" s="55"/>
      <c r="E866" s="56" t="s">
        <v>254</v>
      </c>
      <c r="F866" s="55" t="s">
        <v>205</v>
      </c>
      <c r="G866" s="57"/>
      <c r="H866" s="58"/>
      <c r="I866" s="58"/>
      <c r="J866" s="58">
        <f>SUM(I866:I867)</f>
        <v>2000</v>
      </c>
      <c r="K866" s="58">
        <v>0</v>
      </c>
      <c r="L866" s="58">
        <v>2000</v>
      </c>
      <c r="M866" s="58">
        <v>0</v>
      </c>
      <c r="N866" s="58">
        <v>0</v>
      </c>
      <c r="O866" s="58">
        <v>0</v>
      </c>
      <c r="P866" s="58"/>
      <c r="Q866" s="56"/>
      <c r="R866" s="56" t="s">
        <v>137</v>
      </c>
      <c r="S866" s="286" t="str">
        <f t="shared" si="89"/>
        <v>SIM</v>
      </c>
      <c r="T866" s="286" t="str">
        <f>IF($C866= "", T865, IF(ISNA(VLOOKUP($C866,'ABC-S'!$A$5:$A$271,1,FALSE)), "", VLOOKUP($C866,'ABC-S'!$A$5:$A$271,1,FALSE)))</f>
        <v>CP9007</v>
      </c>
      <c r="W866" s="286" t="s">
        <v>252</v>
      </c>
      <c r="X866" s="286"/>
      <c r="Y866" s="286"/>
      <c r="Z866" s="286"/>
      <c r="AA866" s="286" t="s">
        <v>21</v>
      </c>
      <c r="AB866" s="378">
        <v>0</v>
      </c>
      <c r="AC866" s="378"/>
      <c r="AD866" s="335"/>
      <c r="AE866" s="335"/>
      <c r="AF866" s="335"/>
      <c r="AG866" s="378">
        <v>0</v>
      </c>
      <c r="AI866" s="378" t="s">
        <v>21</v>
      </c>
      <c r="AJ866" s="378" t="s">
        <v>21</v>
      </c>
      <c r="AL866" s="286"/>
      <c r="AM866" s="286"/>
    </row>
    <row r="867" spans="1:39" s="51" customFormat="1" ht="45" x14ac:dyDescent="0.25">
      <c r="A867" s="59" t="s">
        <v>252</v>
      </c>
      <c r="B867" s="59" t="s">
        <v>86</v>
      </c>
      <c r="C867" s="248"/>
      <c r="D867" s="59" t="s">
        <v>253</v>
      </c>
      <c r="E867" s="60" t="s">
        <v>254</v>
      </c>
      <c r="F867" s="59" t="s">
        <v>205</v>
      </c>
      <c r="G867" s="61">
        <v>1</v>
      </c>
      <c r="H867" s="62">
        <v>2000</v>
      </c>
      <c r="I867" s="62">
        <f>IF($D867="","",G867*H867)</f>
        <v>2000</v>
      </c>
      <c r="J867" s="62"/>
      <c r="K867" s="62">
        <v>0</v>
      </c>
      <c r="L867" s="62">
        <v>2000</v>
      </c>
      <c r="M867" s="62">
        <v>0</v>
      </c>
      <c r="N867" s="62">
        <v>0</v>
      </c>
      <c r="O867" s="62">
        <v>0</v>
      </c>
      <c r="P867" s="298" t="s">
        <v>89</v>
      </c>
      <c r="Q867" s="60" t="s">
        <v>134</v>
      </c>
      <c r="R867" s="60" t="s">
        <v>255</v>
      </c>
      <c r="S867" s="286" t="str">
        <f t="shared" si="89"/>
        <v>SIM</v>
      </c>
      <c r="T867" s="286" t="str">
        <f>IF($C867= "", T866, IF(ISNA(VLOOKUP($C867,'ABC-S'!$A$5:$A$271,1,FALSE)), "", VLOOKUP($C867,'ABC-S'!$A$5:$A$271,1,FALSE)))</f>
        <v>CP9007</v>
      </c>
      <c r="W867" s="286" t="s">
        <v>252</v>
      </c>
      <c r="X867" s="286" t="s">
        <v>21</v>
      </c>
      <c r="Y867" s="286" t="s">
        <v>21</v>
      </c>
      <c r="Z867" s="286" t="s">
        <v>21</v>
      </c>
      <c r="AA867" s="286" t="s">
        <v>21</v>
      </c>
      <c r="AB867" s="378"/>
      <c r="AC867" s="381" t="s">
        <v>21</v>
      </c>
      <c r="AD867" s="378" t="s">
        <v>21</v>
      </c>
      <c r="AE867" s="378" t="s">
        <v>21</v>
      </c>
      <c r="AF867" s="378" t="s">
        <v>21</v>
      </c>
      <c r="AG867" s="378"/>
      <c r="AI867" s="378" t="s">
        <v>21</v>
      </c>
      <c r="AJ867" s="378" t="s">
        <v>21</v>
      </c>
      <c r="AL867" s="286"/>
      <c r="AM867" s="286" t="s">
        <v>253</v>
      </c>
    </row>
    <row r="868" spans="1:39" s="51" customFormat="1" x14ac:dyDescent="0.25">
      <c r="A868" s="55" t="s">
        <v>259</v>
      </c>
      <c r="B868" s="55" t="s">
        <v>138</v>
      </c>
      <c r="C868" s="55" t="s">
        <v>259</v>
      </c>
      <c r="D868" s="55"/>
      <c r="E868" s="56" t="s">
        <v>1055</v>
      </c>
      <c r="F868" s="55" t="s">
        <v>205</v>
      </c>
      <c r="G868" s="57"/>
      <c r="H868" s="58"/>
      <c r="I868" s="58"/>
      <c r="J868" s="58">
        <f>SUM(I868:I870)</f>
        <v>3535.31</v>
      </c>
      <c r="K868" s="58">
        <v>0</v>
      </c>
      <c r="L868" s="58">
        <v>833.75</v>
      </c>
      <c r="M868" s="58">
        <v>2701.56</v>
      </c>
      <c r="N868" s="58">
        <v>0</v>
      </c>
      <c r="O868" s="58">
        <v>0</v>
      </c>
      <c r="P868" s="58"/>
      <c r="Q868" s="56"/>
      <c r="R868" s="56" t="s">
        <v>137</v>
      </c>
      <c r="S868" s="286" t="str">
        <f t="shared" si="89"/>
        <v>SIM</v>
      </c>
      <c r="T868" s="286" t="str">
        <f>IF($C868= "", T867, IF(ISNA(VLOOKUP($C868,'ABC-S'!$A$5:$A$271,1,FALSE)), "", VLOOKUP($C868,'ABC-S'!$A$5:$A$271,1,FALSE)))</f>
        <v>CP9008</v>
      </c>
      <c r="W868" s="286" t="s">
        <v>259</v>
      </c>
      <c r="X868" s="286"/>
      <c r="Y868" s="286"/>
      <c r="Z868" s="286"/>
      <c r="AA868" s="286" t="s">
        <v>21</v>
      </c>
      <c r="AB868" s="378">
        <v>0</v>
      </c>
      <c r="AC868" s="378"/>
      <c r="AD868" s="335"/>
      <c r="AE868" s="335"/>
      <c r="AF868" s="335"/>
      <c r="AG868" s="378">
        <v>0</v>
      </c>
      <c r="AI868" s="378" t="s">
        <v>21</v>
      </c>
      <c r="AJ868" s="378" t="s">
        <v>21</v>
      </c>
      <c r="AL868" s="286"/>
      <c r="AM868" s="286"/>
    </row>
    <row r="869" spans="1:39" s="51" customFormat="1" x14ac:dyDescent="0.25">
      <c r="A869" s="59" t="s">
        <v>259</v>
      </c>
      <c r="B869" s="59" t="s">
        <v>86</v>
      </c>
      <c r="C869" s="248"/>
      <c r="D869" s="59" t="s">
        <v>720</v>
      </c>
      <c r="E869" s="60" t="s">
        <v>4159</v>
      </c>
      <c r="F869" s="59" t="s">
        <v>46</v>
      </c>
      <c r="G869" s="61">
        <v>94</v>
      </c>
      <c r="H869" s="62">
        <v>28.74</v>
      </c>
      <c r="I869" s="62">
        <f>IF($D869="","",G869*H869)</f>
        <v>2701.56</v>
      </c>
      <c r="J869" s="62"/>
      <c r="K869" s="62">
        <v>0</v>
      </c>
      <c r="L869" s="62">
        <v>0</v>
      </c>
      <c r="M869" s="62">
        <v>2701.56</v>
      </c>
      <c r="N869" s="62">
        <v>0</v>
      </c>
      <c r="O869" s="62">
        <v>0</v>
      </c>
      <c r="P869" s="298" t="s">
        <v>94</v>
      </c>
      <c r="Q869" s="60" t="s">
        <v>133</v>
      </c>
      <c r="R869" s="60" t="s">
        <v>134</v>
      </c>
      <c r="S869" s="286" t="str">
        <f t="shared" si="89"/>
        <v>SIM</v>
      </c>
      <c r="T869" s="286" t="str">
        <f>IF($C869= "", T868, IF(ISNA(VLOOKUP($C869,'ABC-S'!$A$5:$A$271,1,FALSE)), "", VLOOKUP($C869,'ABC-S'!$A$5:$A$271,1,FALSE)))</f>
        <v>CP9008</v>
      </c>
      <c r="W869" s="286" t="s">
        <v>259</v>
      </c>
      <c r="X869" s="286" t="s">
        <v>21</v>
      </c>
      <c r="Y869" s="286" t="s">
        <v>21</v>
      </c>
      <c r="Z869" s="286" t="s">
        <v>21</v>
      </c>
      <c r="AA869" s="286" t="s">
        <v>21</v>
      </c>
      <c r="AB869" s="378"/>
      <c r="AC869" s="381" t="s">
        <v>21</v>
      </c>
      <c r="AD869" s="378" t="s">
        <v>21</v>
      </c>
      <c r="AE869" s="378" t="s">
        <v>21</v>
      </c>
      <c r="AF869" s="378" t="s">
        <v>21</v>
      </c>
      <c r="AG869" s="378"/>
      <c r="AI869" s="378" t="s">
        <v>21</v>
      </c>
      <c r="AJ869" s="378" t="s">
        <v>21</v>
      </c>
      <c r="AL869" s="286"/>
      <c r="AM869" s="286" t="s">
        <v>720</v>
      </c>
    </row>
    <row r="870" spans="1:39" s="51" customFormat="1" ht="22.5" x14ac:dyDescent="0.25">
      <c r="A870" s="59" t="s">
        <v>259</v>
      </c>
      <c r="B870" s="59" t="s">
        <v>86</v>
      </c>
      <c r="C870" s="248"/>
      <c r="D870" s="59">
        <v>4222</v>
      </c>
      <c r="E870" s="60" t="s">
        <v>108</v>
      </c>
      <c r="F870" s="59" t="s">
        <v>3668</v>
      </c>
      <c r="G870" s="61">
        <f>((3*100*4.35)+(2*50*4.35))*(1/12)</f>
        <v>145</v>
      </c>
      <c r="H870" s="62">
        <v>5.75</v>
      </c>
      <c r="I870" s="62">
        <f>IF($D870="","",G870*H870)</f>
        <v>833.75</v>
      </c>
      <c r="J870" s="62"/>
      <c r="K870" s="62">
        <v>0</v>
      </c>
      <c r="L870" s="62">
        <v>833.75</v>
      </c>
      <c r="M870" s="62">
        <v>0</v>
      </c>
      <c r="N870" s="62">
        <v>0</v>
      </c>
      <c r="O870" s="62">
        <v>0</v>
      </c>
      <c r="P870" s="298" t="s">
        <v>89</v>
      </c>
      <c r="Q870" s="60" t="s">
        <v>27</v>
      </c>
      <c r="R870" s="60" t="s">
        <v>262</v>
      </c>
      <c r="S870" s="286" t="str">
        <f t="shared" si="89"/>
        <v>SIM</v>
      </c>
      <c r="T870" s="286" t="str">
        <f>IF($C870= "", T869, IF(ISNA(VLOOKUP($C870,'ABC-S'!$A$5:$A$271,1,FALSE)), "", VLOOKUP($C870,'ABC-S'!$A$5:$A$271,1,FALSE)))</f>
        <v>CP9008</v>
      </c>
      <c r="W870" s="286" t="s">
        <v>259</v>
      </c>
      <c r="X870" s="286" t="s">
        <v>21</v>
      </c>
      <c r="Y870" s="286" t="s">
        <v>21</v>
      </c>
      <c r="Z870" s="286" t="s">
        <v>21</v>
      </c>
      <c r="AA870" s="286" t="s">
        <v>21</v>
      </c>
      <c r="AB870" s="378"/>
      <c r="AC870" s="381" t="s">
        <v>21</v>
      </c>
      <c r="AD870" s="378" t="s">
        <v>21</v>
      </c>
      <c r="AE870" s="378" t="s">
        <v>21</v>
      </c>
      <c r="AF870" s="378" t="s">
        <v>21</v>
      </c>
      <c r="AG870" s="378"/>
      <c r="AI870" s="378" t="s">
        <v>21</v>
      </c>
      <c r="AJ870" s="378" t="s">
        <v>21</v>
      </c>
      <c r="AL870" s="286"/>
      <c r="AM870" s="286">
        <v>4222</v>
      </c>
    </row>
    <row r="871" spans="1:39" s="51" customFormat="1" ht="33.75" x14ac:dyDescent="0.25">
      <c r="A871" s="55" t="s">
        <v>263</v>
      </c>
      <c r="B871" s="55" t="s">
        <v>204</v>
      </c>
      <c r="C871" s="55" t="s">
        <v>263</v>
      </c>
      <c r="D871" s="55"/>
      <c r="E871" s="56" t="s">
        <v>411</v>
      </c>
      <c r="F871" s="55" t="s">
        <v>205</v>
      </c>
      <c r="G871" s="57"/>
      <c r="H871" s="58"/>
      <c r="I871" s="58"/>
      <c r="J871" s="58">
        <f>SUM(I871:I872)</f>
        <v>457.03</v>
      </c>
      <c r="K871" s="58">
        <v>0</v>
      </c>
      <c r="L871" s="58">
        <v>457.03</v>
      </c>
      <c r="M871" s="58">
        <v>0</v>
      </c>
      <c r="N871" s="58">
        <v>0</v>
      </c>
      <c r="O871" s="58">
        <v>0</v>
      </c>
      <c r="P871" s="58"/>
      <c r="Q871" s="56"/>
      <c r="R871" s="56" t="s">
        <v>318</v>
      </c>
      <c r="S871" s="286" t="str">
        <f t="shared" si="89"/>
        <v>SIM</v>
      </c>
      <c r="T871" s="286" t="str">
        <f>IF($C871= "", T870, IF(ISNA(VLOOKUP($C871,'ABC-S'!$A$5:$A$271,1,FALSE)), "", VLOOKUP($C871,'ABC-S'!$A$5:$A$271,1,FALSE)))</f>
        <v>CP9009</v>
      </c>
      <c r="W871" s="286" t="s">
        <v>263</v>
      </c>
      <c r="X871" s="286"/>
      <c r="Y871" s="286"/>
      <c r="Z871" s="286"/>
      <c r="AA871" s="286" t="s">
        <v>21</v>
      </c>
      <c r="AB871" s="378">
        <v>0</v>
      </c>
      <c r="AC871" s="378"/>
      <c r="AD871" s="335"/>
      <c r="AE871" s="335"/>
      <c r="AF871" s="335"/>
      <c r="AG871" s="378">
        <v>0</v>
      </c>
      <c r="AI871" s="378" t="s">
        <v>21</v>
      </c>
      <c r="AJ871" s="378" t="s">
        <v>21</v>
      </c>
      <c r="AL871" s="286"/>
      <c r="AM871" s="286"/>
    </row>
    <row r="872" spans="1:39" s="51" customFormat="1" ht="33.75" x14ac:dyDescent="0.25">
      <c r="A872" s="59" t="s">
        <v>263</v>
      </c>
      <c r="B872" s="59" t="s">
        <v>86</v>
      </c>
      <c r="C872" s="248"/>
      <c r="D872" s="59">
        <v>10776</v>
      </c>
      <c r="E872" s="60" t="s">
        <v>123</v>
      </c>
      <c r="F872" s="59" t="s">
        <v>3671</v>
      </c>
      <c r="G872" s="61">
        <v>1</v>
      </c>
      <c r="H872" s="62">
        <v>457.03</v>
      </c>
      <c r="I872" s="62">
        <f>IF($D872="","",G872*H872)</f>
        <v>457.03</v>
      </c>
      <c r="J872" s="62"/>
      <c r="K872" s="62">
        <v>0</v>
      </c>
      <c r="L872" s="62">
        <v>457.03</v>
      </c>
      <c r="M872" s="62">
        <v>0</v>
      </c>
      <c r="N872" s="62">
        <v>0</v>
      </c>
      <c r="O872" s="62">
        <v>0</v>
      </c>
      <c r="P872" s="298" t="s">
        <v>89</v>
      </c>
      <c r="Q872" s="60" t="s">
        <v>27</v>
      </c>
      <c r="R872" s="60" t="s">
        <v>27</v>
      </c>
      <c r="S872" s="286" t="str">
        <f t="shared" si="89"/>
        <v>SIM</v>
      </c>
      <c r="T872" s="286" t="str">
        <f>IF($C872= "", T871, IF(ISNA(VLOOKUP($C872,'ABC-S'!$A$5:$A$271,1,FALSE)), "", VLOOKUP($C872,'ABC-S'!$A$5:$A$271,1,FALSE)))</f>
        <v>CP9009</v>
      </c>
      <c r="W872" s="286" t="s">
        <v>263</v>
      </c>
      <c r="X872" s="286" t="s">
        <v>21</v>
      </c>
      <c r="Y872" s="286" t="s">
        <v>21</v>
      </c>
      <c r="Z872" s="286" t="s">
        <v>21</v>
      </c>
      <c r="AA872" s="286" t="s">
        <v>21</v>
      </c>
      <c r="AB872" s="378"/>
      <c r="AC872" s="381" t="s">
        <v>21</v>
      </c>
      <c r="AD872" s="378" t="s">
        <v>21</v>
      </c>
      <c r="AE872" s="378" t="s">
        <v>21</v>
      </c>
      <c r="AF872" s="378" t="s">
        <v>21</v>
      </c>
      <c r="AG872" s="378"/>
      <c r="AI872" s="378" t="s">
        <v>21</v>
      </c>
      <c r="AJ872" s="378" t="s">
        <v>21</v>
      </c>
      <c r="AL872" s="286"/>
      <c r="AM872" s="286">
        <v>10776</v>
      </c>
    </row>
    <row r="873" spans="1:39" s="51" customFormat="1" ht="33.75" x14ac:dyDescent="0.25">
      <c r="A873" s="55" t="s">
        <v>281</v>
      </c>
      <c r="B873" s="55" t="s">
        <v>204</v>
      </c>
      <c r="C873" s="55" t="s">
        <v>281</v>
      </c>
      <c r="D873" s="55"/>
      <c r="E873" s="56" t="s">
        <v>410</v>
      </c>
      <c r="F873" s="55" t="s">
        <v>205</v>
      </c>
      <c r="G873" s="57"/>
      <c r="H873" s="58"/>
      <c r="I873" s="58"/>
      <c r="J873" s="58">
        <f>SUM(I873:I874)</f>
        <v>457.03</v>
      </c>
      <c r="K873" s="58">
        <v>0</v>
      </c>
      <c r="L873" s="58">
        <v>457.03</v>
      </c>
      <c r="M873" s="58">
        <v>0</v>
      </c>
      <c r="N873" s="58">
        <v>0</v>
      </c>
      <c r="O873" s="58">
        <v>0</v>
      </c>
      <c r="P873" s="58"/>
      <c r="Q873" s="56"/>
      <c r="R873" s="56" t="s">
        <v>318</v>
      </c>
      <c r="S873" s="286" t="str">
        <f t="shared" si="89"/>
        <v>SIM</v>
      </c>
      <c r="T873" s="286" t="str">
        <f>IF($C873= "", T872, IF(ISNA(VLOOKUP($C873,'ABC-S'!$A$5:$A$271,1,FALSE)), "", VLOOKUP($C873,'ABC-S'!$A$5:$A$271,1,FALSE)))</f>
        <v>CP9010</v>
      </c>
      <c r="W873" s="286" t="s">
        <v>281</v>
      </c>
      <c r="X873" s="286"/>
      <c r="Y873" s="286"/>
      <c r="Z873" s="286"/>
      <c r="AA873" s="286" t="s">
        <v>21</v>
      </c>
      <c r="AB873" s="378">
        <v>0</v>
      </c>
      <c r="AC873" s="378"/>
      <c r="AD873" s="335"/>
      <c r="AE873" s="335"/>
      <c r="AF873" s="335"/>
      <c r="AG873" s="378">
        <v>0</v>
      </c>
      <c r="AI873" s="378" t="s">
        <v>21</v>
      </c>
      <c r="AJ873" s="378" t="s">
        <v>21</v>
      </c>
      <c r="AL873" s="286"/>
      <c r="AM873" s="286"/>
    </row>
    <row r="874" spans="1:39" s="51" customFormat="1" ht="33.75" x14ac:dyDescent="0.25">
      <c r="A874" s="59" t="s">
        <v>281</v>
      </c>
      <c r="B874" s="59" t="s">
        <v>86</v>
      </c>
      <c r="C874" s="248"/>
      <c r="D874" s="59">
        <v>10776</v>
      </c>
      <c r="E874" s="60" t="s">
        <v>123</v>
      </c>
      <c r="F874" s="59" t="s">
        <v>3671</v>
      </c>
      <c r="G874" s="61">
        <v>1</v>
      </c>
      <c r="H874" s="62">
        <v>457.03</v>
      </c>
      <c r="I874" s="62">
        <f>IF($D874="","",G874*H874)</f>
        <v>457.03</v>
      </c>
      <c r="J874" s="62"/>
      <c r="K874" s="62">
        <v>0</v>
      </c>
      <c r="L874" s="62">
        <v>457.03</v>
      </c>
      <c r="M874" s="62">
        <v>0</v>
      </c>
      <c r="N874" s="62">
        <v>0</v>
      </c>
      <c r="O874" s="62">
        <v>0</v>
      </c>
      <c r="P874" s="298" t="s">
        <v>89</v>
      </c>
      <c r="Q874" s="60" t="s">
        <v>27</v>
      </c>
      <c r="R874" s="60" t="s">
        <v>27</v>
      </c>
      <c r="S874" s="286" t="str">
        <f t="shared" si="89"/>
        <v>SIM</v>
      </c>
      <c r="T874" s="286" t="str">
        <f>IF($C874= "", T873, IF(ISNA(VLOOKUP($C874,'ABC-S'!$A$5:$A$271,1,FALSE)), "", VLOOKUP($C874,'ABC-S'!$A$5:$A$271,1,FALSE)))</f>
        <v>CP9010</v>
      </c>
      <c r="W874" s="286" t="s">
        <v>281</v>
      </c>
      <c r="X874" s="286" t="s">
        <v>21</v>
      </c>
      <c r="Y874" s="286" t="s">
        <v>21</v>
      </c>
      <c r="Z874" s="286" t="s">
        <v>21</v>
      </c>
      <c r="AA874" s="286" t="s">
        <v>21</v>
      </c>
      <c r="AB874" s="378"/>
      <c r="AC874" s="381" t="s">
        <v>21</v>
      </c>
      <c r="AD874" s="378" t="s">
        <v>21</v>
      </c>
      <c r="AE874" s="378" t="s">
        <v>21</v>
      </c>
      <c r="AF874" s="378" t="s">
        <v>21</v>
      </c>
      <c r="AG874" s="378"/>
      <c r="AI874" s="378" t="s">
        <v>21</v>
      </c>
      <c r="AJ874" s="378" t="s">
        <v>21</v>
      </c>
      <c r="AL874" s="286"/>
      <c r="AM874" s="286">
        <v>10776</v>
      </c>
    </row>
    <row r="875" spans="1:39" s="51" customFormat="1" ht="33.75" x14ac:dyDescent="0.25">
      <c r="A875" s="55" t="s">
        <v>322</v>
      </c>
      <c r="B875" s="55" t="s">
        <v>204</v>
      </c>
      <c r="C875" s="55" t="s">
        <v>322</v>
      </c>
      <c r="D875" s="55"/>
      <c r="E875" s="56" t="s">
        <v>124</v>
      </c>
      <c r="F875" s="55" t="s">
        <v>205</v>
      </c>
      <c r="G875" s="57"/>
      <c r="H875" s="58"/>
      <c r="I875" s="58"/>
      <c r="J875" s="58">
        <f>SUM(I875:I876)</f>
        <v>585</v>
      </c>
      <c r="K875" s="58">
        <v>0</v>
      </c>
      <c r="L875" s="58">
        <v>585</v>
      </c>
      <c r="M875" s="58">
        <v>0</v>
      </c>
      <c r="N875" s="58">
        <v>0</v>
      </c>
      <c r="O875" s="58">
        <v>0</v>
      </c>
      <c r="P875" s="58"/>
      <c r="Q875" s="56"/>
      <c r="R875" s="56" t="s">
        <v>317</v>
      </c>
      <c r="S875" s="286" t="str">
        <f t="shared" si="89"/>
        <v>SIM</v>
      </c>
      <c r="T875" s="286" t="str">
        <f>IF($C875= "", T874, IF(ISNA(VLOOKUP($C875,'ABC-S'!$A$5:$A$271,1,FALSE)), "", VLOOKUP($C875,'ABC-S'!$A$5:$A$271,1,FALSE)))</f>
        <v>CP9011</v>
      </c>
      <c r="W875" s="286" t="s">
        <v>322</v>
      </c>
      <c r="X875" s="286"/>
      <c r="Y875" s="286"/>
      <c r="Z875" s="286"/>
      <c r="AA875" s="286" t="s">
        <v>21</v>
      </c>
      <c r="AB875" s="378">
        <v>0</v>
      </c>
      <c r="AC875" s="378"/>
      <c r="AD875" s="335"/>
      <c r="AE875" s="335"/>
      <c r="AF875" s="335"/>
      <c r="AG875" s="378">
        <v>0</v>
      </c>
      <c r="AI875" s="378" t="s">
        <v>21</v>
      </c>
      <c r="AJ875" s="378" t="s">
        <v>21</v>
      </c>
      <c r="AL875" s="286"/>
      <c r="AM875" s="286"/>
    </row>
    <row r="876" spans="1:39" s="51" customFormat="1" ht="33.75" x14ac:dyDescent="0.25">
      <c r="A876" s="59" t="s">
        <v>322</v>
      </c>
      <c r="B876" s="59" t="s">
        <v>86</v>
      </c>
      <c r="C876" s="248"/>
      <c r="D876" s="59">
        <v>10775</v>
      </c>
      <c r="E876" s="60" t="s">
        <v>124</v>
      </c>
      <c r="F876" s="59" t="s">
        <v>3671</v>
      </c>
      <c r="G876" s="61">
        <v>1</v>
      </c>
      <c r="H876" s="62">
        <v>585</v>
      </c>
      <c r="I876" s="62">
        <f>IF($D876="","",G876*H876)</f>
        <v>585</v>
      </c>
      <c r="J876" s="62"/>
      <c r="K876" s="62">
        <v>0</v>
      </c>
      <c r="L876" s="62">
        <v>585</v>
      </c>
      <c r="M876" s="62">
        <v>0</v>
      </c>
      <c r="N876" s="62">
        <v>0</v>
      </c>
      <c r="O876" s="62">
        <v>0</v>
      </c>
      <c r="P876" s="298" t="s">
        <v>89</v>
      </c>
      <c r="Q876" s="60" t="s">
        <v>27</v>
      </c>
      <c r="R876" s="60" t="s">
        <v>27</v>
      </c>
      <c r="S876" s="286" t="str">
        <f t="shared" si="89"/>
        <v>SIM</v>
      </c>
      <c r="T876" s="286" t="str">
        <f>IF($C876= "", T875, IF(ISNA(VLOOKUP($C876,'ABC-S'!$A$5:$A$271,1,FALSE)), "", VLOOKUP($C876,'ABC-S'!$A$5:$A$271,1,FALSE)))</f>
        <v>CP9011</v>
      </c>
      <c r="W876" s="286" t="s">
        <v>322</v>
      </c>
      <c r="X876" s="286" t="s">
        <v>21</v>
      </c>
      <c r="Y876" s="286" t="s">
        <v>21</v>
      </c>
      <c r="Z876" s="286" t="s">
        <v>21</v>
      </c>
      <c r="AA876" s="286" t="s">
        <v>21</v>
      </c>
      <c r="AB876" s="378"/>
      <c r="AC876" s="381" t="s">
        <v>21</v>
      </c>
      <c r="AD876" s="378" t="s">
        <v>21</v>
      </c>
      <c r="AE876" s="378" t="s">
        <v>21</v>
      </c>
      <c r="AF876" s="378" t="s">
        <v>21</v>
      </c>
      <c r="AG876" s="378"/>
      <c r="AI876" s="378" t="s">
        <v>21</v>
      </c>
      <c r="AJ876" s="378" t="s">
        <v>21</v>
      </c>
      <c r="AL876" s="286"/>
      <c r="AM876" s="286">
        <v>10775</v>
      </c>
    </row>
    <row r="877" spans="1:39" s="51" customFormat="1" ht="33.75" hidden="1" x14ac:dyDescent="0.25">
      <c r="A877" s="55" t="s">
        <v>323</v>
      </c>
      <c r="B877" s="55" t="s">
        <v>204</v>
      </c>
      <c r="C877" s="55" t="s">
        <v>323</v>
      </c>
      <c r="D877" s="55"/>
      <c r="E877" s="56" t="s">
        <v>207</v>
      </c>
      <c r="F877" s="55" t="s">
        <v>205</v>
      </c>
      <c r="G877" s="57"/>
      <c r="H877" s="58"/>
      <c r="I877" s="58"/>
      <c r="J877" s="58">
        <f>SUM(I877:I878)</f>
        <v>585</v>
      </c>
      <c r="K877" s="58">
        <v>0</v>
      </c>
      <c r="L877" s="58">
        <v>585</v>
      </c>
      <c r="M877" s="58">
        <v>0</v>
      </c>
      <c r="N877" s="58">
        <v>0</v>
      </c>
      <c r="O877" s="58">
        <v>0</v>
      </c>
      <c r="P877" s="58"/>
      <c r="Q877" s="56"/>
      <c r="R877" s="56" t="s">
        <v>317</v>
      </c>
      <c r="S877" s="286" t="str">
        <f t="shared" si="89"/>
        <v/>
      </c>
      <c r="T877" s="286" t="str">
        <f>IF($C877= "", T876, IF(ISNA(VLOOKUP($C877,'ABC-S'!$A$5:$A$271,1,FALSE)), "", VLOOKUP($C877,'ABC-S'!$A$5:$A$271,1,FALSE)))</f>
        <v/>
      </c>
      <c r="W877" s="286" t="s">
        <v>323</v>
      </c>
      <c r="X877" s="286"/>
      <c r="Y877" s="286"/>
      <c r="Z877" s="286"/>
      <c r="AA877" s="286" t="s">
        <v>21</v>
      </c>
      <c r="AB877" s="378">
        <v>0</v>
      </c>
      <c r="AC877" s="378"/>
      <c r="AD877" s="335"/>
      <c r="AE877" s="335"/>
      <c r="AF877" s="335"/>
      <c r="AG877" s="378">
        <v>0</v>
      </c>
      <c r="AI877" s="378" t="s">
        <v>21</v>
      </c>
      <c r="AJ877" s="378" t="s">
        <v>21</v>
      </c>
      <c r="AL877" s="286"/>
      <c r="AM877" s="286"/>
    </row>
    <row r="878" spans="1:39" s="51" customFormat="1" ht="33.75" hidden="1" x14ac:dyDescent="0.25">
      <c r="A878" s="59" t="s">
        <v>323</v>
      </c>
      <c r="B878" s="59" t="s">
        <v>86</v>
      </c>
      <c r="C878" s="248"/>
      <c r="D878" s="59">
        <v>10775</v>
      </c>
      <c r="E878" s="60" t="s">
        <v>124</v>
      </c>
      <c r="F878" s="59" t="s">
        <v>3671</v>
      </c>
      <c r="G878" s="61">
        <v>1</v>
      </c>
      <c r="H878" s="62">
        <v>585</v>
      </c>
      <c r="I878" s="62">
        <f>IF($D878="","",G878*H878)</f>
        <v>585</v>
      </c>
      <c r="J878" s="62"/>
      <c r="K878" s="62">
        <v>0</v>
      </c>
      <c r="L878" s="62">
        <v>585</v>
      </c>
      <c r="M878" s="62">
        <v>0</v>
      </c>
      <c r="N878" s="62">
        <v>0</v>
      </c>
      <c r="O878" s="62">
        <v>0</v>
      </c>
      <c r="P878" s="298" t="s">
        <v>89</v>
      </c>
      <c r="Q878" s="60" t="s">
        <v>27</v>
      </c>
      <c r="R878" s="60" t="s">
        <v>27</v>
      </c>
      <c r="S878" s="286" t="str">
        <f t="shared" si="89"/>
        <v/>
      </c>
      <c r="T878" s="286" t="str">
        <f>IF($C878= "", T877, IF(ISNA(VLOOKUP($C878,'ABC-S'!$A$5:$A$271,1,FALSE)), "", VLOOKUP($C878,'ABC-S'!$A$5:$A$271,1,FALSE)))</f>
        <v/>
      </c>
      <c r="W878" s="286" t="s">
        <v>323</v>
      </c>
      <c r="X878" s="286" t="s">
        <v>21</v>
      </c>
      <c r="Y878" s="286" t="s">
        <v>21</v>
      </c>
      <c r="Z878" s="286" t="s">
        <v>21</v>
      </c>
      <c r="AA878" s="286" t="s">
        <v>21</v>
      </c>
      <c r="AB878" s="378"/>
      <c r="AC878" s="381" t="s">
        <v>21</v>
      </c>
      <c r="AD878" s="378" t="s">
        <v>21</v>
      </c>
      <c r="AE878" s="378" t="s">
        <v>21</v>
      </c>
      <c r="AF878" s="378" t="s">
        <v>21</v>
      </c>
      <c r="AG878" s="378"/>
      <c r="AI878" s="378" t="s">
        <v>21</v>
      </c>
      <c r="AJ878" s="378" t="s">
        <v>21</v>
      </c>
      <c r="AL878" s="286"/>
      <c r="AM878" s="286">
        <v>10775</v>
      </c>
    </row>
    <row r="879" spans="1:39" s="51" customFormat="1" ht="33.75" x14ac:dyDescent="0.25">
      <c r="A879" s="55" t="s">
        <v>324</v>
      </c>
      <c r="B879" s="55" t="s">
        <v>204</v>
      </c>
      <c r="C879" s="55" t="s">
        <v>324</v>
      </c>
      <c r="D879" s="55"/>
      <c r="E879" s="56" t="s">
        <v>123</v>
      </c>
      <c r="F879" s="55" t="s">
        <v>205</v>
      </c>
      <c r="G879" s="57"/>
      <c r="H879" s="58"/>
      <c r="I879" s="58"/>
      <c r="J879" s="58">
        <f>SUM(I879:I880)</f>
        <v>457.03</v>
      </c>
      <c r="K879" s="58">
        <v>0</v>
      </c>
      <c r="L879" s="58">
        <v>457.03</v>
      </c>
      <c r="M879" s="58">
        <v>0</v>
      </c>
      <c r="N879" s="58">
        <v>0</v>
      </c>
      <c r="O879" s="58">
        <v>0</v>
      </c>
      <c r="P879" s="58"/>
      <c r="Q879" s="56"/>
      <c r="R879" s="56" t="s">
        <v>318</v>
      </c>
      <c r="S879" s="286" t="str">
        <f t="shared" si="89"/>
        <v>SIM</v>
      </c>
      <c r="T879" s="286" t="str">
        <f>IF($C879= "", T878, IF(ISNA(VLOOKUP($C879,'ABC-S'!$A$5:$A$271,1,FALSE)), "", VLOOKUP($C879,'ABC-S'!$A$5:$A$271,1,FALSE)))</f>
        <v>CP9013</v>
      </c>
      <c r="W879" s="286" t="s">
        <v>324</v>
      </c>
      <c r="X879" s="286"/>
      <c r="Y879" s="286"/>
      <c r="Z879" s="286"/>
      <c r="AA879" s="286" t="s">
        <v>21</v>
      </c>
      <c r="AB879" s="378">
        <v>0</v>
      </c>
      <c r="AC879" s="378"/>
      <c r="AD879" s="335"/>
      <c r="AE879" s="335"/>
      <c r="AF879" s="335"/>
      <c r="AG879" s="378">
        <v>0</v>
      </c>
      <c r="AI879" s="378" t="s">
        <v>21</v>
      </c>
      <c r="AJ879" s="378" t="s">
        <v>21</v>
      </c>
      <c r="AL879" s="286"/>
      <c r="AM879" s="286"/>
    </row>
    <row r="880" spans="1:39" s="51" customFormat="1" ht="33.75" x14ac:dyDescent="0.25">
      <c r="A880" s="59" t="s">
        <v>324</v>
      </c>
      <c r="B880" s="59" t="s">
        <v>86</v>
      </c>
      <c r="C880" s="248"/>
      <c r="D880" s="59">
        <v>10776</v>
      </c>
      <c r="E880" s="60" t="s">
        <v>123</v>
      </c>
      <c r="F880" s="59" t="s">
        <v>3671</v>
      </c>
      <c r="G880" s="61">
        <v>1</v>
      </c>
      <c r="H880" s="62">
        <v>457.03</v>
      </c>
      <c r="I880" s="62">
        <f>IF($D880="","",G880*H880)</f>
        <v>457.03</v>
      </c>
      <c r="J880" s="62"/>
      <c r="K880" s="62">
        <v>0</v>
      </c>
      <c r="L880" s="62">
        <v>457.03</v>
      </c>
      <c r="M880" s="62">
        <v>0</v>
      </c>
      <c r="N880" s="62">
        <v>0</v>
      </c>
      <c r="O880" s="62">
        <v>0</v>
      </c>
      <c r="P880" s="298" t="s">
        <v>89</v>
      </c>
      <c r="Q880" s="60" t="s">
        <v>27</v>
      </c>
      <c r="R880" s="60" t="s">
        <v>27</v>
      </c>
      <c r="S880" s="286" t="str">
        <f t="shared" si="89"/>
        <v>SIM</v>
      </c>
      <c r="T880" s="286" t="str">
        <f>IF($C880= "", T879, IF(ISNA(VLOOKUP($C880,'ABC-S'!$A$5:$A$271,1,FALSE)), "", VLOOKUP($C880,'ABC-S'!$A$5:$A$271,1,FALSE)))</f>
        <v>CP9013</v>
      </c>
      <c r="W880" s="286" t="s">
        <v>324</v>
      </c>
      <c r="X880" s="286" t="s">
        <v>21</v>
      </c>
      <c r="Y880" s="286" t="s">
        <v>21</v>
      </c>
      <c r="Z880" s="286" t="s">
        <v>21</v>
      </c>
      <c r="AA880" s="286" t="s">
        <v>21</v>
      </c>
      <c r="AB880" s="378"/>
      <c r="AC880" s="381" t="s">
        <v>21</v>
      </c>
      <c r="AD880" s="378" t="s">
        <v>21</v>
      </c>
      <c r="AE880" s="378" t="s">
        <v>21</v>
      </c>
      <c r="AF880" s="378" t="s">
        <v>21</v>
      </c>
      <c r="AG880" s="378"/>
      <c r="AI880" s="378" t="s">
        <v>21</v>
      </c>
      <c r="AJ880" s="378" t="s">
        <v>21</v>
      </c>
      <c r="AL880" s="286"/>
      <c r="AM880" s="286">
        <v>10776</v>
      </c>
    </row>
    <row r="881" spans="1:39" s="51" customFormat="1" ht="33.75" x14ac:dyDescent="0.25">
      <c r="A881" s="55" t="s">
        <v>325</v>
      </c>
      <c r="B881" s="55" t="s">
        <v>204</v>
      </c>
      <c r="C881" s="55" t="s">
        <v>325</v>
      </c>
      <c r="D881" s="55"/>
      <c r="E881" s="56" t="s">
        <v>206</v>
      </c>
      <c r="F881" s="55" t="s">
        <v>205</v>
      </c>
      <c r="G881" s="57"/>
      <c r="H881" s="58"/>
      <c r="I881" s="58"/>
      <c r="J881" s="58">
        <f>SUM(I881:I882)</f>
        <v>457.03</v>
      </c>
      <c r="K881" s="58">
        <v>0</v>
      </c>
      <c r="L881" s="58">
        <v>457.03</v>
      </c>
      <c r="M881" s="58">
        <v>0</v>
      </c>
      <c r="N881" s="58">
        <v>0</v>
      </c>
      <c r="O881" s="58">
        <v>0</v>
      </c>
      <c r="P881" s="58"/>
      <c r="Q881" s="56"/>
      <c r="R881" s="56" t="s">
        <v>318</v>
      </c>
      <c r="S881" s="286" t="str">
        <f t="shared" si="89"/>
        <v>SIM</v>
      </c>
      <c r="T881" s="286" t="str">
        <f>IF($C881= "", T880, IF(ISNA(VLOOKUP($C881,'ABC-S'!$A$5:$A$271,1,FALSE)), "", VLOOKUP($C881,'ABC-S'!$A$5:$A$271,1,FALSE)))</f>
        <v>CP9014</v>
      </c>
      <c r="W881" s="286" t="s">
        <v>325</v>
      </c>
      <c r="X881" s="286"/>
      <c r="Y881" s="286"/>
      <c r="Z881" s="286"/>
      <c r="AA881" s="286" t="s">
        <v>21</v>
      </c>
      <c r="AB881" s="378">
        <v>0</v>
      </c>
      <c r="AC881" s="378"/>
      <c r="AD881" s="335"/>
      <c r="AE881" s="335"/>
      <c r="AF881" s="335"/>
      <c r="AG881" s="378">
        <v>0</v>
      </c>
      <c r="AI881" s="378" t="s">
        <v>21</v>
      </c>
      <c r="AJ881" s="378" t="s">
        <v>21</v>
      </c>
      <c r="AL881" s="286"/>
      <c r="AM881" s="286"/>
    </row>
    <row r="882" spans="1:39" s="51" customFormat="1" ht="33.75" x14ac:dyDescent="0.25">
      <c r="A882" s="59" t="s">
        <v>325</v>
      </c>
      <c r="B882" s="59" t="s">
        <v>86</v>
      </c>
      <c r="C882" s="248"/>
      <c r="D882" s="59">
        <v>10776</v>
      </c>
      <c r="E882" s="60" t="s">
        <v>123</v>
      </c>
      <c r="F882" s="59" t="s">
        <v>3671</v>
      </c>
      <c r="G882" s="61">
        <v>1</v>
      </c>
      <c r="H882" s="62">
        <v>457.03</v>
      </c>
      <c r="I882" s="62">
        <f>IF($D882="","",G882*H882)</f>
        <v>457.03</v>
      </c>
      <c r="J882" s="62"/>
      <c r="K882" s="62">
        <v>0</v>
      </c>
      <c r="L882" s="62">
        <v>457.03</v>
      </c>
      <c r="M882" s="62">
        <v>0</v>
      </c>
      <c r="N882" s="62">
        <v>0</v>
      </c>
      <c r="O882" s="62">
        <v>0</v>
      </c>
      <c r="P882" s="298" t="s">
        <v>89</v>
      </c>
      <c r="Q882" s="60" t="s">
        <v>27</v>
      </c>
      <c r="R882" s="60" t="s">
        <v>27</v>
      </c>
      <c r="S882" s="286" t="str">
        <f t="shared" si="89"/>
        <v>SIM</v>
      </c>
      <c r="T882" s="286" t="str">
        <f>IF($C882= "", T881, IF(ISNA(VLOOKUP($C882,'ABC-S'!$A$5:$A$271,1,FALSE)), "", VLOOKUP($C882,'ABC-S'!$A$5:$A$271,1,FALSE)))</f>
        <v>CP9014</v>
      </c>
      <c r="W882" s="286" t="s">
        <v>325</v>
      </c>
      <c r="X882" s="286" t="s">
        <v>21</v>
      </c>
      <c r="Y882" s="286" t="s">
        <v>21</v>
      </c>
      <c r="Z882" s="286" t="s">
        <v>21</v>
      </c>
      <c r="AA882" s="286" t="s">
        <v>21</v>
      </c>
      <c r="AB882" s="378"/>
      <c r="AC882" s="381" t="s">
        <v>21</v>
      </c>
      <c r="AD882" s="378" t="s">
        <v>21</v>
      </c>
      <c r="AE882" s="378" t="s">
        <v>21</v>
      </c>
      <c r="AF882" s="378" t="s">
        <v>21</v>
      </c>
      <c r="AG882" s="378"/>
      <c r="AI882" s="378" t="s">
        <v>21</v>
      </c>
      <c r="AJ882" s="378" t="s">
        <v>21</v>
      </c>
      <c r="AL882" s="286"/>
      <c r="AM882" s="286">
        <v>10776</v>
      </c>
    </row>
    <row r="883" spans="1:39" s="51" customFormat="1" ht="33.75" hidden="1" x14ac:dyDescent="0.25">
      <c r="A883" s="55" t="s">
        <v>326</v>
      </c>
      <c r="B883" s="55" t="s">
        <v>204</v>
      </c>
      <c r="C883" s="55" t="s">
        <v>326</v>
      </c>
      <c r="D883" s="55"/>
      <c r="E883" s="56" t="s">
        <v>121</v>
      </c>
      <c r="F883" s="55" t="s">
        <v>205</v>
      </c>
      <c r="G883" s="57"/>
      <c r="H883" s="58"/>
      <c r="I883" s="58"/>
      <c r="J883" s="58">
        <f>SUM(I883:I884)</f>
        <v>664.21</v>
      </c>
      <c r="K883" s="58">
        <v>0</v>
      </c>
      <c r="L883" s="58">
        <v>664.21</v>
      </c>
      <c r="M883" s="58">
        <v>0</v>
      </c>
      <c r="N883" s="58">
        <v>0</v>
      </c>
      <c r="O883" s="58">
        <v>0</v>
      </c>
      <c r="P883" s="58"/>
      <c r="Q883" s="56"/>
      <c r="R883" s="56" t="s">
        <v>319</v>
      </c>
      <c r="S883" s="286" t="str">
        <f t="shared" si="89"/>
        <v/>
      </c>
      <c r="T883" s="286" t="str">
        <f>IF($C883= "", T882, IF(ISNA(VLOOKUP($C883,'ABC-S'!$A$5:$A$271,1,FALSE)), "", VLOOKUP($C883,'ABC-S'!$A$5:$A$271,1,FALSE)))</f>
        <v/>
      </c>
      <c r="W883" s="286" t="s">
        <v>326</v>
      </c>
      <c r="X883" s="286"/>
      <c r="Y883" s="286"/>
      <c r="Z883" s="286"/>
      <c r="AA883" s="286" t="s">
        <v>21</v>
      </c>
      <c r="AB883" s="378">
        <v>0</v>
      </c>
      <c r="AC883" s="378"/>
      <c r="AD883" s="335"/>
      <c r="AE883" s="335"/>
      <c r="AF883" s="335"/>
      <c r="AG883" s="378">
        <v>0</v>
      </c>
      <c r="AI883" s="378" t="s">
        <v>21</v>
      </c>
      <c r="AJ883" s="378" t="s">
        <v>21</v>
      </c>
      <c r="AL883" s="286"/>
      <c r="AM883" s="286"/>
    </row>
    <row r="884" spans="1:39" s="51" customFormat="1" ht="33.75" hidden="1" x14ac:dyDescent="0.25">
      <c r="A884" s="59" t="s">
        <v>326</v>
      </c>
      <c r="B884" s="59" t="s">
        <v>86</v>
      </c>
      <c r="C884" s="248"/>
      <c r="D884" s="59">
        <v>10777</v>
      </c>
      <c r="E884" s="60" t="s">
        <v>121</v>
      </c>
      <c r="F884" s="59" t="s">
        <v>3671</v>
      </c>
      <c r="G884" s="61">
        <v>1</v>
      </c>
      <c r="H884" s="62">
        <v>664.21</v>
      </c>
      <c r="I884" s="62">
        <f>IF($D884="","",G884*H884)</f>
        <v>664.21</v>
      </c>
      <c r="J884" s="62"/>
      <c r="K884" s="62">
        <v>0</v>
      </c>
      <c r="L884" s="62">
        <v>664.21</v>
      </c>
      <c r="M884" s="62">
        <v>0</v>
      </c>
      <c r="N884" s="62">
        <v>0</v>
      </c>
      <c r="O884" s="62">
        <v>0</v>
      </c>
      <c r="P884" s="298" t="s">
        <v>89</v>
      </c>
      <c r="Q884" s="60" t="s">
        <v>27</v>
      </c>
      <c r="R884" s="60" t="s">
        <v>27</v>
      </c>
      <c r="S884" s="286" t="str">
        <f t="shared" si="89"/>
        <v/>
      </c>
      <c r="T884" s="286" t="str">
        <f>IF($C884= "", T883, IF(ISNA(VLOOKUP($C884,'ABC-S'!$A$5:$A$271,1,FALSE)), "", VLOOKUP($C884,'ABC-S'!$A$5:$A$271,1,FALSE)))</f>
        <v/>
      </c>
      <c r="W884" s="286" t="s">
        <v>326</v>
      </c>
      <c r="X884" s="286" t="s">
        <v>21</v>
      </c>
      <c r="Y884" s="286" t="s">
        <v>21</v>
      </c>
      <c r="Z884" s="286" t="s">
        <v>21</v>
      </c>
      <c r="AA884" s="286" t="s">
        <v>21</v>
      </c>
      <c r="AB884" s="378"/>
      <c r="AC884" s="381" t="s">
        <v>21</v>
      </c>
      <c r="AD884" s="378" t="s">
        <v>21</v>
      </c>
      <c r="AE884" s="378" t="s">
        <v>21</v>
      </c>
      <c r="AF884" s="378" t="s">
        <v>21</v>
      </c>
      <c r="AG884" s="378"/>
      <c r="AI884" s="378" t="s">
        <v>21</v>
      </c>
      <c r="AJ884" s="378" t="s">
        <v>21</v>
      </c>
      <c r="AL884" s="286"/>
      <c r="AM884" s="286">
        <v>10777</v>
      </c>
    </row>
    <row r="885" spans="1:39" s="51" customFormat="1" ht="33.75" x14ac:dyDescent="0.25">
      <c r="A885" s="55" t="s">
        <v>327</v>
      </c>
      <c r="B885" s="55" t="s">
        <v>204</v>
      </c>
      <c r="C885" s="55" t="s">
        <v>327</v>
      </c>
      <c r="D885" s="55"/>
      <c r="E885" s="56" t="s">
        <v>120</v>
      </c>
      <c r="F885" s="55" t="s">
        <v>205</v>
      </c>
      <c r="G885" s="57"/>
      <c r="H885" s="58"/>
      <c r="I885" s="58"/>
      <c r="J885" s="58">
        <f>SUM(I885:I886)</f>
        <v>731.25</v>
      </c>
      <c r="K885" s="58">
        <v>0</v>
      </c>
      <c r="L885" s="58">
        <v>731.25</v>
      </c>
      <c r="M885" s="58">
        <v>0</v>
      </c>
      <c r="N885" s="58">
        <v>0</v>
      </c>
      <c r="O885" s="58">
        <v>0</v>
      </c>
      <c r="P885" s="58"/>
      <c r="Q885" s="56"/>
      <c r="R885" s="56" t="s">
        <v>320</v>
      </c>
      <c r="S885" s="286" t="str">
        <f t="shared" si="89"/>
        <v>SIM</v>
      </c>
      <c r="T885" s="286" t="str">
        <f>IF($C885= "", T884, IF(ISNA(VLOOKUP($C885,'ABC-S'!$A$5:$A$271,1,FALSE)), "", VLOOKUP($C885,'ABC-S'!$A$5:$A$271,1,FALSE)))</f>
        <v>CP9016</v>
      </c>
      <c r="W885" s="286" t="s">
        <v>327</v>
      </c>
      <c r="X885" s="286"/>
      <c r="Y885" s="286"/>
      <c r="Z885" s="286"/>
      <c r="AA885" s="286" t="s">
        <v>21</v>
      </c>
      <c r="AB885" s="378">
        <v>0</v>
      </c>
      <c r="AC885" s="378"/>
      <c r="AD885" s="335"/>
      <c r="AE885" s="335"/>
      <c r="AF885" s="335"/>
      <c r="AG885" s="378">
        <v>0</v>
      </c>
      <c r="AI885" s="378" t="s">
        <v>21</v>
      </c>
      <c r="AJ885" s="378" t="s">
        <v>21</v>
      </c>
      <c r="AL885" s="286"/>
      <c r="AM885" s="286"/>
    </row>
    <row r="886" spans="1:39" s="51" customFormat="1" ht="33.75" x14ac:dyDescent="0.25">
      <c r="A886" s="59" t="s">
        <v>327</v>
      </c>
      <c r="B886" s="59" t="s">
        <v>86</v>
      </c>
      <c r="C886" s="248"/>
      <c r="D886" s="59">
        <v>10778</v>
      </c>
      <c r="E886" s="60" t="s">
        <v>120</v>
      </c>
      <c r="F886" s="59" t="s">
        <v>3671</v>
      </c>
      <c r="G886" s="61">
        <v>1</v>
      </c>
      <c r="H886" s="62">
        <v>731.25</v>
      </c>
      <c r="I886" s="62">
        <f>IF($D886="","",G886*H886)</f>
        <v>731.25</v>
      </c>
      <c r="J886" s="62"/>
      <c r="K886" s="62">
        <v>0</v>
      </c>
      <c r="L886" s="62">
        <v>731.25</v>
      </c>
      <c r="M886" s="62">
        <v>0</v>
      </c>
      <c r="N886" s="62">
        <v>0</v>
      </c>
      <c r="O886" s="62">
        <v>0</v>
      </c>
      <c r="P886" s="298" t="s">
        <v>89</v>
      </c>
      <c r="Q886" s="60" t="s">
        <v>27</v>
      </c>
      <c r="R886" s="60" t="s">
        <v>27</v>
      </c>
      <c r="S886" s="286" t="str">
        <f t="shared" ref="S886:S949" si="92">IF(T886 &lt;&gt; "", "SIM", "")</f>
        <v>SIM</v>
      </c>
      <c r="T886" s="286" t="str">
        <f>IF($C886= "", T885, IF(ISNA(VLOOKUP($C886,'ABC-S'!$A$5:$A$271,1,FALSE)), "", VLOOKUP($C886,'ABC-S'!$A$5:$A$271,1,FALSE)))</f>
        <v>CP9016</v>
      </c>
      <c r="W886" s="286" t="s">
        <v>327</v>
      </c>
      <c r="X886" s="286" t="s">
        <v>21</v>
      </c>
      <c r="Y886" s="286" t="s">
        <v>21</v>
      </c>
      <c r="Z886" s="286" t="s">
        <v>21</v>
      </c>
      <c r="AA886" s="286" t="s">
        <v>21</v>
      </c>
      <c r="AB886" s="378"/>
      <c r="AC886" s="381" t="s">
        <v>21</v>
      </c>
      <c r="AD886" s="378" t="s">
        <v>21</v>
      </c>
      <c r="AE886" s="378" t="s">
        <v>21</v>
      </c>
      <c r="AF886" s="378" t="s">
        <v>21</v>
      </c>
      <c r="AG886" s="378"/>
      <c r="AI886" s="378" t="s">
        <v>21</v>
      </c>
      <c r="AJ886" s="378" t="s">
        <v>21</v>
      </c>
      <c r="AL886" s="286"/>
      <c r="AM886" s="286">
        <v>10778</v>
      </c>
    </row>
    <row r="887" spans="1:39" s="51" customFormat="1" ht="33.75" hidden="1" x14ac:dyDescent="0.25">
      <c r="A887" s="55" t="s">
        <v>328</v>
      </c>
      <c r="B887" s="55" t="s">
        <v>204</v>
      </c>
      <c r="C887" s="55" t="s">
        <v>328</v>
      </c>
      <c r="D887" s="55"/>
      <c r="E887" s="56" t="s">
        <v>122</v>
      </c>
      <c r="F887" s="55" t="s">
        <v>205</v>
      </c>
      <c r="G887" s="57"/>
      <c r="H887" s="58"/>
      <c r="I887" s="58"/>
      <c r="J887" s="58">
        <f>SUM(I887:I888)</f>
        <v>731.25</v>
      </c>
      <c r="K887" s="58">
        <v>0</v>
      </c>
      <c r="L887" s="58">
        <v>731.25</v>
      </c>
      <c r="M887" s="58">
        <v>0</v>
      </c>
      <c r="N887" s="58">
        <v>0</v>
      </c>
      <c r="O887" s="58">
        <v>0</v>
      </c>
      <c r="P887" s="58"/>
      <c r="Q887" s="56"/>
      <c r="R887" s="56" t="s">
        <v>321</v>
      </c>
      <c r="S887" s="286" t="str">
        <f t="shared" si="92"/>
        <v/>
      </c>
      <c r="T887" s="286" t="str">
        <f>IF($C887= "", T886, IF(ISNA(VLOOKUP($C887,'ABC-S'!$A$5:$A$271,1,FALSE)), "", VLOOKUP($C887,'ABC-S'!$A$5:$A$271,1,FALSE)))</f>
        <v/>
      </c>
      <c r="W887" s="286" t="s">
        <v>328</v>
      </c>
      <c r="X887" s="286"/>
      <c r="Y887" s="286"/>
      <c r="Z887" s="286"/>
      <c r="AA887" s="286" t="s">
        <v>21</v>
      </c>
      <c r="AB887" s="378">
        <v>0</v>
      </c>
      <c r="AC887" s="378"/>
      <c r="AD887" s="335"/>
      <c r="AE887" s="335"/>
      <c r="AF887" s="335"/>
      <c r="AG887" s="378">
        <v>0</v>
      </c>
      <c r="AI887" s="378" t="s">
        <v>21</v>
      </c>
      <c r="AJ887" s="378" t="s">
        <v>21</v>
      </c>
      <c r="AL887" s="286"/>
      <c r="AM887" s="286"/>
    </row>
    <row r="888" spans="1:39" s="51" customFormat="1" ht="33.75" hidden="1" x14ac:dyDescent="0.25">
      <c r="A888" s="59" t="s">
        <v>328</v>
      </c>
      <c r="B888" s="59" t="s">
        <v>86</v>
      </c>
      <c r="C888" s="248"/>
      <c r="D888" s="59">
        <v>10779</v>
      </c>
      <c r="E888" s="60" t="s">
        <v>122</v>
      </c>
      <c r="F888" s="59" t="s">
        <v>3671</v>
      </c>
      <c r="G888" s="61">
        <v>1</v>
      </c>
      <c r="H888" s="62">
        <v>731.25</v>
      </c>
      <c r="I888" s="62">
        <f>IF($D888="","",G888*H888)</f>
        <v>731.25</v>
      </c>
      <c r="J888" s="62"/>
      <c r="K888" s="62">
        <v>0</v>
      </c>
      <c r="L888" s="62">
        <v>731.25</v>
      </c>
      <c r="M888" s="62">
        <v>0</v>
      </c>
      <c r="N888" s="62">
        <v>0</v>
      </c>
      <c r="O888" s="62">
        <v>0</v>
      </c>
      <c r="P888" s="298" t="s">
        <v>89</v>
      </c>
      <c r="Q888" s="60" t="s">
        <v>27</v>
      </c>
      <c r="R888" s="60" t="s">
        <v>27</v>
      </c>
      <c r="S888" s="286" t="str">
        <f t="shared" si="92"/>
        <v/>
      </c>
      <c r="T888" s="286" t="str">
        <f>IF($C888= "", T887, IF(ISNA(VLOOKUP($C888,'ABC-S'!$A$5:$A$271,1,FALSE)), "", VLOOKUP($C888,'ABC-S'!$A$5:$A$271,1,FALSE)))</f>
        <v/>
      </c>
      <c r="W888" s="286" t="s">
        <v>328</v>
      </c>
      <c r="X888" s="286" t="s">
        <v>21</v>
      </c>
      <c r="Y888" s="286" t="s">
        <v>21</v>
      </c>
      <c r="Z888" s="286" t="s">
        <v>21</v>
      </c>
      <c r="AA888" s="286" t="s">
        <v>21</v>
      </c>
      <c r="AB888" s="378"/>
      <c r="AC888" s="381" t="s">
        <v>21</v>
      </c>
      <c r="AD888" s="378" t="s">
        <v>21</v>
      </c>
      <c r="AE888" s="378" t="s">
        <v>21</v>
      </c>
      <c r="AF888" s="378" t="s">
        <v>21</v>
      </c>
      <c r="AG888" s="378"/>
      <c r="AI888" s="378" t="s">
        <v>21</v>
      </c>
      <c r="AJ888" s="378" t="s">
        <v>21</v>
      </c>
      <c r="AL888" s="286"/>
      <c r="AM888" s="286">
        <v>10779</v>
      </c>
    </row>
    <row r="889" spans="1:39" s="51" customFormat="1" hidden="1" x14ac:dyDescent="0.25">
      <c r="A889" s="55" t="s">
        <v>329</v>
      </c>
      <c r="B889" s="55" t="s">
        <v>138</v>
      </c>
      <c r="C889" s="55" t="s">
        <v>329</v>
      </c>
      <c r="D889" s="55"/>
      <c r="E889" s="56" t="s">
        <v>408</v>
      </c>
      <c r="F889" s="55" t="s">
        <v>45</v>
      </c>
      <c r="G889" s="57"/>
      <c r="H889" s="58"/>
      <c r="I889" s="58"/>
      <c r="J889" s="58">
        <f>SUM(I889:I890)</f>
        <v>16740.23</v>
      </c>
      <c r="K889" s="58">
        <v>16520.580000000002</v>
      </c>
      <c r="L889" s="58">
        <v>219.65</v>
      </c>
      <c r="M889" s="58">
        <v>0</v>
      </c>
      <c r="N889" s="58">
        <v>0</v>
      </c>
      <c r="O889" s="58">
        <v>-3.637978807091713E-12</v>
      </c>
      <c r="P889" s="58"/>
      <c r="Q889" s="56"/>
      <c r="R889" s="56" t="s">
        <v>395</v>
      </c>
      <c r="S889" s="286" t="str">
        <f t="shared" si="92"/>
        <v/>
      </c>
      <c r="T889" s="286" t="str">
        <f>IF($C889= "", T888, IF(ISNA(VLOOKUP($C889,'ABC-S'!$A$5:$A$271,1,FALSE)), "", VLOOKUP($C889,'ABC-S'!$A$5:$A$271,1,FALSE)))</f>
        <v/>
      </c>
      <c r="W889" s="286" t="s">
        <v>329</v>
      </c>
      <c r="X889" s="286"/>
      <c r="Y889" s="286"/>
      <c r="Z889" s="286"/>
      <c r="AA889" s="286" t="s">
        <v>21</v>
      </c>
      <c r="AB889" s="378">
        <v>0</v>
      </c>
      <c r="AC889" s="378"/>
      <c r="AD889" s="335"/>
      <c r="AE889" s="335"/>
      <c r="AF889" s="335"/>
      <c r="AG889" s="378">
        <v>0</v>
      </c>
      <c r="AI889" s="378" t="s">
        <v>21</v>
      </c>
      <c r="AJ889" s="378" t="s">
        <v>21</v>
      </c>
      <c r="AL889" s="286"/>
      <c r="AM889" s="286"/>
    </row>
    <row r="890" spans="1:39" s="51" customFormat="1" ht="22.5" hidden="1" x14ac:dyDescent="0.25">
      <c r="A890" s="59" t="s">
        <v>329</v>
      </c>
      <c r="B890" s="59" t="s">
        <v>87</v>
      </c>
      <c r="C890" s="248"/>
      <c r="D890" s="59">
        <v>100319</v>
      </c>
      <c r="E890" s="60" t="s">
        <v>558</v>
      </c>
      <c r="F890" s="59" t="s">
        <v>45</v>
      </c>
      <c r="G890" s="61">
        <v>1</v>
      </c>
      <c r="H890" s="62">
        <v>16740.23</v>
      </c>
      <c r="I890" s="62">
        <f>IF($D890="","",G890*H890)</f>
        <v>16740.23</v>
      </c>
      <c r="J890" s="62"/>
      <c r="K890" s="62">
        <v>16520.580000000002</v>
      </c>
      <c r="L890" s="62">
        <v>219.65</v>
      </c>
      <c r="M890" s="62">
        <v>0</v>
      </c>
      <c r="N890" s="62">
        <v>0</v>
      </c>
      <c r="O890" s="62">
        <v>-3.637978807091713E-12</v>
      </c>
      <c r="P890" s="298" t="s">
        <v>4160</v>
      </c>
      <c r="Q890" s="60" t="s">
        <v>27</v>
      </c>
      <c r="R890" s="60" t="s">
        <v>174</v>
      </c>
      <c r="S890" s="286" t="str">
        <f t="shared" si="92"/>
        <v/>
      </c>
      <c r="T890" s="286" t="str">
        <f>IF($C890= "", T889, IF(ISNA(VLOOKUP($C890,'ABC-S'!$A$5:$A$271,1,FALSE)), "", VLOOKUP($C890,'ABC-S'!$A$5:$A$271,1,FALSE)))</f>
        <v/>
      </c>
      <c r="W890" s="286" t="s">
        <v>329</v>
      </c>
      <c r="X890" s="286" t="s">
        <v>21</v>
      </c>
      <c r="Y890" s="286" t="s">
        <v>85</v>
      </c>
      <c r="Z890" s="335" t="s">
        <v>21</v>
      </c>
      <c r="AA890" s="286" t="s">
        <v>21</v>
      </c>
      <c r="AB890" s="378"/>
      <c r="AC890" s="381" t="s">
        <v>21</v>
      </c>
      <c r="AD890" s="378" t="s">
        <v>21</v>
      </c>
      <c r="AE890" s="378" t="s">
        <v>21</v>
      </c>
      <c r="AF890" s="378" t="s">
        <v>21</v>
      </c>
      <c r="AG890" s="378"/>
      <c r="AI890" s="378">
        <v>0</v>
      </c>
      <c r="AJ890" s="378">
        <v>0</v>
      </c>
      <c r="AL890" s="286">
        <v>100319</v>
      </c>
      <c r="AM890" s="286"/>
    </row>
    <row r="891" spans="1:39" s="51" customFormat="1" x14ac:dyDescent="0.25">
      <c r="A891" s="55" t="s">
        <v>330</v>
      </c>
      <c r="B891" s="55" t="s">
        <v>138</v>
      </c>
      <c r="C891" s="55" t="s">
        <v>330</v>
      </c>
      <c r="D891" s="55"/>
      <c r="E891" s="56" t="s">
        <v>409</v>
      </c>
      <c r="F891" s="55" t="s">
        <v>205</v>
      </c>
      <c r="G891" s="57"/>
      <c r="H891" s="58"/>
      <c r="I891" s="58"/>
      <c r="J891" s="58">
        <f>SUM(I891:I892)</f>
        <v>7084.73</v>
      </c>
      <c r="K891" s="58">
        <v>6853.2</v>
      </c>
      <c r="L891" s="58">
        <v>231.53</v>
      </c>
      <c r="M891" s="58">
        <v>0</v>
      </c>
      <c r="N891" s="58">
        <v>0</v>
      </c>
      <c r="O891" s="58">
        <v>0</v>
      </c>
      <c r="P891" s="58"/>
      <c r="Q891" s="56"/>
      <c r="R891" s="56" t="s">
        <v>395</v>
      </c>
      <c r="S891" s="286" t="str">
        <f t="shared" si="92"/>
        <v>SIM</v>
      </c>
      <c r="T891" s="286" t="str">
        <f>IF($C891= "", T890, IF(ISNA(VLOOKUP($C891,'ABC-S'!$A$5:$A$271,1,FALSE)), "", VLOOKUP($C891,'ABC-S'!$A$5:$A$271,1,FALSE)))</f>
        <v>CP9019</v>
      </c>
      <c r="W891" s="286" t="s">
        <v>330</v>
      </c>
      <c r="X891" s="286"/>
      <c r="Y891" s="286"/>
      <c r="Z891" s="286"/>
      <c r="AA891" s="286" t="s">
        <v>21</v>
      </c>
      <c r="AB891" s="378">
        <v>0</v>
      </c>
      <c r="AC891" s="378"/>
      <c r="AD891" s="335"/>
      <c r="AE891" s="335"/>
      <c r="AF891" s="335"/>
      <c r="AG891" s="378">
        <v>0</v>
      </c>
      <c r="AI891" s="378" t="s">
        <v>21</v>
      </c>
      <c r="AJ891" s="378" t="s">
        <v>21</v>
      </c>
      <c r="AL891" s="286"/>
      <c r="AM891" s="286"/>
    </row>
    <row r="892" spans="1:39" s="51" customFormat="1" ht="22.5" x14ac:dyDescent="0.25">
      <c r="A892" s="248" t="s">
        <v>330</v>
      </c>
      <c r="B892" s="59" t="s">
        <v>87</v>
      </c>
      <c r="C892" s="248"/>
      <c r="D892" s="59">
        <v>100321</v>
      </c>
      <c r="E892" s="60" t="s">
        <v>201</v>
      </c>
      <c r="F892" s="248" t="s">
        <v>45</v>
      </c>
      <c r="G892" s="61">
        <v>1</v>
      </c>
      <c r="H892" s="62">
        <v>7084.73</v>
      </c>
      <c r="I892" s="62">
        <f>IF($D892="","",G892*H892)</f>
        <v>7084.73</v>
      </c>
      <c r="J892" s="62"/>
      <c r="K892" s="62">
        <v>6853.2</v>
      </c>
      <c r="L892" s="62">
        <v>231.53</v>
      </c>
      <c r="M892" s="62">
        <v>0</v>
      </c>
      <c r="N892" s="62">
        <v>0</v>
      </c>
      <c r="O892" s="62">
        <v>0</v>
      </c>
      <c r="P892" s="298" t="s">
        <v>4160</v>
      </c>
      <c r="Q892" s="60" t="s">
        <v>27</v>
      </c>
      <c r="R892" s="60" t="s">
        <v>174</v>
      </c>
      <c r="S892" s="286" t="str">
        <f t="shared" si="92"/>
        <v>SIM</v>
      </c>
      <c r="T892" s="286" t="str">
        <f>IF($C892= "", T891, IF(ISNA(VLOOKUP($C892,'ABC-S'!$A$5:$A$271,1,FALSE)), "", VLOOKUP($C892,'ABC-S'!$A$5:$A$271,1,FALSE)))</f>
        <v>CP9019</v>
      </c>
      <c r="W892" s="286" t="s">
        <v>330</v>
      </c>
      <c r="X892" s="286" t="s">
        <v>21</v>
      </c>
      <c r="Y892" s="286" t="s">
        <v>85</v>
      </c>
      <c r="Z892" s="335" t="s">
        <v>21</v>
      </c>
      <c r="AA892" s="286" t="s">
        <v>21</v>
      </c>
      <c r="AB892" s="378"/>
      <c r="AC892" s="381" t="s">
        <v>21</v>
      </c>
      <c r="AD892" s="378" t="s">
        <v>21</v>
      </c>
      <c r="AE892" s="378" t="s">
        <v>21</v>
      </c>
      <c r="AF892" s="378" t="s">
        <v>21</v>
      </c>
      <c r="AG892" s="378"/>
      <c r="AI892" s="378">
        <v>0</v>
      </c>
      <c r="AJ892" s="378">
        <v>0</v>
      </c>
      <c r="AL892" s="286">
        <v>100321</v>
      </c>
      <c r="AM892" s="286"/>
    </row>
    <row r="893" spans="1:39" s="51" customFormat="1" ht="22.5" x14ac:dyDescent="0.25">
      <c r="A893" s="55" t="s">
        <v>380</v>
      </c>
      <c r="B893" s="55" t="s">
        <v>138</v>
      </c>
      <c r="C893" s="55" t="s">
        <v>380</v>
      </c>
      <c r="D893" s="55"/>
      <c r="E893" s="56" t="s">
        <v>384</v>
      </c>
      <c r="F893" s="55" t="s">
        <v>51</v>
      </c>
      <c r="G893" s="57"/>
      <c r="H893" s="58"/>
      <c r="I893" s="58"/>
      <c r="J893" s="58">
        <f>SUM(I893:I902)</f>
        <v>735.78321000000005</v>
      </c>
      <c r="K893" s="58">
        <v>546.88959000000011</v>
      </c>
      <c r="L893" s="58">
        <v>115.86237</v>
      </c>
      <c r="M893" s="58">
        <v>73.03125</v>
      </c>
      <c r="N893" s="58">
        <v>0</v>
      </c>
      <c r="O893" s="58">
        <v>0</v>
      </c>
      <c r="P893" s="58"/>
      <c r="Q893" s="56"/>
      <c r="R893" s="56" t="s">
        <v>383</v>
      </c>
      <c r="S893" s="286" t="str">
        <f t="shared" si="92"/>
        <v>SIM</v>
      </c>
      <c r="T893" s="286" t="str">
        <f>IF($C893= "", T892, IF(ISNA(VLOOKUP($C893,'ABC-S'!$A$5:$A$271,1,FALSE)), "", VLOOKUP($C893,'ABC-S'!$A$5:$A$271,1,FALSE)))</f>
        <v>CP9021</v>
      </c>
      <c r="W893" s="286" t="s">
        <v>380</v>
      </c>
      <c r="X893" s="286"/>
      <c r="Y893" s="286"/>
      <c r="Z893" s="286"/>
      <c r="AA893" s="286" t="s">
        <v>21</v>
      </c>
      <c r="AB893" s="378">
        <v>8.266</v>
      </c>
      <c r="AC893" s="378"/>
      <c r="AD893" s="335"/>
      <c r="AE893" s="335"/>
      <c r="AF893" s="335"/>
      <c r="AG893" s="378">
        <v>8.266</v>
      </c>
      <c r="AI893" s="378" t="s">
        <v>21</v>
      </c>
      <c r="AJ893" s="378" t="s">
        <v>21</v>
      </c>
      <c r="AL893" s="286"/>
      <c r="AM893" s="286"/>
    </row>
    <row r="894" spans="1:39" s="51" customFormat="1" ht="33.75" x14ac:dyDescent="0.25">
      <c r="A894" s="59" t="s">
        <v>380</v>
      </c>
      <c r="B894" s="59" t="s">
        <v>86</v>
      </c>
      <c r="C894" s="248"/>
      <c r="D894" s="59">
        <v>4433</v>
      </c>
      <c r="E894" s="60" t="s">
        <v>1473</v>
      </c>
      <c r="F894" s="59" t="s">
        <v>3667</v>
      </c>
      <c r="G894" s="61">
        <v>3.125</v>
      </c>
      <c r="H894" s="62">
        <v>23.37</v>
      </c>
      <c r="I894" s="62">
        <f>IF($D894="","",G894*H894)</f>
        <v>73.03125</v>
      </c>
      <c r="J894" s="62"/>
      <c r="K894" s="62">
        <v>0</v>
      </c>
      <c r="L894" s="62">
        <v>0</v>
      </c>
      <c r="M894" s="62">
        <v>73.03125</v>
      </c>
      <c r="N894" s="62">
        <v>0</v>
      </c>
      <c r="O894" s="62">
        <v>0</v>
      </c>
      <c r="P894" s="298" t="s">
        <v>719</v>
      </c>
      <c r="Q894" s="60" t="s">
        <v>27</v>
      </c>
      <c r="R894" s="60" t="s">
        <v>27</v>
      </c>
      <c r="S894" s="286" t="str">
        <f t="shared" si="92"/>
        <v>SIM</v>
      </c>
      <c r="T894" s="286" t="str">
        <f>IF($C894= "", T893, IF(ISNA(VLOOKUP($C894,'ABC-S'!$A$5:$A$271,1,FALSE)), "", VLOOKUP($C894,'ABC-S'!$A$5:$A$271,1,FALSE)))</f>
        <v>CP9021</v>
      </c>
      <c r="W894" s="286" t="s">
        <v>380</v>
      </c>
      <c r="X894" s="286" t="s">
        <v>21</v>
      </c>
      <c r="Y894" s="286" t="s">
        <v>21</v>
      </c>
      <c r="Z894" s="286" t="s">
        <v>21</v>
      </c>
      <c r="AA894" s="286" t="s">
        <v>21</v>
      </c>
      <c r="AB894" s="378"/>
      <c r="AC894" s="381" t="s">
        <v>21</v>
      </c>
      <c r="AD894" s="378" t="s">
        <v>21</v>
      </c>
      <c r="AE894" s="378" t="s">
        <v>21</v>
      </c>
      <c r="AF894" s="378" t="s">
        <v>21</v>
      </c>
      <c r="AG894" s="378"/>
      <c r="AI894" s="378" t="s">
        <v>21</v>
      </c>
      <c r="AJ894" s="378" t="s">
        <v>21</v>
      </c>
      <c r="AL894" s="286"/>
      <c r="AM894" s="286">
        <v>4433</v>
      </c>
    </row>
    <row r="895" spans="1:39" s="51" customFormat="1" x14ac:dyDescent="0.25">
      <c r="A895" s="59" t="s">
        <v>380</v>
      </c>
      <c r="B895" s="59" t="s">
        <v>86</v>
      </c>
      <c r="C895" s="248"/>
      <c r="D895" s="59">
        <v>5068</v>
      </c>
      <c r="E895" s="60" t="s">
        <v>93</v>
      </c>
      <c r="F895" s="59" t="s">
        <v>3669</v>
      </c>
      <c r="G895" s="61">
        <v>0.27600000000000002</v>
      </c>
      <c r="H895" s="62">
        <v>20.239999999999998</v>
      </c>
      <c r="I895" s="62">
        <f t="shared" ref="I895:I900" si="93">IF($D895="","",G895*H895)</f>
        <v>5.5862400000000001</v>
      </c>
      <c r="J895" s="62"/>
      <c r="K895" s="62">
        <v>0</v>
      </c>
      <c r="L895" s="62">
        <v>5.5862400000000001</v>
      </c>
      <c r="M895" s="62">
        <v>0</v>
      </c>
      <c r="N895" s="62">
        <v>0</v>
      </c>
      <c r="O895" s="62">
        <v>0</v>
      </c>
      <c r="P895" s="298" t="s">
        <v>89</v>
      </c>
      <c r="Q895" s="60" t="s">
        <v>27</v>
      </c>
      <c r="R895" s="60" t="s">
        <v>27</v>
      </c>
      <c r="S895" s="286" t="str">
        <f t="shared" si="92"/>
        <v>SIM</v>
      </c>
      <c r="T895" s="286" t="str">
        <f>IF($C895= "", T894, IF(ISNA(VLOOKUP($C895,'ABC-S'!$A$5:$A$271,1,FALSE)), "", VLOOKUP($C895,'ABC-S'!$A$5:$A$271,1,FALSE)))</f>
        <v>CP9021</v>
      </c>
      <c r="W895" s="286" t="s">
        <v>380</v>
      </c>
      <c r="X895" s="286" t="s">
        <v>21</v>
      </c>
      <c r="Y895" s="286" t="s">
        <v>21</v>
      </c>
      <c r="Z895" s="286" t="s">
        <v>21</v>
      </c>
      <c r="AA895" s="286" t="s">
        <v>21</v>
      </c>
      <c r="AB895" s="378"/>
      <c r="AC895" s="381" t="s">
        <v>21</v>
      </c>
      <c r="AD895" s="378" t="s">
        <v>21</v>
      </c>
      <c r="AE895" s="378" t="s">
        <v>21</v>
      </c>
      <c r="AF895" s="378" t="s">
        <v>21</v>
      </c>
      <c r="AG895" s="378"/>
      <c r="AI895" s="378" t="s">
        <v>21</v>
      </c>
      <c r="AJ895" s="378" t="s">
        <v>21</v>
      </c>
      <c r="AL895" s="286"/>
      <c r="AM895" s="286">
        <v>5068</v>
      </c>
    </row>
    <row r="896" spans="1:39" s="51" customFormat="1" ht="22.5" x14ac:dyDescent="0.25">
      <c r="A896" s="59" t="s">
        <v>380</v>
      </c>
      <c r="B896" s="59" t="s">
        <v>86</v>
      </c>
      <c r="C896" s="248"/>
      <c r="D896" s="59">
        <v>1347</v>
      </c>
      <c r="E896" s="60" t="s">
        <v>688</v>
      </c>
      <c r="F896" s="59" t="s">
        <v>3665</v>
      </c>
      <c r="G896" s="61">
        <v>1.05</v>
      </c>
      <c r="H896" s="62">
        <v>47.89</v>
      </c>
      <c r="I896" s="62">
        <f t="shared" si="93"/>
        <v>50.284500000000001</v>
      </c>
      <c r="J896" s="62"/>
      <c r="K896" s="62">
        <v>0</v>
      </c>
      <c r="L896" s="62">
        <v>50.284500000000001</v>
      </c>
      <c r="M896" s="62">
        <v>0</v>
      </c>
      <c r="N896" s="62">
        <v>0</v>
      </c>
      <c r="O896" s="62">
        <v>0</v>
      </c>
      <c r="P896" s="298" t="s">
        <v>89</v>
      </c>
      <c r="Q896" s="60" t="s">
        <v>27</v>
      </c>
      <c r="R896" s="60" t="s">
        <v>27</v>
      </c>
      <c r="S896" s="286" t="str">
        <f t="shared" si="92"/>
        <v>SIM</v>
      </c>
      <c r="T896" s="286" t="str">
        <f>IF($C896= "", T895, IF(ISNA(VLOOKUP($C896,'ABC-S'!$A$5:$A$271,1,FALSE)), "", VLOOKUP($C896,'ABC-S'!$A$5:$A$271,1,FALSE)))</f>
        <v>CP9021</v>
      </c>
      <c r="W896" s="286" t="s">
        <v>380</v>
      </c>
      <c r="X896" s="286" t="s">
        <v>21</v>
      </c>
      <c r="Y896" s="286" t="s">
        <v>21</v>
      </c>
      <c r="Z896" s="286" t="s">
        <v>21</v>
      </c>
      <c r="AA896" s="286" t="s">
        <v>21</v>
      </c>
      <c r="AB896" s="378"/>
      <c r="AC896" s="381" t="s">
        <v>21</v>
      </c>
      <c r="AD896" s="378" t="s">
        <v>21</v>
      </c>
      <c r="AE896" s="378" t="s">
        <v>21</v>
      </c>
      <c r="AF896" s="378" t="s">
        <v>21</v>
      </c>
      <c r="AG896" s="378"/>
      <c r="AI896" s="378" t="s">
        <v>21</v>
      </c>
      <c r="AJ896" s="378" t="s">
        <v>21</v>
      </c>
      <c r="AL896" s="286"/>
      <c r="AM896" s="286">
        <v>1347</v>
      </c>
    </row>
    <row r="897" spans="1:39" s="51" customFormat="1" ht="45" x14ac:dyDescent="0.25">
      <c r="A897" s="59" t="s">
        <v>380</v>
      </c>
      <c r="B897" s="59" t="s">
        <v>86</v>
      </c>
      <c r="C897" s="248"/>
      <c r="D897" s="59">
        <v>5085</v>
      </c>
      <c r="E897" s="60" t="s">
        <v>1173</v>
      </c>
      <c r="F897" s="59" t="s">
        <v>3666</v>
      </c>
      <c r="G897" s="61">
        <v>0.13300000000000001</v>
      </c>
      <c r="H897" s="62">
        <v>27.24</v>
      </c>
      <c r="I897" s="62">
        <f t="shared" si="93"/>
        <v>3.6229200000000001</v>
      </c>
      <c r="J897" s="62"/>
      <c r="K897" s="62">
        <v>0</v>
      </c>
      <c r="L897" s="62">
        <v>3.6229200000000001</v>
      </c>
      <c r="M897" s="62">
        <v>0</v>
      </c>
      <c r="N897" s="62">
        <v>0</v>
      </c>
      <c r="O897" s="62">
        <v>0</v>
      </c>
      <c r="P897" s="298" t="s">
        <v>89</v>
      </c>
      <c r="Q897" s="60" t="s">
        <v>27</v>
      </c>
      <c r="R897" s="60" t="s">
        <v>27</v>
      </c>
      <c r="S897" s="286" t="str">
        <f t="shared" si="92"/>
        <v>SIM</v>
      </c>
      <c r="T897" s="286" t="str">
        <f>IF($C897= "", T896, IF(ISNA(VLOOKUP($C897,'ABC-S'!$A$5:$A$271,1,FALSE)), "", VLOOKUP($C897,'ABC-S'!$A$5:$A$271,1,FALSE)))</f>
        <v>CP9021</v>
      </c>
      <c r="W897" s="286" t="s">
        <v>380</v>
      </c>
      <c r="X897" s="286" t="s">
        <v>21</v>
      </c>
      <c r="Y897" s="286" t="s">
        <v>21</v>
      </c>
      <c r="Z897" s="286" t="s">
        <v>21</v>
      </c>
      <c r="AA897" s="286" t="s">
        <v>21</v>
      </c>
      <c r="AB897" s="378"/>
      <c r="AC897" s="381" t="s">
        <v>21</v>
      </c>
      <c r="AD897" s="378" t="s">
        <v>21</v>
      </c>
      <c r="AE897" s="378" t="s">
        <v>21</v>
      </c>
      <c r="AF897" s="378" t="s">
        <v>21</v>
      </c>
      <c r="AG897" s="378"/>
      <c r="AI897" s="378" t="s">
        <v>21</v>
      </c>
      <c r="AJ897" s="378" t="s">
        <v>21</v>
      </c>
      <c r="AL897" s="286"/>
      <c r="AM897" s="286">
        <v>5085</v>
      </c>
    </row>
    <row r="898" spans="1:39" s="51" customFormat="1" ht="56.25" x14ac:dyDescent="0.25">
      <c r="A898" s="59" t="s">
        <v>380</v>
      </c>
      <c r="B898" s="59" t="s">
        <v>86</v>
      </c>
      <c r="C898" s="248"/>
      <c r="D898" s="59">
        <v>11461</v>
      </c>
      <c r="E898" s="60" t="s">
        <v>1174</v>
      </c>
      <c r="F898" s="59" t="s">
        <v>3666</v>
      </c>
      <c r="G898" s="61">
        <v>0.13300000000000001</v>
      </c>
      <c r="H898" s="62">
        <v>9.73</v>
      </c>
      <c r="I898" s="62">
        <f t="shared" si="93"/>
        <v>1.2940900000000002</v>
      </c>
      <c r="J898" s="62"/>
      <c r="K898" s="62">
        <v>0</v>
      </c>
      <c r="L898" s="62">
        <v>1.2940900000000002</v>
      </c>
      <c r="M898" s="62">
        <v>0</v>
      </c>
      <c r="N898" s="62">
        <v>0</v>
      </c>
      <c r="O898" s="62">
        <v>0</v>
      </c>
      <c r="P898" s="298" t="s">
        <v>89</v>
      </c>
      <c r="Q898" s="60" t="s">
        <v>27</v>
      </c>
      <c r="R898" s="60" t="s">
        <v>27</v>
      </c>
      <c r="S898" s="286" t="str">
        <f t="shared" si="92"/>
        <v>SIM</v>
      </c>
      <c r="T898" s="286" t="str">
        <f>IF($C898= "", T897, IF(ISNA(VLOOKUP($C898,'ABC-S'!$A$5:$A$271,1,FALSE)), "", VLOOKUP($C898,'ABC-S'!$A$5:$A$271,1,FALSE)))</f>
        <v>CP9021</v>
      </c>
      <c r="W898" s="286" t="s">
        <v>380</v>
      </c>
      <c r="X898" s="286" t="s">
        <v>21</v>
      </c>
      <c r="Y898" s="286" t="s">
        <v>21</v>
      </c>
      <c r="Z898" s="286" t="s">
        <v>21</v>
      </c>
      <c r="AA898" s="286" t="s">
        <v>21</v>
      </c>
      <c r="AB898" s="378"/>
      <c r="AC898" s="381" t="s">
        <v>21</v>
      </c>
      <c r="AD898" s="378" t="s">
        <v>21</v>
      </c>
      <c r="AE898" s="378" t="s">
        <v>21</v>
      </c>
      <c r="AF898" s="378" t="s">
        <v>21</v>
      </c>
      <c r="AG898" s="378"/>
      <c r="AI898" s="378" t="s">
        <v>21</v>
      </c>
      <c r="AJ898" s="378" t="s">
        <v>21</v>
      </c>
      <c r="AL898" s="286"/>
      <c r="AM898" s="286">
        <v>11461</v>
      </c>
    </row>
    <row r="899" spans="1:39" s="51" customFormat="1" x14ac:dyDescent="0.25">
      <c r="A899" s="59" t="s">
        <v>380</v>
      </c>
      <c r="B899" s="59" t="s">
        <v>86</v>
      </c>
      <c r="C899" s="248"/>
      <c r="D899" s="59" t="s">
        <v>385</v>
      </c>
      <c r="E899" s="60" t="s">
        <v>386</v>
      </c>
      <c r="F899" s="59" t="s">
        <v>41</v>
      </c>
      <c r="G899" s="61">
        <v>0.4</v>
      </c>
      <c r="H899" s="62">
        <v>12.25</v>
      </c>
      <c r="I899" s="62">
        <f t="shared" si="93"/>
        <v>4.9000000000000004</v>
      </c>
      <c r="J899" s="62"/>
      <c r="K899" s="62">
        <v>0</v>
      </c>
      <c r="L899" s="62">
        <v>4.9000000000000004</v>
      </c>
      <c r="M899" s="62">
        <v>0</v>
      </c>
      <c r="N899" s="62">
        <v>0</v>
      </c>
      <c r="O899" s="62">
        <v>0</v>
      </c>
      <c r="P899" s="298" t="s">
        <v>89</v>
      </c>
      <c r="Q899" s="60" t="s">
        <v>304</v>
      </c>
      <c r="R899" s="60" t="s">
        <v>27</v>
      </c>
      <c r="S899" s="286" t="str">
        <f t="shared" si="92"/>
        <v>SIM</v>
      </c>
      <c r="T899" s="286" t="str">
        <f>IF($C899= "", T898, IF(ISNA(VLOOKUP($C899,'ABC-S'!$A$5:$A$271,1,FALSE)), "", VLOOKUP($C899,'ABC-S'!$A$5:$A$271,1,FALSE)))</f>
        <v>CP9021</v>
      </c>
      <c r="W899" s="286" t="s">
        <v>380</v>
      </c>
      <c r="X899" s="286" t="s">
        <v>21</v>
      </c>
      <c r="Y899" s="286" t="s">
        <v>21</v>
      </c>
      <c r="Z899" s="286" t="s">
        <v>21</v>
      </c>
      <c r="AA899" s="286" t="s">
        <v>21</v>
      </c>
      <c r="AB899" s="378"/>
      <c r="AC899" s="381" t="s">
        <v>21</v>
      </c>
      <c r="AD899" s="378" t="s">
        <v>21</v>
      </c>
      <c r="AE899" s="378" t="s">
        <v>21</v>
      </c>
      <c r="AF899" s="378" t="s">
        <v>21</v>
      </c>
      <c r="AG899" s="378"/>
      <c r="AI899" s="378" t="s">
        <v>21</v>
      </c>
      <c r="AJ899" s="378" t="s">
        <v>21</v>
      </c>
      <c r="AL899" s="286"/>
      <c r="AM899" s="286" t="s">
        <v>385</v>
      </c>
    </row>
    <row r="900" spans="1:39" s="51" customFormat="1" ht="22.5" x14ac:dyDescent="0.25">
      <c r="A900" s="59" t="s">
        <v>380</v>
      </c>
      <c r="B900" s="59" t="s">
        <v>86</v>
      </c>
      <c r="C900" s="248"/>
      <c r="D900" s="59">
        <v>5086</v>
      </c>
      <c r="E900" s="60" t="s">
        <v>693</v>
      </c>
      <c r="F900" s="59" t="s">
        <v>3669</v>
      </c>
      <c r="G900" s="61">
        <f>3.85*3.7</f>
        <v>14.245000000000001</v>
      </c>
      <c r="H900" s="62">
        <v>29.94</v>
      </c>
      <c r="I900" s="62">
        <f t="shared" si="93"/>
        <v>426.49530000000004</v>
      </c>
      <c r="J900" s="62"/>
      <c r="K900" s="62">
        <v>426.49530000000004</v>
      </c>
      <c r="L900" s="62">
        <v>0</v>
      </c>
      <c r="M900" s="62">
        <v>0</v>
      </c>
      <c r="N900" s="62">
        <v>0</v>
      </c>
      <c r="O900" s="62">
        <v>0</v>
      </c>
      <c r="P900" s="298" t="s">
        <v>85</v>
      </c>
      <c r="Q900" s="60" t="s">
        <v>27</v>
      </c>
      <c r="R900" s="60" t="s">
        <v>1034</v>
      </c>
      <c r="S900" s="286" t="str">
        <f t="shared" si="92"/>
        <v>SIM</v>
      </c>
      <c r="T900" s="286" t="str">
        <f>IF($C900= "", T899, IF(ISNA(VLOOKUP($C900,'ABC-S'!$A$5:$A$271,1,FALSE)), "", VLOOKUP($C900,'ABC-S'!$A$5:$A$271,1,FALSE)))</f>
        <v>CP9021</v>
      </c>
      <c r="W900" s="286" t="s">
        <v>380</v>
      </c>
      <c r="X900" s="286" t="s">
        <v>21</v>
      </c>
      <c r="Y900" s="286" t="s">
        <v>21</v>
      </c>
      <c r="Z900" s="286" t="s">
        <v>21</v>
      </c>
      <c r="AA900" s="286" t="s">
        <v>21</v>
      </c>
      <c r="AB900" s="378"/>
      <c r="AC900" s="381" t="s">
        <v>21</v>
      </c>
      <c r="AD900" s="378" t="s">
        <v>21</v>
      </c>
      <c r="AE900" s="378" t="s">
        <v>21</v>
      </c>
      <c r="AF900" s="378" t="s">
        <v>21</v>
      </c>
      <c r="AG900" s="378"/>
      <c r="AI900" s="378" t="s">
        <v>21</v>
      </c>
      <c r="AJ900" s="378" t="s">
        <v>21</v>
      </c>
      <c r="AL900" s="286"/>
      <c r="AM900" s="286">
        <v>5086</v>
      </c>
    </row>
    <row r="901" spans="1:39" s="51" customFormat="1" ht="22.5" x14ac:dyDescent="0.25">
      <c r="A901" s="59" t="s">
        <v>380</v>
      </c>
      <c r="B901" s="59" t="s">
        <v>87</v>
      </c>
      <c r="C901" s="248"/>
      <c r="D901" s="59">
        <v>88262</v>
      </c>
      <c r="E901" s="60" t="s">
        <v>535</v>
      </c>
      <c r="F901" s="59" t="s">
        <v>46</v>
      </c>
      <c r="G901" s="61">
        <v>4.133</v>
      </c>
      <c r="H901" s="62">
        <v>23.68</v>
      </c>
      <c r="I901" s="62">
        <f>IF($D901="","",G901*H901)</f>
        <v>97.869439999999997</v>
      </c>
      <c r="J901" s="62"/>
      <c r="K901" s="62">
        <v>72.988780000000006</v>
      </c>
      <c r="L901" s="62">
        <v>24.880659999999999</v>
      </c>
      <c r="M901" s="62">
        <v>0</v>
      </c>
      <c r="N901" s="62">
        <v>0</v>
      </c>
      <c r="O901" s="62">
        <v>0</v>
      </c>
      <c r="P901" s="298" t="s">
        <v>4160</v>
      </c>
      <c r="Q901" s="60" t="s">
        <v>27</v>
      </c>
      <c r="R901" s="60" t="s">
        <v>27</v>
      </c>
      <c r="S901" s="286" t="str">
        <f t="shared" si="92"/>
        <v>SIM</v>
      </c>
      <c r="T901" s="286" t="str">
        <f>IF($C901= "", T900, IF(ISNA(VLOOKUP($C901,'ABC-S'!$A$5:$A$271,1,FALSE)), "", VLOOKUP($C901,'ABC-S'!$A$5:$A$271,1,FALSE)))</f>
        <v>CP9021</v>
      </c>
      <c r="W901" s="286" t="s">
        <v>380</v>
      </c>
      <c r="X901" s="286">
        <v>88262</v>
      </c>
      <c r="Y901" s="286" t="s">
        <v>424</v>
      </c>
      <c r="Z901" s="335">
        <v>26.400000000000002</v>
      </c>
      <c r="AA901" s="286">
        <v>4.133</v>
      </c>
      <c r="AB901" s="378"/>
      <c r="AC901" s="381" t="s">
        <v>21</v>
      </c>
      <c r="AD901" s="378" t="s">
        <v>21</v>
      </c>
      <c r="AE901" s="378" t="s">
        <v>21</v>
      </c>
      <c r="AF901" s="378" t="s">
        <v>21</v>
      </c>
      <c r="AG901" s="378"/>
      <c r="AI901" s="378">
        <v>0</v>
      </c>
      <c r="AJ901" s="378">
        <v>0</v>
      </c>
      <c r="AL901" s="286">
        <v>88262</v>
      </c>
      <c r="AM901" s="286"/>
    </row>
    <row r="902" spans="1:39" s="51" customFormat="1" x14ac:dyDescent="0.25">
      <c r="A902" s="59" t="s">
        <v>380</v>
      </c>
      <c r="B902" s="59" t="s">
        <v>87</v>
      </c>
      <c r="C902" s="248"/>
      <c r="D902" s="59">
        <v>88242</v>
      </c>
      <c r="E902" s="60" t="s">
        <v>484</v>
      </c>
      <c r="F902" s="59" t="s">
        <v>46</v>
      </c>
      <c r="G902" s="61">
        <v>4.133</v>
      </c>
      <c r="H902" s="62">
        <v>17.59</v>
      </c>
      <c r="I902" s="62">
        <f>IF($D902="","",G902*H902)</f>
        <v>72.699470000000005</v>
      </c>
      <c r="J902" s="62"/>
      <c r="K902" s="62">
        <v>47.40551</v>
      </c>
      <c r="L902" s="62">
        <v>25.293960000000002</v>
      </c>
      <c r="M902" s="62">
        <v>0</v>
      </c>
      <c r="N902" s="62">
        <v>0</v>
      </c>
      <c r="O902" s="62">
        <v>0</v>
      </c>
      <c r="P902" s="298" t="s">
        <v>4160</v>
      </c>
      <c r="Q902" s="60" t="s">
        <v>27</v>
      </c>
      <c r="R902" s="60" t="s">
        <v>27</v>
      </c>
      <c r="S902" s="286" t="str">
        <f t="shared" si="92"/>
        <v>SIM</v>
      </c>
      <c r="T902" s="286" t="str">
        <f>IF($C902= "", T901, IF(ISNA(VLOOKUP($C902,'ABC-S'!$A$5:$A$271,1,FALSE)), "", VLOOKUP($C902,'ABC-S'!$A$5:$A$271,1,FALSE)))</f>
        <v>CP9021</v>
      </c>
      <c r="W902" s="286" t="s">
        <v>380</v>
      </c>
      <c r="X902" s="286">
        <v>88242</v>
      </c>
      <c r="Y902" s="286" t="s">
        <v>424</v>
      </c>
      <c r="Z902" s="335">
        <v>26.400000000000002</v>
      </c>
      <c r="AA902" s="286">
        <v>4.133</v>
      </c>
      <c r="AB902" s="378"/>
      <c r="AC902" s="381" t="s">
        <v>21</v>
      </c>
      <c r="AD902" s="378" t="s">
        <v>21</v>
      </c>
      <c r="AE902" s="378" t="s">
        <v>21</v>
      </c>
      <c r="AF902" s="378" t="s">
        <v>21</v>
      </c>
      <c r="AG902" s="378"/>
      <c r="AI902" s="378">
        <v>0</v>
      </c>
      <c r="AJ902" s="378">
        <v>0</v>
      </c>
      <c r="AL902" s="286">
        <v>88242</v>
      </c>
      <c r="AM902" s="286"/>
    </row>
    <row r="903" spans="1:39" s="51" customFormat="1" ht="22.5" x14ac:dyDescent="0.25">
      <c r="A903" s="55" t="s">
        <v>377</v>
      </c>
      <c r="B903" s="55" t="s">
        <v>138</v>
      </c>
      <c r="C903" s="55" t="s">
        <v>377</v>
      </c>
      <c r="D903" s="55"/>
      <c r="E903" s="56" t="s">
        <v>379</v>
      </c>
      <c r="F903" s="55" t="s">
        <v>41</v>
      </c>
      <c r="G903" s="57"/>
      <c r="H903" s="58"/>
      <c r="I903" s="58"/>
      <c r="J903" s="58">
        <f>SUM(I903:I910)</f>
        <v>748.72026499999993</v>
      </c>
      <c r="K903" s="58">
        <v>5.6668000000000003</v>
      </c>
      <c r="L903" s="58">
        <v>743.05346499999996</v>
      </c>
      <c r="M903" s="58">
        <v>0</v>
      </c>
      <c r="N903" s="58">
        <v>0</v>
      </c>
      <c r="O903" s="58">
        <v>0</v>
      </c>
      <c r="P903" s="58"/>
      <c r="Q903" s="56"/>
      <c r="R903" s="56" t="s">
        <v>378</v>
      </c>
      <c r="S903" s="286" t="str">
        <f t="shared" si="92"/>
        <v>SIM</v>
      </c>
      <c r="T903" s="286" t="str">
        <f>IF($C903= "", T902, IF(ISNA(VLOOKUP($C903,'ABC-S'!$A$5:$A$271,1,FALSE)), "", VLOOKUP($C903,'ABC-S'!$A$5:$A$271,1,FALSE)))</f>
        <v>CP9022</v>
      </c>
      <c r="W903" s="286" t="s">
        <v>377</v>
      </c>
      <c r="X903" s="286"/>
      <c r="Y903" s="286"/>
      <c r="Z903" s="286"/>
      <c r="AA903" s="286" t="s">
        <v>21</v>
      </c>
      <c r="AB903" s="378">
        <v>0.39700000000000002</v>
      </c>
      <c r="AC903" s="378"/>
      <c r="AD903" s="335"/>
      <c r="AE903" s="335"/>
      <c r="AF903" s="335"/>
      <c r="AG903" s="378">
        <v>0.39700000000000002</v>
      </c>
      <c r="AI903" s="378" t="s">
        <v>21</v>
      </c>
      <c r="AJ903" s="378" t="s">
        <v>21</v>
      </c>
      <c r="AL903" s="286"/>
      <c r="AM903" s="286"/>
    </row>
    <row r="904" spans="1:39" s="51" customFormat="1" ht="22.5" x14ac:dyDescent="0.25">
      <c r="A904" s="59" t="s">
        <v>377</v>
      </c>
      <c r="B904" s="59" t="s">
        <v>86</v>
      </c>
      <c r="C904" s="248"/>
      <c r="D904" s="59">
        <v>20111</v>
      </c>
      <c r="E904" s="60" t="s">
        <v>347</v>
      </c>
      <c r="F904" s="59" t="s">
        <v>3666</v>
      </c>
      <c r="G904" s="61">
        <f>0.05/20</f>
        <v>2.5000000000000001E-3</v>
      </c>
      <c r="H904" s="62">
        <v>9.5299999999999994</v>
      </c>
      <c r="I904" s="62">
        <f>IF($D904="","",G904*H904)</f>
        <v>2.3824999999999999E-2</v>
      </c>
      <c r="J904" s="62"/>
      <c r="K904" s="62">
        <v>0</v>
      </c>
      <c r="L904" s="62">
        <v>2.3824999999999999E-2</v>
      </c>
      <c r="M904" s="62">
        <v>0</v>
      </c>
      <c r="N904" s="62">
        <v>0</v>
      </c>
      <c r="O904" s="62">
        <v>0</v>
      </c>
      <c r="P904" s="298" t="s">
        <v>89</v>
      </c>
      <c r="Q904" s="60" t="s">
        <v>27</v>
      </c>
      <c r="R904" s="60" t="s">
        <v>27</v>
      </c>
      <c r="S904" s="286" t="str">
        <f t="shared" si="92"/>
        <v>SIM</v>
      </c>
      <c r="T904" s="286" t="str">
        <f>IF($C904= "", T903, IF(ISNA(VLOOKUP($C904,'ABC-S'!$A$5:$A$271,1,FALSE)), "", VLOOKUP($C904,'ABC-S'!$A$5:$A$271,1,FALSE)))</f>
        <v>CP9022</v>
      </c>
      <c r="W904" s="286" t="s">
        <v>377</v>
      </c>
      <c r="X904" s="286" t="s">
        <v>21</v>
      </c>
      <c r="Y904" s="286" t="s">
        <v>21</v>
      </c>
      <c r="Z904" s="286" t="s">
        <v>21</v>
      </c>
      <c r="AA904" s="286" t="s">
        <v>21</v>
      </c>
      <c r="AB904" s="378"/>
      <c r="AC904" s="381" t="s">
        <v>21</v>
      </c>
      <c r="AD904" s="378" t="s">
        <v>21</v>
      </c>
      <c r="AE904" s="378" t="s">
        <v>21</v>
      </c>
      <c r="AF904" s="378" t="s">
        <v>21</v>
      </c>
      <c r="AG904" s="378"/>
      <c r="AI904" s="378" t="s">
        <v>21</v>
      </c>
      <c r="AJ904" s="378" t="s">
        <v>21</v>
      </c>
      <c r="AL904" s="286"/>
      <c r="AM904" s="286">
        <v>20111</v>
      </c>
    </row>
    <row r="905" spans="1:39" s="51" customFormat="1" ht="33.75" x14ac:dyDescent="0.25">
      <c r="A905" s="59" t="s">
        <v>377</v>
      </c>
      <c r="B905" s="59" t="s">
        <v>86</v>
      </c>
      <c r="C905" s="248"/>
      <c r="D905" s="59">
        <v>938</v>
      </c>
      <c r="E905" s="60" t="s">
        <v>346</v>
      </c>
      <c r="F905" s="59" t="s">
        <v>3667</v>
      </c>
      <c r="G905" s="61">
        <v>12</v>
      </c>
      <c r="H905" s="62">
        <v>1.51</v>
      </c>
      <c r="I905" s="62">
        <f t="shared" ref="I905:I910" si="94">IF($D905="","",G905*H905)</f>
        <v>18.12</v>
      </c>
      <c r="J905" s="62"/>
      <c r="K905" s="62">
        <v>0</v>
      </c>
      <c r="L905" s="62">
        <v>18.12</v>
      </c>
      <c r="M905" s="62">
        <v>0</v>
      </c>
      <c r="N905" s="62">
        <v>0</v>
      </c>
      <c r="O905" s="62">
        <v>0</v>
      </c>
      <c r="P905" s="298" t="s">
        <v>89</v>
      </c>
      <c r="Q905" s="60" t="s">
        <v>27</v>
      </c>
      <c r="R905" s="60" t="s">
        <v>27</v>
      </c>
      <c r="S905" s="286" t="str">
        <f t="shared" si="92"/>
        <v>SIM</v>
      </c>
      <c r="T905" s="286" t="str">
        <f>IF($C905= "", T904, IF(ISNA(VLOOKUP($C905,'ABC-S'!$A$5:$A$271,1,FALSE)), "", VLOOKUP($C905,'ABC-S'!$A$5:$A$271,1,FALSE)))</f>
        <v>CP9022</v>
      </c>
      <c r="W905" s="286" t="s">
        <v>377</v>
      </c>
      <c r="X905" s="286" t="s">
        <v>21</v>
      </c>
      <c r="Y905" s="286" t="s">
        <v>21</v>
      </c>
      <c r="Z905" s="286" t="s">
        <v>21</v>
      </c>
      <c r="AA905" s="286" t="s">
        <v>21</v>
      </c>
      <c r="AB905" s="378"/>
      <c r="AC905" s="381" t="s">
        <v>21</v>
      </c>
      <c r="AD905" s="378" t="s">
        <v>21</v>
      </c>
      <c r="AE905" s="378" t="s">
        <v>21</v>
      </c>
      <c r="AF905" s="378" t="s">
        <v>21</v>
      </c>
      <c r="AG905" s="378"/>
      <c r="AI905" s="378" t="s">
        <v>21</v>
      </c>
      <c r="AJ905" s="378" t="s">
        <v>21</v>
      </c>
      <c r="AL905" s="286"/>
      <c r="AM905" s="286">
        <v>938</v>
      </c>
    </row>
    <row r="906" spans="1:39" s="51" customFormat="1" ht="22.5" x14ac:dyDescent="0.25">
      <c r="A906" s="59" t="s">
        <v>377</v>
      </c>
      <c r="B906" s="59" t="s">
        <v>86</v>
      </c>
      <c r="C906" s="248"/>
      <c r="D906" s="59">
        <v>5038</v>
      </c>
      <c r="E906" s="60" t="s">
        <v>711</v>
      </c>
      <c r="F906" s="59" t="s">
        <v>3666</v>
      </c>
      <c r="G906" s="61">
        <v>1</v>
      </c>
      <c r="H906" s="62">
        <v>700.9</v>
      </c>
      <c r="I906" s="62">
        <f t="shared" si="94"/>
        <v>700.9</v>
      </c>
      <c r="J906" s="62"/>
      <c r="K906" s="62">
        <v>0</v>
      </c>
      <c r="L906" s="62">
        <v>700.9</v>
      </c>
      <c r="M906" s="62">
        <v>0</v>
      </c>
      <c r="N906" s="62">
        <v>0</v>
      </c>
      <c r="O906" s="62">
        <v>0</v>
      </c>
      <c r="P906" s="298" t="s">
        <v>89</v>
      </c>
      <c r="Q906" s="60" t="s">
        <v>27</v>
      </c>
      <c r="R906" s="60" t="s">
        <v>27</v>
      </c>
      <c r="S906" s="286" t="str">
        <f t="shared" si="92"/>
        <v>SIM</v>
      </c>
      <c r="T906" s="286" t="str">
        <f>IF($C906= "", T905, IF(ISNA(VLOOKUP($C906,'ABC-S'!$A$5:$A$271,1,FALSE)), "", VLOOKUP($C906,'ABC-S'!$A$5:$A$271,1,FALSE)))</f>
        <v>CP9022</v>
      </c>
      <c r="W906" s="286" t="s">
        <v>377</v>
      </c>
      <c r="X906" s="286" t="s">
        <v>21</v>
      </c>
      <c r="Y906" s="286" t="s">
        <v>21</v>
      </c>
      <c r="Z906" s="286" t="s">
        <v>21</v>
      </c>
      <c r="AA906" s="286" t="s">
        <v>21</v>
      </c>
      <c r="AB906" s="378"/>
      <c r="AC906" s="381" t="s">
        <v>21</v>
      </c>
      <c r="AD906" s="378" t="s">
        <v>21</v>
      </c>
      <c r="AE906" s="378" t="s">
        <v>21</v>
      </c>
      <c r="AF906" s="378" t="s">
        <v>21</v>
      </c>
      <c r="AG906" s="378"/>
      <c r="AI906" s="378" t="s">
        <v>21</v>
      </c>
      <c r="AJ906" s="378" t="s">
        <v>21</v>
      </c>
      <c r="AL906" s="286"/>
      <c r="AM906" s="286">
        <v>5038</v>
      </c>
    </row>
    <row r="907" spans="1:39" s="51" customFormat="1" ht="22.5" x14ac:dyDescent="0.25">
      <c r="A907" s="59" t="s">
        <v>377</v>
      </c>
      <c r="B907" s="59" t="s">
        <v>86</v>
      </c>
      <c r="C907" s="248"/>
      <c r="D907" s="59">
        <v>38780</v>
      </c>
      <c r="E907" s="60" t="s">
        <v>700</v>
      </c>
      <c r="F907" s="59" t="s">
        <v>3666</v>
      </c>
      <c r="G907" s="61">
        <v>1</v>
      </c>
      <c r="H907" s="62">
        <v>18.329999999999998</v>
      </c>
      <c r="I907" s="62">
        <f t="shared" si="94"/>
        <v>18.329999999999998</v>
      </c>
      <c r="J907" s="62"/>
      <c r="K907" s="62">
        <v>0</v>
      </c>
      <c r="L907" s="62">
        <v>18.329999999999998</v>
      </c>
      <c r="M907" s="62">
        <v>0</v>
      </c>
      <c r="N907" s="62">
        <v>0</v>
      </c>
      <c r="O907" s="62">
        <v>0</v>
      </c>
      <c r="P907" s="298" t="s">
        <v>89</v>
      </c>
      <c r="Q907" s="60" t="s">
        <v>27</v>
      </c>
      <c r="R907" s="60" t="s">
        <v>27</v>
      </c>
      <c r="S907" s="286" t="str">
        <f t="shared" si="92"/>
        <v>SIM</v>
      </c>
      <c r="T907" s="286" t="str">
        <f>IF($C907= "", T906, IF(ISNA(VLOOKUP($C907,'ABC-S'!$A$5:$A$271,1,FALSE)), "", VLOOKUP($C907,'ABC-S'!$A$5:$A$271,1,FALSE)))</f>
        <v>CP9022</v>
      </c>
      <c r="W907" s="286" t="s">
        <v>377</v>
      </c>
      <c r="X907" s="286" t="s">
        <v>21</v>
      </c>
      <c r="Y907" s="286" t="s">
        <v>21</v>
      </c>
      <c r="Z907" s="286" t="s">
        <v>21</v>
      </c>
      <c r="AA907" s="286" t="s">
        <v>21</v>
      </c>
      <c r="AB907" s="378"/>
      <c r="AC907" s="381" t="s">
        <v>21</v>
      </c>
      <c r="AD907" s="378" t="s">
        <v>21</v>
      </c>
      <c r="AE907" s="378" t="s">
        <v>21</v>
      </c>
      <c r="AF907" s="378" t="s">
        <v>21</v>
      </c>
      <c r="AG907" s="378"/>
      <c r="AI907" s="378" t="s">
        <v>21</v>
      </c>
      <c r="AJ907" s="378" t="s">
        <v>21</v>
      </c>
      <c r="AL907" s="286"/>
      <c r="AM907" s="286">
        <v>38780</v>
      </c>
    </row>
    <row r="908" spans="1:39" s="51" customFormat="1" ht="22.5" x14ac:dyDescent="0.25">
      <c r="A908" s="59" t="s">
        <v>377</v>
      </c>
      <c r="B908" s="59" t="s">
        <v>86</v>
      </c>
      <c r="C908" s="248"/>
      <c r="D908" s="59">
        <v>13329</v>
      </c>
      <c r="E908" s="60" t="s">
        <v>348</v>
      </c>
      <c r="F908" s="59" t="s">
        <v>3666</v>
      </c>
      <c r="G908" s="61">
        <v>1</v>
      </c>
      <c r="H908" s="62">
        <v>3.25</v>
      </c>
      <c r="I908" s="62">
        <f t="shared" si="94"/>
        <v>3.25</v>
      </c>
      <c r="J908" s="62"/>
      <c r="K908" s="62">
        <v>0</v>
      </c>
      <c r="L908" s="62">
        <v>3.25</v>
      </c>
      <c r="M908" s="62">
        <v>0</v>
      </c>
      <c r="N908" s="62">
        <v>0</v>
      </c>
      <c r="O908" s="62">
        <v>0</v>
      </c>
      <c r="P908" s="298" t="s">
        <v>89</v>
      </c>
      <c r="Q908" s="60" t="s">
        <v>27</v>
      </c>
      <c r="R908" s="60" t="s">
        <v>27</v>
      </c>
      <c r="S908" s="286" t="str">
        <f t="shared" si="92"/>
        <v>SIM</v>
      </c>
      <c r="T908" s="286" t="str">
        <f>IF($C908= "", T907, IF(ISNA(VLOOKUP($C908,'ABC-S'!$A$5:$A$271,1,FALSE)), "", VLOOKUP($C908,'ABC-S'!$A$5:$A$271,1,FALSE)))</f>
        <v>CP9022</v>
      </c>
      <c r="W908" s="286" t="s">
        <v>377</v>
      </c>
      <c r="X908" s="286" t="s">
        <v>21</v>
      </c>
      <c r="Y908" s="286" t="s">
        <v>21</v>
      </c>
      <c r="Z908" s="286" t="s">
        <v>21</v>
      </c>
      <c r="AA908" s="286" t="s">
        <v>21</v>
      </c>
      <c r="AB908" s="378"/>
      <c r="AC908" s="381" t="s">
        <v>21</v>
      </c>
      <c r="AD908" s="378" t="s">
        <v>21</v>
      </c>
      <c r="AE908" s="378" t="s">
        <v>21</v>
      </c>
      <c r="AF908" s="378" t="s">
        <v>21</v>
      </c>
      <c r="AG908" s="378"/>
      <c r="AI908" s="378" t="s">
        <v>21</v>
      </c>
      <c r="AJ908" s="378" t="s">
        <v>21</v>
      </c>
      <c r="AL908" s="286"/>
      <c r="AM908" s="286">
        <v>13329</v>
      </c>
    </row>
    <row r="909" spans="1:39" s="51" customFormat="1" x14ac:dyDescent="0.25">
      <c r="A909" s="59" t="s">
        <v>377</v>
      </c>
      <c r="B909" s="59" t="s">
        <v>87</v>
      </c>
      <c r="C909" s="248"/>
      <c r="D909" s="59">
        <v>88264</v>
      </c>
      <c r="E909" s="60" t="s">
        <v>555</v>
      </c>
      <c r="F909" s="59" t="s">
        <v>46</v>
      </c>
      <c r="G909" s="61">
        <v>0.17100000000000001</v>
      </c>
      <c r="H909" s="62">
        <v>24.1</v>
      </c>
      <c r="I909" s="62">
        <f t="shared" si="94"/>
        <v>4.1211000000000002</v>
      </c>
      <c r="J909" s="62"/>
      <c r="K909" s="62">
        <v>3.0745800000000001</v>
      </c>
      <c r="L909" s="62">
        <v>1.0465200000000001</v>
      </c>
      <c r="M909" s="62">
        <v>0</v>
      </c>
      <c r="N909" s="62">
        <v>0</v>
      </c>
      <c r="O909" s="62">
        <v>0</v>
      </c>
      <c r="P909" s="298" t="s">
        <v>4160</v>
      </c>
      <c r="Q909" s="60" t="s">
        <v>27</v>
      </c>
      <c r="R909" s="60" t="s">
        <v>27</v>
      </c>
      <c r="S909" s="286" t="str">
        <f t="shared" si="92"/>
        <v>SIM</v>
      </c>
      <c r="T909" s="286" t="str">
        <f>IF($C909= "", T908, IF(ISNA(VLOOKUP($C909,'ABC-S'!$A$5:$A$271,1,FALSE)), "", VLOOKUP($C909,'ABC-S'!$A$5:$A$271,1,FALSE)))</f>
        <v>CP9022</v>
      </c>
      <c r="W909" s="286" t="s">
        <v>377</v>
      </c>
      <c r="X909" s="286">
        <v>88264</v>
      </c>
      <c r="Y909" s="286" t="s">
        <v>424</v>
      </c>
      <c r="Z909" s="335">
        <v>24</v>
      </c>
      <c r="AA909" s="286">
        <v>0.17100000000000001</v>
      </c>
      <c r="AB909" s="378"/>
      <c r="AC909" s="381" t="s">
        <v>21</v>
      </c>
      <c r="AD909" s="378" t="s">
        <v>21</v>
      </c>
      <c r="AE909" s="378" t="s">
        <v>21</v>
      </c>
      <c r="AF909" s="378" t="s">
        <v>21</v>
      </c>
      <c r="AG909" s="378"/>
      <c r="AI909" s="378">
        <v>0</v>
      </c>
      <c r="AJ909" s="378">
        <v>0</v>
      </c>
      <c r="AL909" s="286">
        <v>88264</v>
      </c>
      <c r="AM909" s="286"/>
    </row>
    <row r="910" spans="1:39" s="51" customFormat="1" x14ac:dyDescent="0.25">
      <c r="A910" s="59" t="s">
        <v>377</v>
      </c>
      <c r="B910" s="59" t="s">
        <v>87</v>
      </c>
      <c r="C910" s="248"/>
      <c r="D910" s="59">
        <v>88242</v>
      </c>
      <c r="E910" s="60" t="s">
        <v>484</v>
      </c>
      <c r="F910" s="59" t="s">
        <v>46</v>
      </c>
      <c r="G910" s="61">
        <v>0.22600000000000001</v>
      </c>
      <c r="H910" s="62">
        <v>17.59</v>
      </c>
      <c r="I910" s="62">
        <f t="shared" si="94"/>
        <v>3.9753400000000001</v>
      </c>
      <c r="J910" s="62"/>
      <c r="K910" s="62">
        <v>2.5922200000000002</v>
      </c>
      <c r="L910" s="62">
        <v>1.3831200000000001</v>
      </c>
      <c r="M910" s="62">
        <v>0</v>
      </c>
      <c r="N910" s="62">
        <v>0</v>
      </c>
      <c r="O910" s="62">
        <v>0</v>
      </c>
      <c r="P910" s="298" t="s">
        <v>4160</v>
      </c>
      <c r="Q910" s="60" t="s">
        <v>27</v>
      </c>
      <c r="R910" s="60" t="s">
        <v>27</v>
      </c>
      <c r="S910" s="286" t="str">
        <f t="shared" si="92"/>
        <v>SIM</v>
      </c>
      <c r="T910" s="286" t="str">
        <f>IF($C910= "", T909, IF(ISNA(VLOOKUP($C910,'ABC-S'!$A$5:$A$271,1,FALSE)), "", VLOOKUP($C910,'ABC-S'!$A$5:$A$271,1,FALSE)))</f>
        <v>CP9022</v>
      </c>
      <c r="W910" s="286" t="s">
        <v>377</v>
      </c>
      <c r="X910" s="286">
        <v>88242</v>
      </c>
      <c r="Y910" s="286" t="s">
        <v>424</v>
      </c>
      <c r="Z910" s="335">
        <v>24</v>
      </c>
      <c r="AA910" s="286">
        <v>0.22600000000000001</v>
      </c>
      <c r="AB910" s="378"/>
      <c r="AC910" s="381" t="s">
        <v>21</v>
      </c>
      <c r="AD910" s="378" t="s">
        <v>21</v>
      </c>
      <c r="AE910" s="378" t="s">
        <v>21</v>
      </c>
      <c r="AF910" s="378" t="s">
        <v>21</v>
      </c>
      <c r="AG910" s="378"/>
      <c r="AI910" s="378">
        <v>0</v>
      </c>
      <c r="AJ910" s="378">
        <v>0</v>
      </c>
      <c r="AL910" s="286">
        <v>88242</v>
      </c>
      <c r="AM910" s="286"/>
    </row>
    <row r="911" spans="1:39" s="51" customFormat="1" ht="22.5" hidden="1" x14ac:dyDescent="0.25">
      <c r="A911" s="55" t="s">
        <v>1056</v>
      </c>
      <c r="B911" s="55" t="s">
        <v>138</v>
      </c>
      <c r="C911" s="55" t="s">
        <v>1056</v>
      </c>
      <c r="D911" s="55"/>
      <c r="E911" s="56" t="s">
        <v>1057</v>
      </c>
      <c r="F911" s="55" t="s">
        <v>205</v>
      </c>
      <c r="G911" s="57"/>
      <c r="H911" s="58"/>
      <c r="I911" s="58"/>
      <c r="J911" s="58">
        <f>SUM(I911:I915)</f>
        <v>37676.5</v>
      </c>
      <c r="K911" s="58">
        <v>37566.675000000003</v>
      </c>
      <c r="L911" s="58">
        <v>109.825</v>
      </c>
      <c r="M911" s="58">
        <v>0</v>
      </c>
      <c r="N911" s="58">
        <v>0</v>
      </c>
      <c r="O911" s="58">
        <v>-1.8189894035458565E-12</v>
      </c>
      <c r="P911" s="58"/>
      <c r="Q911" s="56"/>
      <c r="R911" s="56" t="s">
        <v>1067</v>
      </c>
      <c r="S911" s="286" t="str">
        <f t="shared" si="92"/>
        <v/>
      </c>
      <c r="T911" s="286" t="str">
        <f>IF($C911= "", T910, IF(ISNA(VLOOKUP($C911,'ABC-S'!$A$5:$A$271,1,FALSE)), "", VLOOKUP($C911,'ABC-S'!$A$5:$A$271,1,FALSE)))</f>
        <v/>
      </c>
      <c r="W911" s="286" t="s">
        <v>1056</v>
      </c>
      <c r="X911" s="286"/>
      <c r="Y911" s="286"/>
      <c r="Z911" s="286"/>
      <c r="AA911" s="286" t="s">
        <v>21</v>
      </c>
      <c r="AB911" s="378">
        <v>0</v>
      </c>
      <c r="AC911" s="378"/>
      <c r="AD911" s="335"/>
      <c r="AE911" s="335"/>
      <c r="AF911" s="335"/>
      <c r="AG911" s="378">
        <v>0</v>
      </c>
      <c r="AI911" s="378" t="s">
        <v>21</v>
      </c>
      <c r="AJ911" s="378" t="s">
        <v>21</v>
      </c>
      <c r="AL911" s="286"/>
      <c r="AM911" s="286"/>
    </row>
    <row r="912" spans="1:39" s="51" customFormat="1" hidden="1" x14ac:dyDescent="0.25">
      <c r="A912" s="59" t="s">
        <v>1056</v>
      </c>
      <c r="B912" s="59" t="s">
        <v>86</v>
      </c>
      <c r="C912" s="248"/>
      <c r="D912" s="59" t="s">
        <v>1062</v>
      </c>
      <c r="E912" s="60" t="s">
        <v>4107</v>
      </c>
      <c r="F912" s="59" t="s">
        <v>205</v>
      </c>
      <c r="G912" s="61">
        <v>0.5</v>
      </c>
      <c r="H912" s="62">
        <v>18541.34</v>
      </c>
      <c r="I912" s="62">
        <f>IF($D912="","",G912*H912)</f>
        <v>9270.67</v>
      </c>
      <c r="J912" s="62"/>
      <c r="K912" s="62">
        <v>9270.67</v>
      </c>
      <c r="L912" s="62">
        <v>0</v>
      </c>
      <c r="M912" s="62">
        <v>0</v>
      </c>
      <c r="N912" s="62">
        <v>0</v>
      </c>
      <c r="O912" s="62">
        <v>0</v>
      </c>
      <c r="P912" s="298" t="s">
        <v>85</v>
      </c>
      <c r="Q912" s="60" t="s">
        <v>27</v>
      </c>
      <c r="R912" s="60" t="s">
        <v>27</v>
      </c>
      <c r="S912" s="286" t="str">
        <f t="shared" si="92"/>
        <v/>
      </c>
      <c r="T912" s="286" t="str">
        <f>IF($C912= "", T911, IF(ISNA(VLOOKUP($C912,'ABC-S'!$A$5:$A$271,1,FALSE)), "", VLOOKUP($C912,'ABC-S'!$A$5:$A$271,1,FALSE)))</f>
        <v/>
      </c>
      <c r="W912" s="286" t="s">
        <v>1056</v>
      </c>
      <c r="X912" s="286" t="s">
        <v>21</v>
      </c>
      <c r="Y912" s="286" t="s">
        <v>21</v>
      </c>
      <c r="Z912" s="286" t="s">
        <v>21</v>
      </c>
      <c r="AA912" s="286" t="s">
        <v>21</v>
      </c>
      <c r="AB912" s="378"/>
      <c r="AC912" s="381" t="s">
        <v>21</v>
      </c>
      <c r="AD912" s="378" t="s">
        <v>21</v>
      </c>
      <c r="AE912" s="378" t="s">
        <v>21</v>
      </c>
      <c r="AF912" s="378" t="s">
        <v>21</v>
      </c>
      <c r="AG912" s="378"/>
      <c r="AI912" s="378" t="s">
        <v>21</v>
      </c>
      <c r="AJ912" s="378" t="s">
        <v>21</v>
      </c>
      <c r="AL912" s="286"/>
      <c r="AM912" s="286" t="s">
        <v>1062</v>
      </c>
    </row>
    <row r="913" spans="1:39" s="51" customFormat="1" hidden="1" x14ac:dyDescent="0.25">
      <c r="A913" s="59" t="s">
        <v>1056</v>
      </c>
      <c r="B913" s="59" t="s">
        <v>86</v>
      </c>
      <c r="C913" s="248"/>
      <c r="D913" s="59" t="s">
        <v>1058</v>
      </c>
      <c r="E913" s="60" t="s">
        <v>1059</v>
      </c>
      <c r="F913" s="59" t="s">
        <v>205</v>
      </c>
      <c r="G913" s="61">
        <v>0.5</v>
      </c>
      <c r="H913" s="62">
        <v>35310.93</v>
      </c>
      <c r="I913" s="62">
        <f>IF($D913="","",G913*H913)</f>
        <v>17655.465</v>
      </c>
      <c r="J913" s="62"/>
      <c r="K913" s="62">
        <v>17655.465</v>
      </c>
      <c r="L913" s="62">
        <v>0</v>
      </c>
      <c r="M913" s="62">
        <v>0</v>
      </c>
      <c r="N913" s="62">
        <v>0</v>
      </c>
      <c r="O913" s="62">
        <v>0</v>
      </c>
      <c r="P913" s="298" t="s">
        <v>85</v>
      </c>
      <c r="Q913" s="60" t="s">
        <v>27</v>
      </c>
      <c r="R913" s="60" t="s">
        <v>27</v>
      </c>
      <c r="S913" s="286" t="str">
        <f t="shared" si="92"/>
        <v/>
      </c>
      <c r="T913" s="286" t="str">
        <f>IF($C913= "", T912, IF(ISNA(VLOOKUP($C913,'ABC-S'!$A$5:$A$271,1,FALSE)), "", VLOOKUP($C913,'ABC-S'!$A$5:$A$271,1,FALSE)))</f>
        <v/>
      </c>
      <c r="W913" s="286" t="s">
        <v>1056</v>
      </c>
      <c r="X913" s="286" t="s">
        <v>21</v>
      </c>
      <c r="Y913" s="286" t="s">
        <v>21</v>
      </c>
      <c r="Z913" s="286" t="s">
        <v>21</v>
      </c>
      <c r="AA913" s="286" t="s">
        <v>21</v>
      </c>
      <c r="AB913" s="378"/>
      <c r="AC913" s="381" t="s">
        <v>21</v>
      </c>
      <c r="AD913" s="378" t="s">
        <v>21</v>
      </c>
      <c r="AE913" s="378" t="s">
        <v>21</v>
      </c>
      <c r="AF913" s="378" t="s">
        <v>21</v>
      </c>
      <c r="AG913" s="378"/>
      <c r="AI913" s="378" t="s">
        <v>21</v>
      </c>
      <c r="AJ913" s="378" t="s">
        <v>21</v>
      </c>
      <c r="AL913" s="286"/>
      <c r="AM913" s="286" t="s">
        <v>1058</v>
      </c>
    </row>
    <row r="914" spans="1:39" s="51" customFormat="1" hidden="1" x14ac:dyDescent="0.25">
      <c r="A914" s="59" t="s">
        <v>1056</v>
      </c>
      <c r="B914" s="59" t="s">
        <v>86</v>
      </c>
      <c r="C914" s="248"/>
      <c r="D914" s="59" t="s">
        <v>1065</v>
      </c>
      <c r="E914" s="60" t="s">
        <v>1066</v>
      </c>
      <c r="F914" s="59" t="s">
        <v>205</v>
      </c>
      <c r="G914" s="61">
        <v>0.5</v>
      </c>
      <c r="H914" s="62">
        <v>4760.5</v>
      </c>
      <c r="I914" s="62">
        <f>IF($D914="","",G914*H914)</f>
        <v>2380.25</v>
      </c>
      <c r="J914" s="62"/>
      <c r="K914" s="62">
        <v>2380.25</v>
      </c>
      <c r="L914" s="62">
        <v>0</v>
      </c>
      <c r="M914" s="62">
        <v>0</v>
      </c>
      <c r="N914" s="62">
        <v>0</v>
      </c>
      <c r="O914" s="62">
        <v>0</v>
      </c>
      <c r="P914" s="298" t="s">
        <v>85</v>
      </c>
      <c r="Q914" s="60" t="s">
        <v>27</v>
      </c>
      <c r="R914" s="60" t="s">
        <v>27</v>
      </c>
      <c r="S914" s="286" t="str">
        <f t="shared" si="92"/>
        <v/>
      </c>
      <c r="T914" s="286" t="str">
        <f>IF($C914= "", T913, IF(ISNA(VLOOKUP($C914,'ABC-S'!$A$5:$A$271,1,FALSE)), "", VLOOKUP($C914,'ABC-S'!$A$5:$A$271,1,FALSE)))</f>
        <v/>
      </c>
      <c r="W914" s="286" t="s">
        <v>1056</v>
      </c>
      <c r="X914" s="286" t="s">
        <v>21</v>
      </c>
      <c r="Y914" s="286" t="s">
        <v>21</v>
      </c>
      <c r="Z914" s="286" t="s">
        <v>21</v>
      </c>
      <c r="AA914" s="286" t="s">
        <v>21</v>
      </c>
      <c r="AB914" s="378"/>
      <c r="AC914" s="381" t="s">
        <v>21</v>
      </c>
      <c r="AD914" s="378" t="s">
        <v>21</v>
      </c>
      <c r="AE914" s="378" t="s">
        <v>21</v>
      </c>
      <c r="AF914" s="378" t="s">
        <v>21</v>
      </c>
      <c r="AG914" s="378"/>
      <c r="AI914" s="378" t="s">
        <v>21</v>
      </c>
      <c r="AJ914" s="378" t="s">
        <v>21</v>
      </c>
      <c r="AL914" s="286"/>
      <c r="AM914" s="286" t="s">
        <v>1065</v>
      </c>
    </row>
    <row r="915" spans="1:39" s="51" customFormat="1" ht="22.5" hidden="1" x14ac:dyDescent="0.25">
      <c r="A915" s="59" t="s">
        <v>1056</v>
      </c>
      <c r="B915" s="59" t="s">
        <v>87</v>
      </c>
      <c r="C915" s="248"/>
      <c r="D915" s="59">
        <v>100319</v>
      </c>
      <c r="E915" s="60" t="s">
        <v>558</v>
      </c>
      <c r="F915" s="59" t="s">
        <v>45</v>
      </c>
      <c r="G915" s="61">
        <v>0.5</v>
      </c>
      <c r="H915" s="62">
        <v>16740.23</v>
      </c>
      <c r="I915" s="62">
        <f>IF($D915="","",G915*H915)</f>
        <v>8370.1149999999998</v>
      </c>
      <c r="J915" s="62"/>
      <c r="K915" s="62">
        <v>8260.2900000000009</v>
      </c>
      <c r="L915" s="62">
        <v>109.825</v>
      </c>
      <c r="M915" s="62">
        <v>0</v>
      </c>
      <c r="N915" s="62">
        <v>0</v>
      </c>
      <c r="O915" s="62">
        <v>-1.8189894035458565E-12</v>
      </c>
      <c r="P915" s="298" t="s">
        <v>4160</v>
      </c>
      <c r="Q915" s="60" t="s">
        <v>27</v>
      </c>
      <c r="R915" s="60" t="s">
        <v>27</v>
      </c>
      <c r="S915" s="286" t="str">
        <f t="shared" si="92"/>
        <v/>
      </c>
      <c r="T915" s="286" t="str">
        <f>IF($C915= "", T914, IF(ISNA(VLOOKUP($C915,'ABC-S'!$A$5:$A$271,1,FALSE)), "", VLOOKUP($C915,'ABC-S'!$A$5:$A$271,1,FALSE)))</f>
        <v/>
      </c>
      <c r="W915" s="286" t="s">
        <v>1056</v>
      </c>
      <c r="X915" s="286" t="s">
        <v>21</v>
      </c>
      <c r="Y915" s="286" t="s">
        <v>85</v>
      </c>
      <c r="Z915" s="335" t="s">
        <v>21</v>
      </c>
      <c r="AA915" s="286" t="s">
        <v>21</v>
      </c>
      <c r="AB915" s="378"/>
      <c r="AC915" s="381" t="s">
        <v>21</v>
      </c>
      <c r="AD915" s="378" t="s">
        <v>21</v>
      </c>
      <c r="AE915" s="378" t="s">
        <v>21</v>
      </c>
      <c r="AF915" s="378" t="s">
        <v>21</v>
      </c>
      <c r="AG915" s="378"/>
      <c r="AI915" s="378">
        <v>0</v>
      </c>
      <c r="AJ915" s="378">
        <v>0</v>
      </c>
      <c r="AL915" s="286">
        <v>100319</v>
      </c>
      <c r="AM915" s="286"/>
    </row>
    <row r="916" spans="1:39" s="51" customFormat="1" hidden="1" x14ac:dyDescent="0.25">
      <c r="A916" s="55" t="s">
        <v>394</v>
      </c>
      <c r="B916" s="55" t="s">
        <v>138</v>
      </c>
      <c r="C916" s="55" t="s">
        <v>394</v>
      </c>
      <c r="D916" s="55"/>
      <c r="E916" s="56" t="s">
        <v>339</v>
      </c>
      <c r="F916" s="55" t="s">
        <v>205</v>
      </c>
      <c r="G916" s="57"/>
      <c r="H916" s="58"/>
      <c r="I916" s="58"/>
      <c r="J916" s="58">
        <f>SUM(I916:I917)</f>
        <v>8400.67</v>
      </c>
      <c r="K916" s="58">
        <v>8169.14</v>
      </c>
      <c r="L916" s="58">
        <v>231.53</v>
      </c>
      <c r="M916" s="58">
        <v>0</v>
      </c>
      <c r="N916" s="58">
        <v>0</v>
      </c>
      <c r="O916" s="58">
        <v>0</v>
      </c>
      <c r="P916" s="58"/>
      <c r="Q916" s="56"/>
      <c r="R916" s="56" t="s">
        <v>395</v>
      </c>
      <c r="S916" s="286" t="str">
        <f t="shared" si="92"/>
        <v/>
      </c>
      <c r="T916" s="286" t="str">
        <f>IF($C916= "", T915, IF(ISNA(VLOOKUP($C916,'ABC-S'!$A$5:$A$271,1,FALSE)), "", VLOOKUP($C916,'ABC-S'!$A$5:$A$271,1,FALSE)))</f>
        <v/>
      </c>
      <c r="W916" s="286" t="s">
        <v>394</v>
      </c>
      <c r="X916" s="286"/>
      <c r="Y916" s="286"/>
      <c r="Z916" s="286"/>
      <c r="AA916" s="286" t="s">
        <v>21</v>
      </c>
      <c r="AB916" s="378">
        <v>0</v>
      </c>
      <c r="AC916" s="378"/>
      <c r="AD916" s="335"/>
      <c r="AE916" s="335"/>
      <c r="AF916" s="335"/>
      <c r="AG916" s="378">
        <v>0</v>
      </c>
      <c r="AI916" s="378" t="s">
        <v>21</v>
      </c>
      <c r="AJ916" s="378" t="s">
        <v>21</v>
      </c>
      <c r="AL916" s="286"/>
      <c r="AM916" s="286"/>
    </row>
    <row r="917" spans="1:39" s="51" customFormat="1" ht="22.5" hidden="1" x14ac:dyDescent="0.25">
      <c r="A917" s="248" t="s">
        <v>394</v>
      </c>
      <c r="B917" s="59" t="s">
        <v>87</v>
      </c>
      <c r="C917" s="248"/>
      <c r="D917" s="59">
        <v>101456</v>
      </c>
      <c r="E917" s="60" t="s">
        <v>657</v>
      </c>
      <c r="F917" s="248" t="s">
        <v>45</v>
      </c>
      <c r="G917" s="61">
        <v>1</v>
      </c>
      <c r="H917" s="62">
        <v>8400.67</v>
      </c>
      <c r="I917" s="62">
        <f>IF($D917="","",G917*H917)</f>
        <v>8400.67</v>
      </c>
      <c r="J917" s="62"/>
      <c r="K917" s="62">
        <v>8169.14</v>
      </c>
      <c r="L917" s="62">
        <v>231.53</v>
      </c>
      <c r="M917" s="62">
        <v>0</v>
      </c>
      <c r="N917" s="62">
        <v>0</v>
      </c>
      <c r="O917" s="62">
        <v>0</v>
      </c>
      <c r="P917" s="298" t="s">
        <v>4160</v>
      </c>
      <c r="Q917" s="60" t="s">
        <v>27</v>
      </c>
      <c r="R917" s="60" t="s">
        <v>174</v>
      </c>
      <c r="S917" s="286" t="str">
        <f t="shared" si="92"/>
        <v/>
      </c>
      <c r="T917" s="286" t="str">
        <f>IF($C917= "", T916, IF(ISNA(VLOOKUP($C917,'ABC-S'!$A$5:$A$271,1,FALSE)), "", VLOOKUP($C917,'ABC-S'!$A$5:$A$271,1,FALSE)))</f>
        <v/>
      </c>
      <c r="W917" s="286" t="s">
        <v>394</v>
      </c>
      <c r="X917" s="286" t="s">
        <v>21</v>
      </c>
      <c r="Y917" s="286" t="s">
        <v>85</v>
      </c>
      <c r="Z917" s="335" t="s">
        <v>21</v>
      </c>
      <c r="AA917" s="286" t="s">
        <v>21</v>
      </c>
      <c r="AB917" s="378"/>
      <c r="AC917" s="381" t="s">
        <v>21</v>
      </c>
      <c r="AD917" s="378" t="s">
        <v>21</v>
      </c>
      <c r="AE917" s="378" t="s">
        <v>21</v>
      </c>
      <c r="AF917" s="378" t="s">
        <v>21</v>
      </c>
      <c r="AG917" s="378"/>
      <c r="AI917" s="378">
        <v>0</v>
      </c>
      <c r="AJ917" s="378">
        <v>0</v>
      </c>
      <c r="AL917" s="286">
        <v>101456</v>
      </c>
      <c r="AM917" s="286"/>
    </row>
    <row r="918" spans="1:39" s="51" customFormat="1" x14ac:dyDescent="0.25">
      <c r="A918" s="55" t="s">
        <v>396</v>
      </c>
      <c r="B918" s="55" t="s">
        <v>138</v>
      </c>
      <c r="C918" s="55" t="s">
        <v>396</v>
      </c>
      <c r="D918" s="55"/>
      <c r="E918" s="56" t="s">
        <v>397</v>
      </c>
      <c r="F918" s="55" t="s">
        <v>205</v>
      </c>
      <c r="G918" s="57"/>
      <c r="H918" s="58"/>
      <c r="I918" s="58"/>
      <c r="J918" s="58">
        <f>SUM(I918:I919)</f>
        <v>3238.81</v>
      </c>
      <c r="K918" s="58">
        <v>3007.28</v>
      </c>
      <c r="L918" s="58">
        <v>231.53</v>
      </c>
      <c r="M918" s="58">
        <v>0</v>
      </c>
      <c r="N918" s="58">
        <v>0</v>
      </c>
      <c r="O918" s="58">
        <v>-4.5474735088646412E-13</v>
      </c>
      <c r="P918" s="58"/>
      <c r="Q918" s="56"/>
      <c r="R918" s="56" t="s">
        <v>395</v>
      </c>
      <c r="S918" s="286" t="str">
        <f t="shared" si="92"/>
        <v>SIM</v>
      </c>
      <c r="T918" s="286" t="str">
        <f>IF($C918= "", T917, IF(ISNA(VLOOKUP($C918,'ABC-S'!$A$5:$A$271,1,FALSE)), "", VLOOKUP($C918,'ABC-S'!$A$5:$A$271,1,FALSE)))</f>
        <v>CP9025</v>
      </c>
      <c r="W918" s="286" t="s">
        <v>396</v>
      </c>
      <c r="X918" s="286"/>
      <c r="Y918" s="286"/>
      <c r="Z918" s="286"/>
      <c r="AA918" s="286" t="s">
        <v>21</v>
      </c>
      <c r="AB918" s="378">
        <v>0</v>
      </c>
      <c r="AC918" s="378"/>
      <c r="AD918" s="335"/>
      <c r="AE918" s="335"/>
      <c r="AF918" s="335"/>
      <c r="AG918" s="378">
        <v>0</v>
      </c>
      <c r="AI918" s="378" t="s">
        <v>21</v>
      </c>
      <c r="AJ918" s="378" t="s">
        <v>21</v>
      </c>
      <c r="AL918" s="286"/>
      <c r="AM918" s="286"/>
    </row>
    <row r="919" spans="1:39" s="51" customFormat="1" ht="22.5" x14ac:dyDescent="0.25">
      <c r="A919" s="248" t="s">
        <v>396</v>
      </c>
      <c r="B919" s="59" t="s">
        <v>87</v>
      </c>
      <c r="C919" s="248"/>
      <c r="D919" s="59">
        <v>100534</v>
      </c>
      <c r="E919" s="60" t="s">
        <v>656</v>
      </c>
      <c r="F919" s="248" t="s">
        <v>45</v>
      </c>
      <c r="G919" s="61">
        <v>1</v>
      </c>
      <c r="H919" s="62">
        <v>3238.81</v>
      </c>
      <c r="I919" s="62">
        <f>IF($D919="","",G919*H919)</f>
        <v>3238.81</v>
      </c>
      <c r="J919" s="62"/>
      <c r="K919" s="62">
        <v>3007.28</v>
      </c>
      <c r="L919" s="62">
        <v>231.53</v>
      </c>
      <c r="M919" s="62">
        <v>0</v>
      </c>
      <c r="N919" s="62">
        <v>0</v>
      </c>
      <c r="O919" s="62">
        <v>-4.5474735088646412E-13</v>
      </c>
      <c r="P919" s="298" t="s">
        <v>4160</v>
      </c>
      <c r="Q919" s="60" t="s">
        <v>27</v>
      </c>
      <c r="R919" s="60" t="s">
        <v>174</v>
      </c>
      <c r="S919" s="286" t="str">
        <f t="shared" si="92"/>
        <v>SIM</v>
      </c>
      <c r="T919" s="286" t="str">
        <f>IF($C919= "", T918, IF(ISNA(VLOOKUP($C919,'ABC-S'!$A$5:$A$271,1,FALSE)), "", VLOOKUP($C919,'ABC-S'!$A$5:$A$271,1,FALSE)))</f>
        <v>CP9025</v>
      </c>
      <c r="W919" s="286" t="s">
        <v>396</v>
      </c>
      <c r="X919" s="286" t="s">
        <v>21</v>
      </c>
      <c r="Y919" s="286" t="s">
        <v>85</v>
      </c>
      <c r="Z919" s="335" t="s">
        <v>21</v>
      </c>
      <c r="AA919" s="286" t="s">
        <v>21</v>
      </c>
      <c r="AB919" s="378"/>
      <c r="AC919" s="381" t="s">
        <v>21</v>
      </c>
      <c r="AD919" s="378" t="s">
        <v>21</v>
      </c>
      <c r="AE919" s="378" t="s">
        <v>21</v>
      </c>
      <c r="AF919" s="378" t="s">
        <v>21</v>
      </c>
      <c r="AG919" s="378"/>
      <c r="AI919" s="378">
        <v>0</v>
      </c>
      <c r="AJ919" s="378">
        <v>0</v>
      </c>
      <c r="AL919" s="286">
        <v>100534</v>
      </c>
      <c r="AM919" s="286"/>
    </row>
    <row r="920" spans="1:39" s="51" customFormat="1" x14ac:dyDescent="0.25">
      <c r="A920" s="55" t="s">
        <v>400</v>
      </c>
      <c r="B920" s="55" t="s">
        <v>138</v>
      </c>
      <c r="C920" s="55" t="s">
        <v>400</v>
      </c>
      <c r="D920" s="55"/>
      <c r="E920" s="56" t="s">
        <v>337</v>
      </c>
      <c r="F920" s="55" t="s">
        <v>205</v>
      </c>
      <c r="G920" s="57"/>
      <c r="H920" s="58"/>
      <c r="I920" s="58"/>
      <c r="J920" s="58">
        <f>SUM(I920:I921)</f>
        <v>3264.4</v>
      </c>
      <c r="K920" s="58">
        <v>2129.52</v>
      </c>
      <c r="L920" s="58">
        <v>1134.8800000000001</v>
      </c>
      <c r="M920" s="58">
        <v>0</v>
      </c>
      <c r="N920" s="58">
        <v>0</v>
      </c>
      <c r="O920" s="58">
        <v>0</v>
      </c>
      <c r="P920" s="58"/>
      <c r="Q920" s="56"/>
      <c r="R920" s="56" t="s">
        <v>395</v>
      </c>
      <c r="S920" s="286" t="str">
        <f t="shared" si="92"/>
        <v>SIM</v>
      </c>
      <c r="T920" s="286" t="str">
        <f>IF($C920= "", T919, IF(ISNA(VLOOKUP($C920,'ABC-S'!$A$5:$A$271,1,FALSE)), "", VLOOKUP($C920,'ABC-S'!$A$5:$A$271,1,FALSE)))</f>
        <v>CP9026</v>
      </c>
      <c r="W920" s="286" t="s">
        <v>400</v>
      </c>
      <c r="X920" s="286"/>
      <c r="Y920" s="286"/>
      <c r="Z920" s="286"/>
      <c r="AA920" s="286" t="s">
        <v>21</v>
      </c>
      <c r="AB920" s="378">
        <v>0</v>
      </c>
      <c r="AC920" s="378"/>
      <c r="AD920" s="335"/>
      <c r="AE920" s="335"/>
      <c r="AF920" s="335"/>
      <c r="AG920" s="378">
        <v>0</v>
      </c>
      <c r="AI920" s="378" t="s">
        <v>21</v>
      </c>
      <c r="AJ920" s="378" t="s">
        <v>21</v>
      </c>
      <c r="AL920" s="286"/>
      <c r="AM920" s="286"/>
    </row>
    <row r="921" spans="1:39" s="51" customFormat="1" x14ac:dyDescent="0.25">
      <c r="A921" s="248" t="s">
        <v>400</v>
      </c>
      <c r="B921" s="59" t="s">
        <v>87</v>
      </c>
      <c r="C921" s="248"/>
      <c r="D921" s="59">
        <v>101460</v>
      </c>
      <c r="E921" s="60" t="s">
        <v>675</v>
      </c>
      <c r="F921" s="248" t="s">
        <v>45</v>
      </c>
      <c r="G921" s="61">
        <v>1</v>
      </c>
      <c r="H921" s="62">
        <v>3264.4</v>
      </c>
      <c r="I921" s="62">
        <f>IF($D921="","",G921*H921)</f>
        <v>3264.4</v>
      </c>
      <c r="J921" s="62"/>
      <c r="K921" s="62">
        <v>2129.52</v>
      </c>
      <c r="L921" s="62">
        <v>1134.8800000000001</v>
      </c>
      <c r="M921" s="62">
        <v>0</v>
      </c>
      <c r="N921" s="62">
        <v>0</v>
      </c>
      <c r="O921" s="62">
        <v>0</v>
      </c>
      <c r="P921" s="298" t="s">
        <v>4160</v>
      </c>
      <c r="Q921" s="60" t="s">
        <v>27</v>
      </c>
      <c r="R921" s="60" t="s">
        <v>174</v>
      </c>
      <c r="S921" s="286" t="str">
        <f t="shared" si="92"/>
        <v>SIM</v>
      </c>
      <c r="T921" s="286" t="str">
        <f>IF($C921= "", T920, IF(ISNA(VLOOKUP($C921,'ABC-S'!$A$5:$A$271,1,FALSE)), "", VLOOKUP($C921,'ABC-S'!$A$5:$A$271,1,FALSE)))</f>
        <v>CP9026</v>
      </c>
      <c r="W921" s="286" t="s">
        <v>400</v>
      </c>
      <c r="X921" s="286" t="s">
        <v>21</v>
      </c>
      <c r="Y921" s="286" t="s">
        <v>85</v>
      </c>
      <c r="Z921" s="335" t="s">
        <v>21</v>
      </c>
      <c r="AA921" s="286" t="s">
        <v>21</v>
      </c>
      <c r="AB921" s="378"/>
      <c r="AC921" s="381" t="s">
        <v>21</v>
      </c>
      <c r="AD921" s="378" t="s">
        <v>21</v>
      </c>
      <c r="AE921" s="378" t="s">
        <v>21</v>
      </c>
      <c r="AF921" s="378" t="s">
        <v>21</v>
      </c>
      <c r="AG921" s="378"/>
      <c r="AI921" s="378">
        <v>0</v>
      </c>
      <c r="AJ921" s="378">
        <v>0</v>
      </c>
      <c r="AL921" s="286">
        <v>101460</v>
      </c>
      <c r="AM921" s="286"/>
    </row>
    <row r="922" spans="1:39" s="51" customFormat="1" x14ac:dyDescent="0.25">
      <c r="A922" s="55" t="s">
        <v>398</v>
      </c>
      <c r="B922" s="55" t="s">
        <v>138</v>
      </c>
      <c r="C922" s="55" t="s">
        <v>398</v>
      </c>
      <c r="D922" s="55"/>
      <c r="E922" s="56" t="s">
        <v>399</v>
      </c>
      <c r="F922" s="55" t="s">
        <v>205</v>
      </c>
      <c r="G922" s="57"/>
      <c r="H922" s="58"/>
      <c r="I922" s="58"/>
      <c r="J922" s="58">
        <f>SUM(I922:I923)</f>
        <v>3195.41</v>
      </c>
      <c r="K922" s="58">
        <v>2060.5300000000002</v>
      </c>
      <c r="L922" s="58">
        <v>1134.8800000000001</v>
      </c>
      <c r="M922" s="58">
        <v>0</v>
      </c>
      <c r="N922" s="58">
        <v>0</v>
      </c>
      <c r="O922" s="58">
        <v>-4.5474735088646412E-13</v>
      </c>
      <c r="P922" s="58"/>
      <c r="Q922" s="56"/>
      <c r="R922" s="56" t="s">
        <v>395</v>
      </c>
      <c r="S922" s="286" t="str">
        <f t="shared" si="92"/>
        <v>SIM</v>
      </c>
      <c r="T922" s="286" t="str">
        <f>IF($C922= "", T921, IF(ISNA(VLOOKUP($C922,'ABC-S'!$A$5:$A$271,1,FALSE)), "", VLOOKUP($C922,'ABC-S'!$A$5:$A$271,1,FALSE)))</f>
        <v>CP9027</v>
      </c>
      <c r="W922" s="286" t="s">
        <v>398</v>
      </c>
      <c r="X922" s="286"/>
      <c r="Y922" s="286"/>
      <c r="Z922" s="286"/>
      <c r="AA922" s="286" t="s">
        <v>21</v>
      </c>
      <c r="AB922" s="378">
        <v>0</v>
      </c>
      <c r="AC922" s="378"/>
      <c r="AD922" s="335"/>
      <c r="AE922" s="335"/>
      <c r="AF922" s="335"/>
      <c r="AG922" s="378">
        <v>0</v>
      </c>
      <c r="AI922" s="378" t="s">
        <v>21</v>
      </c>
      <c r="AJ922" s="378" t="s">
        <v>21</v>
      </c>
      <c r="AL922" s="286"/>
      <c r="AM922" s="286"/>
    </row>
    <row r="923" spans="1:39" s="51" customFormat="1" x14ac:dyDescent="0.25">
      <c r="A923" s="248" t="s">
        <v>398</v>
      </c>
      <c r="B923" s="59" t="s">
        <v>87</v>
      </c>
      <c r="C923" s="248"/>
      <c r="D923" s="59">
        <v>101452</v>
      </c>
      <c r="E923" s="60" t="s">
        <v>650</v>
      </c>
      <c r="F923" s="248" t="s">
        <v>45</v>
      </c>
      <c r="G923" s="61">
        <v>1</v>
      </c>
      <c r="H923" s="62">
        <v>3195.41</v>
      </c>
      <c r="I923" s="62">
        <f>IF($D923="","",G923*H923)</f>
        <v>3195.41</v>
      </c>
      <c r="J923" s="62"/>
      <c r="K923" s="62">
        <v>2060.5300000000002</v>
      </c>
      <c r="L923" s="62">
        <v>1134.8800000000001</v>
      </c>
      <c r="M923" s="62">
        <v>0</v>
      </c>
      <c r="N923" s="62">
        <v>0</v>
      </c>
      <c r="O923" s="62">
        <v>-4.5474735088646412E-13</v>
      </c>
      <c r="P923" s="298" t="s">
        <v>4160</v>
      </c>
      <c r="Q923" s="60" t="s">
        <v>27</v>
      </c>
      <c r="R923" s="60" t="s">
        <v>174</v>
      </c>
      <c r="S923" s="286" t="str">
        <f t="shared" si="92"/>
        <v>SIM</v>
      </c>
      <c r="T923" s="286" t="str">
        <f>IF($C923= "", T922, IF(ISNA(VLOOKUP($C923,'ABC-S'!$A$5:$A$271,1,FALSE)), "", VLOOKUP($C923,'ABC-S'!$A$5:$A$271,1,FALSE)))</f>
        <v>CP9027</v>
      </c>
      <c r="W923" s="286" t="s">
        <v>398</v>
      </c>
      <c r="X923" s="286" t="s">
        <v>21</v>
      </c>
      <c r="Y923" s="286" t="s">
        <v>85</v>
      </c>
      <c r="Z923" s="335" t="s">
        <v>21</v>
      </c>
      <c r="AA923" s="286" t="s">
        <v>21</v>
      </c>
      <c r="AB923" s="378"/>
      <c r="AC923" s="381" t="s">
        <v>21</v>
      </c>
      <c r="AD923" s="378" t="s">
        <v>21</v>
      </c>
      <c r="AE923" s="378" t="s">
        <v>21</v>
      </c>
      <c r="AF923" s="378" t="s">
        <v>21</v>
      </c>
      <c r="AG923" s="378"/>
      <c r="AI923" s="378">
        <v>0</v>
      </c>
      <c r="AJ923" s="378">
        <v>0</v>
      </c>
      <c r="AL923" s="286">
        <v>101452</v>
      </c>
      <c r="AM923" s="286"/>
    </row>
    <row r="924" spans="1:39" s="51" customFormat="1" x14ac:dyDescent="0.25">
      <c r="A924" s="55" t="s">
        <v>401</v>
      </c>
      <c r="B924" s="55" t="s">
        <v>138</v>
      </c>
      <c r="C924" s="55" t="s">
        <v>401</v>
      </c>
      <c r="D924" s="55"/>
      <c r="E924" s="56" t="s">
        <v>402</v>
      </c>
      <c r="F924" s="55" t="s">
        <v>205</v>
      </c>
      <c r="G924" s="57"/>
      <c r="H924" s="58"/>
      <c r="I924" s="58"/>
      <c r="J924" s="58">
        <f>SUM(I924:I925)</f>
        <v>25761.91</v>
      </c>
      <c r="K924" s="58">
        <v>25542.26</v>
      </c>
      <c r="L924" s="58">
        <v>219.65</v>
      </c>
      <c r="M924" s="58">
        <v>0</v>
      </c>
      <c r="N924" s="58">
        <v>0</v>
      </c>
      <c r="O924" s="58">
        <v>0</v>
      </c>
      <c r="P924" s="58"/>
      <c r="Q924" s="56"/>
      <c r="R924" s="56" t="s">
        <v>395</v>
      </c>
      <c r="S924" s="286" t="str">
        <f t="shared" si="92"/>
        <v>SIM</v>
      </c>
      <c r="T924" s="286" t="str">
        <f>IF($C924= "", T923, IF(ISNA(VLOOKUP($C924,'ABC-S'!$A$5:$A$271,1,FALSE)), "", VLOOKUP($C924,'ABC-S'!$A$5:$A$271,1,FALSE)))</f>
        <v>CP9028</v>
      </c>
      <c r="W924" s="286" t="s">
        <v>401</v>
      </c>
      <c r="X924" s="286"/>
      <c r="Y924" s="286"/>
      <c r="Z924" s="286"/>
      <c r="AA924" s="286" t="s">
        <v>21</v>
      </c>
      <c r="AB924" s="378">
        <v>0</v>
      </c>
      <c r="AC924" s="378"/>
      <c r="AD924" s="335"/>
      <c r="AE924" s="335"/>
      <c r="AF924" s="335"/>
      <c r="AG924" s="378">
        <v>0</v>
      </c>
      <c r="AI924" s="378" t="s">
        <v>21</v>
      </c>
      <c r="AJ924" s="378" t="s">
        <v>21</v>
      </c>
      <c r="AL924" s="286"/>
      <c r="AM924" s="286"/>
    </row>
    <row r="925" spans="1:39" s="51" customFormat="1" ht="22.5" x14ac:dyDescent="0.25">
      <c r="A925" s="248" t="s">
        <v>401</v>
      </c>
      <c r="B925" s="59" t="s">
        <v>87</v>
      </c>
      <c r="C925" s="248"/>
      <c r="D925" s="59">
        <v>101403</v>
      </c>
      <c r="E925" s="60" t="s">
        <v>560</v>
      </c>
      <c r="F925" s="248" t="s">
        <v>45</v>
      </c>
      <c r="G925" s="61">
        <v>1</v>
      </c>
      <c r="H925" s="62">
        <v>25761.91</v>
      </c>
      <c r="I925" s="62">
        <f>IF($D925="","",G925*H925)</f>
        <v>25761.91</v>
      </c>
      <c r="J925" s="62"/>
      <c r="K925" s="62">
        <v>25542.26</v>
      </c>
      <c r="L925" s="62">
        <v>219.65</v>
      </c>
      <c r="M925" s="62">
        <v>0</v>
      </c>
      <c r="N925" s="62">
        <v>0</v>
      </c>
      <c r="O925" s="62">
        <v>0</v>
      </c>
      <c r="P925" s="298" t="s">
        <v>4160</v>
      </c>
      <c r="Q925" s="60" t="s">
        <v>27</v>
      </c>
      <c r="R925" s="60" t="s">
        <v>174</v>
      </c>
      <c r="S925" s="286" t="str">
        <f t="shared" si="92"/>
        <v>SIM</v>
      </c>
      <c r="T925" s="286" t="str">
        <f>IF($C925= "", T924, IF(ISNA(VLOOKUP($C925,'ABC-S'!$A$5:$A$271,1,FALSE)), "", VLOOKUP($C925,'ABC-S'!$A$5:$A$271,1,FALSE)))</f>
        <v>CP9028</v>
      </c>
      <c r="W925" s="286" t="s">
        <v>401</v>
      </c>
      <c r="X925" s="286" t="s">
        <v>21</v>
      </c>
      <c r="Y925" s="286" t="s">
        <v>85</v>
      </c>
      <c r="Z925" s="335" t="s">
        <v>21</v>
      </c>
      <c r="AA925" s="286" t="s">
        <v>21</v>
      </c>
      <c r="AB925" s="378"/>
      <c r="AC925" s="381" t="s">
        <v>21</v>
      </c>
      <c r="AD925" s="378" t="s">
        <v>21</v>
      </c>
      <c r="AE925" s="378" t="s">
        <v>21</v>
      </c>
      <c r="AF925" s="378" t="s">
        <v>21</v>
      </c>
      <c r="AG925" s="378"/>
      <c r="AI925" s="378">
        <v>0</v>
      </c>
      <c r="AJ925" s="378">
        <v>0</v>
      </c>
      <c r="AL925" s="286">
        <v>101403</v>
      </c>
      <c r="AM925" s="286"/>
    </row>
    <row r="926" spans="1:39" s="51" customFormat="1" x14ac:dyDescent="0.25">
      <c r="A926" s="55" t="s">
        <v>403</v>
      </c>
      <c r="B926" s="55" t="s">
        <v>138</v>
      </c>
      <c r="C926" s="55" t="s">
        <v>403</v>
      </c>
      <c r="D926" s="55"/>
      <c r="E926" s="56" t="s">
        <v>404</v>
      </c>
      <c r="F926" s="55" t="s">
        <v>205</v>
      </c>
      <c r="G926" s="57"/>
      <c r="H926" s="58"/>
      <c r="I926" s="58"/>
      <c r="J926" s="58">
        <f>SUM(I926:I927)</f>
        <v>18858.12</v>
      </c>
      <c r="K926" s="58">
        <v>18638.47</v>
      </c>
      <c r="L926" s="58">
        <v>219.65</v>
      </c>
      <c r="M926" s="58">
        <v>0</v>
      </c>
      <c r="N926" s="58">
        <v>0</v>
      </c>
      <c r="O926" s="58">
        <v>-3.637978807091713E-12</v>
      </c>
      <c r="P926" s="58"/>
      <c r="Q926" s="56"/>
      <c r="R926" s="56" t="s">
        <v>395</v>
      </c>
      <c r="S926" s="286" t="str">
        <f t="shared" si="92"/>
        <v>SIM</v>
      </c>
      <c r="T926" s="286" t="str">
        <f>IF($C926= "", T925, IF(ISNA(VLOOKUP($C926,'ABC-S'!$A$5:$A$271,1,FALSE)), "", VLOOKUP($C926,'ABC-S'!$A$5:$A$271,1,FALSE)))</f>
        <v>CP9029</v>
      </c>
      <c r="W926" s="286" t="s">
        <v>403</v>
      </c>
      <c r="X926" s="286"/>
      <c r="Y926" s="286"/>
      <c r="Z926" s="286"/>
      <c r="AA926" s="286" t="s">
        <v>21</v>
      </c>
      <c r="AB926" s="378">
        <v>0</v>
      </c>
      <c r="AC926" s="378"/>
      <c r="AD926" s="335"/>
      <c r="AE926" s="335"/>
      <c r="AF926" s="335"/>
      <c r="AG926" s="378">
        <v>0</v>
      </c>
      <c r="AI926" s="378" t="s">
        <v>21</v>
      </c>
      <c r="AJ926" s="378" t="s">
        <v>21</v>
      </c>
      <c r="AL926" s="286"/>
      <c r="AM926" s="286"/>
    </row>
    <row r="927" spans="1:39" s="51" customFormat="1" ht="22.5" x14ac:dyDescent="0.25">
      <c r="A927" s="248" t="s">
        <v>403</v>
      </c>
      <c r="B927" s="59" t="s">
        <v>87</v>
      </c>
      <c r="C927" s="248"/>
      <c r="D927" s="59">
        <v>100320</v>
      </c>
      <c r="E927" s="60" t="s">
        <v>559</v>
      </c>
      <c r="F927" s="248" t="s">
        <v>45</v>
      </c>
      <c r="G927" s="61">
        <v>1</v>
      </c>
      <c r="H927" s="62">
        <v>18858.12</v>
      </c>
      <c r="I927" s="62">
        <f>IF($D927="","",G927*H927)</f>
        <v>18858.12</v>
      </c>
      <c r="J927" s="62"/>
      <c r="K927" s="62">
        <v>18638.47</v>
      </c>
      <c r="L927" s="62">
        <v>219.65</v>
      </c>
      <c r="M927" s="62">
        <v>0</v>
      </c>
      <c r="N927" s="62">
        <v>0</v>
      </c>
      <c r="O927" s="62">
        <v>-3.637978807091713E-12</v>
      </c>
      <c r="P927" s="298" t="s">
        <v>4160</v>
      </c>
      <c r="Q927" s="60" t="s">
        <v>27</v>
      </c>
      <c r="R927" s="60" t="s">
        <v>174</v>
      </c>
      <c r="S927" s="286" t="str">
        <f t="shared" si="92"/>
        <v>SIM</v>
      </c>
      <c r="T927" s="286" t="str">
        <f>IF($C927= "", T926, IF(ISNA(VLOOKUP($C927,'ABC-S'!$A$5:$A$271,1,FALSE)), "", VLOOKUP($C927,'ABC-S'!$A$5:$A$271,1,FALSE)))</f>
        <v>CP9029</v>
      </c>
      <c r="W927" s="286" t="s">
        <v>403</v>
      </c>
      <c r="X927" s="286" t="s">
        <v>21</v>
      </c>
      <c r="Y927" s="286" t="s">
        <v>85</v>
      </c>
      <c r="Z927" s="335" t="s">
        <v>21</v>
      </c>
      <c r="AA927" s="286" t="s">
        <v>21</v>
      </c>
      <c r="AB927" s="378"/>
      <c r="AC927" s="381" t="s">
        <v>21</v>
      </c>
      <c r="AD927" s="378" t="s">
        <v>21</v>
      </c>
      <c r="AE927" s="378" t="s">
        <v>21</v>
      </c>
      <c r="AF927" s="378" t="s">
        <v>21</v>
      </c>
      <c r="AG927" s="378"/>
      <c r="AI927" s="378">
        <v>0</v>
      </c>
      <c r="AJ927" s="378">
        <v>0</v>
      </c>
      <c r="AL927" s="286">
        <v>100320</v>
      </c>
      <c r="AM927" s="286"/>
    </row>
    <row r="928" spans="1:39" s="51" customFormat="1" x14ac:dyDescent="0.25">
      <c r="A928" s="55" t="s">
        <v>1089</v>
      </c>
      <c r="B928" s="55" t="s">
        <v>138</v>
      </c>
      <c r="C928" s="55" t="s">
        <v>1089</v>
      </c>
      <c r="D928" s="55"/>
      <c r="E928" s="56" t="s">
        <v>1064</v>
      </c>
      <c r="F928" s="55" t="s">
        <v>205</v>
      </c>
      <c r="G928" s="57"/>
      <c r="H928" s="58"/>
      <c r="I928" s="58"/>
      <c r="J928" s="58">
        <f>SUM(I928:I929)</f>
        <v>19331.11</v>
      </c>
      <c r="K928" s="58">
        <v>19331.11</v>
      </c>
      <c r="L928" s="58">
        <v>0</v>
      </c>
      <c r="M928" s="58">
        <v>0</v>
      </c>
      <c r="N928" s="58">
        <v>0</v>
      </c>
      <c r="O928" s="58">
        <v>0</v>
      </c>
      <c r="P928" s="58"/>
      <c r="Q928" s="56"/>
      <c r="R928" s="56" t="s">
        <v>395</v>
      </c>
      <c r="S928" s="286" t="str">
        <f t="shared" si="92"/>
        <v>SIM</v>
      </c>
      <c r="T928" s="286" t="str">
        <f>IF($C928= "", T927, IF(ISNA(VLOOKUP($C928,'ABC-S'!$A$5:$A$271,1,FALSE)), "", VLOOKUP($C928,'ABC-S'!$A$5:$A$271,1,FALSE)))</f>
        <v>CP9030</v>
      </c>
      <c r="W928" s="286" t="s">
        <v>1089</v>
      </c>
      <c r="X928" s="286"/>
      <c r="Y928" s="286"/>
      <c r="Z928" s="286"/>
      <c r="AA928" s="286" t="s">
        <v>21</v>
      </c>
      <c r="AB928" s="378">
        <v>0</v>
      </c>
      <c r="AC928" s="378"/>
      <c r="AD928" s="335"/>
      <c r="AE928" s="335"/>
      <c r="AF928" s="335"/>
      <c r="AG928" s="378">
        <v>0</v>
      </c>
      <c r="AI928" s="378" t="s">
        <v>21</v>
      </c>
      <c r="AJ928" s="378" t="s">
        <v>21</v>
      </c>
      <c r="AL928" s="286"/>
      <c r="AM928" s="286"/>
    </row>
    <row r="929" spans="1:39" s="51" customFormat="1" x14ac:dyDescent="0.25">
      <c r="A929" s="248" t="s">
        <v>1089</v>
      </c>
      <c r="B929" s="59" t="s">
        <v>86</v>
      </c>
      <c r="C929" s="248"/>
      <c r="D929" s="59" t="s">
        <v>1063</v>
      </c>
      <c r="E929" s="60" t="s">
        <v>1064</v>
      </c>
      <c r="F929" s="248" t="s">
        <v>205</v>
      </c>
      <c r="G929" s="61">
        <v>1</v>
      </c>
      <c r="H929" s="62">
        <v>19331.11</v>
      </c>
      <c r="I929" s="62">
        <f>IF($D929="","",G929*H929)</f>
        <v>19331.11</v>
      </c>
      <c r="J929" s="62"/>
      <c r="K929" s="62">
        <v>19331.11</v>
      </c>
      <c r="L929" s="62">
        <v>0</v>
      </c>
      <c r="M929" s="62">
        <v>0</v>
      </c>
      <c r="N929" s="62">
        <v>0</v>
      </c>
      <c r="O929" s="62">
        <v>0</v>
      </c>
      <c r="P929" s="298" t="s">
        <v>85</v>
      </c>
      <c r="Q929" s="60" t="s">
        <v>27</v>
      </c>
      <c r="R929" s="60" t="s">
        <v>174</v>
      </c>
      <c r="S929" s="286" t="str">
        <f t="shared" si="92"/>
        <v>SIM</v>
      </c>
      <c r="T929" s="286" t="str">
        <f>IF($C929= "", T928, IF(ISNA(VLOOKUP($C929,'ABC-S'!$A$5:$A$271,1,FALSE)), "", VLOOKUP($C929,'ABC-S'!$A$5:$A$271,1,FALSE)))</f>
        <v>CP9030</v>
      </c>
      <c r="W929" s="286" t="s">
        <v>1089</v>
      </c>
      <c r="X929" s="286" t="s">
        <v>21</v>
      </c>
      <c r="Y929" s="286" t="s">
        <v>21</v>
      </c>
      <c r="Z929" s="286" t="s">
        <v>21</v>
      </c>
      <c r="AA929" s="286" t="s">
        <v>21</v>
      </c>
      <c r="AB929" s="378"/>
      <c r="AC929" s="381" t="s">
        <v>21</v>
      </c>
      <c r="AD929" s="378" t="s">
        <v>21</v>
      </c>
      <c r="AE929" s="378" t="s">
        <v>21</v>
      </c>
      <c r="AF929" s="378" t="s">
        <v>21</v>
      </c>
      <c r="AG929" s="378"/>
      <c r="AI929" s="378" t="s">
        <v>21</v>
      </c>
      <c r="AJ929" s="378" t="s">
        <v>21</v>
      </c>
      <c r="AL929" s="286"/>
      <c r="AM929" s="286" t="s">
        <v>1063</v>
      </c>
    </row>
    <row r="930" spans="1:39" s="51" customFormat="1" x14ac:dyDescent="0.25">
      <c r="A930" s="55" t="s">
        <v>405</v>
      </c>
      <c r="B930" s="55" t="s">
        <v>138</v>
      </c>
      <c r="C930" s="55" t="s">
        <v>405</v>
      </c>
      <c r="D930" s="55"/>
      <c r="E930" s="56" t="s">
        <v>338</v>
      </c>
      <c r="F930" s="55" t="s">
        <v>205</v>
      </c>
      <c r="G930" s="57"/>
      <c r="H930" s="58"/>
      <c r="I930" s="58"/>
      <c r="J930" s="58">
        <f>SUM(I930:I931)</f>
        <v>3465.25</v>
      </c>
      <c r="K930" s="58">
        <v>3158.21</v>
      </c>
      <c r="L930" s="58">
        <v>307.04000000000002</v>
      </c>
      <c r="M930" s="58">
        <v>0</v>
      </c>
      <c r="N930" s="58">
        <v>0</v>
      </c>
      <c r="O930" s="58">
        <v>0</v>
      </c>
      <c r="P930" s="58"/>
      <c r="Q930" s="56"/>
      <c r="R930" s="56" t="s">
        <v>395</v>
      </c>
      <c r="S930" s="286" t="str">
        <f t="shared" si="92"/>
        <v>SIM</v>
      </c>
      <c r="T930" s="286" t="str">
        <f>IF($C930= "", T929, IF(ISNA(VLOOKUP($C930,'ABC-S'!$A$5:$A$271,1,FALSE)), "", VLOOKUP($C930,'ABC-S'!$A$5:$A$271,1,FALSE)))</f>
        <v>CP9034</v>
      </c>
      <c r="W930" s="286" t="s">
        <v>405</v>
      </c>
      <c r="X930" s="286"/>
      <c r="Y930" s="286"/>
      <c r="Z930" s="286"/>
      <c r="AA930" s="286" t="s">
        <v>21</v>
      </c>
      <c r="AB930" s="378">
        <v>0</v>
      </c>
      <c r="AC930" s="378"/>
      <c r="AD930" s="335"/>
      <c r="AE930" s="335"/>
      <c r="AF930" s="335"/>
      <c r="AG930" s="378">
        <v>0</v>
      </c>
      <c r="AI930" s="378" t="s">
        <v>21</v>
      </c>
      <c r="AJ930" s="378" t="s">
        <v>21</v>
      </c>
      <c r="AL930" s="286"/>
      <c r="AM930" s="286"/>
    </row>
    <row r="931" spans="1:39" s="51" customFormat="1" ht="22.5" x14ac:dyDescent="0.25">
      <c r="A931" s="248" t="s">
        <v>405</v>
      </c>
      <c r="B931" s="59" t="s">
        <v>87</v>
      </c>
      <c r="C931" s="248"/>
      <c r="D931" s="59">
        <v>93572</v>
      </c>
      <c r="E931" s="60" t="s">
        <v>47</v>
      </c>
      <c r="F931" s="248" t="s">
        <v>45</v>
      </c>
      <c r="G931" s="61">
        <v>1</v>
      </c>
      <c r="H931" s="62">
        <v>3465.25</v>
      </c>
      <c r="I931" s="62">
        <f>IF($D931="","",G931*H931)</f>
        <v>3465.25</v>
      </c>
      <c r="J931" s="62"/>
      <c r="K931" s="62">
        <v>3158.21</v>
      </c>
      <c r="L931" s="62">
        <v>307.04000000000002</v>
      </c>
      <c r="M931" s="62">
        <v>0</v>
      </c>
      <c r="N931" s="62">
        <v>0</v>
      </c>
      <c r="O931" s="62">
        <v>0</v>
      </c>
      <c r="P931" s="298" t="s">
        <v>4160</v>
      </c>
      <c r="Q931" s="60" t="s">
        <v>27</v>
      </c>
      <c r="R931" s="60" t="s">
        <v>174</v>
      </c>
      <c r="S931" s="286" t="str">
        <f t="shared" si="92"/>
        <v>SIM</v>
      </c>
      <c r="T931" s="286" t="str">
        <f>IF($C931= "", T930, IF(ISNA(VLOOKUP($C931,'ABC-S'!$A$5:$A$271,1,FALSE)), "", VLOOKUP($C931,'ABC-S'!$A$5:$A$271,1,FALSE)))</f>
        <v>CP9034</v>
      </c>
      <c r="W931" s="286" t="s">
        <v>405</v>
      </c>
      <c r="X931" s="286" t="s">
        <v>21</v>
      </c>
      <c r="Y931" s="286" t="s">
        <v>85</v>
      </c>
      <c r="Z931" s="335" t="s">
        <v>21</v>
      </c>
      <c r="AA931" s="286" t="s">
        <v>21</v>
      </c>
      <c r="AB931" s="378"/>
      <c r="AC931" s="381" t="s">
        <v>21</v>
      </c>
      <c r="AD931" s="378" t="s">
        <v>21</v>
      </c>
      <c r="AE931" s="378" t="s">
        <v>21</v>
      </c>
      <c r="AF931" s="378" t="s">
        <v>21</v>
      </c>
      <c r="AG931" s="378"/>
      <c r="AI931" s="378">
        <v>0</v>
      </c>
      <c r="AJ931" s="378">
        <v>0</v>
      </c>
      <c r="AL931" s="286">
        <v>93572</v>
      </c>
      <c r="AM931" s="286"/>
    </row>
    <row r="932" spans="1:39" s="51" customFormat="1" x14ac:dyDescent="0.25">
      <c r="A932" s="55" t="s">
        <v>407</v>
      </c>
      <c r="B932" s="55" t="s">
        <v>138</v>
      </c>
      <c r="C932" s="55" t="s">
        <v>407</v>
      </c>
      <c r="D932" s="55"/>
      <c r="E932" s="56" t="s">
        <v>336</v>
      </c>
      <c r="F932" s="55" t="s">
        <v>205</v>
      </c>
      <c r="G932" s="57"/>
      <c r="H932" s="58"/>
      <c r="I932" s="58"/>
      <c r="J932" s="58">
        <f>SUM(I932:I933)</f>
        <v>5886.22</v>
      </c>
      <c r="K932" s="58">
        <v>5654.69</v>
      </c>
      <c r="L932" s="58">
        <v>231.53</v>
      </c>
      <c r="M932" s="58">
        <v>0</v>
      </c>
      <c r="N932" s="58">
        <v>0</v>
      </c>
      <c r="O932" s="58">
        <v>9.0949470177292824E-13</v>
      </c>
      <c r="P932" s="58"/>
      <c r="Q932" s="56"/>
      <c r="R932" s="56" t="s">
        <v>395</v>
      </c>
      <c r="S932" s="286" t="str">
        <f t="shared" si="92"/>
        <v>SIM</v>
      </c>
      <c r="T932" s="286" t="str">
        <f>IF($C932= "", T931, IF(ISNA(VLOOKUP($C932,'ABC-S'!$A$5:$A$271,1,FALSE)), "", VLOOKUP($C932,'ABC-S'!$A$5:$A$271,1,FALSE)))</f>
        <v>CP9035</v>
      </c>
      <c r="W932" s="286" t="s">
        <v>407</v>
      </c>
      <c r="X932" s="286"/>
      <c r="Y932" s="286"/>
      <c r="Z932" s="286"/>
      <c r="AA932" s="286" t="s">
        <v>21</v>
      </c>
      <c r="AB932" s="378">
        <v>0</v>
      </c>
      <c r="AC932" s="378"/>
      <c r="AD932" s="335"/>
      <c r="AE932" s="335"/>
      <c r="AF932" s="335"/>
      <c r="AG932" s="378">
        <v>0</v>
      </c>
      <c r="AI932" s="378" t="s">
        <v>21</v>
      </c>
      <c r="AJ932" s="378" t="s">
        <v>21</v>
      </c>
      <c r="AL932" s="286"/>
      <c r="AM932" s="286"/>
    </row>
    <row r="933" spans="1:39" s="51" customFormat="1" ht="22.5" x14ac:dyDescent="0.25">
      <c r="A933" s="248" t="s">
        <v>407</v>
      </c>
      <c r="B933" s="59" t="s">
        <v>87</v>
      </c>
      <c r="C933" s="248"/>
      <c r="D933" s="59">
        <v>93564</v>
      </c>
      <c r="E933" s="60" t="s">
        <v>49</v>
      </c>
      <c r="F933" s="248" t="s">
        <v>45</v>
      </c>
      <c r="G933" s="61">
        <v>1</v>
      </c>
      <c r="H933" s="62">
        <v>5886.22</v>
      </c>
      <c r="I933" s="62">
        <f>IF($D933="","",G933*H933)</f>
        <v>5886.22</v>
      </c>
      <c r="J933" s="62"/>
      <c r="K933" s="62">
        <v>5654.69</v>
      </c>
      <c r="L933" s="62">
        <v>231.53</v>
      </c>
      <c r="M933" s="62">
        <v>0</v>
      </c>
      <c r="N933" s="62">
        <v>0</v>
      </c>
      <c r="O933" s="62">
        <v>9.0949470177292824E-13</v>
      </c>
      <c r="P933" s="298" t="s">
        <v>4160</v>
      </c>
      <c r="Q933" s="60" t="s">
        <v>27</v>
      </c>
      <c r="R933" s="60" t="s">
        <v>174</v>
      </c>
      <c r="S933" s="286" t="str">
        <f t="shared" si="92"/>
        <v>SIM</v>
      </c>
      <c r="T933" s="286" t="str">
        <f>IF($C933= "", T932, IF(ISNA(VLOOKUP($C933,'ABC-S'!$A$5:$A$271,1,FALSE)), "", VLOOKUP($C933,'ABC-S'!$A$5:$A$271,1,FALSE)))</f>
        <v>CP9035</v>
      </c>
      <c r="W933" s="286" t="s">
        <v>407</v>
      </c>
      <c r="X933" s="286" t="s">
        <v>21</v>
      </c>
      <c r="Y933" s="286" t="s">
        <v>85</v>
      </c>
      <c r="Z933" s="335" t="s">
        <v>21</v>
      </c>
      <c r="AA933" s="286" t="s">
        <v>21</v>
      </c>
      <c r="AB933" s="378"/>
      <c r="AC933" s="381" t="s">
        <v>21</v>
      </c>
      <c r="AD933" s="378" t="s">
        <v>21</v>
      </c>
      <c r="AE933" s="378" t="s">
        <v>21</v>
      </c>
      <c r="AF933" s="378" t="s">
        <v>21</v>
      </c>
      <c r="AG933" s="378"/>
      <c r="AI933" s="378">
        <v>0</v>
      </c>
      <c r="AJ933" s="378">
        <v>0</v>
      </c>
      <c r="AL933" s="286">
        <v>93564</v>
      </c>
      <c r="AM933" s="286"/>
    </row>
    <row r="934" spans="1:39" s="51" customFormat="1" ht="22.5" x14ac:dyDescent="0.25">
      <c r="A934" s="55" t="s">
        <v>461</v>
      </c>
      <c r="B934" s="55" t="s">
        <v>138</v>
      </c>
      <c r="C934" s="55" t="s">
        <v>461</v>
      </c>
      <c r="D934" s="55"/>
      <c r="E934" s="56" t="s">
        <v>462</v>
      </c>
      <c r="F934" s="55" t="s">
        <v>205</v>
      </c>
      <c r="G934" s="57"/>
      <c r="H934" s="58"/>
      <c r="I934" s="58"/>
      <c r="J934" s="58">
        <f>SUM(I934:I937)</f>
        <v>19090.55</v>
      </c>
      <c r="K934" s="58">
        <v>18395.96</v>
      </c>
      <c r="L934" s="58">
        <v>694.59</v>
      </c>
      <c r="M934" s="58">
        <v>0</v>
      </c>
      <c r="N934" s="58">
        <v>0</v>
      </c>
      <c r="O934" s="58">
        <v>0</v>
      </c>
      <c r="P934" s="58"/>
      <c r="Q934" s="56"/>
      <c r="R934" s="56" t="s">
        <v>466</v>
      </c>
      <c r="S934" s="286" t="str">
        <f t="shared" si="92"/>
        <v>SIM</v>
      </c>
      <c r="T934" s="286" t="str">
        <f>IF($C934= "", T933, IF(ISNA(VLOOKUP($C934,'ABC-S'!$A$5:$A$271,1,FALSE)), "", VLOOKUP($C934,'ABC-S'!$A$5:$A$271,1,FALSE)))</f>
        <v>CP9036</v>
      </c>
      <c r="W934" s="286" t="s">
        <v>461</v>
      </c>
      <c r="X934" s="286"/>
      <c r="Y934" s="286"/>
      <c r="Z934" s="286"/>
      <c r="AA934" s="286" t="s">
        <v>21</v>
      </c>
      <c r="AB934" s="378">
        <v>0</v>
      </c>
      <c r="AC934" s="378"/>
      <c r="AD934" s="335"/>
      <c r="AE934" s="335"/>
      <c r="AF934" s="335"/>
      <c r="AG934" s="378">
        <v>0</v>
      </c>
      <c r="AI934" s="378" t="s">
        <v>21</v>
      </c>
      <c r="AJ934" s="378" t="s">
        <v>21</v>
      </c>
      <c r="AL934" s="286"/>
      <c r="AM934" s="286"/>
    </row>
    <row r="935" spans="1:39" s="51" customFormat="1" ht="22.5" x14ac:dyDescent="0.25">
      <c r="A935" s="59" t="s">
        <v>461</v>
      </c>
      <c r="B935" s="59" t="s">
        <v>87</v>
      </c>
      <c r="C935" s="248"/>
      <c r="D935" s="59">
        <v>101456</v>
      </c>
      <c r="E935" s="60" t="s">
        <v>657</v>
      </c>
      <c r="F935" s="59" t="s">
        <v>45</v>
      </c>
      <c r="G935" s="61">
        <v>1</v>
      </c>
      <c r="H935" s="62">
        <v>8400.67</v>
      </c>
      <c r="I935" s="62">
        <f>IF($D935="","",G935*H935)</f>
        <v>8400.67</v>
      </c>
      <c r="J935" s="62"/>
      <c r="K935" s="62">
        <v>8169.14</v>
      </c>
      <c r="L935" s="62">
        <v>231.53</v>
      </c>
      <c r="M935" s="62">
        <v>0</v>
      </c>
      <c r="N935" s="62">
        <v>0</v>
      </c>
      <c r="O935" s="62">
        <v>0</v>
      </c>
      <c r="P935" s="298" t="s">
        <v>4160</v>
      </c>
      <c r="Q935" s="60" t="s">
        <v>27</v>
      </c>
      <c r="R935" s="60" t="s">
        <v>138</v>
      </c>
      <c r="S935" s="286" t="str">
        <f t="shared" si="92"/>
        <v>SIM</v>
      </c>
      <c r="T935" s="286" t="str">
        <f>IF($C935= "", T934, IF(ISNA(VLOOKUP($C935,'ABC-S'!$A$5:$A$271,1,FALSE)), "", VLOOKUP($C935,'ABC-S'!$A$5:$A$271,1,FALSE)))</f>
        <v>CP9036</v>
      </c>
      <c r="W935" s="286" t="s">
        <v>461</v>
      </c>
      <c r="X935" s="286" t="s">
        <v>21</v>
      </c>
      <c r="Y935" s="286" t="s">
        <v>85</v>
      </c>
      <c r="Z935" s="335" t="s">
        <v>21</v>
      </c>
      <c r="AA935" s="286" t="s">
        <v>21</v>
      </c>
      <c r="AB935" s="378"/>
      <c r="AC935" s="381" t="s">
        <v>21</v>
      </c>
      <c r="AD935" s="378" t="s">
        <v>21</v>
      </c>
      <c r="AE935" s="378" t="s">
        <v>21</v>
      </c>
      <c r="AF935" s="378" t="s">
        <v>21</v>
      </c>
      <c r="AG935" s="378"/>
      <c r="AI935" s="378">
        <v>0</v>
      </c>
      <c r="AJ935" s="378">
        <v>0</v>
      </c>
      <c r="AL935" s="286">
        <v>101456</v>
      </c>
      <c r="AM935" s="286"/>
    </row>
    <row r="936" spans="1:39" s="51" customFormat="1" ht="22.5" x14ac:dyDescent="0.25">
      <c r="A936" s="59" t="s">
        <v>461</v>
      </c>
      <c r="B936" s="59" t="s">
        <v>87</v>
      </c>
      <c r="C936" s="248"/>
      <c r="D936" s="59">
        <v>101385</v>
      </c>
      <c r="E936" s="60" t="s">
        <v>525</v>
      </c>
      <c r="F936" s="59" t="s">
        <v>45</v>
      </c>
      <c r="G936" s="61">
        <v>2</v>
      </c>
      <c r="H936" s="62">
        <v>5344.94</v>
      </c>
      <c r="I936" s="62">
        <f>IF($D936="","",G936*H936)</f>
        <v>10689.88</v>
      </c>
      <c r="J936" s="62"/>
      <c r="K936" s="62">
        <v>10226.82</v>
      </c>
      <c r="L936" s="62">
        <v>463.06</v>
      </c>
      <c r="M936" s="62">
        <v>0</v>
      </c>
      <c r="N936" s="62">
        <v>0</v>
      </c>
      <c r="O936" s="62">
        <v>0</v>
      </c>
      <c r="P936" s="298" t="s">
        <v>4160</v>
      </c>
      <c r="Q936" s="60" t="s">
        <v>27</v>
      </c>
      <c r="R936" s="60" t="s">
        <v>138</v>
      </c>
      <c r="S936" s="286" t="str">
        <f t="shared" si="92"/>
        <v>SIM</v>
      </c>
      <c r="T936" s="286" t="str">
        <f>IF($C936= "", T935, IF(ISNA(VLOOKUP($C936,'ABC-S'!$A$5:$A$271,1,FALSE)), "", VLOOKUP($C936,'ABC-S'!$A$5:$A$271,1,FALSE)))</f>
        <v>CP9036</v>
      </c>
      <c r="W936" s="286" t="s">
        <v>461</v>
      </c>
      <c r="X936" s="286" t="s">
        <v>21</v>
      </c>
      <c r="Y936" s="286" t="s">
        <v>85</v>
      </c>
      <c r="Z936" s="335" t="s">
        <v>21</v>
      </c>
      <c r="AA936" s="286" t="s">
        <v>21</v>
      </c>
      <c r="AB936" s="378"/>
      <c r="AC936" s="381" t="s">
        <v>21</v>
      </c>
      <c r="AD936" s="378" t="s">
        <v>21</v>
      </c>
      <c r="AE936" s="378" t="s">
        <v>21</v>
      </c>
      <c r="AF936" s="378" t="s">
        <v>21</v>
      </c>
      <c r="AG936" s="378"/>
      <c r="AI936" s="378">
        <v>0</v>
      </c>
      <c r="AJ936" s="378">
        <v>0</v>
      </c>
      <c r="AL936" s="286">
        <v>101385</v>
      </c>
      <c r="AM936" s="286"/>
    </row>
    <row r="937" spans="1:39" s="51" customFormat="1" ht="45" x14ac:dyDescent="0.25">
      <c r="A937" s="59" t="s">
        <v>461</v>
      </c>
      <c r="B937" s="59" t="s">
        <v>86</v>
      </c>
      <c r="C937" s="248"/>
      <c r="D937" s="59" t="s">
        <v>448</v>
      </c>
      <c r="E937" s="60" t="s">
        <v>721</v>
      </c>
      <c r="F937" s="59" t="s">
        <v>200</v>
      </c>
      <c r="G937" s="61">
        <v>0</v>
      </c>
      <c r="H937" s="62">
        <v>57.838594178063317</v>
      </c>
      <c r="I937" s="62">
        <f>IF($D937="","",G937*H937)</f>
        <v>0</v>
      </c>
      <c r="J937" s="62"/>
      <c r="K937" s="62">
        <v>0</v>
      </c>
      <c r="L937" s="62">
        <v>0</v>
      </c>
      <c r="M937" s="62">
        <v>0</v>
      </c>
      <c r="N937" s="62">
        <v>0</v>
      </c>
      <c r="O937" s="62">
        <v>0</v>
      </c>
      <c r="P937" s="298" t="s">
        <v>423</v>
      </c>
      <c r="Q937" s="60" t="s">
        <v>174</v>
      </c>
      <c r="R937" s="60" t="s">
        <v>452</v>
      </c>
      <c r="S937" s="286" t="str">
        <f t="shared" si="92"/>
        <v>SIM</v>
      </c>
      <c r="T937" s="286" t="str">
        <f>IF($C937= "", T936, IF(ISNA(VLOOKUP($C937,'ABC-S'!$A$5:$A$271,1,FALSE)), "", VLOOKUP($C937,'ABC-S'!$A$5:$A$271,1,FALSE)))</f>
        <v>CP9036</v>
      </c>
      <c r="W937" s="286" t="s">
        <v>461</v>
      </c>
      <c r="X937" s="286" t="s">
        <v>21</v>
      </c>
      <c r="Y937" s="286" t="s">
        <v>21</v>
      </c>
      <c r="Z937" s="286" t="s">
        <v>21</v>
      </c>
      <c r="AA937" s="286" t="s">
        <v>21</v>
      </c>
      <c r="AB937" s="378"/>
      <c r="AC937" s="381" t="s">
        <v>21</v>
      </c>
      <c r="AD937" s="378" t="s">
        <v>21</v>
      </c>
      <c r="AE937" s="378" t="s">
        <v>21</v>
      </c>
      <c r="AF937" s="378" t="s">
        <v>21</v>
      </c>
      <c r="AG937" s="378"/>
      <c r="AI937" s="378" t="s">
        <v>21</v>
      </c>
      <c r="AJ937" s="378" t="s">
        <v>21</v>
      </c>
      <c r="AL937" s="286"/>
      <c r="AM937" s="286" t="s">
        <v>448</v>
      </c>
    </row>
    <row r="938" spans="1:39" s="51" customFormat="1" ht="22.5" x14ac:dyDescent="0.25">
      <c r="A938" s="55" t="s">
        <v>463</v>
      </c>
      <c r="B938" s="55" t="s">
        <v>138</v>
      </c>
      <c r="C938" s="55" t="s">
        <v>463</v>
      </c>
      <c r="D938" s="55"/>
      <c r="E938" s="56" t="s">
        <v>468</v>
      </c>
      <c r="F938" s="55" t="s">
        <v>205</v>
      </c>
      <c r="G938" s="57"/>
      <c r="H938" s="58"/>
      <c r="I938" s="58"/>
      <c r="J938" s="58">
        <f>SUM(I938:I941)</f>
        <v>19090.55</v>
      </c>
      <c r="K938" s="58">
        <v>18395.96</v>
      </c>
      <c r="L938" s="58">
        <v>694.59</v>
      </c>
      <c r="M938" s="58">
        <v>0</v>
      </c>
      <c r="N938" s="58">
        <v>0</v>
      </c>
      <c r="O938" s="58">
        <v>0</v>
      </c>
      <c r="P938" s="58"/>
      <c r="Q938" s="56"/>
      <c r="R938" s="56" t="s">
        <v>467</v>
      </c>
      <c r="S938" s="286" t="str">
        <f t="shared" si="92"/>
        <v>SIM</v>
      </c>
      <c r="T938" s="286" t="str">
        <f>IF($C938= "", T937, IF(ISNA(VLOOKUP($C938,'ABC-S'!$A$5:$A$271,1,FALSE)), "", VLOOKUP($C938,'ABC-S'!$A$5:$A$271,1,FALSE)))</f>
        <v>CP9037</v>
      </c>
      <c r="W938" s="286" t="s">
        <v>463</v>
      </c>
      <c r="X938" s="286"/>
      <c r="Y938" s="286"/>
      <c r="Z938" s="286"/>
      <c r="AA938" s="286" t="s">
        <v>21</v>
      </c>
      <c r="AB938" s="378">
        <v>0</v>
      </c>
      <c r="AC938" s="378"/>
      <c r="AD938" s="335"/>
      <c r="AE938" s="335"/>
      <c r="AF938" s="335"/>
      <c r="AG938" s="378">
        <v>0</v>
      </c>
      <c r="AI938" s="378" t="s">
        <v>21</v>
      </c>
      <c r="AJ938" s="378" t="s">
        <v>21</v>
      </c>
      <c r="AL938" s="286"/>
      <c r="AM938" s="286"/>
    </row>
    <row r="939" spans="1:39" s="51" customFormat="1" ht="22.5" x14ac:dyDescent="0.25">
      <c r="A939" s="59" t="s">
        <v>463</v>
      </c>
      <c r="B939" s="59" t="s">
        <v>87</v>
      </c>
      <c r="C939" s="248"/>
      <c r="D939" s="59">
        <v>101456</v>
      </c>
      <c r="E939" s="60" t="s">
        <v>657</v>
      </c>
      <c r="F939" s="59" t="s">
        <v>45</v>
      </c>
      <c r="G939" s="61">
        <v>1</v>
      </c>
      <c r="H939" s="62">
        <v>8400.67</v>
      </c>
      <c r="I939" s="62">
        <f>IF($D939="","",G939*H939)</f>
        <v>8400.67</v>
      </c>
      <c r="J939" s="62"/>
      <c r="K939" s="62">
        <v>8169.14</v>
      </c>
      <c r="L939" s="62">
        <v>231.53</v>
      </c>
      <c r="M939" s="62">
        <v>0</v>
      </c>
      <c r="N939" s="62">
        <v>0</v>
      </c>
      <c r="O939" s="62">
        <v>0</v>
      </c>
      <c r="P939" s="298" t="s">
        <v>4160</v>
      </c>
      <c r="Q939" s="60" t="s">
        <v>27</v>
      </c>
      <c r="R939" s="60" t="s">
        <v>138</v>
      </c>
      <c r="S939" s="286" t="str">
        <f t="shared" si="92"/>
        <v>SIM</v>
      </c>
      <c r="T939" s="286" t="str">
        <f>IF($C939= "", T938, IF(ISNA(VLOOKUP($C939,'ABC-S'!$A$5:$A$271,1,FALSE)), "", VLOOKUP($C939,'ABC-S'!$A$5:$A$271,1,FALSE)))</f>
        <v>CP9037</v>
      </c>
      <c r="W939" s="286" t="s">
        <v>463</v>
      </c>
      <c r="X939" s="286" t="s">
        <v>21</v>
      </c>
      <c r="Y939" s="286" t="s">
        <v>85</v>
      </c>
      <c r="Z939" s="335" t="s">
        <v>21</v>
      </c>
      <c r="AA939" s="286" t="s">
        <v>21</v>
      </c>
      <c r="AB939" s="378"/>
      <c r="AC939" s="381" t="s">
        <v>21</v>
      </c>
      <c r="AD939" s="378" t="s">
        <v>21</v>
      </c>
      <c r="AE939" s="378" t="s">
        <v>21</v>
      </c>
      <c r="AF939" s="378" t="s">
        <v>21</v>
      </c>
      <c r="AG939" s="378"/>
      <c r="AI939" s="378">
        <v>0</v>
      </c>
      <c r="AJ939" s="378">
        <v>0</v>
      </c>
      <c r="AL939" s="286">
        <v>101456</v>
      </c>
      <c r="AM939" s="286"/>
    </row>
    <row r="940" spans="1:39" s="51" customFormat="1" ht="22.5" x14ac:dyDescent="0.25">
      <c r="A940" s="59" t="s">
        <v>463</v>
      </c>
      <c r="B940" s="59" t="s">
        <v>87</v>
      </c>
      <c r="C940" s="248"/>
      <c r="D940" s="59">
        <v>101385</v>
      </c>
      <c r="E940" s="60" t="s">
        <v>525</v>
      </c>
      <c r="F940" s="59" t="s">
        <v>45</v>
      </c>
      <c r="G940" s="61">
        <v>2</v>
      </c>
      <c r="H940" s="62">
        <v>5344.94</v>
      </c>
      <c r="I940" s="62">
        <f>IF($D940="","",G940*H940)</f>
        <v>10689.88</v>
      </c>
      <c r="J940" s="62"/>
      <c r="K940" s="62">
        <v>10226.82</v>
      </c>
      <c r="L940" s="62">
        <v>463.06</v>
      </c>
      <c r="M940" s="62">
        <v>0</v>
      </c>
      <c r="N940" s="62">
        <v>0</v>
      </c>
      <c r="O940" s="62">
        <v>0</v>
      </c>
      <c r="P940" s="298" t="s">
        <v>4160</v>
      </c>
      <c r="Q940" s="60" t="s">
        <v>27</v>
      </c>
      <c r="R940" s="60" t="s">
        <v>138</v>
      </c>
      <c r="S940" s="286" t="str">
        <f t="shared" si="92"/>
        <v>SIM</v>
      </c>
      <c r="T940" s="286" t="str">
        <f>IF($C940= "", T939, IF(ISNA(VLOOKUP($C940,'ABC-S'!$A$5:$A$271,1,FALSE)), "", VLOOKUP($C940,'ABC-S'!$A$5:$A$271,1,FALSE)))</f>
        <v>CP9037</v>
      </c>
      <c r="W940" s="286" t="s">
        <v>463</v>
      </c>
      <c r="X940" s="286" t="s">
        <v>21</v>
      </c>
      <c r="Y940" s="286" t="s">
        <v>85</v>
      </c>
      <c r="Z940" s="335" t="s">
        <v>21</v>
      </c>
      <c r="AA940" s="286" t="s">
        <v>21</v>
      </c>
      <c r="AB940" s="378"/>
      <c r="AC940" s="381" t="s">
        <v>21</v>
      </c>
      <c r="AD940" s="378" t="s">
        <v>21</v>
      </c>
      <c r="AE940" s="378" t="s">
        <v>21</v>
      </c>
      <c r="AF940" s="378" t="s">
        <v>21</v>
      </c>
      <c r="AG940" s="378"/>
      <c r="AI940" s="378">
        <v>0</v>
      </c>
      <c r="AJ940" s="378">
        <v>0</v>
      </c>
      <c r="AL940" s="286">
        <v>101385</v>
      </c>
      <c r="AM940" s="286"/>
    </row>
    <row r="941" spans="1:39" s="51" customFormat="1" ht="45" x14ac:dyDescent="0.25">
      <c r="A941" s="59" t="s">
        <v>463</v>
      </c>
      <c r="B941" s="59" t="s">
        <v>86</v>
      </c>
      <c r="C941" s="248"/>
      <c r="D941" s="59" t="s">
        <v>448</v>
      </c>
      <c r="E941" s="60" t="s">
        <v>721</v>
      </c>
      <c r="F941" s="59" t="s">
        <v>200</v>
      </c>
      <c r="G941" s="61">
        <v>0</v>
      </c>
      <c r="H941" s="62">
        <v>57.838594178063317</v>
      </c>
      <c r="I941" s="62">
        <f>IF($D941="","",G941*H941)</f>
        <v>0</v>
      </c>
      <c r="J941" s="62"/>
      <c r="K941" s="62">
        <v>0</v>
      </c>
      <c r="L941" s="62">
        <v>0</v>
      </c>
      <c r="M941" s="62">
        <v>0</v>
      </c>
      <c r="N941" s="62">
        <v>0</v>
      </c>
      <c r="O941" s="62">
        <v>0</v>
      </c>
      <c r="P941" s="298" t="s">
        <v>423</v>
      </c>
      <c r="Q941" s="60" t="s">
        <v>174</v>
      </c>
      <c r="R941" s="60" t="s">
        <v>452</v>
      </c>
      <c r="S941" s="286" t="str">
        <f t="shared" si="92"/>
        <v>SIM</v>
      </c>
      <c r="T941" s="286" t="str">
        <f>IF($C941= "", T940, IF(ISNA(VLOOKUP($C941,'ABC-S'!$A$5:$A$271,1,FALSE)), "", VLOOKUP($C941,'ABC-S'!$A$5:$A$271,1,FALSE)))</f>
        <v>CP9037</v>
      </c>
      <c r="W941" s="286" t="s">
        <v>463</v>
      </c>
      <c r="X941" s="286" t="s">
        <v>21</v>
      </c>
      <c r="Y941" s="286" t="s">
        <v>21</v>
      </c>
      <c r="Z941" s="286" t="s">
        <v>21</v>
      </c>
      <c r="AA941" s="286" t="s">
        <v>21</v>
      </c>
      <c r="AB941" s="378"/>
      <c r="AC941" s="381" t="s">
        <v>21</v>
      </c>
      <c r="AD941" s="378" t="s">
        <v>21</v>
      </c>
      <c r="AE941" s="378" t="s">
        <v>21</v>
      </c>
      <c r="AF941" s="378" t="s">
        <v>21</v>
      </c>
      <c r="AG941" s="378"/>
      <c r="AI941" s="378" t="s">
        <v>21</v>
      </c>
      <c r="AJ941" s="378" t="s">
        <v>21</v>
      </c>
      <c r="AL941" s="286"/>
      <c r="AM941" s="286" t="s">
        <v>448</v>
      </c>
    </row>
    <row r="942" spans="1:39" s="51" customFormat="1" ht="22.5" x14ac:dyDescent="0.25">
      <c r="A942" s="55" t="s">
        <v>464</v>
      </c>
      <c r="B942" s="55" t="s">
        <v>138</v>
      </c>
      <c r="C942" s="55" t="s">
        <v>464</v>
      </c>
      <c r="D942" s="55"/>
      <c r="E942" s="56" t="s">
        <v>465</v>
      </c>
      <c r="F942" s="55" t="s">
        <v>205</v>
      </c>
      <c r="G942" s="57"/>
      <c r="H942" s="58"/>
      <c r="I942" s="58"/>
      <c r="J942" s="58">
        <f>SUM(I942:I945)</f>
        <v>19090.55</v>
      </c>
      <c r="K942" s="58">
        <v>18395.96</v>
      </c>
      <c r="L942" s="58">
        <v>694.59</v>
      </c>
      <c r="M942" s="58">
        <v>0</v>
      </c>
      <c r="N942" s="58">
        <v>0</v>
      </c>
      <c r="O942" s="58">
        <v>0</v>
      </c>
      <c r="P942" s="58"/>
      <c r="Q942" s="56"/>
      <c r="R942" s="56" t="s">
        <v>469</v>
      </c>
      <c r="S942" s="286" t="str">
        <f t="shared" si="92"/>
        <v>SIM</v>
      </c>
      <c r="T942" s="286" t="str">
        <f>IF($C942= "", T941, IF(ISNA(VLOOKUP($C942,'ABC-S'!$A$5:$A$271,1,FALSE)), "", VLOOKUP($C942,'ABC-S'!$A$5:$A$271,1,FALSE)))</f>
        <v>CP9038</v>
      </c>
      <c r="W942" s="286" t="s">
        <v>464</v>
      </c>
      <c r="X942" s="286"/>
      <c r="Y942" s="286"/>
      <c r="Z942" s="286"/>
      <c r="AA942" s="286" t="s">
        <v>21</v>
      </c>
      <c r="AB942" s="378">
        <v>0</v>
      </c>
      <c r="AC942" s="378"/>
      <c r="AD942" s="335"/>
      <c r="AE942" s="335"/>
      <c r="AF942" s="335"/>
      <c r="AG942" s="378">
        <v>0</v>
      </c>
      <c r="AI942" s="378" t="s">
        <v>21</v>
      </c>
      <c r="AJ942" s="378" t="s">
        <v>21</v>
      </c>
      <c r="AL942" s="286"/>
      <c r="AM942" s="286"/>
    </row>
    <row r="943" spans="1:39" s="51" customFormat="1" ht="22.5" x14ac:dyDescent="0.25">
      <c r="A943" s="59" t="s">
        <v>464</v>
      </c>
      <c r="B943" s="59" t="s">
        <v>87</v>
      </c>
      <c r="C943" s="248"/>
      <c r="D943" s="59">
        <v>101456</v>
      </c>
      <c r="E943" s="60" t="s">
        <v>657</v>
      </c>
      <c r="F943" s="59" t="s">
        <v>45</v>
      </c>
      <c r="G943" s="61">
        <v>1</v>
      </c>
      <c r="H943" s="62">
        <v>8400.67</v>
      </c>
      <c r="I943" s="62">
        <f>IF($D943="","",G943*H943)</f>
        <v>8400.67</v>
      </c>
      <c r="J943" s="62"/>
      <c r="K943" s="62">
        <v>8169.14</v>
      </c>
      <c r="L943" s="62">
        <v>231.53</v>
      </c>
      <c r="M943" s="62">
        <v>0</v>
      </c>
      <c r="N943" s="62">
        <v>0</v>
      </c>
      <c r="O943" s="62">
        <v>0</v>
      </c>
      <c r="P943" s="298" t="s">
        <v>4160</v>
      </c>
      <c r="Q943" s="60" t="s">
        <v>27</v>
      </c>
      <c r="R943" s="60" t="s">
        <v>138</v>
      </c>
      <c r="S943" s="286" t="str">
        <f t="shared" si="92"/>
        <v>SIM</v>
      </c>
      <c r="T943" s="286" t="str">
        <f>IF($C943= "", T942, IF(ISNA(VLOOKUP($C943,'ABC-S'!$A$5:$A$271,1,FALSE)), "", VLOOKUP($C943,'ABC-S'!$A$5:$A$271,1,FALSE)))</f>
        <v>CP9038</v>
      </c>
      <c r="W943" s="286" t="s">
        <v>464</v>
      </c>
      <c r="X943" s="286" t="s">
        <v>21</v>
      </c>
      <c r="Y943" s="286" t="s">
        <v>85</v>
      </c>
      <c r="Z943" s="335" t="s">
        <v>21</v>
      </c>
      <c r="AA943" s="286" t="s">
        <v>21</v>
      </c>
      <c r="AB943" s="378"/>
      <c r="AC943" s="381" t="s">
        <v>21</v>
      </c>
      <c r="AD943" s="378" t="s">
        <v>21</v>
      </c>
      <c r="AE943" s="378" t="s">
        <v>21</v>
      </c>
      <c r="AF943" s="378" t="s">
        <v>21</v>
      </c>
      <c r="AG943" s="378"/>
      <c r="AI943" s="378">
        <v>0</v>
      </c>
      <c r="AJ943" s="378">
        <v>0</v>
      </c>
      <c r="AL943" s="286">
        <v>101456</v>
      </c>
      <c r="AM943" s="286"/>
    </row>
    <row r="944" spans="1:39" s="51" customFormat="1" ht="22.5" x14ac:dyDescent="0.25">
      <c r="A944" s="59" t="s">
        <v>464</v>
      </c>
      <c r="B944" s="59" t="s">
        <v>87</v>
      </c>
      <c r="C944" s="248"/>
      <c r="D944" s="59">
        <v>101385</v>
      </c>
      <c r="E944" s="60" t="s">
        <v>525</v>
      </c>
      <c r="F944" s="59" t="s">
        <v>45</v>
      </c>
      <c r="G944" s="61">
        <v>2</v>
      </c>
      <c r="H944" s="62">
        <v>5344.94</v>
      </c>
      <c r="I944" s="62">
        <f>IF($D944="","",G944*H944)</f>
        <v>10689.88</v>
      </c>
      <c r="J944" s="62"/>
      <c r="K944" s="62">
        <v>10226.82</v>
      </c>
      <c r="L944" s="62">
        <v>463.06</v>
      </c>
      <c r="M944" s="62">
        <v>0</v>
      </c>
      <c r="N944" s="62">
        <v>0</v>
      </c>
      <c r="O944" s="62">
        <v>0</v>
      </c>
      <c r="P944" s="298" t="s">
        <v>4160</v>
      </c>
      <c r="Q944" s="60" t="s">
        <v>27</v>
      </c>
      <c r="R944" s="60" t="s">
        <v>138</v>
      </c>
      <c r="S944" s="286" t="str">
        <f t="shared" si="92"/>
        <v>SIM</v>
      </c>
      <c r="T944" s="286" t="str">
        <f>IF($C944= "", T943, IF(ISNA(VLOOKUP($C944,'ABC-S'!$A$5:$A$271,1,FALSE)), "", VLOOKUP($C944,'ABC-S'!$A$5:$A$271,1,FALSE)))</f>
        <v>CP9038</v>
      </c>
      <c r="W944" s="286" t="s">
        <v>464</v>
      </c>
      <c r="X944" s="286" t="s">
        <v>21</v>
      </c>
      <c r="Y944" s="286" t="s">
        <v>85</v>
      </c>
      <c r="Z944" s="335" t="s">
        <v>21</v>
      </c>
      <c r="AA944" s="286" t="s">
        <v>21</v>
      </c>
      <c r="AB944" s="378"/>
      <c r="AC944" s="381" t="s">
        <v>21</v>
      </c>
      <c r="AD944" s="378" t="s">
        <v>21</v>
      </c>
      <c r="AE944" s="378" t="s">
        <v>21</v>
      </c>
      <c r="AF944" s="378" t="s">
        <v>21</v>
      </c>
      <c r="AG944" s="378"/>
      <c r="AI944" s="378">
        <v>0</v>
      </c>
      <c r="AJ944" s="378">
        <v>0</v>
      </c>
      <c r="AL944" s="286">
        <v>101385</v>
      </c>
      <c r="AM944" s="286"/>
    </row>
    <row r="945" spans="1:39" s="51" customFormat="1" ht="45" x14ac:dyDescent="0.25">
      <c r="A945" s="59" t="s">
        <v>464</v>
      </c>
      <c r="B945" s="59" t="s">
        <v>86</v>
      </c>
      <c r="C945" s="248"/>
      <c r="D945" s="59" t="s">
        <v>448</v>
      </c>
      <c r="E945" s="60" t="s">
        <v>721</v>
      </c>
      <c r="F945" s="59" t="s">
        <v>200</v>
      </c>
      <c r="G945" s="61">
        <v>0</v>
      </c>
      <c r="H945" s="62">
        <v>57.838594178063317</v>
      </c>
      <c r="I945" s="62">
        <f>IF($D945="","",G945*H945)</f>
        <v>0</v>
      </c>
      <c r="J945" s="62"/>
      <c r="K945" s="62">
        <v>0</v>
      </c>
      <c r="L945" s="62">
        <v>0</v>
      </c>
      <c r="M945" s="62">
        <v>0</v>
      </c>
      <c r="N945" s="62">
        <v>0</v>
      </c>
      <c r="O945" s="62">
        <v>0</v>
      </c>
      <c r="P945" s="298" t="s">
        <v>423</v>
      </c>
      <c r="Q945" s="60" t="s">
        <v>174</v>
      </c>
      <c r="R945" s="60" t="s">
        <v>452</v>
      </c>
      <c r="S945" s="286" t="str">
        <f t="shared" si="92"/>
        <v>SIM</v>
      </c>
      <c r="T945" s="286" t="str">
        <f>IF($C945= "", T944, IF(ISNA(VLOOKUP($C945,'ABC-S'!$A$5:$A$271,1,FALSE)), "", VLOOKUP($C945,'ABC-S'!$A$5:$A$271,1,FALSE)))</f>
        <v>CP9038</v>
      </c>
      <c r="W945" s="286" t="s">
        <v>464</v>
      </c>
      <c r="X945" s="286" t="s">
        <v>21</v>
      </c>
      <c r="Y945" s="286" t="s">
        <v>21</v>
      </c>
      <c r="Z945" s="286" t="s">
        <v>21</v>
      </c>
      <c r="AA945" s="286" t="s">
        <v>21</v>
      </c>
      <c r="AB945" s="378"/>
      <c r="AC945" s="381" t="s">
        <v>21</v>
      </c>
      <c r="AD945" s="378" t="s">
        <v>21</v>
      </c>
      <c r="AE945" s="378" t="s">
        <v>21</v>
      </c>
      <c r="AF945" s="378" t="s">
        <v>21</v>
      </c>
      <c r="AG945" s="378"/>
      <c r="AI945" s="378" t="s">
        <v>21</v>
      </c>
      <c r="AJ945" s="378" t="s">
        <v>21</v>
      </c>
      <c r="AL945" s="286"/>
      <c r="AM945" s="286" t="s">
        <v>448</v>
      </c>
    </row>
    <row r="946" spans="1:39" s="51" customFormat="1" ht="22.5" x14ac:dyDescent="0.25">
      <c r="A946" s="55" t="s">
        <v>457</v>
      </c>
      <c r="B946" s="55" t="s">
        <v>204</v>
      </c>
      <c r="C946" s="55" t="s">
        <v>457</v>
      </c>
      <c r="D946" s="55"/>
      <c r="E946" s="56" t="s">
        <v>454</v>
      </c>
      <c r="F946" s="55" t="s">
        <v>205</v>
      </c>
      <c r="G946" s="57"/>
      <c r="H946" s="58"/>
      <c r="I946" s="58"/>
      <c r="J946" s="58">
        <f>SUM(I946:I948)</f>
        <v>4346.5</v>
      </c>
      <c r="K946" s="58">
        <v>0</v>
      </c>
      <c r="L946" s="58">
        <v>585</v>
      </c>
      <c r="M946" s="58">
        <v>3761.5</v>
      </c>
      <c r="N946" s="58">
        <v>0</v>
      </c>
      <c r="O946" s="58">
        <v>0</v>
      </c>
      <c r="P946" s="58"/>
      <c r="Q946" s="56"/>
      <c r="R946" s="56" t="s">
        <v>455</v>
      </c>
      <c r="S946" s="286" t="str">
        <f t="shared" si="92"/>
        <v>SIM</v>
      </c>
      <c r="T946" s="286" t="str">
        <f>IF($C946= "", T945, IF(ISNA(VLOOKUP($C946,'ABC-S'!$A$5:$A$271,1,FALSE)), "", VLOOKUP($C946,'ABC-S'!$A$5:$A$271,1,FALSE)))</f>
        <v>CP9046</v>
      </c>
      <c r="W946" s="286" t="s">
        <v>457</v>
      </c>
      <c r="X946" s="286"/>
      <c r="Y946" s="286"/>
      <c r="Z946" s="286"/>
      <c r="AA946" s="286" t="s">
        <v>21</v>
      </c>
      <c r="AB946" s="378">
        <v>0</v>
      </c>
      <c r="AC946" s="378"/>
      <c r="AD946" s="335"/>
      <c r="AE946" s="335"/>
      <c r="AF946" s="335"/>
      <c r="AG946" s="378">
        <v>0</v>
      </c>
      <c r="AI946" s="378" t="s">
        <v>21</v>
      </c>
      <c r="AJ946" s="378" t="s">
        <v>21</v>
      </c>
      <c r="AL946" s="286"/>
      <c r="AM946" s="286"/>
    </row>
    <row r="947" spans="1:39" s="51" customFormat="1" ht="33.75" x14ac:dyDescent="0.25">
      <c r="A947" s="59" t="s">
        <v>457</v>
      </c>
      <c r="B947" s="59" t="s">
        <v>86</v>
      </c>
      <c r="C947" s="248"/>
      <c r="D947" s="59">
        <v>10775</v>
      </c>
      <c r="E947" s="60" t="s">
        <v>124</v>
      </c>
      <c r="F947" s="59" t="s">
        <v>3671</v>
      </c>
      <c r="G947" s="61">
        <v>1</v>
      </c>
      <c r="H947" s="62">
        <v>585</v>
      </c>
      <c r="I947" s="62">
        <f>IF($D947="","",G947*H947)</f>
        <v>585</v>
      </c>
      <c r="J947" s="62"/>
      <c r="K947" s="62">
        <v>0</v>
      </c>
      <c r="L947" s="62">
        <v>585</v>
      </c>
      <c r="M947" s="62">
        <v>0</v>
      </c>
      <c r="N947" s="62">
        <v>0</v>
      </c>
      <c r="O947" s="62">
        <v>0</v>
      </c>
      <c r="P947" s="298" t="s">
        <v>89</v>
      </c>
      <c r="Q947" s="60" t="s">
        <v>27</v>
      </c>
      <c r="R947" s="60" t="s">
        <v>27</v>
      </c>
      <c r="S947" s="286" t="str">
        <f t="shared" si="92"/>
        <v>SIM</v>
      </c>
      <c r="T947" s="286" t="str">
        <f>IF($C947= "", T946, IF(ISNA(VLOOKUP($C947,'ABC-S'!$A$5:$A$271,1,FALSE)), "", VLOOKUP($C947,'ABC-S'!$A$5:$A$271,1,FALSE)))</f>
        <v>CP9046</v>
      </c>
      <c r="W947" s="286" t="s">
        <v>457</v>
      </c>
      <c r="X947" s="286" t="s">
        <v>21</v>
      </c>
      <c r="Y947" s="286" t="s">
        <v>21</v>
      </c>
      <c r="Z947" s="286" t="s">
        <v>21</v>
      </c>
      <c r="AA947" s="286" t="s">
        <v>21</v>
      </c>
      <c r="AB947" s="378"/>
      <c r="AC947" s="381" t="s">
        <v>21</v>
      </c>
      <c r="AD947" s="378" t="s">
        <v>21</v>
      </c>
      <c r="AE947" s="378" t="s">
        <v>21</v>
      </c>
      <c r="AF947" s="378" t="s">
        <v>21</v>
      </c>
      <c r="AG947" s="378"/>
      <c r="AI947" s="378" t="s">
        <v>21</v>
      </c>
      <c r="AJ947" s="378" t="s">
        <v>21</v>
      </c>
      <c r="AL947" s="286"/>
      <c r="AM947" s="286">
        <v>10775</v>
      </c>
    </row>
    <row r="948" spans="1:39" s="51" customFormat="1" ht="22.5" x14ac:dyDescent="0.25">
      <c r="A948" s="59" t="s">
        <v>457</v>
      </c>
      <c r="B948" s="59" t="s">
        <v>86</v>
      </c>
      <c r="C948" s="248"/>
      <c r="D948" s="59" t="s">
        <v>849</v>
      </c>
      <c r="E948" s="60" t="s">
        <v>450</v>
      </c>
      <c r="F948" s="59" t="s">
        <v>205</v>
      </c>
      <c r="G948" s="61">
        <v>1</v>
      </c>
      <c r="H948" s="62">
        <v>3761.5</v>
      </c>
      <c r="I948" s="62">
        <f>IF($D948="","",G948*H948)</f>
        <v>3761.5</v>
      </c>
      <c r="J948" s="62"/>
      <c r="K948" s="62">
        <v>0</v>
      </c>
      <c r="L948" s="62">
        <v>0</v>
      </c>
      <c r="M948" s="62">
        <v>3761.5</v>
      </c>
      <c r="N948" s="62">
        <v>0</v>
      </c>
      <c r="O948" s="62">
        <v>0</v>
      </c>
      <c r="P948" s="298" t="s">
        <v>94</v>
      </c>
      <c r="Q948" s="60" t="s">
        <v>174</v>
      </c>
      <c r="R948" s="60" t="s">
        <v>456</v>
      </c>
      <c r="S948" s="286" t="str">
        <f t="shared" si="92"/>
        <v>SIM</v>
      </c>
      <c r="T948" s="286" t="str">
        <f>IF($C948= "", T947, IF(ISNA(VLOOKUP($C948,'ABC-S'!$A$5:$A$271,1,FALSE)), "", VLOOKUP($C948,'ABC-S'!$A$5:$A$271,1,FALSE)))</f>
        <v>CP9046</v>
      </c>
      <c r="W948" s="286" t="s">
        <v>457</v>
      </c>
      <c r="X948" s="286" t="s">
        <v>21</v>
      </c>
      <c r="Y948" s="286" t="s">
        <v>21</v>
      </c>
      <c r="Z948" s="286" t="s">
        <v>21</v>
      </c>
      <c r="AA948" s="286" t="s">
        <v>21</v>
      </c>
      <c r="AB948" s="378"/>
      <c r="AC948" s="381" t="s">
        <v>21</v>
      </c>
      <c r="AD948" s="378" t="s">
        <v>21</v>
      </c>
      <c r="AE948" s="378" t="s">
        <v>21</v>
      </c>
      <c r="AF948" s="378" t="s">
        <v>21</v>
      </c>
      <c r="AG948" s="378"/>
      <c r="AI948" s="378" t="s">
        <v>21</v>
      </c>
      <c r="AJ948" s="378" t="s">
        <v>21</v>
      </c>
      <c r="AL948" s="286"/>
      <c r="AM948" s="286" t="s">
        <v>849</v>
      </c>
    </row>
    <row r="949" spans="1:39" s="51" customFormat="1" ht="22.5" x14ac:dyDescent="0.25">
      <c r="A949" s="55" t="s">
        <v>459</v>
      </c>
      <c r="B949" s="55" t="s">
        <v>204</v>
      </c>
      <c r="C949" s="55" t="s">
        <v>459</v>
      </c>
      <c r="D949" s="55"/>
      <c r="E949" s="56" t="s">
        <v>458</v>
      </c>
      <c r="F949" s="55" t="s">
        <v>205</v>
      </c>
      <c r="G949" s="57"/>
      <c r="H949" s="58"/>
      <c r="I949" s="58"/>
      <c r="J949" s="58">
        <f>SUM(I949:I951)</f>
        <v>5635.39</v>
      </c>
      <c r="K949" s="58">
        <v>0</v>
      </c>
      <c r="L949" s="58">
        <v>585</v>
      </c>
      <c r="M949" s="58">
        <v>5050.3900000000003</v>
      </c>
      <c r="N949" s="58">
        <v>0</v>
      </c>
      <c r="O949" s="58">
        <v>0</v>
      </c>
      <c r="P949" s="58"/>
      <c r="Q949" s="56"/>
      <c r="R949" s="56" t="s">
        <v>455</v>
      </c>
      <c r="S949" s="286" t="str">
        <f t="shared" si="92"/>
        <v>SIM</v>
      </c>
      <c r="T949" s="286" t="str">
        <f>IF($C949= "", T948, IF(ISNA(VLOOKUP($C949,'ABC-S'!$A$5:$A$271,1,FALSE)), "", VLOOKUP($C949,'ABC-S'!$A$5:$A$271,1,FALSE)))</f>
        <v>CP9047</v>
      </c>
      <c r="W949" s="286" t="s">
        <v>459</v>
      </c>
      <c r="X949" s="286"/>
      <c r="Y949" s="286"/>
      <c r="Z949" s="286"/>
      <c r="AA949" s="286" t="s">
        <v>21</v>
      </c>
      <c r="AB949" s="378">
        <v>0</v>
      </c>
      <c r="AC949" s="378"/>
      <c r="AD949" s="335"/>
      <c r="AE949" s="335"/>
      <c r="AF949" s="335"/>
      <c r="AG949" s="378">
        <v>0</v>
      </c>
      <c r="AI949" s="378" t="s">
        <v>21</v>
      </c>
      <c r="AJ949" s="378" t="s">
        <v>21</v>
      </c>
      <c r="AL949" s="286"/>
      <c r="AM949" s="286"/>
    </row>
    <row r="950" spans="1:39" s="51" customFormat="1" ht="33.75" x14ac:dyDescent="0.25">
      <c r="A950" s="59" t="s">
        <v>459</v>
      </c>
      <c r="B950" s="59" t="s">
        <v>86</v>
      </c>
      <c r="C950" s="248"/>
      <c r="D950" s="59">
        <v>10775</v>
      </c>
      <c r="E950" s="60" t="s">
        <v>124</v>
      </c>
      <c r="F950" s="59" t="s">
        <v>3671</v>
      </c>
      <c r="G950" s="61">
        <v>1</v>
      </c>
      <c r="H950" s="62">
        <v>585</v>
      </c>
      <c r="I950" s="62">
        <f>IF($D950="","",G950*H950)</f>
        <v>585</v>
      </c>
      <c r="J950" s="62"/>
      <c r="K950" s="62">
        <v>0</v>
      </c>
      <c r="L950" s="62">
        <v>585</v>
      </c>
      <c r="M950" s="62">
        <v>0</v>
      </c>
      <c r="N950" s="62">
        <v>0</v>
      </c>
      <c r="O950" s="62">
        <v>0</v>
      </c>
      <c r="P950" s="298" t="s">
        <v>89</v>
      </c>
      <c r="Q950" s="60" t="s">
        <v>27</v>
      </c>
      <c r="R950" s="60" t="s">
        <v>27</v>
      </c>
      <c r="S950" s="286" t="str">
        <f t="shared" ref="S950:S1004" si="95">IF(T950 &lt;&gt; "", "SIM", "")</f>
        <v>SIM</v>
      </c>
      <c r="T950" s="286" t="str">
        <f>IF($C950= "", T949, IF(ISNA(VLOOKUP($C950,'ABC-S'!$A$5:$A$271,1,FALSE)), "", VLOOKUP($C950,'ABC-S'!$A$5:$A$271,1,FALSE)))</f>
        <v>CP9047</v>
      </c>
      <c r="W950" s="286" t="s">
        <v>459</v>
      </c>
      <c r="X950" s="286" t="s">
        <v>21</v>
      </c>
      <c r="Y950" s="286" t="s">
        <v>21</v>
      </c>
      <c r="Z950" s="286" t="s">
        <v>21</v>
      </c>
      <c r="AA950" s="286" t="s">
        <v>21</v>
      </c>
      <c r="AB950" s="378"/>
      <c r="AC950" s="381" t="s">
        <v>21</v>
      </c>
      <c r="AD950" s="378" t="s">
        <v>21</v>
      </c>
      <c r="AE950" s="378" t="s">
        <v>21</v>
      </c>
      <c r="AF950" s="378" t="s">
        <v>21</v>
      </c>
      <c r="AG950" s="378"/>
      <c r="AI950" s="378" t="s">
        <v>21</v>
      </c>
      <c r="AJ950" s="378" t="s">
        <v>21</v>
      </c>
      <c r="AL950" s="286"/>
      <c r="AM950" s="286">
        <v>10775</v>
      </c>
    </row>
    <row r="951" spans="1:39" s="51" customFormat="1" ht="22.5" x14ac:dyDescent="0.25">
      <c r="A951" s="59" t="s">
        <v>459</v>
      </c>
      <c r="B951" s="59" t="s">
        <v>86</v>
      </c>
      <c r="C951" s="248"/>
      <c r="D951" s="59" t="s">
        <v>850</v>
      </c>
      <c r="E951" s="60" t="s">
        <v>848</v>
      </c>
      <c r="F951" s="59" t="s">
        <v>205</v>
      </c>
      <c r="G951" s="61">
        <v>1</v>
      </c>
      <c r="H951" s="62">
        <v>5050.3900000000003</v>
      </c>
      <c r="I951" s="62">
        <f>IF($D951="","",G951*H951)</f>
        <v>5050.3900000000003</v>
      </c>
      <c r="J951" s="62"/>
      <c r="K951" s="62">
        <v>0</v>
      </c>
      <c r="L951" s="62">
        <v>0</v>
      </c>
      <c r="M951" s="62">
        <v>5050.3900000000003</v>
      </c>
      <c r="N951" s="62">
        <v>0</v>
      </c>
      <c r="O951" s="62">
        <v>0</v>
      </c>
      <c r="P951" s="298" t="s">
        <v>94</v>
      </c>
      <c r="Q951" s="60" t="s">
        <v>174</v>
      </c>
      <c r="R951" s="60" t="s">
        <v>456</v>
      </c>
      <c r="S951" s="286" t="str">
        <f t="shared" si="95"/>
        <v>SIM</v>
      </c>
      <c r="T951" s="286" t="str">
        <f>IF($C951= "", T950, IF(ISNA(VLOOKUP($C951,'ABC-S'!$A$5:$A$271,1,FALSE)), "", VLOOKUP($C951,'ABC-S'!$A$5:$A$271,1,FALSE)))</f>
        <v>CP9047</v>
      </c>
      <c r="W951" s="286" t="s">
        <v>459</v>
      </c>
      <c r="X951" s="286" t="s">
        <v>21</v>
      </c>
      <c r="Y951" s="286" t="s">
        <v>21</v>
      </c>
      <c r="Z951" s="286" t="s">
        <v>21</v>
      </c>
      <c r="AA951" s="286" t="s">
        <v>21</v>
      </c>
      <c r="AB951" s="378"/>
      <c r="AC951" s="381" t="s">
        <v>21</v>
      </c>
      <c r="AD951" s="378" t="s">
        <v>21</v>
      </c>
      <c r="AE951" s="378" t="s">
        <v>21</v>
      </c>
      <c r="AF951" s="378" t="s">
        <v>21</v>
      </c>
      <c r="AG951" s="378"/>
      <c r="AI951" s="378" t="s">
        <v>21</v>
      </c>
      <c r="AJ951" s="378" t="s">
        <v>21</v>
      </c>
      <c r="AL951" s="286"/>
      <c r="AM951" s="286" t="s">
        <v>850</v>
      </c>
    </row>
    <row r="952" spans="1:39" s="51" customFormat="1" ht="22.5" x14ac:dyDescent="0.25">
      <c r="A952" s="55" t="s">
        <v>470</v>
      </c>
      <c r="B952" s="55" t="s">
        <v>204</v>
      </c>
      <c r="C952" s="55" t="s">
        <v>470</v>
      </c>
      <c r="D952" s="55"/>
      <c r="E952" s="56" t="s">
        <v>460</v>
      </c>
      <c r="F952" s="55" t="s">
        <v>205</v>
      </c>
      <c r="G952" s="57"/>
      <c r="H952" s="58"/>
      <c r="I952" s="58"/>
      <c r="J952" s="58">
        <f>SUM(I952:I954)</f>
        <v>4001.3</v>
      </c>
      <c r="K952" s="58">
        <v>0</v>
      </c>
      <c r="L952" s="58">
        <v>585</v>
      </c>
      <c r="M952" s="58">
        <v>3416.3</v>
      </c>
      <c r="N952" s="58">
        <v>0</v>
      </c>
      <c r="O952" s="58">
        <v>0</v>
      </c>
      <c r="P952" s="58"/>
      <c r="Q952" s="56"/>
      <c r="R952" s="56" t="s">
        <v>455</v>
      </c>
      <c r="S952" s="286" t="str">
        <f t="shared" si="95"/>
        <v>SIM</v>
      </c>
      <c r="T952" s="286" t="str">
        <f>IF($C952= "", T951, IF(ISNA(VLOOKUP($C952,'ABC-S'!$A$5:$A$271,1,FALSE)), "", VLOOKUP($C952,'ABC-S'!$A$5:$A$271,1,FALSE)))</f>
        <v>CP9048</v>
      </c>
      <c r="W952" s="286" t="s">
        <v>470</v>
      </c>
      <c r="X952" s="286"/>
      <c r="Y952" s="286"/>
      <c r="Z952" s="286"/>
      <c r="AA952" s="286" t="s">
        <v>21</v>
      </c>
      <c r="AB952" s="378">
        <v>0</v>
      </c>
      <c r="AC952" s="378"/>
      <c r="AD952" s="335"/>
      <c r="AE952" s="335"/>
      <c r="AF952" s="335"/>
      <c r="AG952" s="378">
        <v>0</v>
      </c>
      <c r="AI952" s="378" t="s">
        <v>21</v>
      </c>
      <c r="AJ952" s="378" t="s">
        <v>21</v>
      </c>
      <c r="AL952" s="286"/>
      <c r="AM952" s="286"/>
    </row>
    <row r="953" spans="1:39" s="51" customFormat="1" ht="33.75" x14ac:dyDescent="0.25">
      <c r="A953" s="59" t="s">
        <v>470</v>
      </c>
      <c r="B953" s="59" t="s">
        <v>86</v>
      </c>
      <c r="C953" s="248"/>
      <c r="D953" s="59">
        <v>10775</v>
      </c>
      <c r="E953" s="60" t="s">
        <v>124</v>
      </c>
      <c r="F953" s="59" t="s">
        <v>3671</v>
      </c>
      <c r="G953" s="61">
        <v>1</v>
      </c>
      <c r="H953" s="62">
        <v>585</v>
      </c>
      <c r="I953" s="62">
        <f>IF($D953="","",G953*H953)</f>
        <v>585</v>
      </c>
      <c r="J953" s="62"/>
      <c r="K953" s="62">
        <v>0</v>
      </c>
      <c r="L953" s="62">
        <v>585</v>
      </c>
      <c r="M953" s="62">
        <v>0</v>
      </c>
      <c r="N953" s="62">
        <v>0</v>
      </c>
      <c r="O953" s="62">
        <v>0</v>
      </c>
      <c r="P953" s="298" t="s">
        <v>89</v>
      </c>
      <c r="Q953" s="60" t="s">
        <v>27</v>
      </c>
      <c r="R953" s="60" t="s">
        <v>27</v>
      </c>
      <c r="S953" s="286" t="str">
        <f t="shared" si="95"/>
        <v>SIM</v>
      </c>
      <c r="T953" s="286" t="str">
        <f>IF($C953= "", T952, IF(ISNA(VLOOKUP($C953,'ABC-S'!$A$5:$A$271,1,FALSE)), "", VLOOKUP($C953,'ABC-S'!$A$5:$A$271,1,FALSE)))</f>
        <v>CP9048</v>
      </c>
      <c r="W953" s="286" t="s">
        <v>470</v>
      </c>
      <c r="X953" s="286" t="s">
        <v>21</v>
      </c>
      <c r="Y953" s="286" t="s">
        <v>21</v>
      </c>
      <c r="Z953" s="286" t="s">
        <v>21</v>
      </c>
      <c r="AA953" s="286" t="s">
        <v>21</v>
      </c>
      <c r="AB953" s="378"/>
      <c r="AC953" s="381" t="s">
        <v>21</v>
      </c>
      <c r="AD953" s="378" t="s">
        <v>21</v>
      </c>
      <c r="AE953" s="378" t="s">
        <v>21</v>
      </c>
      <c r="AF953" s="378" t="s">
        <v>21</v>
      </c>
      <c r="AG953" s="378"/>
      <c r="AI953" s="378" t="s">
        <v>21</v>
      </c>
      <c r="AJ953" s="378" t="s">
        <v>21</v>
      </c>
      <c r="AL953" s="286"/>
      <c r="AM953" s="286">
        <v>10775</v>
      </c>
    </row>
    <row r="954" spans="1:39" s="51" customFormat="1" ht="22.5" x14ac:dyDescent="0.25">
      <c r="A954" s="59" t="s">
        <v>470</v>
      </c>
      <c r="B954" s="59" t="s">
        <v>86</v>
      </c>
      <c r="C954" s="248"/>
      <c r="D954" s="59" t="s">
        <v>851</v>
      </c>
      <c r="E954" s="60" t="s">
        <v>451</v>
      </c>
      <c r="F954" s="59" t="s">
        <v>205</v>
      </c>
      <c r="G954" s="61">
        <v>1</v>
      </c>
      <c r="H954" s="62">
        <v>3416.3</v>
      </c>
      <c r="I954" s="62">
        <f>IF($D954="","",G954*H954)</f>
        <v>3416.3</v>
      </c>
      <c r="J954" s="62"/>
      <c r="K954" s="62">
        <v>0</v>
      </c>
      <c r="L954" s="62">
        <v>0</v>
      </c>
      <c r="M954" s="62">
        <v>3416.3</v>
      </c>
      <c r="N954" s="62">
        <v>0</v>
      </c>
      <c r="O954" s="62">
        <v>0</v>
      </c>
      <c r="P954" s="298" t="s">
        <v>94</v>
      </c>
      <c r="Q954" s="60" t="s">
        <v>174</v>
      </c>
      <c r="R954" s="60" t="s">
        <v>456</v>
      </c>
      <c r="S954" s="286" t="str">
        <f t="shared" si="95"/>
        <v>SIM</v>
      </c>
      <c r="T954" s="286" t="str">
        <f>IF($C954= "", T953, IF(ISNA(VLOOKUP($C954,'ABC-S'!$A$5:$A$271,1,FALSE)), "", VLOOKUP($C954,'ABC-S'!$A$5:$A$271,1,FALSE)))</f>
        <v>CP9048</v>
      </c>
      <c r="W954" s="286" t="s">
        <v>470</v>
      </c>
      <c r="X954" s="286" t="s">
        <v>21</v>
      </c>
      <c r="Y954" s="286" t="s">
        <v>21</v>
      </c>
      <c r="Z954" s="286" t="s">
        <v>21</v>
      </c>
      <c r="AA954" s="286" t="s">
        <v>21</v>
      </c>
      <c r="AB954" s="378"/>
      <c r="AC954" s="381" t="s">
        <v>21</v>
      </c>
      <c r="AD954" s="378" t="s">
        <v>21</v>
      </c>
      <c r="AE954" s="378" t="s">
        <v>21</v>
      </c>
      <c r="AF954" s="378" t="s">
        <v>21</v>
      </c>
      <c r="AG954" s="378"/>
      <c r="AI954" s="378" t="s">
        <v>21</v>
      </c>
      <c r="AJ954" s="378" t="s">
        <v>21</v>
      </c>
      <c r="AL954" s="286"/>
      <c r="AM954" s="286" t="s">
        <v>851</v>
      </c>
    </row>
    <row r="955" spans="1:39" s="51" customFormat="1" x14ac:dyDescent="0.25">
      <c r="A955" s="55" t="s">
        <v>1481</v>
      </c>
      <c r="B955" s="55" t="s">
        <v>138</v>
      </c>
      <c r="C955" s="55" t="s">
        <v>1481</v>
      </c>
      <c r="D955" s="55"/>
      <c r="E955" s="56" t="s">
        <v>2591</v>
      </c>
      <c r="F955" s="55" t="s">
        <v>205</v>
      </c>
      <c r="G955" s="57"/>
      <c r="H955" s="58"/>
      <c r="I955" s="58"/>
      <c r="J955" s="58">
        <f>SUM(I955:I956)</f>
        <v>3211</v>
      </c>
      <c r="K955" s="58">
        <v>0</v>
      </c>
      <c r="L955" s="58">
        <v>3211</v>
      </c>
      <c r="M955" s="58">
        <v>0</v>
      </c>
      <c r="N955" s="58">
        <v>0</v>
      </c>
      <c r="O955" s="58">
        <v>0</v>
      </c>
      <c r="P955" s="58"/>
      <c r="Q955" s="56"/>
      <c r="R955" s="56" t="s">
        <v>137</v>
      </c>
      <c r="S955" s="286" t="str">
        <f t="shared" si="95"/>
        <v>SIM</v>
      </c>
      <c r="T955" s="286" t="str">
        <f>IF($C955= "", T954, IF(ISNA(VLOOKUP($C955,'ABC-S'!$A$5:$A$271,1,FALSE)), "", VLOOKUP($C955,'ABC-S'!$A$5:$A$271,1,FALSE)))</f>
        <v>CP9051</v>
      </c>
      <c r="W955" s="286" t="s">
        <v>1481</v>
      </c>
      <c r="X955" s="286"/>
      <c r="Y955" s="286"/>
      <c r="Z955" s="286"/>
      <c r="AA955" s="286" t="s">
        <v>21</v>
      </c>
      <c r="AB955" s="378">
        <v>0</v>
      </c>
      <c r="AC955" s="378"/>
      <c r="AD955" s="335"/>
      <c r="AE955" s="335"/>
      <c r="AF955" s="335"/>
      <c r="AG955" s="378">
        <v>0</v>
      </c>
      <c r="AI955" s="378" t="s">
        <v>21</v>
      </c>
      <c r="AJ955" s="378" t="s">
        <v>21</v>
      </c>
      <c r="AL955" s="286"/>
      <c r="AM955" s="286"/>
    </row>
    <row r="956" spans="1:39" s="51" customFormat="1" x14ac:dyDescent="0.25">
      <c r="A956" s="384" t="s">
        <v>1481</v>
      </c>
      <c r="B956" s="59" t="s">
        <v>86</v>
      </c>
      <c r="C956" s="248"/>
      <c r="D956" s="59" t="s">
        <v>1479</v>
      </c>
      <c r="E956" s="60" t="s">
        <v>2592</v>
      </c>
      <c r="F956" s="59" t="s">
        <v>205</v>
      </c>
      <c r="G956" s="61">
        <v>1</v>
      </c>
      <c r="H956" s="62">
        <v>3211</v>
      </c>
      <c r="I956" s="62">
        <f>IF($D956="","",G956*H956)</f>
        <v>3211</v>
      </c>
      <c r="J956" s="62"/>
      <c r="K956" s="62">
        <v>0</v>
      </c>
      <c r="L956" s="62">
        <v>3211</v>
      </c>
      <c r="M956" s="62">
        <v>0</v>
      </c>
      <c r="N956" s="62">
        <v>0</v>
      </c>
      <c r="O956" s="62">
        <v>0</v>
      </c>
      <c r="P956" s="298" t="s">
        <v>89</v>
      </c>
      <c r="Q956" s="60" t="s">
        <v>27</v>
      </c>
      <c r="R956" s="60" t="s">
        <v>242</v>
      </c>
      <c r="S956" s="286" t="str">
        <f t="shared" si="95"/>
        <v>SIM</v>
      </c>
      <c r="T956" s="286" t="str">
        <f>IF($C956= "", T955, IF(ISNA(VLOOKUP($C956,'ABC-S'!$A$5:$A$271,1,FALSE)), "", VLOOKUP($C956,'ABC-S'!$A$5:$A$271,1,FALSE)))</f>
        <v>CP9051</v>
      </c>
      <c r="W956" s="286" t="s">
        <v>1481</v>
      </c>
      <c r="X956" s="286" t="s">
        <v>21</v>
      </c>
      <c r="Y956" s="286" t="s">
        <v>21</v>
      </c>
      <c r="Z956" s="286" t="s">
        <v>21</v>
      </c>
      <c r="AA956" s="286" t="s">
        <v>21</v>
      </c>
      <c r="AB956" s="378"/>
      <c r="AC956" s="381" t="s">
        <v>21</v>
      </c>
      <c r="AD956" s="378" t="s">
        <v>21</v>
      </c>
      <c r="AE956" s="378" t="s">
        <v>21</v>
      </c>
      <c r="AF956" s="378" t="s">
        <v>21</v>
      </c>
      <c r="AG956" s="378"/>
      <c r="AI956" s="378" t="s">
        <v>21</v>
      </c>
      <c r="AJ956" s="378" t="s">
        <v>21</v>
      </c>
      <c r="AL956" s="286"/>
      <c r="AM956" s="286" t="s">
        <v>1479</v>
      </c>
    </row>
    <row r="957" spans="1:39" s="51" customFormat="1" x14ac:dyDescent="0.25">
      <c r="A957" s="55" t="s">
        <v>1488</v>
      </c>
      <c r="B957" s="55" t="s">
        <v>138</v>
      </c>
      <c r="C957" s="55" t="s">
        <v>1488</v>
      </c>
      <c r="D957" s="55"/>
      <c r="E957" s="56" t="s">
        <v>2594</v>
      </c>
      <c r="F957" s="55" t="s">
        <v>205</v>
      </c>
      <c r="G957" s="57"/>
      <c r="H957" s="58"/>
      <c r="I957" s="58"/>
      <c r="J957" s="58">
        <f>SUM(I957:I958)</f>
        <v>5179.46</v>
      </c>
      <c r="K957" s="58">
        <v>0</v>
      </c>
      <c r="L957" s="58">
        <v>5179.46</v>
      </c>
      <c r="M957" s="58">
        <v>0</v>
      </c>
      <c r="N957" s="58">
        <v>0</v>
      </c>
      <c r="O957" s="58">
        <v>0</v>
      </c>
      <c r="P957" s="58"/>
      <c r="Q957" s="56"/>
      <c r="R957" s="56" t="s">
        <v>137</v>
      </c>
      <c r="S957" s="286" t="str">
        <f t="shared" si="95"/>
        <v>SIM</v>
      </c>
      <c r="T957" s="286" t="str">
        <f>IF($C957= "", T956, IF(ISNA(VLOOKUP($C957,'ABC-S'!$A$5:$A$271,1,FALSE)), "", VLOOKUP($C957,'ABC-S'!$A$5:$A$271,1,FALSE)))</f>
        <v>CP9061</v>
      </c>
      <c r="W957" s="286" t="s">
        <v>1488</v>
      </c>
      <c r="X957" s="286"/>
      <c r="Y957" s="286"/>
      <c r="Z957" s="286"/>
      <c r="AA957" s="286" t="s">
        <v>21</v>
      </c>
      <c r="AB957" s="378">
        <v>0</v>
      </c>
      <c r="AC957" s="378"/>
      <c r="AD957" s="335"/>
      <c r="AE957" s="335"/>
      <c r="AF957" s="335"/>
      <c r="AG957" s="378">
        <v>0</v>
      </c>
      <c r="AI957" s="378" t="s">
        <v>21</v>
      </c>
      <c r="AJ957" s="378" t="s">
        <v>21</v>
      </c>
      <c r="AL957" s="286"/>
      <c r="AM957" s="286"/>
    </row>
    <row r="958" spans="1:39" s="51" customFormat="1" x14ac:dyDescent="0.25">
      <c r="A958" s="384" t="s">
        <v>1488</v>
      </c>
      <c r="B958" s="59" t="s">
        <v>86</v>
      </c>
      <c r="C958" s="248"/>
      <c r="D958" s="59" t="s">
        <v>1485</v>
      </c>
      <c r="E958" s="60" t="s">
        <v>2593</v>
      </c>
      <c r="F958" s="59" t="s">
        <v>205</v>
      </c>
      <c r="G958" s="61">
        <v>1</v>
      </c>
      <c r="H958" s="62">
        <v>5179.46</v>
      </c>
      <c r="I958" s="62">
        <f>IF($D958="","",G958*H958)</f>
        <v>5179.46</v>
      </c>
      <c r="J958" s="62"/>
      <c r="K958" s="62">
        <v>0</v>
      </c>
      <c r="L958" s="62">
        <v>5179.46</v>
      </c>
      <c r="M958" s="62">
        <v>0</v>
      </c>
      <c r="N958" s="62">
        <v>0</v>
      </c>
      <c r="O958" s="62">
        <v>0</v>
      </c>
      <c r="P958" s="298" t="s">
        <v>89</v>
      </c>
      <c r="Q958" s="60" t="s">
        <v>171</v>
      </c>
      <c r="R958" s="60" t="s">
        <v>242</v>
      </c>
      <c r="S958" s="286" t="str">
        <f t="shared" si="95"/>
        <v>SIM</v>
      </c>
      <c r="T958" s="286" t="str">
        <f>IF($C958= "", T957, IF(ISNA(VLOOKUP($C958,'ABC-S'!$A$5:$A$271,1,FALSE)), "", VLOOKUP($C958,'ABC-S'!$A$5:$A$271,1,FALSE)))</f>
        <v>CP9061</v>
      </c>
      <c r="W958" s="286" t="s">
        <v>1488</v>
      </c>
      <c r="X958" s="286" t="s">
        <v>21</v>
      </c>
      <c r="Y958" s="286" t="s">
        <v>21</v>
      </c>
      <c r="Z958" s="286" t="s">
        <v>21</v>
      </c>
      <c r="AA958" s="286" t="s">
        <v>21</v>
      </c>
      <c r="AB958" s="378"/>
      <c r="AC958" s="381" t="s">
        <v>21</v>
      </c>
      <c r="AD958" s="378" t="s">
        <v>21</v>
      </c>
      <c r="AE958" s="378" t="s">
        <v>21</v>
      </c>
      <c r="AF958" s="378" t="s">
        <v>21</v>
      </c>
      <c r="AG958" s="378"/>
      <c r="AI958" s="378" t="s">
        <v>21</v>
      </c>
      <c r="AJ958" s="378" t="s">
        <v>21</v>
      </c>
      <c r="AL958" s="286"/>
      <c r="AM958" s="286" t="s">
        <v>1485</v>
      </c>
    </row>
    <row r="959" spans="1:39" s="51" customFormat="1" ht="22.5" x14ac:dyDescent="0.25">
      <c r="A959" s="55" t="s">
        <v>3425</v>
      </c>
      <c r="B959" s="55" t="s">
        <v>138</v>
      </c>
      <c r="C959" s="55" t="s">
        <v>3425</v>
      </c>
      <c r="D959" s="55"/>
      <c r="E959" s="56" t="s">
        <v>3419</v>
      </c>
      <c r="F959" s="55" t="s">
        <v>3428</v>
      </c>
      <c r="G959" s="57"/>
      <c r="H959" s="58"/>
      <c r="I959" s="58"/>
      <c r="J959" s="58">
        <f>SUM(I959:I960)</f>
        <v>560</v>
      </c>
      <c r="K959" s="58">
        <v>0</v>
      </c>
      <c r="L959" s="58">
        <v>0</v>
      </c>
      <c r="M959" s="58">
        <v>0</v>
      </c>
      <c r="N959" s="58">
        <v>560</v>
      </c>
      <c r="O959" s="58">
        <v>0</v>
      </c>
      <c r="P959" s="58"/>
      <c r="Q959" s="56"/>
      <c r="R959" s="56" t="s">
        <v>137</v>
      </c>
      <c r="S959" s="286" t="str">
        <f t="shared" si="95"/>
        <v>SIM</v>
      </c>
      <c r="T959" s="286" t="str">
        <f>IF($C959= "", T958, IF(ISNA(VLOOKUP($C959,'ABC-S'!$A$5:$A$271,1,FALSE)), "", VLOOKUP($C959,'ABC-S'!$A$5:$A$271,1,FALSE)))</f>
        <v>CP9071</v>
      </c>
      <c r="W959" s="286" t="s">
        <v>3425</v>
      </c>
      <c r="X959" s="286"/>
      <c r="Y959" s="286"/>
      <c r="Z959" s="286"/>
      <c r="AA959" s="286" t="s">
        <v>21</v>
      </c>
      <c r="AB959" s="378">
        <v>0</v>
      </c>
      <c r="AC959" s="378"/>
      <c r="AD959" s="335"/>
      <c r="AE959" s="335"/>
      <c r="AF959" s="335"/>
      <c r="AG959" s="378">
        <v>0</v>
      </c>
      <c r="AI959" s="378" t="s">
        <v>21</v>
      </c>
      <c r="AJ959" s="378" t="s">
        <v>21</v>
      </c>
      <c r="AL959" s="286"/>
      <c r="AM959" s="286"/>
    </row>
    <row r="960" spans="1:39" s="51" customFormat="1" ht="22.5" x14ac:dyDescent="0.25">
      <c r="A960" s="384" t="s">
        <v>3425</v>
      </c>
      <c r="B960" s="59" t="s">
        <v>86</v>
      </c>
      <c r="C960" s="248"/>
      <c r="D960" s="59" t="s">
        <v>3418</v>
      </c>
      <c r="E960" s="60" t="s">
        <v>3419</v>
      </c>
      <c r="F960" s="59" t="s">
        <v>3420</v>
      </c>
      <c r="G960" s="61">
        <v>1</v>
      </c>
      <c r="H960" s="62">
        <v>560</v>
      </c>
      <c r="I960" s="62">
        <f>IF($D960="","",G960*H960)</f>
        <v>560</v>
      </c>
      <c r="J960" s="62"/>
      <c r="K960" s="62">
        <v>0</v>
      </c>
      <c r="L960" s="62">
        <v>0</v>
      </c>
      <c r="M960" s="62">
        <v>0</v>
      </c>
      <c r="N960" s="62">
        <v>560</v>
      </c>
      <c r="O960" s="62">
        <v>0</v>
      </c>
      <c r="P960" s="298" t="s">
        <v>88</v>
      </c>
      <c r="Q960" s="60" t="s">
        <v>304</v>
      </c>
      <c r="R960" s="60" t="s">
        <v>138</v>
      </c>
      <c r="S960" s="286" t="str">
        <f t="shared" si="95"/>
        <v>SIM</v>
      </c>
      <c r="T960" s="286" t="str">
        <f>IF($C960= "", T959, IF(ISNA(VLOOKUP($C960,'ABC-S'!$A$5:$A$271,1,FALSE)), "", VLOOKUP($C960,'ABC-S'!$A$5:$A$271,1,FALSE)))</f>
        <v>CP9071</v>
      </c>
      <c r="W960" s="286" t="s">
        <v>3425</v>
      </c>
      <c r="X960" s="286" t="s">
        <v>21</v>
      </c>
      <c r="Y960" s="286" t="s">
        <v>21</v>
      </c>
      <c r="Z960" s="286" t="s">
        <v>21</v>
      </c>
      <c r="AA960" s="286" t="s">
        <v>21</v>
      </c>
      <c r="AB960" s="378"/>
      <c r="AC960" s="381" t="s">
        <v>21</v>
      </c>
      <c r="AD960" s="378" t="s">
        <v>21</v>
      </c>
      <c r="AE960" s="378" t="s">
        <v>21</v>
      </c>
      <c r="AF960" s="378" t="s">
        <v>21</v>
      </c>
      <c r="AG960" s="378"/>
      <c r="AI960" s="378" t="s">
        <v>21</v>
      </c>
      <c r="AJ960" s="378" t="s">
        <v>21</v>
      </c>
      <c r="AL960" s="286"/>
      <c r="AM960" s="286" t="s">
        <v>1485</v>
      </c>
    </row>
    <row r="961" spans="1:39" s="51" customFormat="1" ht="22.5" x14ac:dyDescent="0.25">
      <c r="A961" s="55" t="s">
        <v>3635</v>
      </c>
      <c r="B961" s="55" t="s">
        <v>138</v>
      </c>
      <c r="C961" s="55" t="s">
        <v>3635</v>
      </c>
      <c r="D961" s="55"/>
      <c r="E961" s="56" t="s">
        <v>3639</v>
      </c>
      <c r="F961" s="55" t="s">
        <v>55</v>
      </c>
      <c r="G961" s="57"/>
      <c r="H961" s="58"/>
      <c r="I961" s="58"/>
      <c r="J961" s="58">
        <f>SUM(I961:I962)</f>
        <v>21.44</v>
      </c>
      <c r="K961" s="58">
        <v>0</v>
      </c>
      <c r="L961" s="58">
        <v>0</v>
      </c>
      <c r="M961" s="58">
        <v>0</v>
      </c>
      <c r="N961" s="58">
        <v>21.44</v>
      </c>
      <c r="O961" s="58">
        <v>0</v>
      </c>
      <c r="P961" s="58"/>
      <c r="Q961" s="56"/>
      <c r="R961" s="56" t="s">
        <v>137</v>
      </c>
      <c r="S961" s="286" t="str">
        <f t="shared" si="95"/>
        <v>SIM</v>
      </c>
      <c r="T961" s="286" t="str">
        <f>IF($C961= "", T960, IF(ISNA(VLOOKUP($C961,'ABC-S'!$A$5:$A$271,1,FALSE)), "", VLOOKUP($C961,'ABC-S'!$A$5:$A$271,1,FALSE)))</f>
        <v>CP9091</v>
      </c>
      <c r="W961" s="286" t="s">
        <v>3635</v>
      </c>
      <c r="X961" s="286"/>
      <c r="Y961" s="286"/>
      <c r="Z961" s="286"/>
      <c r="AA961" s="286" t="s">
        <v>21</v>
      </c>
      <c r="AB961" s="378">
        <v>0</v>
      </c>
      <c r="AC961" s="378"/>
      <c r="AD961" s="335"/>
      <c r="AE961" s="335"/>
      <c r="AF961" s="335"/>
      <c r="AG961" s="378">
        <v>0</v>
      </c>
      <c r="AI961" s="378" t="s">
        <v>21</v>
      </c>
      <c r="AJ961" s="378" t="s">
        <v>21</v>
      </c>
      <c r="AL961" s="286"/>
      <c r="AM961" s="286"/>
    </row>
    <row r="962" spans="1:39" s="51" customFormat="1" ht="33.75" x14ac:dyDescent="0.25">
      <c r="A962" s="59" t="s">
        <v>3635</v>
      </c>
      <c r="B962" s="59" t="s">
        <v>86</v>
      </c>
      <c r="C962" s="59"/>
      <c r="D962" s="59" t="s">
        <v>3634</v>
      </c>
      <c r="E962" s="60" t="s">
        <v>3641</v>
      </c>
      <c r="F962" s="59" t="s">
        <v>55</v>
      </c>
      <c r="G962" s="61">
        <v>1</v>
      </c>
      <c r="H962" s="62">
        <v>21.44</v>
      </c>
      <c r="I962" s="62">
        <f>IF($D962="","",G962*H962)</f>
        <v>21.44</v>
      </c>
      <c r="J962" s="62"/>
      <c r="K962" s="62">
        <v>0</v>
      </c>
      <c r="L962" s="62">
        <v>0</v>
      </c>
      <c r="M962" s="62">
        <v>0</v>
      </c>
      <c r="N962" s="62">
        <v>21.44</v>
      </c>
      <c r="O962" s="62">
        <v>0</v>
      </c>
      <c r="P962" s="298" t="s">
        <v>88</v>
      </c>
      <c r="Q962" s="60" t="s">
        <v>27</v>
      </c>
      <c r="R962" s="60" t="s">
        <v>133</v>
      </c>
      <c r="S962" s="286" t="str">
        <f t="shared" si="95"/>
        <v>SIM</v>
      </c>
      <c r="T962" s="286" t="str">
        <f>IF($C962= "", T961, IF(ISNA(VLOOKUP($C962,'ABC-S'!$A$5:$A$271,1,FALSE)), "", VLOOKUP($C962,'ABC-S'!$A$5:$A$271,1,FALSE)))</f>
        <v>CP9091</v>
      </c>
      <c r="W962" s="286" t="s">
        <v>3635</v>
      </c>
      <c r="X962" s="286" t="s">
        <v>21</v>
      </c>
      <c r="Y962" s="286" t="s">
        <v>21</v>
      </c>
      <c r="Z962" s="286" t="s">
        <v>21</v>
      </c>
      <c r="AA962" s="286" t="s">
        <v>21</v>
      </c>
      <c r="AB962" s="378"/>
      <c r="AC962" s="381" t="s">
        <v>21</v>
      </c>
      <c r="AD962" s="378" t="s">
        <v>21</v>
      </c>
      <c r="AE962" s="378" t="s">
        <v>21</v>
      </c>
      <c r="AF962" s="378" t="s">
        <v>21</v>
      </c>
      <c r="AG962" s="378"/>
      <c r="AI962" s="378" t="s">
        <v>21</v>
      </c>
      <c r="AJ962" s="378" t="s">
        <v>21</v>
      </c>
      <c r="AL962" s="286"/>
      <c r="AM962" s="286" t="s">
        <v>162</v>
      </c>
    </row>
    <row r="963" spans="1:39" s="51" customFormat="1" x14ac:dyDescent="0.25">
      <c r="A963" s="55" t="s">
        <v>3637</v>
      </c>
      <c r="B963" s="55" t="s">
        <v>138</v>
      </c>
      <c r="C963" s="55" t="s">
        <v>3637</v>
      </c>
      <c r="D963" s="55"/>
      <c r="E963" s="56" t="s">
        <v>3640</v>
      </c>
      <c r="F963" s="55" t="s">
        <v>55</v>
      </c>
      <c r="G963" s="57"/>
      <c r="H963" s="58"/>
      <c r="I963" s="58"/>
      <c r="J963" s="58">
        <f>SUM(I963:I964)</f>
        <v>19.07</v>
      </c>
      <c r="K963" s="58">
        <v>0</v>
      </c>
      <c r="L963" s="58">
        <v>0</v>
      </c>
      <c r="M963" s="58">
        <v>0</v>
      </c>
      <c r="N963" s="58">
        <v>19.07</v>
      </c>
      <c r="O963" s="58">
        <v>0</v>
      </c>
      <c r="P963" s="58"/>
      <c r="Q963" s="56"/>
      <c r="R963" s="56" t="s">
        <v>137</v>
      </c>
      <c r="S963" s="286" t="str">
        <f t="shared" si="95"/>
        <v>SIM</v>
      </c>
      <c r="T963" s="286" t="str">
        <f>IF($C963= "", T962, IF(ISNA(VLOOKUP($C963,'ABC-S'!$A$5:$A$271,1,FALSE)), "", VLOOKUP($C963,'ABC-S'!$A$5:$A$271,1,FALSE)))</f>
        <v>CP9092</v>
      </c>
      <c r="W963" s="286" t="s">
        <v>3637</v>
      </c>
      <c r="X963" s="286"/>
      <c r="Y963" s="286"/>
      <c r="Z963" s="286"/>
      <c r="AA963" s="286" t="s">
        <v>21</v>
      </c>
      <c r="AB963" s="378">
        <v>0</v>
      </c>
      <c r="AC963" s="378"/>
      <c r="AD963" s="335"/>
      <c r="AE963" s="335"/>
      <c r="AF963" s="335"/>
      <c r="AG963" s="378">
        <v>0</v>
      </c>
      <c r="AI963" s="378" t="s">
        <v>21</v>
      </c>
      <c r="AJ963" s="378" t="s">
        <v>21</v>
      </c>
      <c r="AL963" s="286"/>
      <c r="AM963" s="286"/>
    </row>
    <row r="964" spans="1:39" s="51" customFormat="1" ht="22.5" x14ac:dyDescent="0.25">
      <c r="A964" s="59" t="s">
        <v>3637</v>
      </c>
      <c r="B964" s="59" t="s">
        <v>86</v>
      </c>
      <c r="C964" s="59"/>
      <c r="D964" s="59" t="s">
        <v>3636</v>
      </c>
      <c r="E964" s="60" t="s">
        <v>3642</v>
      </c>
      <c r="F964" s="59" t="s">
        <v>55</v>
      </c>
      <c r="G964" s="61">
        <v>1</v>
      </c>
      <c r="H964" s="62">
        <v>19.07</v>
      </c>
      <c r="I964" s="62">
        <f>IF($D964="","",G964*H964)</f>
        <v>19.07</v>
      </c>
      <c r="J964" s="62"/>
      <c r="K964" s="62">
        <v>0</v>
      </c>
      <c r="L964" s="62">
        <v>0</v>
      </c>
      <c r="M964" s="62">
        <v>0</v>
      </c>
      <c r="N964" s="62">
        <v>19.07</v>
      </c>
      <c r="O964" s="62">
        <v>0</v>
      </c>
      <c r="P964" s="298" t="s">
        <v>88</v>
      </c>
      <c r="Q964" s="60" t="s">
        <v>27</v>
      </c>
      <c r="R964" s="60" t="s">
        <v>133</v>
      </c>
      <c r="S964" s="286" t="str">
        <f t="shared" si="95"/>
        <v>SIM</v>
      </c>
      <c r="T964" s="286" t="str">
        <f>IF($C964= "", T963, IF(ISNA(VLOOKUP($C964,'ABC-S'!$A$5:$A$271,1,FALSE)), "", VLOOKUP($C964,'ABC-S'!$A$5:$A$271,1,FALSE)))</f>
        <v>CP9092</v>
      </c>
      <c r="W964" s="286" t="s">
        <v>3637</v>
      </c>
      <c r="X964" s="286" t="s">
        <v>21</v>
      </c>
      <c r="Y964" s="286" t="s">
        <v>21</v>
      </c>
      <c r="Z964" s="286" t="s">
        <v>21</v>
      </c>
      <c r="AA964" s="286" t="s">
        <v>21</v>
      </c>
      <c r="AB964" s="378"/>
      <c r="AC964" s="381" t="s">
        <v>21</v>
      </c>
      <c r="AD964" s="378" t="s">
        <v>21</v>
      </c>
      <c r="AE964" s="378" t="s">
        <v>21</v>
      </c>
      <c r="AF964" s="378" t="s">
        <v>21</v>
      </c>
      <c r="AG964" s="378"/>
      <c r="AI964" s="378" t="s">
        <v>21</v>
      </c>
      <c r="AJ964" s="378" t="s">
        <v>21</v>
      </c>
      <c r="AL964" s="286"/>
      <c r="AM964" s="286" t="s">
        <v>162</v>
      </c>
    </row>
    <row r="965" spans="1:39" s="51" customFormat="1" ht="22.5" x14ac:dyDescent="0.25">
      <c r="A965" s="55" t="s">
        <v>3437</v>
      </c>
      <c r="B965" s="55" t="s">
        <v>37</v>
      </c>
      <c r="C965" s="55" t="s">
        <v>3437</v>
      </c>
      <c r="D965" s="55"/>
      <c r="E965" s="56" t="s">
        <v>3446</v>
      </c>
      <c r="F965" s="55" t="s">
        <v>41</v>
      </c>
      <c r="G965" s="57"/>
      <c r="H965" s="58"/>
      <c r="I965" s="58"/>
      <c r="J965" s="58">
        <f>SUM(I965:I968)</f>
        <v>34649.930000000008</v>
      </c>
      <c r="K965" s="58">
        <v>33961.11</v>
      </c>
      <c r="L965" s="58">
        <v>688.81999999999994</v>
      </c>
      <c r="M965" s="58">
        <v>0</v>
      </c>
      <c r="N965" s="58">
        <v>0</v>
      </c>
      <c r="O965" s="58">
        <v>5.4569682106375694E-12</v>
      </c>
      <c r="P965" s="58"/>
      <c r="Q965" s="56"/>
      <c r="R965" s="56" t="s">
        <v>3438</v>
      </c>
      <c r="S965" s="286" t="str">
        <f t="shared" si="95"/>
        <v>SIM</v>
      </c>
      <c r="T965" s="286" t="str">
        <f>IF($C965= "", T964, IF(ISNA(VLOOKUP($C965,'ABC-S'!$A$5:$A$271,1,FALSE)), "", VLOOKUP($C965,'ABC-S'!$A$5:$A$271,1,FALSE)))</f>
        <v>CP9101</v>
      </c>
      <c r="W965" s="286" t="s">
        <v>3437</v>
      </c>
      <c r="X965" s="286"/>
      <c r="Y965" s="286"/>
      <c r="Z965" s="286"/>
      <c r="AA965" s="286" t="s">
        <v>21</v>
      </c>
      <c r="AB965" s="378">
        <v>586</v>
      </c>
      <c r="AC965" s="378"/>
      <c r="AD965" s="335"/>
      <c r="AE965" s="335"/>
      <c r="AF965" s="335"/>
      <c r="AG965" s="378">
        <v>586</v>
      </c>
      <c r="AI965" s="378" t="s">
        <v>21</v>
      </c>
      <c r="AJ965" s="378" t="s">
        <v>21</v>
      </c>
      <c r="AL965" s="286"/>
      <c r="AM965" s="286"/>
    </row>
    <row r="966" spans="1:39" s="51" customFormat="1" ht="22.5" x14ac:dyDescent="0.25">
      <c r="A966" s="59" t="s">
        <v>3437</v>
      </c>
      <c r="B966" s="59" t="s">
        <v>87</v>
      </c>
      <c r="C966" s="248"/>
      <c r="D966" s="59">
        <v>100306</v>
      </c>
      <c r="E966" s="60" t="s">
        <v>559</v>
      </c>
      <c r="F966" s="59" t="s">
        <v>46</v>
      </c>
      <c r="G966" s="61">
        <f t="shared" ref="G966:G967" si="96">320 - G970</f>
        <v>213</v>
      </c>
      <c r="H966" s="62">
        <v>105.95</v>
      </c>
      <c r="I966" s="62">
        <f>IF($D966="","",G966*H966)</f>
        <v>22567.350000000002</v>
      </c>
      <c r="J966" s="62"/>
      <c r="K966" s="62">
        <v>22318.14</v>
      </c>
      <c r="L966" s="62">
        <v>249.20999999999998</v>
      </c>
      <c r="M966" s="62">
        <v>0</v>
      </c>
      <c r="N966" s="62">
        <v>0</v>
      </c>
      <c r="O966" s="62">
        <v>3.637978807091713E-12</v>
      </c>
      <c r="P966" s="298" t="s">
        <v>4160</v>
      </c>
      <c r="Q966" s="60" t="s">
        <v>27</v>
      </c>
      <c r="R966" s="60"/>
      <c r="S966" s="286" t="str">
        <f t="shared" si="95"/>
        <v>SIM</v>
      </c>
      <c r="T966" s="286" t="str">
        <f>IF($C966= "", T965, IF(ISNA(VLOOKUP($C966,'ABC-S'!$A$5:$A$271,1,FALSE)), "", VLOOKUP($C966,'ABC-S'!$A$5:$A$271,1,FALSE)))</f>
        <v>CP9101</v>
      </c>
      <c r="W966" s="286" t="s">
        <v>3437</v>
      </c>
      <c r="X966" s="286">
        <v>100306</v>
      </c>
      <c r="Y966" s="286" t="s">
        <v>424</v>
      </c>
      <c r="Z966" s="286">
        <v>1</v>
      </c>
      <c r="AA966" s="286">
        <v>213</v>
      </c>
      <c r="AB966" s="378"/>
      <c r="AC966" s="381" t="s">
        <v>21</v>
      </c>
      <c r="AD966" s="378" t="s">
        <v>21</v>
      </c>
      <c r="AE966" s="378" t="s">
        <v>21</v>
      </c>
      <c r="AF966" s="378" t="s">
        <v>21</v>
      </c>
      <c r="AG966" s="378"/>
      <c r="AI966" s="378">
        <v>0</v>
      </c>
      <c r="AJ966" s="378">
        <v>0</v>
      </c>
      <c r="AL966" s="286"/>
      <c r="AM966" s="286">
        <v>1106</v>
      </c>
    </row>
    <row r="967" spans="1:39" s="51" customFormat="1" ht="22.5" x14ac:dyDescent="0.25">
      <c r="A967" s="59" t="s">
        <v>3437</v>
      </c>
      <c r="B967" s="59" t="s">
        <v>87</v>
      </c>
      <c r="C967" s="248"/>
      <c r="D967" s="59">
        <v>88255</v>
      </c>
      <c r="E967" s="60" t="s">
        <v>50</v>
      </c>
      <c r="F967" s="59" t="s">
        <v>46</v>
      </c>
      <c r="G967" s="61">
        <f t="shared" si="96"/>
        <v>213</v>
      </c>
      <c r="H967" s="62">
        <v>37.06</v>
      </c>
      <c r="I967" s="62">
        <f>IF($D967="","",G967*H967)</f>
        <v>7893.7800000000007</v>
      </c>
      <c r="J967" s="62"/>
      <c r="K967" s="62">
        <v>7644.57</v>
      </c>
      <c r="L967" s="62">
        <v>249.20999999999998</v>
      </c>
      <c r="M967" s="62">
        <v>0</v>
      </c>
      <c r="N967" s="62">
        <v>0</v>
      </c>
      <c r="O967" s="62">
        <v>9.0949470177292824E-13</v>
      </c>
      <c r="P967" s="298" t="s">
        <v>4160</v>
      </c>
      <c r="Q967" s="60" t="s">
        <v>27</v>
      </c>
      <c r="R967" s="60"/>
      <c r="S967" s="286" t="str">
        <f t="shared" si="95"/>
        <v>SIM</v>
      </c>
      <c r="T967" s="286" t="str">
        <f>IF($C967= "", T966, IF(ISNA(VLOOKUP($C967,'ABC-S'!$A$5:$A$271,1,FALSE)), "", VLOOKUP($C967,'ABC-S'!$A$5:$A$271,1,FALSE)))</f>
        <v>CP9101</v>
      </c>
      <c r="W967" s="286" t="s">
        <v>3437</v>
      </c>
      <c r="X967" s="286">
        <v>88255</v>
      </c>
      <c r="Y967" s="286" t="s">
        <v>424</v>
      </c>
      <c r="Z967" s="335">
        <v>1</v>
      </c>
      <c r="AA967" s="286">
        <v>213</v>
      </c>
      <c r="AB967" s="378"/>
      <c r="AC967" s="381" t="s">
        <v>21</v>
      </c>
      <c r="AD967" s="378" t="s">
        <v>21</v>
      </c>
      <c r="AE967" s="378" t="s">
        <v>21</v>
      </c>
      <c r="AF967" s="378" t="s">
        <v>21</v>
      </c>
      <c r="AG967" s="378"/>
      <c r="AI967" s="378">
        <v>0</v>
      </c>
      <c r="AJ967" s="378">
        <v>0</v>
      </c>
      <c r="AL967" s="286">
        <v>88310</v>
      </c>
      <c r="AM967" s="286"/>
    </row>
    <row r="968" spans="1:39" s="51" customFormat="1" ht="22.5" x14ac:dyDescent="0.25">
      <c r="A968" s="59" t="s">
        <v>3437</v>
      </c>
      <c r="B968" s="59" t="s">
        <v>87</v>
      </c>
      <c r="C968" s="248"/>
      <c r="D968" s="59">
        <v>90775</v>
      </c>
      <c r="E968" s="60" t="s">
        <v>554</v>
      </c>
      <c r="F968" s="59" t="s">
        <v>46</v>
      </c>
      <c r="G968" s="61">
        <f>240 - G972</f>
        <v>160</v>
      </c>
      <c r="H968" s="62">
        <v>26.18</v>
      </c>
      <c r="I968" s="62">
        <f>IF($D968="","",G968*H968)</f>
        <v>4188.8</v>
      </c>
      <c r="J968" s="62"/>
      <c r="K968" s="62">
        <v>3998.3999999999996</v>
      </c>
      <c r="L968" s="62">
        <v>190.39999999999998</v>
      </c>
      <c r="M968" s="62">
        <v>0</v>
      </c>
      <c r="N968" s="62">
        <v>0</v>
      </c>
      <c r="O968" s="62">
        <v>9.0949470177292824E-13</v>
      </c>
      <c r="P968" s="298" t="s">
        <v>4160</v>
      </c>
      <c r="Q968" s="60" t="s">
        <v>27</v>
      </c>
      <c r="R968" s="60"/>
      <c r="S968" s="286" t="str">
        <f t="shared" si="95"/>
        <v>SIM</v>
      </c>
      <c r="T968" s="286" t="str">
        <f>IF($C968= "", T967, IF(ISNA(VLOOKUP($C968,'ABC-S'!$A$5:$A$271,1,FALSE)), "", VLOOKUP($C968,'ABC-S'!$A$5:$A$271,1,FALSE)))</f>
        <v>CP9101</v>
      </c>
      <c r="W968" s="286" t="s">
        <v>3437</v>
      </c>
      <c r="X968" s="286">
        <v>90775</v>
      </c>
      <c r="Y968" s="286" t="s">
        <v>424</v>
      </c>
      <c r="Z968" s="335">
        <v>1</v>
      </c>
      <c r="AA968" s="286">
        <v>160</v>
      </c>
      <c r="AB968" s="378"/>
      <c r="AC968" s="381" t="s">
        <v>21</v>
      </c>
      <c r="AD968" s="378" t="s">
        <v>21</v>
      </c>
      <c r="AE968" s="378" t="s">
        <v>21</v>
      </c>
      <c r="AF968" s="378" t="s">
        <v>21</v>
      </c>
      <c r="AG968" s="378"/>
      <c r="AI968" s="378">
        <v>0</v>
      </c>
      <c r="AJ968" s="378">
        <v>0</v>
      </c>
      <c r="AL968" s="286">
        <v>88316</v>
      </c>
      <c r="AM968" s="286"/>
    </row>
    <row r="969" spans="1:39" s="51" customFormat="1" ht="22.5" x14ac:dyDescent="0.25">
      <c r="A969" s="55" t="s">
        <v>3445</v>
      </c>
      <c r="B969" s="55" t="s">
        <v>37</v>
      </c>
      <c r="C969" s="55" t="s">
        <v>3445</v>
      </c>
      <c r="D969" s="55"/>
      <c r="E969" s="56" t="s">
        <v>3447</v>
      </c>
      <c r="F969" s="55" t="s">
        <v>41</v>
      </c>
      <c r="G969" s="57"/>
      <c r="H969" s="58"/>
      <c r="I969" s="58"/>
      <c r="J969" s="58">
        <f>SUM(I969:I972)</f>
        <v>17396.47</v>
      </c>
      <c r="K969" s="58">
        <v>17050.89</v>
      </c>
      <c r="L969" s="58">
        <v>345.58</v>
      </c>
      <c r="M969" s="58">
        <v>0</v>
      </c>
      <c r="N969" s="58">
        <v>0</v>
      </c>
      <c r="O969" s="58">
        <v>-1.3642420526593924E-12</v>
      </c>
      <c r="P969" s="58"/>
      <c r="Q969" s="56"/>
      <c r="R969" s="56" t="s">
        <v>3438</v>
      </c>
      <c r="S969" s="286" t="str">
        <f t="shared" si="95"/>
        <v>SIM</v>
      </c>
      <c r="T969" s="286" t="str">
        <f>IF($C969= "", T968, IF(ISNA(VLOOKUP($C969,'ABC-S'!$A$5:$A$271,1,FALSE)), "", VLOOKUP($C969,'ABC-S'!$A$5:$A$271,1,FALSE)))</f>
        <v>CP9102</v>
      </c>
      <c r="W969" s="286" t="s">
        <v>3445</v>
      </c>
      <c r="X969" s="286"/>
      <c r="Y969" s="286"/>
      <c r="Z969" s="286"/>
      <c r="AA969" s="286" t="s">
        <v>21</v>
      </c>
      <c r="AB969" s="378">
        <v>294</v>
      </c>
      <c r="AC969" s="378"/>
      <c r="AD969" s="335"/>
      <c r="AE969" s="335"/>
      <c r="AF969" s="335"/>
      <c r="AG969" s="378">
        <v>294</v>
      </c>
      <c r="AI969" s="378" t="s">
        <v>21</v>
      </c>
      <c r="AJ969" s="378" t="s">
        <v>21</v>
      </c>
      <c r="AL969" s="286"/>
      <c r="AM969" s="286"/>
    </row>
    <row r="970" spans="1:39" s="51" customFormat="1" ht="22.5" x14ac:dyDescent="0.25">
      <c r="A970" s="59" t="s">
        <v>3445</v>
      </c>
      <c r="B970" s="59" t="s">
        <v>87</v>
      </c>
      <c r="C970" s="248"/>
      <c r="D970" s="59">
        <v>100306</v>
      </c>
      <c r="E970" s="60" t="s">
        <v>559</v>
      </c>
      <c r="F970" s="59" t="s">
        <v>46</v>
      </c>
      <c r="G970" s="61">
        <f t="shared" ref="G970:G971" si="97">ROUND(320 * (1/3), 0)</f>
        <v>107</v>
      </c>
      <c r="H970" s="62">
        <v>105.95</v>
      </c>
      <c r="I970" s="62">
        <f>IF($D970="","",G970*H970)</f>
        <v>11336.65</v>
      </c>
      <c r="J970" s="62"/>
      <c r="K970" s="62">
        <v>11211.460000000001</v>
      </c>
      <c r="L970" s="62">
        <v>125.19</v>
      </c>
      <c r="M970" s="62">
        <v>0</v>
      </c>
      <c r="N970" s="62">
        <v>0</v>
      </c>
      <c r="O970" s="62">
        <v>-1.8189894035458565E-12</v>
      </c>
      <c r="P970" s="298" t="s">
        <v>4160</v>
      </c>
      <c r="Q970" s="60" t="s">
        <v>27</v>
      </c>
      <c r="R970" s="60"/>
      <c r="S970" s="286" t="str">
        <f t="shared" si="95"/>
        <v>SIM</v>
      </c>
      <c r="T970" s="286" t="str">
        <f>IF($C970= "", T969, IF(ISNA(VLOOKUP($C970,'ABC-S'!$A$5:$A$271,1,FALSE)), "", VLOOKUP($C970,'ABC-S'!$A$5:$A$271,1,FALSE)))</f>
        <v>CP9102</v>
      </c>
      <c r="W970" s="286" t="s">
        <v>3445</v>
      </c>
      <c r="X970" s="286">
        <v>100306</v>
      </c>
      <c r="Y970" s="286" t="s">
        <v>424</v>
      </c>
      <c r="Z970" s="286">
        <v>1</v>
      </c>
      <c r="AA970" s="286">
        <v>107</v>
      </c>
      <c r="AB970" s="378"/>
      <c r="AC970" s="381" t="s">
        <v>21</v>
      </c>
      <c r="AD970" s="378" t="s">
        <v>21</v>
      </c>
      <c r="AE970" s="378" t="s">
        <v>21</v>
      </c>
      <c r="AF970" s="378" t="s">
        <v>21</v>
      </c>
      <c r="AG970" s="378"/>
      <c r="AI970" s="378">
        <v>0</v>
      </c>
      <c r="AJ970" s="378">
        <v>0</v>
      </c>
      <c r="AL970" s="286"/>
      <c r="AM970" s="286">
        <v>1106</v>
      </c>
    </row>
    <row r="971" spans="1:39" s="51" customFormat="1" ht="22.5" x14ac:dyDescent="0.25">
      <c r="A971" s="59" t="s">
        <v>3445</v>
      </c>
      <c r="B971" s="59" t="s">
        <v>87</v>
      </c>
      <c r="C971" s="248"/>
      <c r="D971" s="59">
        <v>88255</v>
      </c>
      <c r="E971" s="60" t="s">
        <v>50</v>
      </c>
      <c r="F971" s="59" t="s">
        <v>46</v>
      </c>
      <c r="G971" s="61">
        <f t="shared" si="97"/>
        <v>107</v>
      </c>
      <c r="H971" s="62">
        <v>37.06</v>
      </c>
      <c r="I971" s="62">
        <f>IF($D971="","",G971*H971)</f>
        <v>3965.42</v>
      </c>
      <c r="J971" s="62"/>
      <c r="K971" s="62">
        <v>3840.23</v>
      </c>
      <c r="L971" s="62">
        <v>125.19</v>
      </c>
      <c r="M971" s="62">
        <v>0</v>
      </c>
      <c r="N971" s="62">
        <v>0</v>
      </c>
      <c r="O971" s="62">
        <v>0</v>
      </c>
      <c r="P971" s="298" t="s">
        <v>4160</v>
      </c>
      <c r="Q971" s="60" t="s">
        <v>27</v>
      </c>
      <c r="R971" s="60"/>
      <c r="S971" s="286" t="str">
        <f t="shared" si="95"/>
        <v>SIM</v>
      </c>
      <c r="T971" s="286" t="str">
        <f>IF($C971= "", T970, IF(ISNA(VLOOKUP($C971,'ABC-S'!$A$5:$A$271,1,FALSE)), "", VLOOKUP($C971,'ABC-S'!$A$5:$A$271,1,FALSE)))</f>
        <v>CP9102</v>
      </c>
      <c r="W971" s="286" t="s">
        <v>3445</v>
      </c>
      <c r="X971" s="286">
        <v>88255</v>
      </c>
      <c r="Y971" s="286" t="s">
        <v>424</v>
      </c>
      <c r="Z971" s="335">
        <v>1</v>
      </c>
      <c r="AA971" s="286">
        <v>107</v>
      </c>
      <c r="AB971" s="378"/>
      <c r="AC971" s="381" t="s">
        <v>21</v>
      </c>
      <c r="AD971" s="378" t="s">
        <v>21</v>
      </c>
      <c r="AE971" s="378" t="s">
        <v>21</v>
      </c>
      <c r="AF971" s="378" t="s">
        <v>21</v>
      </c>
      <c r="AG971" s="378"/>
      <c r="AI971" s="378">
        <v>0</v>
      </c>
      <c r="AJ971" s="378">
        <v>0</v>
      </c>
      <c r="AL971" s="286">
        <v>88310</v>
      </c>
      <c r="AM971" s="286"/>
    </row>
    <row r="972" spans="1:39" s="51" customFormat="1" ht="22.5" x14ac:dyDescent="0.25">
      <c r="A972" s="59" t="s">
        <v>3445</v>
      </c>
      <c r="B972" s="59" t="s">
        <v>87</v>
      </c>
      <c r="C972" s="248"/>
      <c r="D972" s="59">
        <v>90775</v>
      </c>
      <c r="E972" s="60" t="s">
        <v>554</v>
      </c>
      <c r="F972" s="59" t="s">
        <v>46</v>
      </c>
      <c r="G972" s="61">
        <f>ROUND(240 * (1/3),0)</f>
        <v>80</v>
      </c>
      <c r="H972" s="62">
        <v>26.18</v>
      </c>
      <c r="I972" s="62">
        <f>IF($D972="","",G972*H972)</f>
        <v>2094.4</v>
      </c>
      <c r="J972" s="62"/>
      <c r="K972" s="62">
        <v>1999.1999999999998</v>
      </c>
      <c r="L972" s="62">
        <v>95.199999999999989</v>
      </c>
      <c r="M972" s="62">
        <v>0</v>
      </c>
      <c r="N972" s="62">
        <v>0</v>
      </c>
      <c r="O972" s="62">
        <v>4.5474735088646412E-13</v>
      </c>
      <c r="P972" s="298" t="s">
        <v>4160</v>
      </c>
      <c r="Q972" s="60" t="s">
        <v>27</v>
      </c>
      <c r="R972" s="60"/>
      <c r="S972" s="286" t="str">
        <f t="shared" si="95"/>
        <v>SIM</v>
      </c>
      <c r="T972" s="286" t="str">
        <f>IF($C972= "", T971, IF(ISNA(VLOOKUP($C972,'ABC-S'!$A$5:$A$271,1,FALSE)), "", VLOOKUP($C972,'ABC-S'!$A$5:$A$271,1,FALSE)))</f>
        <v>CP9102</v>
      </c>
      <c r="W972" s="286" t="s">
        <v>3445</v>
      </c>
      <c r="X972" s="286">
        <v>90775</v>
      </c>
      <c r="Y972" s="286" t="s">
        <v>424</v>
      </c>
      <c r="Z972" s="335">
        <v>1</v>
      </c>
      <c r="AA972" s="286">
        <v>80</v>
      </c>
      <c r="AB972" s="378"/>
      <c r="AC972" s="381" t="s">
        <v>21</v>
      </c>
      <c r="AD972" s="378" t="s">
        <v>21</v>
      </c>
      <c r="AE972" s="378" t="s">
        <v>21</v>
      </c>
      <c r="AF972" s="378" t="s">
        <v>21</v>
      </c>
      <c r="AG972" s="378"/>
      <c r="AI972" s="378">
        <v>0</v>
      </c>
      <c r="AJ972" s="378">
        <v>0</v>
      </c>
      <c r="AL972" s="286">
        <v>88316</v>
      </c>
      <c r="AM972" s="286"/>
    </row>
    <row r="973" spans="1:39" s="51" customFormat="1" ht="22.5" x14ac:dyDescent="0.25">
      <c r="A973" s="55" t="s">
        <v>1412</v>
      </c>
      <c r="B973" s="55" t="s">
        <v>204</v>
      </c>
      <c r="C973" s="55" t="s">
        <v>1412</v>
      </c>
      <c r="D973" s="55"/>
      <c r="E973" s="56" t="s">
        <v>1530</v>
      </c>
      <c r="F973" s="55" t="s">
        <v>41</v>
      </c>
      <c r="G973" s="57"/>
      <c r="H973" s="58"/>
      <c r="I973" s="58"/>
      <c r="J973" s="58">
        <f>SUM(I973:I974)</f>
        <v>1204.72</v>
      </c>
      <c r="K973" s="58">
        <v>0</v>
      </c>
      <c r="L973" s="58">
        <v>1204.72</v>
      </c>
      <c r="M973" s="58">
        <v>0</v>
      </c>
      <c r="N973" s="58">
        <v>0</v>
      </c>
      <c r="O973" s="58">
        <v>0</v>
      </c>
      <c r="P973" s="58"/>
      <c r="Q973" s="56"/>
      <c r="R973" s="56" t="s">
        <v>455</v>
      </c>
      <c r="S973" s="286" t="str">
        <f t="shared" si="95"/>
        <v>SIM</v>
      </c>
      <c r="T973" s="286" t="str">
        <f>IF($C973= "", T972, IF(ISNA(VLOOKUP($C973,'ABC-S'!$A$5:$A$271,1,FALSE)), "", VLOOKUP($C973,'ABC-S'!$A$5:$A$271,1,FALSE)))</f>
        <v>CP9202</v>
      </c>
      <c r="W973" s="286" t="s">
        <v>1412</v>
      </c>
      <c r="X973" s="286"/>
      <c r="Y973" s="286"/>
      <c r="Z973" s="286"/>
      <c r="AA973" s="286" t="s">
        <v>21</v>
      </c>
      <c r="AB973" s="378">
        <v>0</v>
      </c>
      <c r="AC973" s="378"/>
      <c r="AD973" s="335"/>
      <c r="AE973" s="335"/>
      <c r="AF973" s="335"/>
      <c r="AG973" s="378">
        <v>0</v>
      </c>
      <c r="AI973" s="378" t="s">
        <v>21</v>
      </c>
      <c r="AJ973" s="378" t="s">
        <v>21</v>
      </c>
      <c r="AL973" s="286"/>
      <c r="AM973" s="286"/>
    </row>
    <row r="974" spans="1:39" s="51" customFormat="1" ht="22.5" x14ac:dyDescent="0.25">
      <c r="A974" s="384" t="s">
        <v>1412</v>
      </c>
      <c r="B974" s="59" t="s">
        <v>86</v>
      </c>
      <c r="C974" s="248"/>
      <c r="D974" s="59">
        <v>5059</v>
      </c>
      <c r="E974" s="60" t="s">
        <v>710</v>
      </c>
      <c r="F974" s="59" t="s">
        <v>3666</v>
      </c>
      <c r="G974" s="61">
        <v>1</v>
      </c>
      <c r="H974" s="62">
        <v>1204.72</v>
      </c>
      <c r="I974" s="62">
        <f>IF($D974="","",G974*H974)</f>
        <v>1204.72</v>
      </c>
      <c r="J974" s="62"/>
      <c r="K974" s="62">
        <v>0</v>
      </c>
      <c r="L974" s="62">
        <v>1204.72</v>
      </c>
      <c r="M974" s="62">
        <v>0</v>
      </c>
      <c r="N974" s="62">
        <v>0</v>
      </c>
      <c r="O974" s="62">
        <v>0</v>
      </c>
      <c r="P974" s="298" t="s">
        <v>89</v>
      </c>
      <c r="Q974" s="60" t="s">
        <v>27</v>
      </c>
      <c r="R974" s="60" t="s">
        <v>27</v>
      </c>
      <c r="S974" s="286" t="str">
        <f t="shared" si="95"/>
        <v>SIM</v>
      </c>
      <c r="T974" s="286" t="str">
        <f>IF($C974= "", T973, IF(ISNA(VLOOKUP($C974,'ABC-S'!$A$5:$A$271,1,FALSE)), "", VLOOKUP($C974,'ABC-S'!$A$5:$A$271,1,FALSE)))</f>
        <v>CP9202</v>
      </c>
      <c r="W974" s="286" t="s">
        <v>1412</v>
      </c>
      <c r="X974" s="286" t="s">
        <v>21</v>
      </c>
      <c r="Y974" s="286" t="s">
        <v>21</v>
      </c>
      <c r="Z974" s="286" t="s">
        <v>21</v>
      </c>
      <c r="AA974" s="286" t="s">
        <v>21</v>
      </c>
      <c r="AB974" s="378"/>
      <c r="AC974" s="381" t="s">
        <v>21</v>
      </c>
      <c r="AD974" s="378" t="s">
        <v>21</v>
      </c>
      <c r="AE974" s="378" t="s">
        <v>21</v>
      </c>
      <c r="AF974" s="378" t="s">
        <v>21</v>
      </c>
      <c r="AG974" s="378"/>
      <c r="AI974" s="378" t="s">
        <v>21</v>
      </c>
      <c r="AJ974" s="378" t="s">
        <v>21</v>
      </c>
      <c r="AL974" s="286"/>
      <c r="AM974" s="286">
        <v>5034</v>
      </c>
    </row>
    <row r="975" spans="1:39" s="51" customFormat="1" ht="33.75" x14ac:dyDescent="0.25">
      <c r="A975" s="55">
        <v>83693</v>
      </c>
      <c r="B975" s="55" t="s">
        <v>37</v>
      </c>
      <c r="C975" s="55" t="s">
        <v>441</v>
      </c>
      <c r="D975" s="55"/>
      <c r="E975" s="56" t="s">
        <v>57</v>
      </c>
      <c r="F975" s="55" t="s">
        <v>51</v>
      </c>
      <c r="G975" s="57"/>
      <c r="H975" s="58"/>
      <c r="I975" s="58"/>
      <c r="J975" s="58">
        <f>SUM(I975:I978)</f>
        <v>4.1505749999999999</v>
      </c>
      <c r="K975" s="58">
        <v>2.742</v>
      </c>
      <c r="L975" s="58">
        <v>1.4085749999999999</v>
      </c>
      <c r="M975" s="58">
        <v>0</v>
      </c>
      <c r="N975" s="58">
        <v>0</v>
      </c>
      <c r="O975" s="58">
        <v>0</v>
      </c>
      <c r="P975" s="58"/>
      <c r="Q975" s="56"/>
      <c r="R975" s="56" t="s">
        <v>439</v>
      </c>
      <c r="S975" s="286" t="str">
        <f t="shared" si="95"/>
        <v>SIM</v>
      </c>
      <c r="T975" s="286" t="str">
        <f>IF($C975= "", T974, IF(ISNA(VLOOKUP($C975,'ABC-S'!$A$5:$A$271,1,FALSE)), "", VLOOKUP($C975,'ABC-S'!$A$5:$A$271,1,FALSE)))</f>
        <v>CP9207</v>
      </c>
      <c r="W975" s="286" t="s">
        <v>441</v>
      </c>
      <c r="X975" s="286"/>
      <c r="Y975" s="286"/>
      <c r="Z975" s="286"/>
      <c r="AA975" s="286" t="s">
        <v>21</v>
      </c>
      <c r="AB975" s="378">
        <v>0.1575</v>
      </c>
      <c r="AC975" s="378"/>
      <c r="AD975" s="335"/>
      <c r="AE975" s="335"/>
      <c r="AF975" s="335"/>
      <c r="AG975" s="378">
        <v>0.1575</v>
      </c>
      <c r="AI975" s="378" t="s">
        <v>21</v>
      </c>
      <c r="AJ975" s="378" t="s">
        <v>21</v>
      </c>
      <c r="AL975" s="286"/>
      <c r="AM975" s="286"/>
    </row>
    <row r="976" spans="1:39" s="51" customFormat="1" x14ac:dyDescent="0.25">
      <c r="A976" s="59">
        <v>83693</v>
      </c>
      <c r="B976" s="59" t="s">
        <v>86</v>
      </c>
      <c r="C976" s="248"/>
      <c r="D976" s="59">
        <v>1106</v>
      </c>
      <c r="E976" s="60" t="s">
        <v>96</v>
      </c>
      <c r="F976" s="59" t="s">
        <v>3669</v>
      </c>
      <c r="G976" s="61">
        <v>0.3</v>
      </c>
      <c r="H976" s="62">
        <v>0.95</v>
      </c>
      <c r="I976" s="62">
        <f>IF($D976="","",G976*H976)</f>
        <v>0.28499999999999998</v>
      </c>
      <c r="J976" s="62"/>
      <c r="K976" s="62">
        <v>0</v>
      </c>
      <c r="L976" s="62">
        <v>0.28499999999999998</v>
      </c>
      <c r="M976" s="62">
        <v>0</v>
      </c>
      <c r="N976" s="62">
        <v>0</v>
      </c>
      <c r="O976" s="62">
        <v>0</v>
      </c>
      <c r="P976" s="298" t="s">
        <v>89</v>
      </c>
      <c r="Q976" s="60" t="s">
        <v>27</v>
      </c>
      <c r="R976" s="60"/>
      <c r="S976" s="286" t="str">
        <f t="shared" si="95"/>
        <v>SIM</v>
      </c>
      <c r="T976" s="286" t="str">
        <f>IF($C976= "", T975, IF(ISNA(VLOOKUP($C976,'ABC-S'!$A$5:$A$271,1,FALSE)), "", VLOOKUP($C976,'ABC-S'!$A$5:$A$271,1,FALSE)))</f>
        <v>CP9207</v>
      </c>
      <c r="W976" s="286" t="s">
        <v>441</v>
      </c>
      <c r="X976" s="286" t="s">
        <v>21</v>
      </c>
      <c r="Y976" s="286" t="s">
        <v>21</v>
      </c>
      <c r="Z976" s="286" t="s">
        <v>21</v>
      </c>
      <c r="AA976" s="286" t="s">
        <v>21</v>
      </c>
      <c r="AB976" s="378"/>
      <c r="AC976" s="381" t="s">
        <v>21</v>
      </c>
      <c r="AD976" s="378" t="s">
        <v>21</v>
      </c>
      <c r="AE976" s="378" t="s">
        <v>21</v>
      </c>
      <c r="AF976" s="378" t="s">
        <v>21</v>
      </c>
      <c r="AG976" s="378"/>
      <c r="AI976" s="378" t="s">
        <v>21</v>
      </c>
      <c r="AJ976" s="378" t="s">
        <v>21</v>
      </c>
      <c r="AL976" s="286"/>
      <c r="AM976" s="286">
        <v>1106</v>
      </c>
    </row>
    <row r="977" spans="1:39" s="51" customFormat="1" x14ac:dyDescent="0.25">
      <c r="A977" s="59">
        <v>83693</v>
      </c>
      <c r="B977" s="59" t="s">
        <v>87</v>
      </c>
      <c r="C977" s="248"/>
      <c r="D977" s="59">
        <v>88310</v>
      </c>
      <c r="E977" s="60" t="s">
        <v>620</v>
      </c>
      <c r="F977" s="59" t="s">
        <v>46</v>
      </c>
      <c r="G977" s="61">
        <v>0.15</v>
      </c>
      <c r="H977" s="62">
        <v>24.89</v>
      </c>
      <c r="I977" s="62">
        <f>IF($D977="","",G977*H977)</f>
        <v>3.7334999999999998</v>
      </c>
      <c r="J977" s="62"/>
      <c r="K977" s="62">
        <v>2.6549999999999998</v>
      </c>
      <c r="L977" s="62">
        <v>1.0785</v>
      </c>
      <c r="M977" s="62">
        <v>0</v>
      </c>
      <c r="N977" s="62">
        <v>0</v>
      </c>
      <c r="O977" s="62">
        <v>0</v>
      </c>
      <c r="P977" s="298" t="s">
        <v>4160</v>
      </c>
      <c r="Q977" s="60" t="s">
        <v>27</v>
      </c>
      <c r="R977" s="60"/>
      <c r="S977" s="286" t="str">
        <f t="shared" si="95"/>
        <v>SIM</v>
      </c>
      <c r="T977" s="286" t="str">
        <f>IF($C977= "", T976, IF(ISNA(VLOOKUP($C977,'ABC-S'!$A$5:$A$271,1,FALSE)), "", VLOOKUP($C977,'ABC-S'!$A$5:$A$271,1,FALSE)))</f>
        <v>CP9207</v>
      </c>
      <c r="W977" s="286" t="s">
        <v>441</v>
      </c>
      <c r="X977" s="286">
        <v>88310</v>
      </c>
      <c r="Y977" s="286" t="s">
        <v>424</v>
      </c>
      <c r="Z977" s="335">
        <v>11441.158400000002</v>
      </c>
      <c r="AA977" s="286">
        <v>0.15</v>
      </c>
      <c r="AB977" s="378"/>
      <c r="AC977" s="381" t="s">
        <v>21</v>
      </c>
      <c r="AD977" s="378" t="s">
        <v>21</v>
      </c>
      <c r="AE977" s="378" t="s">
        <v>21</v>
      </c>
      <c r="AF977" s="378" t="s">
        <v>21</v>
      </c>
      <c r="AG977" s="378"/>
      <c r="AI977" s="378">
        <v>0</v>
      </c>
      <c r="AJ977" s="378">
        <v>0</v>
      </c>
      <c r="AL977" s="286">
        <v>88310</v>
      </c>
      <c r="AM977" s="286"/>
    </row>
    <row r="978" spans="1:39" s="51" customFormat="1" x14ac:dyDescent="0.25">
      <c r="A978" s="59">
        <v>83693</v>
      </c>
      <c r="B978" s="59" t="s">
        <v>87</v>
      </c>
      <c r="C978" s="248"/>
      <c r="D978" s="59">
        <v>88316</v>
      </c>
      <c r="E978" s="60" t="s">
        <v>649</v>
      </c>
      <c r="F978" s="59" t="s">
        <v>46</v>
      </c>
      <c r="G978" s="61">
        <v>7.4999999999999997E-3</v>
      </c>
      <c r="H978" s="62">
        <v>17.61</v>
      </c>
      <c r="I978" s="62">
        <f>IF($D978="","",G978*H978)</f>
        <v>0.132075</v>
      </c>
      <c r="J978" s="62"/>
      <c r="K978" s="62">
        <v>8.6999999999999994E-2</v>
      </c>
      <c r="L978" s="62">
        <v>4.5074999999999997E-2</v>
      </c>
      <c r="M978" s="62">
        <v>0</v>
      </c>
      <c r="N978" s="62">
        <v>0</v>
      </c>
      <c r="O978" s="62">
        <v>0</v>
      </c>
      <c r="P978" s="298" t="s">
        <v>4160</v>
      </c>
      <c r="Q978" s="60" t="s">
        <v>27</v>
      </c>
      <c r="R978" s="60"/>
      <c r="S978" s="286" t="str">
        <f t="shared" si="95"/>
        <v>SIM</v>
      </c>
      <c r="T978" s="286" t="str">
        <f>IF($C978= "", T977, IF(ISNA(VLOOKUP($C978,'ABC-S'!$A$5:$A$271,1,FALSE)), "", VLOOKUP($C978,'ABC-S'!$A$5:$A$271,1,FALSE)))</f>
        <v>CP9207</v>
      </c>
      <c r="W978" s="286" t="s">
        <v>441</v>
      </c>
      <c r="X978" s="286">
        <v>88316</v>
      </c>
      <c r="Y978" s="286" t="s">
        <v>424</v>
      </c>
      <c r="Z978" s="335">
        <v>11441.158400000002</v>
      </c>
      <c r="AA978" s="286">
        <v>7.4999999999999997E-3</v>
      </c>
      <c r="AB978" s="378"/>
      <c r="AC978" s="381" t="s">
        <v>21</v>
      </c>
      <c r="AD978" s="378" t="s">
        <v>21</v>
      </c>
      <c r="AE978" s="378" t="s">
        <v>21</v>
      </c>
      <c r="AF978" s="378" t="s">
        <v>21</v>
      </c>
      <c r="AG978" s="378"/>
      <c r="AI978" s="378">
        <v>0</v>
      </c>
      <c r="AJ978" s="378">
        <v>0</v>
      </c>
      <c r="AL978" s="286">
        <v>88316</v>
      </c>
      <c r="AM978" s="286"/>
    </row>
    <row r="979" spans="1:39" s="51" customFormat="1" ht="45" x14ac:dyDescent="0.25">
      <c r="A979" s="55" t="s">
        <v>78</v>
      </c>
      <c r="B979" s="55" t="s">
        <v>37</v>
      </c>
      <c r="C979" s="55" t="s">
        <v>444</v>
      </c>
      <c r="D979" s="55"/>
      <c r="E979" s="56" t="s">
        <v>77</v>
      </c>
      <c r="F979" s="55" t="s">
        <v>51</v>
      </c>
      <c r="G979" s="57"/>
      <c r="H979" s="58"/>
      <c r="I979" s="58"/>
      <c r="J979" s="58">
        <f>SUM(I979:I986)</f>
        <v>385.14269999999999</v>
      </c>
      <c r="K979" s="58">
        <v>41.271799999999999</v>
      </c>
      <c r="L979" s="58">
        <v>250.35700000000006</v>
      </c>
      <c r="M979" s="58">
        <v>93.502800000000008</v>
      </c>
      <c r="N979" s="58">
        <v>0</v>
      </c>
      <c r="O979" s="58">
        <v>1.1099999999999888E-2</v>
      </c>
      <c r="P979" s="58"/>
      <c r="Q979" s="56"/>
      <c r="R979" s="56" t="s">
        <v>1514</v>
      </c>
      <c r="S979" s="286" t="str">
        <f t="shared" si="95"/>
        <v>SIM</v>
      </c>
      <c r="T979" s="286" t="str">
        <f>IF($C979= "", T978, IF(ISNA(VLOOKUP($C979,'ABC-S'!$A$5:$A$271,1,FALSE)), "", VLOOKUP($C979,'ABC-S'!$A$5:$A$271,1,FALSE)))</f>
        <v>CP9231</v>
      </c>
      <c r="W979" s="286" t="s">
        <v>444</v>
      </c>
      <c r="X979" s="286"/>
      <c r="Y979" s="286"/>
      <c r="Z979" s="286"/>
      <c r="AA979" s="286" t="s">
        <v>21</v>
      </c>
      <c r="AB979" s="378">
        <v>3</v>
      </c>
      <c r="AC979" s="378"/>
      <c r="AD979" s="335"/>
      <c r="AE979" s="335"/>
      <c r="AF979" s="335"/>
      <c r="AG979" s="378">
        <v>3.034373</v>
      </c>
      <c r="AI979" s="378" t="s">
        <v>21</v>
      </c>
      <c r="AJ979" s="378" t="s">
        <v>21</v>
      </c>
      <c r="AL979" s="286"/>
      <c r="AM979" s="286"/>
    </row>
    <row r="980" spans="1:39" s="51" customFormat="1" ht="22.5" x14ac:dyDescent="0.25">
      <c r="A980" s="59" t="s">
        <v>78</v>
      </c>
      <c r="B980" s="59" t="s">
        <v>86</v>
      </c>
      <c r="C980" s="248"/>
      <c r="D980" s="59">
        <v>4517</v>
      </c>
      <c r="E980" s="60" t="s">
        <v>1179</v>
      </c>
      <c r="F980" s="59" t="s">
        <v>3667</v>
      </c>
      <c r="G980" s="61">
        <v>1</v>
      </c>
      <c r="H980" s="62">
        <v>2.27</v>
      </c>
      <c r="I980" s="62">
        <f>IF($D980="","",G980*H980)</f>
        <v>2.27</v>
      </c>
      <c r="J980" s="62"/>
      <c r="K980" s="62">
        <v>0</v>
      </c>
      <c r="L980" s="62">
        <v>2.27</v>
      </c>
      <c r="M980" s="62">
        <v>0</v>
      </c>
      <c r="N980" s="62">
        <v>0</v>
      </c>
      <c r="O980" s="62">
        <v>0</v>
      </c>
      <c r="P980" s="298" t="s">
        <v>89</v>
      </c>
      <c r="Q980" s="60" t="s">
        <v>27</v>
      </c>
      <c r="R980" s="60"/>
      <c r="S980" s="286" t="str">
        <f t="shared" si="95"/>
        <v>SIM</v>
      </c>
      <c r="T980" s="286" t="str">
        <f>IF($C980= "", T979, IF(ISNA(VLOOKUP($C980,'ABC-S'!$A$5:$A$271,1,FALSE)), "", VLOOKUP($C980,'ABC-S'!$A$5:$A$271,1,FALSE)))</f>
        <v>CP9231</v>
      </c>
      <c r="W980" s="286" t="s">
        <v>444</v>
      </c>
      <c r="X980" s="286" t="s">
        <v>21</v>
      </c>
      <c r="Y980" s="286" t="s">
        <v>21</v>
      </c>
      <c r="Z980" s="286" t="s">
        <v>21</v>
      </c>
      <c r="AA980" s="286" t="s">
        <v>21</v>
      </c>
      <c r="AB980" s="378"/>
      <c r="AC980" s="381" t="s">
        <v>21</v>
      </c>
      <c r="AD980" s="378" t="s">
        <v>21</v>
      </c>
      <c r="AE980" s="378" t="s">
        <v>21</v>
      </c>
      <c r="AF980" s="378" t="s">
        <v>21</v>
      </c>
      <c r="AG980" s="378"/>
      <c r="AI980" s="378" t="s">
        <v>21</v>
      </c>
      <c r="AJ980" s="378" t="s">
        <v>21</v>
      </c>
      <c r="AL980" s="286"/>
      <c r="AM980" s="286">
        <v>4517</v>
      </c>
    </row>
    <row r="981" spans="1:39" s="51" customFormat="1" ht="33.75" x14ac:dyDescent="0.25">
      <c r="A981" s="59" t="s">
        <v>78</v>
      </c>
      <c r="B981" s="59" t="s">
        <v>86</v>
      </c>
      <c r="C981" s="248"/>
      <c r="D981" s="59">
        <v>4433</v>
      </c>
      <c r="E981" s="60" t="s">
        <v>1473</v>
      </c>
      <c r="F981" s="59" t="s">
        <v>3667</v>
      </c>
      <c r="G981" s="61">
        <v>4</v>
      </c>
      <c r="H981" s="62">
        <v>23.37</v>
      </c>
      <c r="I981" s="62">
        <f t="shared" ref="I981:I986" si="98">IF($D981="","",G981*H981)</f>
        <v>93.48</v>
      </c>
      <c r="J981" s="62"/>
      <c r="K981" s="62">
        <v>0</v>
      </c>
      <c r="L981" s="62">
        <v>0</v>
      </c>
      <c r="M981" s="62">
        <v>93.48</v>
      </c>
      <c r="N981" s="62">
        <v>0</v>
      </c>
      <c r="O981" s="62">
        <v>0</v>
      </c>
      <c r="P981" s="298" t="s">
        <v>719</v>
      </c>
      <c r="Q981" s="60" t="s">
        <v>27</v>
      </c>
      <c r="R981" s="60"/>
      <c r="S981" s="286" t="str">
        <f t="shared" si="95"/>
        <v>SIM</v>
      </c>
      <c r="T981" s="286" t="str">
        <f>IF($C981= "", T980, IF(ISNA(VLOOKUP($C981,'ABC-S'!$A$5:$A$271,1,FALSE)), "", VLOOKUP($C981,'ABC-S'!$A$5:$A$271,1,FALSE)))</f>
        <v>CP9231</v>
      </c>
      <c r="W981" s="286" t="s">
        <v>444</v>
      </c>
      <c r="X981" s="286" t="s">
        <v>21</v>
      </c>
      <c r="Y981" s="286" t="s">
        <v>21</v>
      </c>
      <c r="Z981" s="286" t="s">
        <v>21</v>
      </c>
      <c r="AA981" s="286" t="s">
        <v>21</v>
      </c>
      <c r="AB981" s="378"/>
      <c r="AC981" s="381" t="s">
        <v>21</v>
      </c>
      <c r="AD981" s="378" t="s">
        <v>21</v>
      </c>
      <c r="AE981" s="378" t="s">
        <v>21</v>
      </c>
      <c r="AF981" s="378" t="s">
        <v>21</v>
      </c>
      <c r="AG981" s="378"/>
      <c r="AI981" s="378" t="s">
        <v>21</v>
      </c>
      <c r="AJ981" s="378" t="s">
        <v>21</v>
      </c>
      <c r="AL981" s="286"/>
      <c r="AM981" s="286">
        <v>4433</v>
      </c>
    </row>
    <row r="982" spans="1:39" s="51" customFormat="1" ht="33.75" x14ac:dyDescent="0.25">
      <c r="A982" s="59" t="s">
        <v>78</v>
      </c>
      <c r="B982" s="59" t="s">
        <v>86</v>
      </c>
      <c r="C982" s="248"/>
      <c r="D982" s="59">
        <v>4813</v>
      </c>
      <c r="E982" s="60" t="s">
        <v>705</v>
      </c>
      <c r="F982" s="59" t="s">
        <v>3665</v>
      </c>
      <c r="G982" s="61">
        <v>1</v>
      </c>
      <c r="H982" s="62">
        <v>225</v>
      </c>
      <c r="I982" s="62">
        <f t="shared" si="98"/>
        <v>225</v>
      </c>
      <c r="J982" s="62"/>
      <c r="K982" s="62">
        <v>0</v>
      </c>
      <c r="L982" s="62">
        <v>225</v>
      </c>
      <c r="M982" s="62">
        <v>0</v>
      </c>
      <c r="N982" s="62">
        <v>0</v>
      </c>
      <c r="O982" s="62">
        <v>0</v>
      </c>
      <c r="P982" s="298" t="s">
        <v>89</v>
      </c>
      <c r="Q982" s="60" t="s">
        <v>27</v>
      </c>
      <c r="R982" s="60"/>
      <c r="S982" s="286" t="str">
        <f t="shared" si="95"/>
        <v>SIM</v>
      </c>
      <c r="T982" s="286" t="str">
        <f>IF($C982= "", T981, IF(ISNA(VLOOKUP($C982,'ABC-S'!$A$5:$A$271,1,FALSE)), "", VLOOKUP($C982,'ABC-S'!$A$5:$A$271,1,FALSE)))</f>
        <v>CP9231</v>
      </c>
      <c r="W982" s="286" t="s">
        <v>444</v>
      </c>
      <c r="X982" s="286" t="s">
        <v>21</v>
      </c>
      <c r="Y982" s="286" t="s">
        <v>21</v>
      </c>
      <c r="Z982" s="286" t="s">
        <v>21</v>
      </c>
      <c r="AA982" s="286" t="s">
        <v>21</v>
      </c>
      <c r="AB982" s="378"/>
      <c r="AC982" s="381" t="s">
        <v>21</v>
      </c>
      <c r="AD982" s="378" t="s">
        <v>21</v>
      </c>
      <c r="AE982" s="378" t="s">
        <v>21</v>
      </c>
      <c r="AF982" s="378" t="s">
        <v>21</v>
      </c>
      <c r="AG982" s="378"/>
      <c r="AI982" s="378" t="s">
        <v>21</v>
      </c>
      <c r="AJ982" s="378" t="s">
        <v>21</v>
      </c>
      <c r="AL982" s="286"/>
      <c r="AM982" s="286">
        <v>4813</v>
      </c>
    </row>
    <row r="983" spans="1:39" s="51" customFormat="1" x14ac:dyDescent="0.25">
      <c r="A983" s="59" t="s">
        <v>78</v>
      </c>
      <c r="B983" s="59" t="s">
        <v>86</v>
      </c>
      <c r="C983" s="248"/>
      <c r="D983" s="59">
        <v>5068</v>
      </c>
      <c r="E983" s="60" t="s">
        <v>93</v>
      </c>
      <c r="F983" s="59" t="s">
        <v>3669</v>
      </c>
      <c r="G983" s="61">
        <v>0.11</v>
      </c>
      <c r="H983" s="62">
        <v>20.239999999999998</v>
      </c>
      <c r="I983" s="62">
        <f t="shared" si="98"/>
        <v>2.2263999999999999</v>
      </c>
      <c r="J983" s="62"/>
      <c r="K983" s="62">
        <v>0</v>
      </c>
      <c r="L983" s="62">
        <v>2.2263999999999999</v>
      </c>
      <c r="M983" s="62">
        <v>0</v>
      </c>
      <c r="N983" s="62">
        <v>0</v>
      </c>
      <c r="O983" s="62">
        <v>0</v>
      </c>
      <c r="P983" s="298" t="s">
        <v>89</v>
      </c>
      <c r="Q983" s="60" t="s">
        <v>27</v>
      </c>
      <c r="R983" s="60"/>
      <c r="S983" s="286" t="str">
        <f t="shared" si="95"/>
        <v>SIM</v>
      </c>
      <c r="T983" s="286" t="str">
        <f>IF($C983= "", T982, IF(ISNA(VLOOKUP($C983,'ABC-S'!$A$5:$A$271,1,FALSE)), "", VLOOKUP($C983,'ABC-S'!$A$5:$A$271,1,FALSE)))</f>
        <v>CP9231</v>
      </c>
      <c r="W983" s="286" t="s">
        <v>444</v>
      </c>
      <c r="X983" s="286" t="s">
        <v>21</v>
      </c>
      <c r="Y983" s="286" t="s">
        <v>21</v>
      </c>
      <c r="Z983" s="286" t="s">
        <v>21</v>
      </c>
      <c r="AA983" s="286" t="s">
        <v>21</v>
      </c>
      <c r="AB983" s="378"/>
      <c r="AC983" s="381" t="s">
        <v>21</v>
      </c>
      <c r="AD983" s="378" t="s">
        <v>21</v>
      </c>
      <c r="AE983" s="378" t="s">
        <v>21</v>
      </c>
      <c r="AF983" s="378" t="s">
        <v>21</v>
      </c>
      <c r="AG983" s="378"/>
      <c r="AI983" s="378" t="s">
        <v>21</v>
      </c>
      <c r="AJ983" s="378" t="s">
        <v>21</v>
      </c>
      <c r="AL983" s="286"/>
      <c r="AM983" s="286">
        <v>5068</v>
      </c>
    </row>
    <row r="984" spans="1:39" s="51" customFormat="1" ht="22.5" x14ac:dyDescent="0.25">
      <c r="A984" s="59" t="s">
        <v>78</v>
      </c>
      <c r="B984" s="59" t="s">
        <v>87</v>
      </c>
      <c r="C984" s="248"/>
      <c r="D984" s="59">
        <v>88262</v>
      </c>
      <c r="E984" s="60" t="s">
        <v>535</v>
      </c>
      <c r="F984" s="59" t="s">
        <v>46</v>
      </c>
      <c r="G984" s="61">
        <v>1</v>
      </c>
      <c r="H984" s="62">
        <v>23.68</v>
      </c>
      <c r="I984" s="62">
        <f t="shared" si="98"/>
        <v>23.68</v>
      </c>
      <c r="J984" s="62"/>
      <c r="K984" s="62">
        <v>17.66</v>
      </c>
      <c r="L984" s="62">
        <v>6.02</v>
      </c>
      <c r="M984" s="62">
        <v>0</v>
      </c>
      <c r="N984" s="62">
        <v>0</v>
      </c>
      <c r="O984" s="62">
        <v>0</v>
      </c>
      <c r="P984" s="298" t="s">
        <v>4160</v>
      </c>
      <c r="Q984" s="60" t="s">
        <v>27</v>
      </c>
      <c r="R984" s="60"/>
      <c r="S984" s="286" t="str">
        <f t="shared" si="95"/>
        <v>SIM</v>
      </c>
      <c r="T984" s="286" t="str">
        <f>IF($C984= "", T983, IF(ISNA(VLOOKUP($C984,'ABC-S'!$A$5:$A$271,1,FALSE)), "", VLOOKUP($C984,'ABC-S'!$A$5:$A$271,1,FALSE)))</f>
        <v>CP9231</v>
      </c>
      <c r="W984" s="286" t="s">
        <v>444</v>
      </c>
      <c r="X984" s="286">
        <v>88262</v>
      </c>
      <c r="Y984" s="286" t="s">
        <v>424</v>
      </c>
      <c r="Z984" s="335">
        <v>67.5</v>
      </c>
      <c r="AA984" s="286">
        <v>1</v>
      </c>
      <c r="AB984" s="378"/>
      <c r="AC984" s="381" t="s">
        <v>21</v>
      </c>
      <c r="AD984" s="378" t="s">
        <v>21</v>
      </c>
      <c r="AE984" s="378" t="s">
        <v>21</v>
      </c>
      <c r="AF984" s="378" t="s">
        <v>21</v>
      </c>
      <c r="AG984" s="378"/>
      <c r="AI984" s="378">
        <v>0</v>
      </c>
      <c r="AJ984" s="378">
        <v>0</v>
      </c>
      <c r="AL984" s="286">
        <v>88262</v>
      </c>
      <c r="AM984" s="286"/>
    </row>
    <row r="985" spans="1:39" s="51" customFormat="1" x14ac:dyDescent="0.25">
      <c r="A985" s="59" t="s">
        <v>78</v>
      </c>
      <c r="B985" s="59" t="s">
        <v>87</v>
      </c>
      <c r="C985" s="248"/>
      <c r="D985" s="59">
        <v>88316</v>
      </c>
      <c r="E985" s="60" t="s">
        <v>649</v>
      </c>
      <c r="F985" s="59" t="s">
        <v>46</v>
      </c>
      <c r="G985" s="61">
        <v>2</v>
      </c>
      <c r="H985" s="62">
        <v>17.61</v>
      </c>
      <c r="I985" s="62">
        <f t="shared" si="98"/>
        <v>35.22</v>
      </c>
      <c r="J985" s="62"/>
      <c r="K985" s="62">
        <v>23.2</v>
      </c>
      <c r="L985" s="62">
        <v>12.02</v>
      </c>
      <c r="M985" s="62">
        <v>0</v>
      </c>
      <c r="N985" s="62">
        <v>0</v>
      </c>
      <c r="O985" s="62">
        <v>0</v>
      </c>
      <c r="P985" s="298" t="s">
        <v>4160</v>
      </c>
      <c r="Q985" s="60" t="s">
        <v>27</v>
      </c>
      <c r="R985" s="60"/>
      <c r="S985" s="286" t="str">
        <f t="shared" si="95"/>
        <v>SIM</v>
      </c>
      <c r="T985" s="286" t="str">
        <f>IF($C985= "", T984, IF(ISNA(VLOOKUP($C985,'ABC-S'!$A$5:$A$271,1,FALSE)), "", VLOOKUP($C985,'ABC-S'!$A$5:$A$271,1,FALSE)))</f>
        <v>CP9231</v>
      </c>
      <c r="W985" s="286" t="s">
        <v>444</v>
      </c>
      <c r="X985" s="286">
        <v>88316</v>
      </c>
      <c r="Y985" s="286" t="s">
        <v>424</v>
      </c>
      <c r="Z985" s="335">
        <v>67.5</v>
      </c>
      <c r="AA985" s="286">
        <v>2</v>
      </c>
      <c r="AB985" s="378"/>
      <c r="AC985" s="381" t="s">
        <v>21</v>
      </c>
      <c r="AD985" s="378" t="s">
        <v>21</v>
      </c>
      <c r="AE985" s="378" t="s">
        <v>21</v>
      </c>
      <c r="AF985" s="378" t="s">
        <v>21</v>
      </c>
      <c r="AG985" s="378"/>
      <c r="AI985" s="378">
        <v>0</v>
      </c>
      <c r="AJ985" s="378">
        <v>0</v>
      </c>
      <c r="AL985" s="286">
        <v>88316</v>
      </c>
      <c r="AM985" s="286"/>
    </row>
    <row r="986" spans="1:39" s="51" customFormat="1" ht="33.75" x14ac:dyDescent="0.25">
      <c r="A986" s="59" t="s">
        <v>78</v>
      </c>
      <c r="B986" s="59" t="s">
        <v>87</v>
      </c>
      <c r="C986" s="248"/>
      <c r="D986" s="59">
        <v>94968</v>
      </c>
      <c r="E986" s="60" t="s">
        <v>3660</v>
      </c>
      <c r="F986" s="59" t="s">
        <v>44</v>
      </c>
      <c r="G986" s="61">
        <v>0.01</v>
      </c>
      <c r="H986" s="62">
        <v>326.63</v>
      </c>
      <c r="I986" s="62">
        <f t="shared" si="98"/>
        <v>3.2663000000000002</v>
      </c>
      <c r="J986" s="62"/>
      <c r="K986" s="62">
        <v>0.4118</v>
      </c>
      <c r="L986" s="62">
        <v>2.8206000000000002</v>
      </c>
      <c r="M986" s="62">
        <v>2.2799999999999997E-2</v>
      </c>
      <c r="N986" s="62">
        <v>0</v>
      </c>
      <c r="O986" s="62">
        <v>1.1099999999999888E-2</v>
      </c>
      <c r="P986" s="298" t="s">
        <v>4160</v>
      </c>
      <c r="Q986" s="60" t="s">
        <v>27</v>
      </c>
      <c r="R986" s="60" t="s">
        <v>27</v>
      </c>
      <c r="S986" s="286" t="str">
        <f t="shared" si="95"/>
        <v>SIM</v>
      </c>
      <c r="T986" s="286" t="str">
        <f>IF($C986= "", T985, IF(ISNA(VLOOKUP($C986,'ABC-S'!$A$5:$A$271,1,FALSE)), "", VLOOKUP($C986,'ABC-S'!$A$5:$A$271,1,FALSE)))</f>
        <v>CP9231</v>
      </c>
      <c r="W986" s="286" t="s">
        <v>444</v>
      </c>
      <c r="X986" s="286" t="s">
        <v>21</v>
      </c>
      <c r="Y986" s="286" t="s">
        <v>1513</v>
      </c>
      <c r="Z986" s="335" t="s">
        <v>21</v>
      </c>
      <c r="AA986" s="286" t="s">
        <v>21</v>
      </c>
      <c r="AB986" s="378"/>
      <c r="AC986" s="381">
        <v>94968</v>
      </c>
      <c r="AD986" s="378">
        <v>0.01</v>
      </c>
      <c r="AE986" s="378">
        <v>3.4372999999999996</v>
      </c>
      <c r="AF986" s="378">
        <v>3.4372999999999994E-2</v>
      </c>
      <c r="AG986" s="378"/>
      <c r="AI986" s="378">
        <v>2.6629999999999998</v>
      </c>
      <c r="AJ986" s="378">
        <v>2.6629999999999997E-2</v>
      </c>
      <c r="AL986" s="286">
        <v>94968</v>
      </c>
      <c r="AM986" s="286"/>
    </row>
    <row r="987" spans="1:39" s="51" customFormat="1" ht="45" x14ac:dyDescent="0.25">
      <c r="A987" s="55" t="s">
        <v>72</v>
      </c>
      <c r="B987" s="55" t="s">
        <v>37</v>
      </c>
      <c r="C987" s="55" t="s">
        <v>445</v>
      </c>
      <c r="D987" s="55"/>
      <c r="E987" s="56" t="s">
        <v>71</v>
      </c>
      <c r="F987" s="55" t="s">
        <v>51</v>
      </c>
      <c r="G987" s="57"/>
      <c r="H987" s="58"/>
      <c r="I987" s="58"/>
      <c r="J987" s="58">
        <f>SUM(I987:I996)</f>
        <v>1001.0947080000001</v>
      </c>
      <c r="K987" s="58">
        <v>336.49</v>
      </c>
      <c r="L987" s="58">
        <v>546.74628800000005</v>
      </c>
      <c r="M987" s="58">
        <v>106.47482000000001</v>
      </c>
      <c r="N987" s="58">
        <v>0</v>
      </c>
      <c r="O987" s="58">
        <v>11.383599999999999</v>
      </c>
      <c r="P987" s="58"/>
      <c r="Q987" s="56"/>
      <c r="R987" s="56" t="s">
        <v>1514</v>
      </c>
      <c r="S987" s="286" t="str">
        <f t="shared" si="95"/>
        <v>SIM</v>
      </c>
      <c r="T987" s="286" t="str">
        <f>IF($C987= "", T986, IF(ISNA(VLOOKUP($C987,'ABC-S'!$A$5:$A$271,1,FALSE)), "", VLOOKUP($C987,'ABC-S'!$A$5:$A$271,1,FALSE)))</f>
        <v>CP9232</v>
      </c>
      <c r="W987" s="286" t="s">
        <v>445</v>
      </c>
      <c r="X987" s="286"/>
      <c r="Y987" s="286"/>
      <c r="Z987" s="286"/>
      <c r="AA987" s="286" t="s">
        <v>21</v>
      </c>
      <c r="AB987" s="378">
        <v>23</v>
      </c>
      <c r="AC987" s="378"/>
      <c r="AD987" s="335"/>
      <c r="AE987" s="335"/>
      <c r="AF987" s="335"/>
      <c r="AG987" s="378">
        <v>23</v>
      </c>
      <c r="AI987" s="378" t="s">
        <v>21</v>
      </c>
      <c r="AJ987" s="378" t="s">
        <v>21</v>
      </c>
      <c r="AL987" s="286"/>
      <c r="AM987" s="286"/>
    </row>
    <row r="988" spans="1:39" s="51" customFormat="1" ht="33.75" x14ac:dyDescent="0.25">
      <c r="A988" s="59" t="s">
        <v>72</v>
      </c>
      <c r="B988" s="59" t="s">
        <v>86</v>
      </c>
      <c r="C988" s="248"/>
      <c r="D988" s="59">
        <v>7167</v>
      </c>
      <c r="E988" s="60" t="s">
        <v>713</v>
      </c>
      <c r="F988" s="59" t="s">
        <v>3665</v>
      </c>
      <c r="G988" s="61">
        <v>1.1000000000000001</v>
      </c>
      <c r="H988" s="62">
        <v>25.72</v>
      </c>
      <c r="I988" s="62">
        <f>IF($D988="","",G988*H988)</f>
        <v>28.292000000000002</v>
      </c>
      <c r="J988" s="62"/>
      <c r="K988" s="62">
        <v>0</v>
      </c>
      <c r="L988" s="62">
        <v>28.292000000000002</v>
      </c>
      <c r="M988" s="62">
        <v>0</v>
      </c>
      <c r="N988" s="62">
        <v>0</v>
      </c>
      <c r="O988" s="62">
        <v>0</v>
      </c>
      <c r="P988" s="298" t="s">
        <v>89</v>
      </c>
      <c r="Q988" s="60" t="s">
        <v>27</v>
      </c>
      <c r="R988" s="60"/>
      <c r="S988" s="286" t="str">
        <f t="shared" si="95"/>
        <v>SIM</v>
      </c>
      <c r="T988" s="286" t="str">
        <f>IF($C988= "", T987, IF(ISNA(VLOOKUP($C988,'ABC-S'!$A$5:$A$271,1,FALSE)), "", VLOOKUP($C988,'ABC-S'!$A$5:$A$271,1,FALSE)))</f>
        <v>CP9232</v>
      </c>
      <c r="W988" s="286" t="s">
        <v>445</v>
      </c>
      <c r="X988" s="286" t="s">
        <v>21</v>
      </c>
      <c r="Y988" s="286" t="s">
        <v>21</v>
      </c>
      <c r="Z988" s="286" t="s">
        <v>21</v>
      </c>
      <c r="AA988" s="286" t="s">
        <v>21</v>
      </c>
      <c r="AB988" s="378"/>
      <c r="AC988" s="381" t="s">
        <v>21</v>
      </c>
      <c r="AD988" s="378" t="s">
        <v>21</v>
      </c>
      <c r="AE988" s="378" t="s">
        <v>21</v>
      </c>
      <c r="AF988" s="378" t="s">
        <v>21</v>
      </c>
      <c r="AG988" s="378"/>
      <c r="AI988" s="378" t="s">
        <v>21</v>
      </c>
      <c r="AJ988" s="378" t="s">
        <v>21</v>
      </c>
      <c r="AL988" s="286"/>
      <c r="AM988" s="286">
        <v>7167</v>
      </c>
    </row>
    <row r="989" spans="1:39" s="51" customFormat="1" ht="33.75" x14ac:dyDescent="0.25">
      <c r="A989" s="59" t="s">
        <v>72</v>
      </c>
      <c r="B989" s="59" t="s">
        <v>86</v>
      </c>
      <c r="C989" s="248"/>
      <c r="D989" s="59">
        <v>7697</v>
      </c>
      <c r="E989" s="60" t="s">
        <v>416</v>
      </c>
      <c r="F989" s="59" t="s">
        <v>3667</v>
      </c>
      <c r="G989" s="61">
        <v>1.4318</v>
      </c>
      <c r="H989" s="62">
        <v>73.900000000000006</v>
      </c>
      <c r="I989" s="62">
        <f t="shared" ref="I989:I996" si="99">IF($D989="","",G989*H989)</f>
        <v>105.81002000000001</v>
      </c>
      <c r="J989" s="62"/>
      <c r="K989" s="62">
        <v>0</v>
      </c>
      <c r="L989" s="62">
        <v>0</v>
      </c>
      <c r="M989" s="62">
        <v>105.81002000000001</v>
      </c>
      <c r="N989" s="62">
        <v>0</v>
      </c>
      <c r="O989" s="62">
        <v>0</v>
      </c>
      <c r="P989" s="298" t="s">
        <v>719</v>
      </c>
      <c r="Q989" s="60" t="s">
        <v>27</v>
      </c>
      <c r="R989" s="60"/>
      <c r="S989" s="286" t="str">
        <f t="shared" si="95"/>
        <v>SIM</v>
      </c>
      <c r="T989" s="286" t="str">
        <f>IF($C989= "", T988, IF(ISNA(VLOOKUP($C989,'ABC-S'!$A$5:$A$271,1,FALSE)), "", VLOOKUP($C989,'ABC-S'!$A$5:$A$271,1,FALSE)))</f>
        <v>CP9232</v>
      </c>
      <c r="W989" s="286" t="s">
        <v>445</v>
      </c>
      <c r="X989" s="286" t="s">
        <v>21</v>
      </c>
      <c r="Y989" s="286" t="s">
        <v>21</v>
      </c>
      <c r="Z989" s="286" t="s">
        <v>21</v>
      </c>
      <c r="AA989" s="286" t="s">
        <v>21</v>
      </c>
      <c r="AB989" s="378"/>
      <c r="AC989" s="381" t="s">
        <v>21</v>
      </c>
      <c r="AD989" s="378" t="s">
        <v>21</v>
      </c>
      <c r="AE989" s="378" t="s">
        <v>21</v>
      </c>
      <c r="AF989" s="378" t="s">
        <v>21</v>
      </c>
      <c r="AG989" s="378"/>
      <c r="AI989" s="378" t="s">
        <v>21</v>
      </c>
      <c r="AJ989" s="378" t="s">
        <v>21</v>
      </c>
      <c r="AL989" s="286"/>
      <c r="AM989" s="286">
        <v>7697</v>
      </c>
    </row>
    <row r="990" spans="1:39" s="51" customFormat="1" ht="22.5" x14ac:dyDescent="0.25">
      <c r="A990" s="59" t="s">
        <v>72</v>
      </c>
      <c r="B990" s="59" t="s">
        <v>86</v>
      </c>
      <c r="C990" s="248"/>
      <c r="D990" s="59">
        <v>10997</v>
      </c>
      <c r="E990" s="60" t="s">
        <v>107</v>
      </c>
      <c r="F990" s="59" t="s">
        <v>3669</v>
      </c>
      <c r="G990" s="61">
        <v>3.37</v>
      </c>
      <c r="H990" s="62">
        <v>19.88</v>
      </c>
      <c r="I990" s="62">
        <f t="shared" si="99"/>
        <v>66.995599999999996</v>
      </c>
      <c r="J990" s="62"/>
      <c r="K990" s="62">
        <v>0</v>
      </c>
      <c r="L990" s="62">
        <v>66.995599999999996</v>
      </c>
      <c r="M990" s="62">
        <v>0</v>
      </c>
      <c r="N990" s="62">
        <v>0</v>
      </c>
      <c r="O990" s="62">
        <v>0</v>
      </c>
      <c r="P990" s="298" t="s">
        <v>89</v>
      </c>
      <c r="Q990" s="60" t="s">
        <v>27</v>
      </c>
      <c r="R990" s="60"/>
      <c r="S990" s="286" t="str">
        <f t="shared" si="95"/>
        <v>SIM</v>
      </c>
      <c r="T990" s="286" t="str">
        <f>IF($C990= "", T989, IF(ISNA(VLOOKUP($C990,'ABC-S'!$A$5:$A$271,1,FALSE)), "", VLOOKUP($C990,'ABC-S'!$A$5:$A$271,1,FALSE)))</f>
        <v>CP9232</v>
      </c>
      <c r="W990" s="286" t="s">
        <v>445</v>
      </c>
      <c r="X990" s="286" t="s">
        <v>21</v>
      </c>
      <c r="Y990" s="286" t="s">
        <v>21</v>
      </c>
      <c r="Z990" s="286" t="s">
        <v>21</v>
      </c>
      <c r="AA990" s="286" t="s">
        <v>21</v>
      </c>
      <c r="AB990" s="378"/>
      <c r="AC990" s="381" t="s">
        <v>21</v>
      </c>
      <c r="AD990" s="378" t="s">
        <v>21</v>
      </c>
      <c r="AE990" s="378" t="s">
        <v>21</v>
      </c>
      <c r="AF990" s="378" t="s">
        <v>21</v>
      </c>
      <c r="AG990" s="378"/>
      <c r="AI990" s="378" t="s">
        <v>21</v>
      </c>
      <c r="AJ990" s="378" t="s">
        <v>21</v>
      </c>
      <c r="AL990" s="286"/>
      <c r="AM990" s="286">
        <v>10997</v>
      </c>
    </row>
    <row r="991" spans="1:39" s="51" customFormat="1" ht="33.75" x14ac:dyDescent="0.25">
      <c r="A991" s="59" t="s">
        <v>72</v>
      </c>
      <c r="B991" s="59" t="s">
        <v>86</v>
      </c>
      <c r="C991" s="248"/>
      <c r="D991" s="59">
        <v>21010</v>
      </c>
      <c r="E991" s="60" t="s">
        <v>426</v>
      </c>
      <c r="F991" s="59" t="s">
        <v>3667</v>
      </c>
      <c r="G991" s="61">
        <v>6.7407000000000004</v>
      </c>
      <c r="H991" s="62">
        <v>45.84</v>
      </c>
      <c r="I991" s="62">
        <f t="shared" si="99"/>
        <v>308.99368800000002</v>
      </c>
      <c r="J991" s="62"/>
      <c r="K991" s="62">
        <v>0</v>
      </c>
      <c r="L991" s="62">
        <v>308.99368800000002</v>
      </c>
      <c r="M991" s="62">
        <v>0</v>
      </c>
      <c r="N991" s="62">
        <v>0</v>
      </c>
      <c r="O991" s="62">
        <v>0</v>
      </c>
      <c r="P991" s="298" t="s">
        <v>89</v>
      </c>
      <c r="Q991" s="60" t="s">
        <v>27</v>
      </c>
      <c r="R991" s="60"/>
      <c r="S991" s="286" t="str">
        <f t="shared" si="95"/>
        <v>SIM</v>
      </c>
      <c r="T991" s="286" t="str">
        <f>IF($C991= "", T990, IF(ISNA(VLOOKUP($C991,'ABC-S'!$A$5:$A$271,1,FALSE)), "", VLOOKUP($C991,'ABC-S'!$A$5:$A$271,1,FALSE)))</f>
        <v>CP9232</v>
      </c>
      <c r="W991" s="286" t="s">
        <v>445</v>
      </c>
      <c r="X991" s="286" t="s">
        <v>21</v>
      </c>
      <c r="Y991" s="286" t="s">
        <v>21</v>
      </c>
      <c r="Z991" s="286" t="s">
        <v>21</v>
      </c>
      <c r="AA991" s="286" t="s">
        <v>21</v>
      </c>
      <c r="AB991" s="378"/>
      <c r="AC991" s="381" t="s">
        <v>21</v>
      </c>
      <c r="AD991" s="378" t="s">
        <v>21</v>
      </c>
      <c r="AE991" s="378" t="s">
        <v>21</v>
      </c>
      <c r="AF991" s="378" t="s">
        <v>21</v>
      </c>
      <c r="AG991" s="378"/>
      <c r="AI991" s="378" t="s">
        <v>21</v>
      </c>
      <c r="AJ991" s="378" t="s">
        <v>21</v>
      </c>
      <c r="AL991" s="286"/>
      <c r="AM991" s="286">
        <v>21010</v>
      </c>
    </row>
    <row r="992" spans="1:39" s="51" customFormat="1" x14ac:dyDescent="0.25">
      <c r="A992" s="59" t="s">
        <v>72</v>
      </c>
      <c r="B992" s="59" t="s">
        <v>87</v>
      </c>
      <c r="C992" s="248"/>
      <c r="D992" s="59">
        <v>88315</v>
      </c>
      <c r="E992" s="60" t="s">
        <v>648</v>
      </c>
      <c r="F992" s="59" t="s">
        <v>46</v>
      </c>
      <c r="G992" s="61">
        <v>7</v>
      </c>
      <c r="H992" s="62">
        <v>23.78</v>
      </c>
      <c r="I992" s="62">
        <f t="shared" si="99"/>
        <v>166.46</v>
      </c>
      <c r="J992" s="62"/>
      <c r="K992" s="62">
        <v>123.62</v>
      </c>
      <c r="L992" s="62">
        <v>42.84</v>
      </c>
      <c r="M992" s="62">
        <v>0</v>
      </c>
      <c r="N992" s="62">
        <v>0</v>
      </c>
      <c r="O992" s="62">
        <v>0</v>
      </c>
      <c r="P992" s="298" t="s">
        <v>4160</v>
      </c>
      <c r="Q992" s="60" t="s">
        <v>27</v>
      </c>
      <c r="R992" s="60"/>
      <c r="S992" s="286" t="str">
        <f t="shared" si="95"/>
        <v>SIM</v>
      </c>
      <c r="T992" s="286" t="str">
        <f>IF($C992= "", T991, IF(ISNA(VLOOKUP($C992,'ABC-S'!$A$5:$A$271,1,FALSE)), "", VLOOKUP($C992,'ABC-S'!$A$5:$A$271,1,FALSE)))</f>
        <v>CP9232</v>
      </c>
      <c r="W992" s="286" t="s">
        <v>445</v>
      </c>
      <c r="X992" s="286">
        <v>88315</v>
      </c>
      <c r="Y992" s="286" t="s">
        <v>424</v>
      </c>
      <c r="Z992" s="335">
        <v>19.2</v>
      </c>
      <c r="AA992" s="286">
        <v>7</v>
      </c>
      <c r="AB992" s="378"/>
      <c r="AC992" s="381" t="s">
        <v>21</v>
      </c>
      <c r="AD992" s="378" t="s">
        <v>21</v>
      </c>
      <c r="AE992" s="378" t="s">
        <v>21</v>
      </c>
      <c r="AF992" s="378" t="s">
        <v>21</v>
      </c>
      <c r="AG992" s="378"/>
      <c r="AI992" s="378">
        <v>0</v>
      </c>
      <c r="AJ992" s="378">
        <v>0</v>
      </c>
      <c r="AL992" s="286">
        <v>88315</v>
      </c>
      <c r="AM992" s="286"/>
    </row>
    <row r="993" spans="1:39" s="51" customFormat="1" x14ac:dyDescent="0.25">
      <c r="A993" s="59" t="s">
        <v>72</v>
      </c>
      <c r="B993" s="59" t="s">
        <v>87</v>
      </c>
      <c r="C993" s="248"/>
      <c r="D993" s="59">
        <v>88316</v>
      </c>
      <c r="E993" s="60" t="s">
        <v>649</v>
      </c>
      <c r="F993" s="59" t="s">
        <v>46</v>
      </c>
      <c r="G993" s="61">
        <v>11.5</v>
      </c>
      <c r="H993" s="62">
        <v>17.61</v>
      </c>
      <c r="I993" s="62">
        <f t="shared" si="99"/>
        <v>202.51499999999999</v>
      </c>
      <c r="J993" s="62"/>
      <c r="K993" s="62">
        <v>133.4</v>
      </c>
      <c r="L993" s="62">
        <v>69.114999999999995</v>
      </c>
      <c r="M993" s="62">
        <v>0</v>
      </c>
      <c r="N993" s="62">
        <v>0</v>
      </c>
      <c r="O993" s="62">
        <v>0</v>
      </c>
      <c r="P993" s="298" t="s">
        <v>4160</v>
      </c>
      <c r="Q993" s="60" t="s">
        <v>27</v>
      </c>
      <c r="R993" s="60"/>
      <c r="S993" s="286" t="str">
        <f t="shared" si="95"/>
        <v>SIM</v>
      </c>
      <c r="T993" s="286" t="str">
        <f>IF($C993= "", T992, IF(ISNA(VLOOKUP($C993,'ABC-S'!$A$5:$A$271,1,FALSE)), "", VLOOKUP($C993,'ABC-S'!$A$5:$A$271,1,FALSE)))</f>
        <v>CP9232</v>
      </c>
      <c r="W993" s="286" t="s">
        <v>445</v>
      </c>
      <c r="X993" s="286">
        <v>88316</v>
      </c>
      <c r="Y993" s="286" t="s">
        <v>424</v>
      </c>
      <c r="Z993" s="335">
        <v>19.2</v>
      </c>
      <c r="AA993" s="286">
        <v>11.5</v>
      </c>
      <c r="AB993" s="378"/>
      <c r="AC993" s="381" t="s">
        <v>21</v>
      </c>
      <c r="AD993" s="378" t="s">
        <v>21</v>
      </c>
      <c r="AE993" s="378" t="s">
        <v>21</v>
      </c>
      <c r="AF993" s="378" t="s">
        <v>21</v>
      </c>
      <c r="AG993" s="378"/>
      <c r="AI993" s="378">
        <v>0</v>
      </c>
      <c r="AJ993" s="378">
        <v>0</v>
      </c>
      <c r="AL993" s="286">
        <v>88316</v>
      </c>
      <c r="AM993" s="286"/>
    </row>
    <row r="994" spans="1:39" s="51" customFormat="1" x14ac:dyDescent="0.25">
      <c r="A994" s="59" t="s">
        <v>72</v>
      </c>
      <c r="B994" s="59" t="s">
        <v>87</v>
      </c>
      <c r="C994" s="248"/>
      <c r="D994" s="59">
        <v>88317</v>
      </c>
      <c r="E994" s="60" t="s">
        <v>651</v>
      </c>
      <c r="F994" s="59" t="s">
        <v>46</v>
      </c>
      <c r="G994" s="61">
        <v>4.5</v>
      </c>
      <c r="H994" s="62">
        <v>24.44</v>
      </c>
      <c r="I994" s="62">
        <f t="shared" si="99"/>
        <v>109.98</v>
      </c>
      <c r="J994" s="62"/>
      <c r="K994" s="62">
        <v>79.47</v>
      </c>
      <c r="L994" s="62">
        <v>30.51</v>
      </c>
      <c r="M994" s="62">
        <v>0</v>
      </c>
      <c r="N994" s="62">
        <v>0</v>
      </c>
      <c r="O994" s="62">
        <v>0</v>
      </c>
      <c r="P994" s="298" t="s">
        <v>4160</v>
      </c>
      <c r="Q994" s="60" t="s">
        <v>27</v>
      </c>
      <c r="R994" s="60"/>
      <c r="S994" s="286" t="str">
        <f t="shared" si="95"/>
        <v>SIM</v>
      </c>
      <c r="T994" s="286" t="str">
        <f>IF($C994= "", T993, IF(ISNA(VLOOKUP($C994,'ABC-S'!$A$5:$A$271,1,FALSE)), "", VLOOKUP($C994,'ABC-S'!$A$5:$A$271,1,FALSE)))</f>
        <v>CP9232</v>
      </c>
      <c r="W994" s="286" t="s">
        <v>445</v>
      </c>
      <c r="X994" s="286">
        <v>88317</v>
      </c>
      <c r="Y994" s="286" t="s">
        <v>424</v>
      </c>
      <c r="Z994" s="335">
        <v>19.2</v>
      </c>
      <c r="AA994" s="286">
        <v>4.5</v>
      </c>
      <c r="AB994" s="378"/>
      <c r="AC994" s="381" t="s">
        <v>21</v>
      </c>
      <c r="AD994" s="378" t="s">
        <v>21</v>
      </c>
      <c r="AE994" s="378" t="s">
        <v>21</v>
      </c>
      <c r="AF994" s="378" t="s">
        <v>21</v>
      </c>
      <c r="AG994" s="378"/>
      <c r="AI994" s="378">
        <v>0</v>
      </c>
      <c r="AJ994" s="378">
        <v>0</v>
      </c>
      <c r="AL994" s="286">
        <v>88317</v>
      </c>
      <c r="AM994" s="286"/>
    </row>
    <row r="995" spans="1:39" s="51" customFormat="1" ht="45" x14ac:dyDescent="0.25">
      <c r="A995" s="59" t="s">
        <v>72</v>
      </c>
      <c r="B995" s="59" t="s">
        <v>87</v>
      </c>
      <c r="C995" s="248"/>
      <c r="D995" s="59">
        <v>98764</v>
      </c>
      <c r="E995" s="60" t="s">
        <v>437</v>
      </c>
      <c r="F995" s="59" t="s">
        <v>76</v>
      </c>
      <c r="G995" s="61">
        <v>3.82</v>
      </c>
      <c r="H995" s="62">
        <v>3.14</v>
      </c>
      <c r="I995" s="62">
        <f t="shared" si="99"/>
        <v>11.9948</v>
      </c>
      <c r="J995" s="62"/>
      <c r="K995" s="62">
        <v>0</v>
      </c>
      <c r="L995" s="62">
        <v>0</v>
      </c>
      <c r="M995" s="62">
        <v>0.61119999999999997</v>
      </c>
      <c r="N995" s="62">
        <v>0</v>
      </c>
      <c r="O995" s="62">
        <v>11.383599999999999</v>
      </c>
      <c r="P995" s="298" t="s">
        <v>4160</v>
      </c>
      <c r="Q995" s="60" t="s">
        <v>27</v>
      </c>
      <c r="R995" s="60"/>
      <c r="S995" s="286" t="str">
        <f t="shared" si="95"/>
        <v>SIM</v>
      </c>
      <c r="T995" s="286" t="str">
        <f>IF($C995= "", T994, IF(ISNA(VLOOKUP($C995,'ABC-S'!$A$5:$A$271,1,FALSE)), "", VLOOKUP($C995,'ABC-S'!$A$5:$A$271,1,FALSE)))</f>
        <v>CP9232</v>
      </c>
      <c r="W995" s="286" t="s">
        <v>445</v>
      </c>
      <c r="X995" s="286" t="s">
        <v>21</v>
      </c>
      <c r="Y995" s="286" t="s">
        <v>423</v>
      </c>
      <c r="Z995" s="335" t="s">
        <v>21</v>
      </c>
      <c r="AA995" s="286" t="s">
        <v>21</v>
      </c>
      <c r="AB995" s="378"/>
      <c r="AC995" s="381">
        <v>98764</v>
      </c>
      <c r="AD995" s="378">
        <v>3.82</v>
      </c>
      <c r="AE995" s="378">
        <v>0</v>
      </c>
      <c r="AF995" s="378">
        <v>0</v>
      </c>
      <c r="AG995" s="378"/>
      <c r="AI995" s="378">
        <v>0</v>
      </c>
      <c r="AJ995" s="378">
        <v>0</v>
      </c>
      <c r="AL995" s="286">
        <v>98764</v>
      </c>
      <c r="AM995" s="286"/>
    </row>
    <row r="996" spans="1:39" s="51" customFormat="1" ht="45" x14ac:dyDescent="0.25">
      <c r="A996" s="59" t="s">
        <v>72</v>
      </c>
      <c r="B996" s="59" t="s">
        <v>87</v>
      </c>
      <c r="C996" s="248"/>
      <c r="D996" s="59">
        <v>98765</v>
      </c>
      <c r="E996" s="60" t="s">
        <v>438</v>
      </c>
      <c r="F996" s="59" t="s">
        <v>75</v>
      </c>
      <c r="G996" s="61">
        <v>0.67</v>
      </c>
      <c r="H996" s="62">
        <v>0.08</v>
      </c>
      <c r="I996" s="62">
        <f t="shared" si="99"/>
        <v>5.3600000000000002E-2</v>
      </c>
      <c r="J996" s="62"/>
      <c r="K996" s="62">
        <v>0</v>
      </c>
      <c r="L996" s="62">
        <v>0</v>
      </c>
      <c r="M996" s="62">
        <v>5.3600000000000002E-2</v>
      </c>
      <c r="N996" s="62">
        <v>0</v>
      </c>
      <c r="O996" s="62">
        <v>0</v>
      </c>
      <c r="P996" s="298" t="s">
        <v>4160</v>
      </c>
      <c r="Q996" s="60" t="s">
        <v>27</v>
      </c>
      <c r="R996" s="60"/>
      <c r="S996" s="286" t="str">
        <f t="shared" si="95"/>
        <v>SIM</v>
      </c>
      <c r="T996" s="286" t="str">
        <f>IF($C996= "", T995, IF(ISNA(VLOOKUP($C996,'ABC-S'!$A$5:$A$271,1,FALSE)), "", VLOOKUP($C996,'ABC-S'!$A$5:$A$271,1,FALSE)))</f>
        <v>CP9232</v>
      </c>
      <c r="W996" s="286" t="s">
        <v>445</v>
      </c>
      <c r="X996" s="286" t="s">
        <v>21</v>
      </c>
      <c r="Y996" s="286" t="s">
        <v>423</v>
      </c>
      <c r="Z996" s="335" t="s">
        <v>21</v>
      </c>
      <c r="AA996" s="286" t="s">
        <v>21</v>
      </c>
      <c r="AB996" s="378"/>
      <c r="AC996" s="381">
        <v>98765</v>
      </c>
      <c r="AD996" s="378">
        <v>0.67</v>
      </c>
      <c r="AE996" s="378">
        <v>0</v>
      </c>
      <c r="AF996" s="378">
        <v>0</v>
      </c>
      <c r="AG996" s="378"/>
      <c r="AI996" s="378">
        <v>0</v>
      </c>
      <c r="AJ996" s="378">
        <v>0</v>
      </c>
      <c r="AL996" s="286">
        <v>98765</v>
      </c>
      <c r="AM996" s="286"/>
    </row>
    <row r="997" spans="1:39" s="51" customFormat="1" ht="33.75" x14ac:dyDescent="0.25">
      <c r="A997" s="55" t="s">
        <v>3039</v>
      </c>
      <c r="B997" s="55" t="s">
        <v>37</v>
      </c>
      <c r="C997" s="55" t="s">
        <v>3039</v>
      </c>
      <c r="D997" s="55"/>
      <c r="E997" s="56" t="s">
        <v>3040</v>
      </c>
      <c r="F997" s="55" t="s">
        <v>41</v>
      </c>
      <c r="G997" s="57"/>
      <c r="H997" s="58"/>
      <c r="I997" s="58"/>
      <c r="J997" s="58">
        <f>SUM(I997:I1004)</f>
        <v>152.16919999999999</v>
      </c>
      <c r="K997" s="58">
        <v>40.86</v>
      </c>
      <c r="L997" s="58">
        <v>111.30919999999999</v>
      </c>
      <c r="M997" s="58">
        <v>0</v>
      </c>
      <c r="N997" s="58">
        <v>0</v>
      </c>
      <c r="O997" s="58">
        <v>0</v>
      </c>
      <c r="P997" s="58"/>
      <c r="Q997" s="56"/>
      <c r="R997" s="56" t="s">
        <v>3041</v>
      </c>
      <c r="S997" s="286" t="str">
        <f t="shared" si="95"/>
        <v>SIM</v>
      </c>
      <c r="T997" s="286" t="str">
        <f>IF($C997= "", T996, IF(ISNA(VLOOKUP($C997,'ABC-S'!$A$5:$A$271,1,FALSE)), "", VLOOKUP($C997,'ABC-S'!$A$5:$A$271,1,FALSE)))</f>
        <v>CP9233</v>
      </c>
      <c r="W997" s="286" t="s">
        <v>3039</v>
      </c>
      <c r="X997" s="286"/>
      <c r="Y997" s="286"/>
      <c r="Z997" s="286"/>
      <c r="AA997" s="286" t="s">
        <v>21</v>
      </c>
      <c r="AB997" s="378">
        <v>3</v>
      </c>
      <c r="AC997" s="378"/>
      <c r="AD997" s="335"/>
      <c r="AE997" s="335"/>
      <c r="AF997" s="335"/>
      <c r="AG997" s="378">
        <v>3</v>
      </c>
      <c r="AI997" s="378" t="s">
        <v>21</v>
      </c>
      <c r="AJ997" s="378" t="s">
        <v>21</v>
      </c>
      <c r="AL997" s="286"/>
      <c r="AM997" s="286"/>
    </row>
    <row r="998" spans="1:39" s="51" customFormat="1" ht="22.5" x14ac:dyDescent="0.25">
      <c r="A998" s="59" t="s">
        <v>3039</v>
      </c>
      <c r="B998" s="59" t="s">
        <v>86</v>
      </c>
      <c r="C998" s="248"/>
      <c r="D998" s="59">
        <v>4517</v>
      </c>
      <c r="E998" s="60" t="s">
        <v>1179</v>
      </c>
      <c r="F998" s="59" t="s">
        <v>3667</v>
      </c>
      <c r="G998" s="61">
        <f>0.6 * 4 * (1 + 10%)</f>
        <v>2.64</v>
      </c>
      <c r="H998" s="62">
        <v>2.27</v>
      </c>
      <c r="I998" s="62">
        <f>IF($D998="","",G998*H998)</f>
        <v>5.9927999999999999</v>
      </c>
      <c r="J998" s="62"/>
      <c r="K998" s="62">
        <v>0</v>
      </c>
      <c r="L998" s="62">
        <v>5.9927999999999999</v>
      </c>
      <c r="M998" s="62">
        <v>0</v>
      </c>
      <c r="N998" s="62">
        <v>0</v>
      </c>
      <c r="O998" s="62">
        <v>0</v>
      </c>
      <c r="P998" s="298" t="s">
        <v>89</v>
      </c>
      <c r="Q998" s="60" t="s">
        <v>27</v>
      </c>
      <c r="R998" s="60" t="s">
        <v>3042</v>
      </c>
      <c r="S998" s="286" t="str">
        <f t="shared" si="95"/>
        <v>SIM</v>
      </c>
      <c r="T998" s="286" t="str">
        <f>IF($C998= "", T997, IF(ISNA(VLOOKUP($C998,'ABC-S'!$A$5:$A$271,1,FALSE)), "", VLOOKUP($C998,'ABC-S'!$A$5:$A$271,1,FALSE)))</f>
        <v>CP9233</v>
      </c>
      <c r="W998" s="286" t="s">
        <v>3039</v>
      </c>
      <c r="X998" s="286" t="s">
        <v>21</v>
      </c>
      <c r="Y998" s="286" t="s">
        <v>21</v>
      </c>
      <c r="Z998" s="286" t="s">
        <v>21</v>
      </c>
      <c r="AA998" s="286" t="s">
        <v>21</v>
      </c>
      <c r="AB998" s="378"/>
      <c r="AC998" s="381" t="s">
        <v>21</v>
      </c>
      <c r="AD998" s="378" t="s">
        <v>21</v>
      </c>
      <c r="AE998" s="378" t="s">
        <v>21</v>
      </c>
      <c r="AF998" s="378" t="s">
        <v>21</v>
      </c>
      <c r="AG998" s="378"/>
      <c r="AI998" s="378" t="s">
        <v>21</v>
      </c>
      <c r="AJ998" s="378" t="s">
        <v>21</v>
      </c>
      <c r="AL998" s="286"/>
      <c r="AM998" s="286">
        <v>4517</v>
      </c>
    </row>
    <row r="999" spans="1:39" s="51" customFormat="1" ht="33.75" x14ac:dyDescent="0.25">
      <c r="A999" s="59" t="s">
        <v>3039</v>
      </c>
      <c r="B999" s="59" t="s">
        <v>86</v>
      </c>
      <c r="C999" s="248"/>
      <c r="D999" s="59">
        <v>4433</v>
      </c>
      <c r="E999" s="60" t="s">
        <v>1473</v>
      </c>
      <c r="F999" s="59" t="s">
        <v>3667</v>
      </c>
      <c r="G999" s="61">
        <v>0</v>
      </c>
      <c r="H999" s="62">
        <v>23.37</v>
      </c>
      <c r="I999" s="62">
        <f t="shared" ref="I999:I1004" si="100">IF($D999="","",G999*H999)</f>
        <v>0</v>
      </c>
      <c r="J999" s="62"/>
      <c r="K999" s="62">
        <v>0</v>
      </c>
      <c r="L999" s="62">
        <v>0</v>
      </c>
      <c r="M999" s="62">
        <v>0</v>
      </c>
      <c r="N999" s="62">
        <v>0</v>
      </c>
      <c r="O999" s="62">
        <v>0</v>
      </c>
      <c r="P999" s="298" t="s">
        <v>719</v>
      </c>
      <c r="Q999" s="60" t="s">
        <v>27</v>
      </c>
      <c r="R999" s="60" t="s">
        <v>3043</v>
      </c>
      <c r="S999" s="286" t="str">
        <f t="shared" si="95"/>
        <v>SIM</v>
      </c>
      <c r="T999" s="286" t="str">
        <f>IF($C999= "", T998, IF(ISNA(VLOOKUP($C999,'ABC-S'!$A$5:$A$271,1,FALSE)), "", VLOOKUP($C999,'ABC-S'!$A$5:$A$271,1,FALSE)))</f>
        <v>CP9233</v>
      </c>
      <c r="W999" s="286" t="s">
        <v>3039</v>
      </c>
      <c r="X999" s="286" t="s">
        <v>21</v>
      </c>
      <c r="Y999" s="286" t="s">
        <v>21</v>
      </c>
      <c r="Z999" s="286" t="s">
        <v>21</v>
      </c>
      <c r="AA999" s="286" t="s">
        <v>21</v>
      </c>
      <c r="AB999" s="378"/>
      <c r="AC999" s="381" t="s">
        <v>21</v>
      </c>
      <c r="AD999" s="378" t="s">
        <v>21</v>
      </c>
      <c r="AE999" s="378" t="s">
        <v>21</v>
      </c>
      <c r="AF999" s="378" t="s">
        <v>21</v>
      </c>
      <c r="AG999" s="378"/>
      <c r="AI999" s="378" t="s">
        <v>21</v>
      </c>
      <c r="AJ999" s="378" t="s">
        <v>21</v>
      </c>
      <c r="AL999" s="286"/>
      <c r="AM999" s="286">
        <v>4433</v>
      </c>
    </row>
    <row r="1000" spans="1:39" s="51" customFormat="1" ht="33.75" x14ac:dyDescent="0.25">
      <c r="A1000" s="59" t="s">
        <v>3039</v>
      </c>
      <c r="B1000" s="59" t="s">
        <v>86</v>
      </c>
      <c r="C1000" s="248"/>
      <c r="D1000" s="59">
        <v>4813</v>
      </c>
      <c r="E1000" s="60" t="s">
        <v>705</v>
      </c>
      <c r="F1000" s="59" t="s">
        <v>3665</v>
      </c>
      <c r="G1000" s="61">
        <f>(0.6 * 0.6) * (1 + 5%)</f>
        <v>0.378</v>
      </c>
      <c r="H1000" s="62">
        <v>225</v>
      </c>
      <c r="I1000" s="62">
        <f t="shared" si="100"/>
        <v>85.05</v>
      </c>
      <c r="J1000" s="62"/>
      <c r="K1000" s="62">
        <v>0</v>
      </c>
      <c r="L1000" s="62">
        <v>85.05</v>
      </c>
      <c r="M1000" s="62">
        <v>0</v>
      </c>
      <c r="N1000" s="62">
        <v>0</v>
      </c>
      <c r="O1000" s="62">
        <v>0</v>
      </c>
      <c r="P1000" s="298" t="s">
        <v>89</v>
      </c>
      <c r="Q1000" s="60" t="s">
        <v>27</v>
      </c>
      <c r="R1000" s="60" t="s">
        <v>3042</v>
      </c>
      <c r="S1000" s="286" t="str">
        <f t="shared" si="95"/>
        <v>SIM</v>
      </c>
      <c r="T1000" s="286" t="str">
        <f>IF($C1000= "", T999, IF(ISNA(VLOOKUP($C1000,'ABC-S'!$A$5:$A$271,1,FALSE)), "", VLOOKUP($C1000,'ABC-S'!$A$5:$A$271,1,FALSE)))</f>
        <v>CP9233</v>
      </c>
      <c r="W1000" s="286" t="s">
        <v>3039</v>
      </c>
      <c r="X1000" s="286" t="s">
        <v>21</v>
      </c>
      <c r="Y1000" s="286" t="s">
        <v>21</v>
      </c>
      <c r="Z1000" s="286" t="s">
        <v>21</v>
      </c>
      <c r="AA1000" s="286" t="s">
        <v>21</v>
      </c>
      <c r="AB1000" s="378"/>
      <c r="AC1000" s="381" t="s">
        <v>21</v>
      </c>
      <c r="AD1000" s="378" t="s">
        <v>21</v>
      </c>
      <c r="AE1000" s="378" t="s">
        <v>21</v>
      </c>
      <c r="AF1000" s="378" t="s">
        <v>21</v>
      </c>
      <c r="AG1000" s="378"/>
      <c r="AI1000" s="378" t="s">
        <v>21</v>
      </c>
      <c r="AJ1000" s="378" t="s">
        <v>21</v>
      </c>
      <c r="AL1000" s="286"/>
      <c r="AM1000" s="286">
        <v>4813</v>
      </c>
    </row>
    <row r="1001" spans="1:39" s="51" customFormat="1" x14ac:dyDescent="0.25">
      <c r="A1001" s="59" t="s">
        <v>3039</v>
      </c>
      <c r="B1001" s="59" t="s">
        <v>86</v>
      </c>
      <c r="C1001" s="248"/>
      <c r="D1001" s="59">
        <v>5068</v>
      </c>
      <c r="E1001" s="60" t="s">
        <v>93</v>
      </c>
      <c r="F1001" s="59" t="s">
        <v>3669</v>
      </c>
      <c r="G1001" s="61">
        <v>0.11</v>
      </c>
      <c r="H1001" s="62">
        <v>20.239999999999998</v>
      </c>
      <c r="I1001" s="62">
        <f t="shared" si="100"/>
        <v>2.2263999999999999</v>
      </c>
      <c r="J1001" s="62"/>
      <c r="K1001" s="62">
        <v>0</v>
      </c>
      <c r="L1001" s="62">
        <v>2.2263999999999999</v>
      </c>
      <c r="M1001" s="62">
        <v>0</v>
      </c>
      <c r="N1001" s="62">
        <v>0</v>
      </c>
      <c r="O1001" s="62">
        <v>0</v>
      </c>
      <c r="P1001" s="298" t="s">
        <v>89</v>
      </c>
      <c r="Q1001" s="60" t="s">
        <v>27</v>
      </c>
      <c r="R1001" s="60" t="s">
        <v>27</v>
      </c>
      <c r="S1001" s="286" t="str">
        <f t="shared" si="95"/>
        <v>SIM</v>
      </c>
      <c r="T1001" s="286" t="str">
        <f>IF($C1001= "", T1000, IF(ISNA(VLOOKUP($C1001,'ABC-S'!$A$5:$A$271,1,FALSE)), "", VLOOKUP($C1001,'ABC-S'!$A$5:$A$271,1,FALSE)))</f>
        <v>CP9233</v>
      </c>
      <c r="W1001" s="286" t="s">
        <v>3039</v>
      </c>
      <c r="X1001" s="286" t="s">
        <v>21</v>
      </c>
      <c r="Y1001" s="286" t="s">
        <v>21</v>
      </c>
      <c r="Z1001" s="286" t="s">
        <v>21</v>
      </c>
      <c r="AA1001" s="286" t="s">
        <v>21</v>
      </c>
      <c r="AB1001" s="378"/>
      <c r="AC1001" s="381" t="s">
        <v>21</v>
      </c>
      <c r="AD1001" s="378" t="s">
        <v>21</v>
      </c>
      <c r="AE1001" s="378" t="s">
        <v>21</v>
      </c>
      <c r="AF1001" s="378" t="s">
        <v>21</v>
      </c>
      <c r="AG1001" s="378"/>
      <c r="AI1001" s="378" t="s">
        <v>21</v>
      </c>
      <c r="AJ1001" s="378" t="s">
        <v>21</v>
      </c>
      <c r="AL1001" s="286"/>
      <c r="AM1001" s="286">
        <v>5068</v>
      </c>
    </row>
    <row r="1002" spans="1:39" s="51" customFormat="1" ht="22.5" x14ac:dyDescent="0.25">
      <c r="A1002" s="59" t="s">
        <v>3039</v>
      </c>
      <c r="B1002" s="59" t="s">
        <v>87</v>
      </c>
      <c r="C1002" s="248"/>
      <c r="D1002" s="59">
        <v>88262</v>
      </c>
      <c r="E1002" s="60" t="s">
        <v>535</v>
      </c>
      <c r="F1002" s="59" t="s">
        <v>46</v>
      </c>
      <c r="G1002" s="61">
        <v>1</v>
      </c>
      <c r="H1002" s="62">
        <v>23.68</v>
      </c>
      <c r="I1002" s="62">
        <f t="shared" si="100"/>
        <v>23.68</v>
      </c>
      <c r="J1002" s="62"/>
      <c r="K1002" s="62">
        <v>17.66</v>
      </c>
      <c r="L1002" s="62">
        <v>6.02</v>
      </c>
      <c r="M1002" s="62">
        <v>0</v>
      </c>
      <c r="N1002" s="62">
        <v>0</v>
      </c>
      <c r="O1002" s="62">
        <v>0</v>
      </c>
      <c r="P1002" s="298" t="s">
        <v>4160</v>
      </c>
      <c r="Q1002" s="60" t="s">
        <v>27</v>
      </c>
      <c r="R1002" s="60" t="s">
        <v>27</v>
      </c>
      <c r="S1002" s="286" t="str">
        <f t="shared" si="95"/>
        <v>SIM</v>
      </c>
      <c r="T1002" s="286" t="str">
        <f>IF($C1002= "", T1001, IF(ISNA(VLOOKUP($C1002,'ABC-S'!$A$5:$A$271,1,FALSE)), "", VLOOKUP($C1002,'ABC-S'!$A$5:$A$271,1,FALSE)))</f>
        <v>CP9233</v>
      </c>
      <c r="W1002" s="286" t="s">
        <v>3039</v>
      </c>
      <c r="X1002" s="286">
        <v>88262</v>
      </c>
      <c r="Y1002" s="286" t="s">
        <v>424</v>
      </c>
      <c r="Z1002" s="335">
        <v>60</v>
      </c>
      <c r="AA1002" s="286">
        <v>1</v>
      </c>
      <c r="AB1002" s="378"/>
      <c r="AC1002" s="381" t="s">
        <v>21</v>
      </c>
      <c r="AD1002" s="378" t="s">
        <v>21</v>
      </c>
      <c r="AE1002" s="378" t="s">
        <v>21</v>
      </c>
      <c r="AF1002" s="378" t="s">
        <v>21</v>
      </c>
      <c r="AG1002" s="378"/>
      <c r="AI1002" s="378">
        <v>0</v>
      </c>
      <c r="AJ1002" s="378">
        <v>0</v>
      </c>
      <c r="AL1002" s="286">
        <v>88262</v>
      </c>
      <c r="AM1002" s="286"/>
    </row>
    <row r="1003" spans="1:39" s="51" customFormat="1" x14ac:dyDescent="0.25">
      <c r="A1003" s="59" t="s">
        <v>3039</v>
      </c>
      <c r="B1003" s="59" t="s">
        <v>87</v>
      </c>
      <c r="C1003" s="248"/>
      <c r="D1003" s="59">
        <v>88316</v>
      </c>
      <c r="E1003" s="60" t="s">
        <v>649</v>
      </c>
      <c r="F1003" s="59" t="s">
        <v>46</v>
      </c>
      <c r="G1003" s="61">
        <v>2</v>
      </c>
      <c r="H1003" s="62">
        <v>17.61</v>
      </c>
      <c r="I1003" s="62">
        <f t="shared" si="100"/>
        <v>35.22</v>
      </c>
      <c r="J1003" s="62"/>
      <c r="K1003" s="62">
        <v>23.2</v>
      </c>
      <c r="L1003" s="62">
        <v>12.02</v>
      </c>
      <c r="M1003" s="62">
        <v>0</v>
      </c>
      <c r="N1003" s="62">
        <v>0</v>
      </c>
      <c r="O1003" s="62">
        <v>0</v>
      </c>
      <c r="P1003" s="298" t="s">
        <v>4160</v>
      </c>
      <c r="Q1003" s="60" t="s">
        <v>27</v>
      </c>
      <c r="R1003" s="60" t="s">
        <v>27</v>
      </c>
      <c r="S1003" s="286" t="str">
        <f t="shared" si="95"/>
        <v>SIM</v>
      </c>
      <c r="T1003" s="286" t="str">
        <f>IF($C1003= "", T1002, IF(ISNA(VLOOKUP($C1003,'ABC-S'!$A$5:$A$271,1,FALSE)), "", VLOOKUP($C1003,'ABC-S'!$A$5:$A$271,1,FALSE)))</f>
        <v>CP9233</v>
      </c>
      <c r="W1003" s="286" t="s">
        <v>3039</v>
      </c>
      <c r="X1003" s="286">
        <v>88316</v>
      </c>
      <c r="Y1003" s="286" t="s">
        <v>424</v>
      </c>
      <c r="Z1003" s="335">
        <v>60</v>
      </c>
      <c r="AA1003" s="286">
        <v>2</v>
      </c>
      <c r="AB1003" s="378"/>
      <c r="AC1003" s="381" t="s">
        <v>21</v>
      </c>
      <c r="AD1003" s="378" t="s">
        <v>21</v>
      </c>
      <c r="AE1003" s="378" t="s">
        <v>21</v>
      </c>
      <c r="AF1003" s="378" t="s">
        <v>21</v>
      </c>
      <c r="AG1003" s="378"/>
      <c r="AI1003" s="378">
        <v>0</v>
      </c>
      <c r="AJ1003" s="378">
        <v>0</v>
      </c>
      <c r="AL1003" s="286">
        <v>88316</v>
      </c>
      <c r="AM1003" s="286"/>
    </row>
    <row r="1004" spans="1:39" s="51" customFormat="1" ht="33.75" x14ac:dyDescent="0.25">
      <c r="A1004" s="59" t="s">
        <v>3039</v>
      </c>
      <c r="B1004" s="59" t="s">
        <v>87</v>
      </c>
      <c r="C1004" s="248"/>
      <c r="D1004" s="59">
        <v>94968</v>
      </c>
      <c r="E1004" s="60" t="s">
        <v>3660</v>
      </c>
      <c r="F1004" s="59" t="s">
        <v>44</v>
      </c>
      <c r="G1004" s="61">
        <v>0</v>
      </c>
      <c r="H1004" s="62">
        <v>326.63</v>
      </c>
      <c r="I1004" s="62">
        <f t="shared" si="100"/>
        <v>0</v>
      </c>
      <c r="J1004" s="62"/>
      <c r="K1004" s="62">
        <v>0</v>
      </c>
      <c r="L1004" s="62">
        <v>0</v>
      </c>
      <c r="M1004" s="62">
        <v>0</v>
      </c>
      <c r="N1004" s="62">
        <v>0</v>
      </c>
      <c r="O1004" s="62">
        <v>0</v>
      </c>
      <c r="P1004" s="298" t="s">
        <v>4160</v>
      </c>
      <c r="Q1004" s="60" t="s">
        <v>27</v>
      </c>
      <c r="R1004" s="60" t="s">
        <v>3043</v>
      </c>
      <c r="S1004" s="286" t="str">
        <f t="shared" si="95"/>
        <v>SIM</v>
      </c>
      <c r="T1004" s="286" t="str">
        <f>IF($C1004= "", T1003, IF(ISNA(VLOOKUP($C1004,'ABC-S'!$A$5:$A$271,1,FALSE)), "", VLOOKUP($C1004,'ABC-S'!$A$5:$A$271,1,FALSE)))</f>
        <v>CP9233</v>
      </c>
      <c r="W1004" s="286" t="s">
        <v>3039</v>
      </c>
      <c r="X1004" s="286" t="s">
        <v>21</v>
      </c>
      <c r="Y1004" s="286" t="s">
        <v>1513</v>
      </c>
      <c r="Z1004" s="335" t="s">
        <v>21</v>
      </c>
      <c r="AA1004" s="286" t="s">
        <v>21</v>
      </c>
      <c r="AB1004" s="378"/>
      <c r="AC1004" s="381">
        <v>94968</v>
      </c>
      <c r="AD1004" s="378">
        <v>0</v>
      </c>
      <c r="AE1004" s="378">
        <v>3.4372999999999996</v>
      </c>
      <c r="AF1004" s="378">
        <v>0</v>
      </c>
      <c r="AG1004" s="378"/>
      <c r="AI1004" s="378">
        <v>2.6629999999999998</v>
      </c>
      <c r="AJ1004" s="378">
        <v>0</v>
      </c>
      <c r="AL1004" s="286">
        <v>94968</v>
      </c>
      <c r="AM1004" s="286"/>
    </row>
    <row r="1005" spans="1:39" hidden="1" x14ac:dyDescent="0.25">
      <c r="T1005" s="50"/>
      <c r="Z1005" s="50"/>
      <c r="AI1005" s="377" t="s">
        <v>21</v>
      </c>
      <c r="AJ1005" s="377" t="s">
        <v>21</v>
      </c>
      <c r="AL1005" s="50"/>
      <c r="AM1005" s="50"/>
    </row>
    <row r="1006" spans="1:39" s="51" customFormat="1" ht="45" x14ac:dyDescent="0.25">
      <c r="A1006" s="55">
        <v>72850</v>
      </c>
      <c r="B1006" s="55" t="s">
        <v>1311</v>
      </c>
      <c r="C1006" s="55">
        <v>72850</v>
      </c>
      <c r="D1006" s="55"/>
      <c r="E1006" s="56" t="s">
        <v>1312</v>
      </c>
      <c r="F1006" s="55" t="s">
        <v>55</v>
      </c>
      <c r="G1006" s="57"/>
      <c r="H1006" s="58"/>
      <c r="I1006" s="58"/>
      <c r="J1006" s="58">
        <f>SUM(I1006:I1007)</f>
        <v>11.844150000000001</v>
      </c>
      <c r="K1006" s="58">
        <v>1.218135</v>
      </c>
      <c r="L1006" s="58">
        <v>7.9250430000000005</v>
      </c>
      <c r="M1006" s="58">
        <v>2.7009719999999997</v>
      </c>
      <c r="N1006" s="58">
        <v>0</v>
      </c>
      <c r="O1006" s="58">
        <v>0</v>
      </c>
      <c r="P1006" s="58"/>
      <c r="Q1006" s="56"/>
      <c r="R1006" s="56" t="s">
        <v>1514</v>
      </c>
      <c r="S1006" s="286" t="str">
        <f>IF(COUNTBLANK(T1006:U1006)=COUNTA($T$3:$U$3),"","SIM")</f>
        <v>SIM</v>
      </c>
      <c r="T1006" s="286">
        <f>IFERROR(VLOOKUP($A1006,'ABC-S'!$A$5:$A$270,1,FALSE),"")</f>
        <v>72850</v>
      </c>
      <c r="W1006" s="286">
        <v>72850</v>
      </c>
      <c r="X1006" s="286"/>
      <c r="Y1006" s="286"/>
      <c r="Z1006" s="286"/>
      <c r="AA1006" s="286" t="s">
        <v>21</v>
      </c>
      <c r="AB1006" s="378">
        <v>0</v>
      </c>
      <c r="AC1006" s="378"/>
      <c r="AD1006" s="335"/>
      <c r="AE1006" s="335"/>
      <c r="AF1006" s="335"/>
      <c r="AG1006" s="378">
        <v>8.43E-2</v>
      </c>
      <c r="AI1006" s="378" t="s">
        <v>21</v>
      </c>
      <c r="AJ1006" s="378" t="s">
        <v>21</v>
      </c>
      <c r="AL1006" s="286"/>
      <c r="AM1006" s="286"/>
    </row>
    <row r="1007" spans="1:39" s="51" customFormat="1" ht="56.25" x14ac:dyDescent="0.25">
      <c r="A1007" s="59">
        <v>72850</v>
      </c>
      <c r="B1007" s="59" t="s">
        <v>87</v>
      </c>
      <c r="C1007" s="248"/>
      <c r="D1007" s="59">
        <v>5824</v>
      </c>
      <c r="E1007" s="60" t="s">
        <v>534</v>
      </c>
      <c r="F1007" s="59" t="s">
        <v>76</v>
      </c>
      <c r="G1007" s="61">
        <v>8.43E-2</v>
      </c>
      <c r="H1007" s="62">
        <v>140.5</v>
      </c>
      <c r="I1007" s="62">
        <f>IF($D1007="","",G1007*H1007)</f>
        <v>11.844150000000001</v>
      </c>
      <c r="J1007" s="62"/>
      <c r="K1007" s="62">
        <v>1.218135</v>
      </c>
      <c r="L1007" s="62">
        <v>7.9250430000000005</v>
      </c>
      <c r="M1007" s="62">
        <v>2.7009719999999997</v>
      </c>
      <c r="N1007" s="62">
        <v>0</v>
      </c>
      <c r="O1007" s="62">
        <v>0</v>
      </c>
      <c r="P1007" s="298" t="s">
        <v>4160</v>
      </c>
      <c r="Q1007" s="60" t="s">
        <v>27</v>
      </c>
      <c r="R1007" s="60"/>
      <c r="S1007" s="286" t="str">
        <f>IF(COUNTBLANK(T1007:U1007)=COUNTA($T$3:$U$3),"","SIM")</f>
        <v>SIM</v>
      </c>
      <c r="T1007" s="286">
        <f>IFERROR(VLOOKUP($A1007,'ABC-S'!$A$5:$A$270,1,FALSE),"")</f>
        <v>72850</v>
      </c>
      <c r="W1007" s="286">
        <v>72850</v>
      </c>
      <c r="X1007" s="286" t="s">
        <v>21</v>
      </c>
      <c r="Y1007" s="286" t="s">
        <v>423</v>
      </c>
      <c r="Z1007" s="335" t="s">
        <v>21</v>
      </c>
      <c r="AA1007" s="286" t="s">
        <v>21</v>
      </c>
      <c r="AB1007" s="378"/>
      <c r="AC1007" s="381">
        <v>5824</v>
      </c>
      <c r="AD1007" s="378">
        <v>8.43E-2</v>
      </c>
      <c r="AE1007" s="378">
        <v>1</v>
      </c>
      <c r="AF1007" s="378">
        <v>8.43E-2</v>
      </c>
      <c r="AG1007" s="378"/>
      <c r="AI1007" s="378">
        <v>0</v>
      </c>
      <c r="AJ1007" s="378">
        <v>0</v>
      </c>
      <c r="AL1007" s="286">
        <v>5824</v>
      </c>
      <c r="AM1007" s="286"/>
    </row>
    <row r="1008" spans="1:39" s="51" customFormat="1" ht="45" x14ac:dyDescent="0.25">
      <c r="A1008" s="55">
        <v>73658</v>
      </c>
      <c r="B1008" s="55" t="s">
        <v>37</v>
      </c>
      <c r="C1008" s="55">
        <v>73658</v>
      </c>
      <c r="D1008" s="55"/>
      <c r="E1008" s="56" t="s">
        <v>63</v>
      </c>
      <c r="F1008" s="55" t="s">
        <v>41</v>
      </c>
      <c r="G1008" s="57"/>
      <c r="H1008" s="58"/>
      <c r="I1008" s="58"/>
      <c r="J1008" s="58">
        <f>SUM(I1008:I1019)</f>
        <v>660.02730000000008</v>
      </c>
      <c r="K1008" s="58">
        <v>293.39999999999998</v>
      </c>
      <c r="L1008" s="58">
        <v>352.96029999999996</v>
      </c>
      <c r="M1008" s="58">
        <v>13.667</v>
      </c>
      <c r="N1008" s="58">
        <v>0</v>
      </c>
      <c r="O1008" s="58">
        <v>2.8421709430404007E-14</v>
      </c>
      <c r="P1008" s="58"/>
      <c r="Q1008" s="56"/>
      <c r="R1008" s="56" t="s">
        <v>439</v>
      </c>
      <c r="S1008" s="286" t="str">
        <f t="shared" ref="S1008:S1019" si="101">IF(T1008 &lt;&gt; "", "SIM", "")</f>
        <v>SIM</v>
      </c>
      <c r="T1008" s="286">
        <f>IFERROR(VLOOKUP($A1008,'ABC-S'!$A$5:$A$270,1,FALSE),"")</f>
        <v>73658</v>
      </c>
      <c r="W1008" s="286">
        <v>73658</v>
      </c>
      <c r="X1008" s="286"/>
      <c r="Y1008" s="286"/>
      <c r="Z1008" s="286"/>
      <c r="AA1008" s="286" t="s">
        <v>21</v>
      </c>
      <c r="AB1008" s="378">
        <v>20</v>
      </c>
      <c r="AC1008" s="378"/>
      <c r="AD1008" s="335"/>
      <c r="AE1008" s="335"/>
      <c r="AF1008" s="335"/>
      <c r="AG1008" s="378">
        <v>20</v>
      </c>
      <c r="AI1008" s="378" t="s">
        <v>21</v>
      </c>
      <c r="AJ1008" s="378" t="s">
        <v>21</v>
      </c>
      <c r="AL1008" s="286"/>
      <c r="AM1008" s="286"/>
    </row>
    <row r="1009" spans="1:39" s="51" customFormat="1" ht="22.5" x14ac:dyDescent="0.25">
      <c r="A1009" s="59">
        <v>73658</v>
      </c>
      <c r="B1009" s="59" t="s">
        <v>86</v>
      </c>
      <c r="C1009" s="248"/>
      <c r="D1009" s="59">
        <v>43059</v>
      </c>
      <c r="E1009" s="60" t="s">
        <v>679</v>
      </c>
      <c r="F1009" s="59" t="s">
        <v>3669</v>
      </c>
      <c r="G1009" s="61">
        <v>1.4</v>
      </c>
      <c r="H1009" s="62">
        <v>9.24</v>
      </c>
      <c r="I1009" s="62">
        <f t="shared" ref="I1009:I1019" si="102">IF($D1009="","",G1009*H1009)</f>
        <v>12.936</v>
      </c>
      <c r="J1009" s="62"/>
      <c r="K1009" s="62">
        <v>0</v>
      </c>
      <c r="L1009" s="62">
        <v>12.936</v>
      </c>
      <c r="M1009" s="62">
        <v>0</v>
      </c>
      <c r="N1009" s="62">
        <v>0</v>
      </c>
      <c r="O1009" s="62">
        <v>0</v>
      </c>
      <c r="P1009" s="298" t="s">
        <v>89</v>
      </c>
      <c r="Q1009" s="60" t="s">
        <v>27</v>
      </c>
      <c r="R1009" s="60"/>
      <c r="S1009" s="286" t="str">
        <f t="shared" si="101"/>
        <v>SIM</v>
      </c>
      <c r="T1009" s="286">
        <f>IFERROR(VLOOKUP($A1009,'ABC-S'!$A$5:$A$270,1,FALSE),"")</f>
        <v>73658</v>
      </c>
      <c r="W1009" s="286">
        <v>73658</v>
      </c>
      <c r="X1009" s="286" t="s">
        <v>21</v>
      </c>
      <c r="Y1009" s="286" t="s">
        <v>21</v>
      </c>
      <c r="Z1009" s="286" t="s">
        <v>21</v>
      </c>
      <c r="AA1009" s="286" t="s">
        <v>21</v>
      </c>
      <c r="AB1009" s="378"/>
      <c r="AC1009" s="381" t="s">
        <v>21</v>
      </c>
      <c r="AD1009" s="378" t="s">
        <v>21</v>
      </c>
      <c r="AE1009" s="378" t="s">
        <v>21</v>
      </c>
      <c r="AF1009" s="378" t="s">
        <v>21</v>
      </c>
      <c r="AG1009" s="378"/>
      <c r="AI1009" s="378" t="s">
        <v>21</v>
      </c>
      <c r="AJ1009" s="378" t="s">
        <v>21</v>
      </c>
      <c r="AL1009" s="286"/>
      <c r="AM1009" s="286">
        <v>43059</v>
      </c>
    </row>
    <row r="1010" spans="1:39" s="51" customFormat="1" ht="22.5" x14ac:dyDescent="0.25">
      <c r="A1010" s="59">
        <v>73658</v>
      </c>
      <c r="B1010" s="59" t="s">
        <v>86</v>
      </c>
      <c r="C1010" s="248"/>
      <c r="D1010" s="59">
        <v>43132</v>
      </c>
      <c r="E1010" s="60" t="s">
        <v>684</v>
      </c>
      <c r="F1010" s="59" t="s">
        <v>3669</v>
      </c>
      <c r="G1010" s="61">
        <v>0.05</v>
      </c>
      <c r="H1010" s="62">
        <v>20.399999999999999</v>
      </c>
      <c r="I1010" s="62">
        <f t="shared" si="102"/>
        <v>1.02</v>
      </c>
      <c r="J1010" s="62"/>
      <c r="K1010" s="62">
        <v>0</v>
      </c>
      <c r="L1010" s="62">
        <v>1.02</v>
      </c>
      <c r="M1010" s="62">
        <v>0</v>
      </c>
      <c r="N1010" s="62">
        <v>0</v>
      </c>
      <c r="O1010" s="62">
        <v>0</v>
      </c>
      <c r="P1010" s="298" t="s">
        <v>89</v>
      </c>
      <c r="Q1010" s="60" t="s">
        <v>27</v>
      </c>
      <c r="R1010" s="60"/>
      <c r="S1010" s="286" t="str">
        <f t="shared" si="101"/>
        <v>SIM</v>
      </c>
      <c r="T1010" s="286">
        <f>IFERROR(VLOOKUP($A1010,'ABC-S'!$A$5:$A$270,1,FALSE),"")</f>
        <v>73658</v>
      </c>
      <c r="W1010" s="286">
        <v>73658</v>
      </c>
      <c r="X1010" s="286" t="s">
        <v>21</v>
      </c>
      <c r="Y1010" s="286" t="s">
        <v>21</v>
      </c>
      <c r="Z1010" s="286" t="s">
        <v>21</v>
      </c>
      <c r="AA1010" s="286" t="s">
        <v>21</v>
      </c>
      <c r="AB1010" s="378"/>
      <c r="AC1010" s="381" t="s">
        <v>21</v>
      </c>
      <c r="AD1010" s="378" t="s">
        <v>21</v>
      </c>
      <c r="AE1010" s="378" t="s">
        <v>21</v>
      </c>
      <c r="AF1010" s="378" t="s">
        <v>21</v>
      </c>
      <c r="AG1010" s="378"/>
      <c r="AI1010" s="378" t="s">
        <v>21</v>
      </c>
      <c r="AJ1010" s="378" t="s">
        <v>21</v>
      </c>
      <c r="AL1010" s="286"/>
      <c r="AM1010" s="286">
        <v>43132</v>
      </c>
    </row>
    <row r="1011" spans="1:39" s="51" customFormat="1" ht="22.5" x14ac:dyDescent="0.25">
      <c r="A1011" s="59">
        <v>73658</v>
      </c>
      <c r="B1011" s="59" t="s">
        <v>86</v>
      </c>
      <c r="C1011" s="248"/>
      <c r="D1011" s="59">
        <v>367</v>
      </c>
      <c r="E1011" s="60" t="s">
        <v>98</v>
      </c>
      <c r="F1011" s="59" t="s">
        <v>3670</v>
      </c>
      <c r="G1011" s="61">
        <v>0.1</v>
      </c>
      <c r="H1011" s="62">
        <v>136.66999999999999</v>
      </c>
      <c r="I1011" s="62">
        <f t="shared" si="102"/>
        <v>13.667</v>
      </c>
      <c r="J1011" s="62"/>
      <c r="K1011" s="62">
        <v>0</v>
      </c>
      <c r="L1011" s="62">
        <v>0</v>
      </c>
      <c r="M1011" s="62">
        <v>13.667</v>
      </c>
      <c r="N1011" s="62">
        <v>0</v>
      </c>
      <c r="O1011" s="62">
        <v>0</v>
      </c>
      <c r="P1011" s="298" t="s">
        <v>719</v>
      </c>
      <c r="Q1011" s="60" t="s">
        <v>27</v>
      </c>
      <c r="R1011" s="60"/>
      <c r="S1011" s="286" t="str">
        <f t="shared" si="101"/>
        <v>SIM</v>
      </c>
      <c r="T1011" s="286">
        <f>IFERROR(VLOOKUP($A1011,'ABC-S'!$A$5:$A$270,1,FALSE),"")</f>
        <v>73658</v>
      </c>
      <c r="W1011" s="286">
        <v>73658</v>
      </c>
      <c r="X1011" s="286" t="s">
        <v>21</v>
      </c>
      <c r="Y1011" s="286" t="s">
        <v>21</v>
      </c>
      <c r="Z1011" s="286" t="s">
        <v>21</v>
      </c>
      <c r="AA1011" s="286" t="s">
        <v>21</v>
      </c>
      <c r="AB1011" s="378"/>
      <c r="AC1011" s="381" t="s">
        <v>21</v>
      </c>
      <c r="AD1011" s="378" t="s">
        <v>21</v>
      </c>
      <c r="AE1011" s="378" t="s">
        <v>21</v>
      </c>
      <c r="AF1011" s="378" t="s">
        <v>21</v>
      </c>
      <c r="AG1011" s="378"/>
      <c r="AI1011" s="378" t="s">
        <v>21</v>
      </c>
      <c r="AJ1011" s="378" t="s">
        <v>21</v>
      </c>
      <c r="AL1011" s="286"/>
      <c r="AM1011" s="286">
        <v>367</v>
      </c>
    </row>
    <row r="1012" spans="1:39" s="51" customFormat="1" x14ac:dyDescent="0.25">
      <c r="A1012" s="59">
        <v>73658</v>
      </c>
      <c r="B1012" s="59" t="s">
        <v>86</v>
      </c>
      <c r="C1012" s="248"/>
      <c r="D1012" s="59">
        <v>1379</v>
      </c>
      <c r="E1012" s="60" t="s">
        <v>97</v>
      </c>
      <c r="F1012" s="59" t="s">
        <v>3669</v>
      </c>
      <c r="G1012" s="61">
        <v>30</v>
      </c>
      <c r="H1012" s="62">
        <v>0.54</v>
      </c>
      <c r="I1012" s="62">
        <f t="shared" si="102"/>
        <v>16.200000000000003</v>
      </c>
      <c r="J1012" s="62"/>
      <c r="K1012" s="62">
        <v>0</v>
      </c>
      <c r="L1012" s="62">
        <v>16.200000000000003</v>
      </c>
      <c r="M1012" s="62">
        <v>0</v>
      </c>
      <c r="N1012" s="62">
        <v>0</v>
      </c>
      <c r="O1012" s="62">
        <v>0</v>
      </c>
      <c r="P1012" s="298" t="s">
        <v>89</v>
      </c>
      <c r="Q1012" s="60" t="s">
        <v>27</v>
      </c>
      <c r="R1012" s="60"/>
      <c r="S1012" s="286" t="str">
        <f t="shared" si="101"/>
        <v>SIM</v>
      </c>
      <c r="T1012" s="286">
        <f>IFERROR(VLOOKUP($A1012,'ABC-S'!$A$5:$A$270,1,FALSE),"")</f>
        <v>73658</v>
      </c>
      <c r="W1012" s="286">
        <v>73658</v>
      </c>
      <c r="X1012" s="286" t="s">
        <v>21</v>
      </c>
      <c r="Y1012" s="286" t="s">
        <v>21</v>
      </c>
      <c r="Z1012" s="286" t="s">
        <v>21</v>
      </c>
      <c r="AA1012" s="286" t="s">
        <v>21</v>
      </c>
      <c r="AB1012" s="378"/>
      <c r="AC1012" s="381" t="s">
        <v>21</v>
      </c>
      <c r="AD1012" s="378" t="s">
        <v>21</v>
      </c>
      <c r="AE1012" s="378" t="s">
        <v>21</v>
      </c>
      <c r="AF1012" s="378" t="s">
        <v>21</v>
      </c>
      <c r="AG1012" s="378"/>
      <c r="AI1012" s="378" t="s">
        <v>21</v>
      </c>
      <c r="AJ1012" s="378" t="s">
        <v>21</v>
      </c>
      <c r="AL1012" s="286"/>
      <c r="AM1012" s="286">
        <v>1379</v>
      </c>
    </row>
    <row r="1013" spans="1:39" s="51" customFormat="1" ht="22.5" x14ac:dyDescent="0.25">
      <c r="A1013" s="59">
        <v>73658</v>
      </c>
      <c r="B1013" s="59" t="s">
        <v>86</v>
      </c>
      <c r="C1013" s="248"/>
      <c r="D1013" s="59">
        <v>4718</v>
      </c>
      <c r="E1013" s="60" t="s">
        <v>102</v>
      </c>
      <c r="F1013" s="59" t="s">
        <v>3670</v>
      </c>
      <c r="G1013" s="61">
        <v>0.05</v>
      </c>
      <c r="H1013" s="62">
        <v>128.37</v>
      </c>
      <c r="I1013" s="62">
        <f t="shared" si="102"/>
        <v>6.4185000000000008</v>
      </c>
      <c r="J1013" s="62"/>
      <c r="K1013" s="62">
        <v>0</v>
      </c>
      <c r="L1013" s="62">
        <v>6.4185000000000008</v>
      </c>
      <c r="M1013" s="62">
        <v>0</v>
      </c>
      <c r="N1013" s="62">
        <v>0</v>
      </c>
      <c r="O1013" s="62">
        <v>0</v>
      </c>
      <c r="P1013" s="298" t="s">
        <v>89</v>
      </c>
      <c r="Q1013" s="60" t="s">
        <v>27</v>
      </c>
      <c r="R1013" s="60"/>
      <c r="S1013" s="286" t="str">
        <f t="shared" si="101"/>
        <v>SIM</v>
      </c>
      <c r="T1013" s="286">
        <f>IFERROR(VLOOKUP($A1013,'ABC-S'!$A$5:$A$270,1,FALSE),"")</f>
        <v>73658</v>
      </c>
      <c r="W1013" s="286">
        <v>73658</v>
      </c>
      <c r="X1013" s="286" t="s">
        <v>21</v>
      </c>
      <c r="Y1013" s="286" t="s">
        <v>21</v>
      </c>
      <c r="Z1013" s="286" t="s">
        <v>21</v>
      </c>
      <c r="AA1013" s="286" t="s">
        <v>21</v>
      </c>
      <c r="AB1013" s="378"/>
      <c r="AC1013" s="381" t="s">
        <v>21</v>
      </c>
      <c r="AD1013" s="378" t="s">
        <v>21</v>
      </c>
      <c r="AE1013" s="378" t="s">
        <v>21</v>
      </c>
      <c r="AF1013" s="378" t="s">
        <v>21</v>
      </c>
      <c r="AG1013" s="378"/>
      <c r="AI1013" s="378" t="s">
        <v>21</v>
      </c>
      <c r="AJ1013" s="378" t="s">
        <v>21</v>
      </c>
      <c r="AL1013" s="286"/>
      <c r="AM1013" s="286">
        <v>4718</v>
      </c>
    </row>
    <row r="1014" spans="1:39" s="51" customFormat="1" x14ac:dyDescent="0.25">
      <c r="A1014" s="59">
        <v>73658</v>
      </c>
      <c r="B1014" s="59" t="s">
        <v>86</v>
      </c>
      <c r="C1014" s="248"/>
      <c r="D1014" s="59">
        <v>5068</v>
      </c>
      <c r="E1014" s="60" t="s">
        <v>93</v>
      </c>
      <c r="F1014" s="59" t="s">
        <v>3669</v>
      </c>
      <c r="G1014" s="61">
        <v>0.02</v>
      </c>
      <c r="H1014" s="62">
        <v>20.239999999999998</v>
      </c>
      <c r="I1014" s="62">
        <f t="shared" si="102"/>
        <v>0.40479999999999999</v>
      </c>
      <c r="J1014" s="62"/>
      <c r="K1014" s="62">
        <v>0</v>
      </c>
      <c r="L1014" s="62">
        <v>0.40479999999999999</v>
      </c>
      <c r="M1014" s="62">
        <v>0</v>
      </c>
      <c r="N1014" s="62">
        <v>0</v>
      </c>
      <c r="O1014" s="62">
        <v>0</v>
      </c>
      <c r="P1014" s="298" t="s">
        <v>89</v>
      </c>
      <c r="Q1014" s="60" t="s">
        <v>27</v>
      </c>
      <c r="R1014" s="60"/>
      <c r="S1014" s="286" t="str">
        <f t="shared" si="101"/>
        <v>SIM</v>
      </c>
      <c r="T1014" s="286">
        <f>IFERROR(VLOOKUP($A1014,'ABC-S'!$A$5:$A$270,1,FALSE),"")</f>
        <v>73658</v>
      </c>
      <c r="W1014" s="286">
        <v>73658</v>
      </c>
      <c r="X1014" s="286" t="s">
        <v>21</v>
      </c>
      <c r="Y1014" s="286" t="s">
        <v>21</v>
      </c>
      <c r="Z1014" s="286" t="s">
        <v>21</v>
      </c>
      <c r="AA1014" s="286" t="s">
        <v>21</v>
      </c>
      <c r="AB1014" s="378"/>
      <c r="AC1014" s="381" t="s">
        <v>21</v>
      </c>
      <c r="AD1014" s="378" t="s">
        <v>21</v>
      </c>
      <c r="AE1014" s="378" t="s">
        <v>21</v>
      </c>
      <c r="AF1014" s="378" t="s">
        <v>21</v>
      </c>
      <c r="AG1014" s="378"/>
      <c r="AI1014" s="378" t="s">
        <v>21</v>
      </c>
      <c r="AJ1014" s="378" t="s">
        <v>21</v>
      </c>
      <c r="AL1014" s="286"/>
      <c r="AM1014" s="286">
        <v>5068</v>
      </c>
    </row>
    <row r="1015" spans="1:39" s="51" customFormat="1" ht="22.5" x14ac:dyDescent="0.25">
      <c r="A1015" s="59">
        <v>73658</v>
      </c>
      <c r="B1015" s="59" t="s">
        <v>86</v>
      </c>
      <c r="C1015" s="248"/>
      <c r="D1015" s="59">
        <v>6212</v>
      </c>
      <c r="E1015" s="60" t="s">
        <v>1181</v>
      </c>
      <c r="F1015" s="59" t="s">
        <v>3667</v>
      </c>
      <c r="G1015" s="61">
        <v>0.3</v>
      </c>
      <c r="H1015" s="62">
        <v>10.77</v>
      </c>
      <c r="I1015" s="62">
        <f t="shared" si="102"/>
        <v>3.2309999999999999</v>
      </c>
      <c r="J1015" s="62"/>
      <c r="K1015" s="62">
        <v>0</v>
      </c>
      <c r="L1015" s="62">
        <v>3.2309999999999999</v>
      </c>
      <c r="M1015" s="62">
        <v>0</v>
      </c>
      <c r="N1015" s="62">
        <v>0</v>
      </c>
      <c r="O1015" s="62">
        <v>0</v>
      </c>
      <c r="P1015" s="298" t="s">
        <v>89</v>
      </c>
      <c r="Q1015" s="60" t="s">
        <v>27</v>
      </c>
      <c r="R1015" s="60"/>
      <c r="S1015" s="286" t="str">
        <f t="shared" si="101"/>
        <v>SIM</v>
      </c>
      <c r="T1015" s="286">
        <f>IFERROR(VLOOKUP($A1015,'ABC-S'!$A$5:$A$270,1,FALSE),"")</f>
        <v>73658</v>
      </c>
      <c r="W1015" s="286">
        <v>73658</v>
      </c>
      <c r="X1015" s="286" t="s">
        <v>21</v>
      </c>
      <c r="Y1015" s="286" t="s">
        <v>21</v>
      </c>
      <c r="Z1015" s="286" t="s">
        <v>21</v>
      </c>
      <c r="AA1015" s="286" t="s">
        <v>21</v>
      </c>
      <c r="AB1015" s="378"/>
      <c r="AC1015" s="381" t="s">
        <v>21</v>
      </c>
      <c r="AD1015" s="378" t="s">
        <v>21</v>
      </c>
      <c r="AE1015" s="378" t="s">
        <v>21</v>
      </c>
      <c r="AF1015" s="378" t="s">
        <v>21</v>
      </c>
      <c r="AG1015" s="378"/>
      <c r="AI1015" s="378" t="s">
        <v>21</v>
      </c>
      <c r="AJ1015" s="378" t="s">
        <v>21</v>
      </c>
      <c r="AL1015" s="286"/>
      <c r="AM1015" s="286">
        <v>6212</v>
      </c>
    </row>
    <row r="1016" spans="1:39" s="51" customFormat="1" ht="22.5" x14ac:dyDescent="0.25">
      <c r="A1016" s="59">
        <v>73658</v>
      </c>
      <c r="B1016" s="59" t="s">
        <v>86</v>
      </c>
      <c r="C1016" s="248"/>
      <c r="D1016" s="59">
        <v>7271</v>
      </c>
      <c r="E1016" s="60" t="s">
        <v>801</v>
      </c>
      <c r="F1016" s="59" t="s">
        <v>3666</v>
      </c>
      <c r="G1016" s="61">
        <v>62.5</v>
      </c>
      <c r="H1016" s="62">
        <v>0.82</v>
      </c>
      <c r="I1016" s="62">
        <f t="shared" si="102"/>
        <v>51.25</v>
      </c>
      <c r="J1016" s="62"/>
      <c r="K1016" s="62">
        <v>0</v>
      </c>
      <c r="L1016" s="62">
        <v>51.25</v>
      </c>
      <c r="M1016" s="62">
        <v>0</v>
      </c>
      <c r="N1016" s="62">
        <v>0</v>
      </c>
      <c r="O1016" s="62">
        <v>0</v>
      </c>
      <c r="P1016" s="298" t="s">
        <v>89</v>
      </c>
      <c r="Q1016" s="60" t="s">
        <v>27</v>
      </c>
      <c r="R1016" s="60"/>
      <c r="S1016" s="286" t="str">
        <f t="shared" si="101"/>
        <v>SIM</v>
      </c>
      <c r="T1016" s="286">
        <f>IFERROR(VLOOKUP($A1016,'ABC-S'!$A$5:$A$270,1,FALSE),"")</f>
        <v>73658</v>
      </c>
      <c r="W1016" s="286">
        <v>73658</v>
      </c>
      <c r="X1016" s="286" t="s">
        <v>21</v>
      </c>
      <c r="Y1016" s="286" t="s">
        <v>21</v>
      </c>
      <c r="Z1016" s="286" t="s">
        <v>21</v>
      </c>
      <c r="AA1016" s="286" t="s">
        <v>21</v>
      </c>
      <c r="AB1016" s="378"/>
      <c r="AC1016" s="381" t="s">
        <v>21</v>
      </c>
      <c r="AD1016" s="378" t="s">
        <v>21</v>
      </c>
      <c r="AE1016" s="378" t="s">
        <v>21</v>
      </c>
      <c r="AF1016" s="378" t="s">
        <v>21</v>
      </c>
      <c r="AG1016" s="378"/>
      <c r="AI1016" s="378" t="s">
        <v>21</v>
      </c>
      <c r="AJ1016" s="378" t="s">
        <v>21</v>
      </c>
      <c r="AL1016" s="286"/>
      <c r="AM1016" s="286">
        <v>7271</v>
      </c>
    </row>
    <row r="1017" spans="1:39" s="51" customFormat="1" ht="22.5" x14ac:dyDescent="0.25">
      <c r="A1017" s="59">
        <v>73658</v>
      </c>
      <c r="B1017" s="59" t="s">
        <v>86</v>
      </c>
      <c r="C1017" s="248"/>
      <c r="D1017" s="59">
        <v>9836</v>
      </c>
      <c r="E1017" s="60" t="s">
        <v>427</v>
      </c>
      <c r="F1017" s="59" t="s">
        <v>3667</v>
      </c>
      <c r="G1017" s="61">
        <v>10</v>
      </c>
      <c r="H1017" s="62">
        <v>14.47</v>
      </c>
      <c r="I1017" s="62">
        <f t="shared" si="102"/>
        <v>144.70000000000002</v>
      </c>
      <c r="J1017" s="62"/>
      <c r="K1017" s="62">
        <v>0</v>
      </c>
      <c r="L1017" s="62">
        <v>144.70000000000002</v>
      </c>
      <c r="M1017" s="62">
        <v>0</v>
      </c>
      <c r="N1017" s="62">
        <v>0</v>
      </c>
      <c r="O1017" s="62">
        <v>0</v>
      </c>
      <c r="P1017" s="298" t="s">
        <v>89</v>
      </c>
      <c r="Q1017" s="60" t="s">
        <v>27</v>
      </c>
      <c r="R1017" s="60"/>
      <c r="S1017" s="286" t="str">
        <f t="shared" si="101"/>
        <v>SIM</v>
      </c>
      <c r="T1017" s="286">
        <f>IFERROR(VLOOKUP($A1017,'ABC-S'!$A$5:$A$270,1,FALSE),"")</f>
        <v>73658</v>
      </c>
      <c r="W1017" s="286">
        <v>73658</v>
      </c>
      <c r="X1017" s="286" t="s">
        <v>21</v>
      </c>
      <c r="Y1017" s="286" t="s">
        <v>21</v>
      </c>
      <c r="Z1017" s="286" t="s">
        <v>21</v>
      </c>
      <c r="AA1017" s="286" t="s">
        <v>21</v>
      </c>
      <c r="AB1017" s="378"/>
      <c r="AC1017" s="381" t="s">
        <v>21</v>
      </c>
      <c r="AD1017" s="378" t="s">
        <v>21</v>
      </c>
      <c r="AE1017" s="378" t="s">
        <v>21</v>
      </c>
      <c r="AF1017" s="378" t="s">
        <v>21</v>
      </c>
      <c r="AG1017" s="378"/>
      <c r="AI1017" s="378" t="s">
        <v>21</v>
      </c>
      <c r="AJ1017" s="378" t="s">
        <v>21</v>
      </c>
      <c r="AL1017" s="286"/>
      <c r="AM1017" s="286">
        <v>9836</v>
      </c>
    </row>
    <row r="1018" spans="1:39" s="51" customFormat="1" ht="22.5" x14ac:dyDescent="0.25">
      <c r="A1018" s="59">
        <v>73658</v>
      </c>
      <c r="B1018" s="59" t="s">
        <v>87</v>
      </c>
      <c r="C1018" s="248"/>
      <c r="D1018" s="59">
        <v>88267</v>
      </c>
      <c r="E1018" s="60" t="s">
        <v>556</v>
      </c>
      <c r="F1018" s="59" t="s">
        <v>46</v>
      </c>
      <c r="G1018" s="61">
        <v>10</v>
      </c>
      <c r="H1018" s="62">
        <v>23.41</v>
      </c>
      <c r="I1018" s="62">
        <f t="shared" si="102"/>
        <v>234.1</v>
      </c>
      <c r="J1018" s="62"/>
      <c r="K1018" s="62">
        <v>177.39999999999998</v>
      </c>
      <c r="L1018" s="62">
        <v>56.7</v>
      </c>
      <c r="M1018" s="62">
        <v>0</v>
      </c>
      <c r="N1018" s="62">
        <v>0</v>
      </c>
      <c r="O1018" s="62">
        <v>2.8421709430404007E-14</v>
      </c>
      <c r="P1018" s="298" t="s">
        <v>4160</v>
      </c>
      <c r="Q1018" s="60" t="s">
        <v>27</v>
      </c>
      <c r="R1018" s="60"/>
      <c r="S1018" s="286" t="str">
        <f t="shared" si="101"/>
        <v>SIM</v>
      </c>
      <c r="T1018" s="286">
        <f>IFERROR(VLOOKUP($A1018,'ABC-S'!$A$5:$A$270,1,FALSE),"")</f>
        <v>73658</v>
      </c>
      <c r="W1018" s="286">
        <v>73658</v>
      </c>
      <c r="X1018" s="286">
        <v>88267</v>
      </c>
      <c r="Y1018" s="286" t="s">
        <v>424</v>
      </c>
      <c r="Z1018" s="335">
        <v>12</v>
      </c>
      <c r="AA1018" s="286">
        <v>10</v>
      </c>
      <c r="AB1018" s="378"/>
      <c r="AC1018" s="381" t="s">
        <v>21</v>
      </c>
      <c r="AD1018" s="378" t="s">
        <v>21</v>
      </c>
      <c r="AE1018" s="378" t="s">
        <v>21</v>
      </c>
      <c r="AF1018" s="378" t="s">
        <v>21</v>
      </c>
      <c r="AG1018" s="378"/>
      <c r="AI1018" s="378">
        <v>0</v>
      </c>
      <c r="AJ1018" s="378">
        <v>0</v>
      </c>
      <c r="AL1018" s="286">
        <v>88267</v>
      </c>
      <c r="AM1018" s="286"/>
    </row>
    <row r="1019" spans="1:39" s="51" customFormat="1" x14ac:dyDescent="0.25">
      <c r="A1019" s="59">
        <v>73658</v>
      </c>
      <c r="B1019" s="59" t="s">
        <v>87</v>
      </c>
      <c r="C1019" s="248"/>
      <c r="D1019" s="59">
        <v>88316</v>
      </c>
      <c r="E1019" s="60" t="s">
        <v>649</v>
      </c>
      <c r="F1019" s="59" t="s">
        <v>46</v>
      </c>
      <c r="G1019" s="61">
        <v>10</v>
      </c>
      <c r="H1019" s="62">
        <v>17.61</v>
      </c>
      <c r="I1019" s="62">
        <f t="shared" si="102"/>
        <v>176.1</v>
      </c>
      <c r="J1019" s="62"/>
      <c r="K1019" s="62">
        <v>116</v>
      </c>
      <c r="L1019" s="62">
        <v>60.099999999999994</v>
      </c>
      <c r="M1019" s="62">
        <v>0</v>
      </c>
      <c r="N1019" s="62">
        <v>0</v>
      </c>
      <c r="O1019" s="62">
        <v>0</v>
      </c>
      <c r="P1019" s="298" t="s">
        <v>4160</v>
      </c>
      <c r="Q1019" s="60" t="s">
        <v>27</v>
      </c>
      <c r="R1019" s="60"/>
      <c r="S1019" s="286" t="str">
        <f t="shared" si="101"/>
        <v>SIM</v>
      </c>
      <c r="T1019" s="286">
        <f>IFERROR(VLOOKUP($A1019,'ABC-S'!$A$5:$A$270,1,FALSE),"")</f>
        <v>73658</v>
      </c>
      <c r="W1019" s="286">
        <v>73658</v>
      </c>
      <c r="X1019" s="286">
        <v>88316</v>
      </c>
      <c r="Y1019" s="286" t="s">
        <v>424</v>
      </c>
      <c r="Z1019" s="335">
        <v>12</v>
      </c>
      <c r="AA1019" s="286">
        <v>10</v>
      </c>
      <c r="AB1019" s="378"/>
      <c r="AC1019" s="381" t="s">
        <v>21</v>
      </c>
      <c r="AD1019" s="378" t="s">
        <v>21</v>
      </c>
      <c r="AE1019" s="378" t="s">
        <v>21</v>
      </c>
      <c r="AF1019" s="378" t="s">
        <v>21</v>
      </c>
      <c r="AG1019" s="378"/>
      <c r="AI1019" s="378">
        <v>0</v>
      </c>
      <c r="AJ1019" s="378">
        <v>0</v>
      </c>
      <c r="AL1019" s="286">
        <v>88316</v>
      </c>
      <c r="AM1019" s="286"/>
    </row>
    <row r="1020" spans="1:39" s="51" customFormat="1" ht="45" x14ac:dyDescent="0.25">
      <c r="A1020" s="55" t="s">
        <v>65</v>
      </c>
      <c r="B1020" s="55" t="s">
        <v>1311</v>
      </c>
      <c r="C1020" s="55" t="s">
        <v>65</v>
      </c>
      <c r="D1020" s="55"/>
      <c r="E1020" s="56" t="s">
        <v>64</v>
      </c>
      <c r="F1020" s="55" t="s">
        <v>22</v>
      </c>
      <c r="G1020" s="57"/>
      <c r="H1020" s="58"/>
      <c r="I1020" s="58"/>
      <c r="J1020" s="58">
        <f>SUM(I1020:I1025)</f>
        <v>24.195799999999998</v>
      </c>
      <c r="K1020" s="58">
        <v>12.128399999999999</v>
      </c>
      <c r="L1020" s="58">
        <v>11.898199999999999</v>
      </c>
      <c r="M1020" s="58">
        <v>0.16919999999999999</v>
      </c>
      <c r="N1020" s="58">
        <v>0</v>
      </c>
      <c r="O1020" s="58">
        <v>2.2204460492503131E-16</v>
      </c>
      <c r="P1020" s="58"/>
      <c r="Q1020" s="56"/>
      <c r="R1020" s="56" t="s">
        <v>1514</v>
      </c>
      <c r="S1020" s="286" t="str">
        <f t="shared" ref="S1020:S1025" si="103">IF(COUNTBLANK(T1020:U1020)=COUNTA($T$3:$U$3),"","SIM")</f>
        <v>SIM</v>
      </c>
      <c r="T1020" s="286" t="str">
        <f>IFERROR(VLOOKUP($A1020,'ABC-S'!$A$5:$A$270,1,FALSE),"")</f>
        <v>74253/1</v>
      </c>
      <c r="W1020" s="286" t="s">
        <v>65</v>
      </c>
      <c r="X1020" s="286"/>
      <c r="Y1020" s="286"/>
      <c r="Z1020" s="286"/>
      <c r="AA1020" s="286" t="s">
        <v>21</v>
      </c>
      <c r="AB1020" s="378">
        <v>0.08</v>
      </c>
      <c r="AC1020" s="378"/>
      <c r="AD1020" s="335"/>
      <c r="AE1020" s="335"/>
      <c r="AF1020" s="335"/>
      <c r="AG1020" s="378">
        <v>1.0057399999999999</v>
      </c>
      <c r="AI1020" s="378" t="s">
        <v>21</v>
      </c>
      <c r="AJ1020" s="378" t="s">
        <v>21</v>
      </c>
      <c r="AL1020" s="286"/>
      <c r="AM1020" s="286"/>
    </row>
    <row r="1021" spans="1:39" s="51" customFormat="1" ht="33.75" x14ac:dyDescent="0.25">
      <c r="A1021" s="59" t="s">
        <v>65</v>
      </c>
      <c r="B1021" s="59" t="s">
        <v>86</v>
      </c>
      <c r="C1021" s="248"/>
      <c r="D1021" s="59">
        <v>9813</v>
      </c>
      <c r="E1021" s="60" t="s">
        <v>106</v>
      </c>
      <c r="F1021" s="59" t="s">
        <v>3667</v>
      </c>
      <c r="G1021" s="61">
        <v>1</v>
      </c>
      <c r="H1021" s="62">
        <v>5.5</v>
      </c>
      <c r="I1021" s="62">
        <f>IF($D1021="","",G1021*H1021)</f>
        <v>5.5</v>
      </c>
      <c r="J1021" s="62"/>
      <c r="K1021" s="62">
        <v>0</v>
      </c>
      <c r="L1021" s="62">
        <v>5.5</v>
      </c>
      <c r="M1021" s="62">
        <v>0</v>
      </c>
      <c r="N1021" s="62">
        <v>0</v>
      </c>
      <c r="O1021" s="62">
        <v>0</v>
      </c>
      <c r="P1021" s="298" t="s">
        <v>89</v>
      </c>
      <c r="Q1021" s="60" t="s">
        <v>27</v>
      </c>
      <c r="R1021" s="60"/>
      <c r="S1021" s="286" t="str">
        <f t="shared" si="103"/>
        <v>SIM</v>
      </c>
      <c r="T1021" s="286" t="str">
        <f>IFERROR(VLOOKUP($A1021,'ABC-S'!$A$5:$A$270,1,FALSE),"")</f>
        <v>74253/1</v>
      </c>
      <c r="W1021" s="286" t="s">
        <v>65</v>
      </c>
      <c r="X1021" s="286" t="s">
        <v>21</v>
      </c>
      <c r="Y1021" s="286" t="s">
        <v>21</v>
      </c>
      <c r="Z1021" s="286" t="s">
        <v>21</v>
      </c>
      <c r="AA1021" s="286" t="s">
        <v>21</v>
      </c>
      <c r="AB1021" s="378"/>
      <c r="AC1021" s="381" t="s">
        <v>21</v>
      </c>
      <c r="AD1021" s="378" t="s">
        <v>21</v>
      </c>
      <c r="AE1021" s="378" t="s">
        <v>21</v>
      </c>
      <c r="AF1021" s="378" t="s">
        <v>21</v>
      </c>
      <c r="AG1021" s="378"/>
      <c r="AI1021" s="378" t="s">
        <v>21</v>
      </c>
      <c r="AJ1021" s="378" t="s">
        <v>21</v>
      </c>
      <c r="AL1021" s="286"/>
      <c r="AM1021" s="286">
        <v>9813</v>
      </c>
    </row>
    <row r="1022" spans="1:39" s="51" customFormat="1" ht="22.5" x14ac:dyDescent="0.25">
      <c r="A1022" s="59" t="s">
        <v>65</v>
      </c>
      <c r="B1022" s="59" t="s">
        <v>87</v>
      </c>
      <c r="C1022" s="248"/>
      <c r="D1022" s="59">
        <v>88267</v>
      </c>
      <c r="E1022" s="60" t="s">
        <v>556</v>
      </c>
      <c r="F1022" s="59" t="s">
        <v>46</v>
      </c>
      <c r="G1022" s="61">
        <v>0.04</v>
      </c>
      <c r="H1022" s="62">
        <v>23.41</v>
      </c>
      <c r="I1022" s="62">
        <f>IF($D1022="","",G1022*H1022)</f>
        <v>0.93640000000000001</v>
      </c>
      <c r="J1022" s="62"/>
      <c r="K1022" s="62">
        <v>0.7095999999999999</v>
      </c>
      <c r="L1022" s="62">
        <v>0.2268</v>
      </c>
      <c r="M1022" s="62">
        <v>0</v>
      </c>
      <c r="N1022" s="62">
        <v>0</v>
      </c>
      <c r="O1022" s="62">
        <v>1.1102230246251565E-16</v>
      </c>
      <c r="P1022" s="298" t="s">
        <v>4160</v>
      </c>
      <c r="Q1022" s="60" t="s">
        <v>27</v>
      </c>
      <c r="R1022" s="60"/>
      <c r="S1022" s="286" t="str">
        <f t="shared" si="103"/>
        <v>SIM</v>
      </c>
      <c r="T1022" s="286" t="str">
        <f>IFERROR(VLOOKUP($A1022,'ABC-S'!$A$5:$A$270,1,FALSE),"")</f>
        <v>74253/1</v>
      </c>
      <c r="W1022" s="286" t="s">
        <v>65</v>
      </c>
      <c r="X1022" s="286">
        <v>88267</v>
      </c>
      <c r="Y1022" s="286" t="s">
        <v>424</v>
      </c>
      <c r="Z1022" s="335">
        <v>200</v>
      </c>
      <c r="AA1022" s="286">
        <v>0.04</v>
      </c>
      <c r="AB1022" s="378"/>
      <c r="AC1022" s="381" t="s">
        <v>21</v>
      </c>
      <c r="AD1022" s="378" t="s">
        <v>21</v>
      </c>
      <c r="AE1022" s="378" t="s">
        <v>21</v>
      </c>
      <c r="AF1022" s="378" t="s">
        <v>21</v>
      </c>
      <c r="AG1022" s="378"/>
      <c r="AI1022" s="378">
        <v>0</v>
      </c>
      <c r="AJ1022" s="378">
        <v>0</v>
      </c>
      <c r="AL1022" s="286">
        <v>88267</v>
      </c>
      <c r="AM1022" s="286"/>
    </row>
    <row r="1023" spans="1:39" s="51" customFormat="1" x14ac:dyDescent="0.25">
      <c r="A1023" s="59" t="s">
        <v>65</v>
      </c>
      <c r="B1023" s="59" t="s">
        <v>87</v>
      </c>
      <c r="C1023" s="248"/>
      <c r="D1023" s="59">
        <v>88316</v>
      </c>
      <c r="E1023" s="60" t="s">
        <v>649</v>
      </c>
      <c r="F1023" s="59" t="s">
        <v>46</v>
      </c>
      <c r="G1023" s="61">
        <v>0.04</v>
      </c>
      <c r="H1023" s="62">
        <v>17.61</v>
      </c>
      <c r="I1023" s="62">
        <f>IF($D1023="","",G1023*H1023)</f>
        <v>0.70440000000000003</v>
      </c>
      <c r="J1023" s="62"/>
      <c r="K1023" s="62">
        <v>0.46399999999999997</v>
      </c>
      <c r="L1023" s="62">
        <v>0.2404</v>
      </c>
      <c r="M1023" s="62">
        <v>0</v>
      </c>
      <c r="N1023" s="62">
        <v>0</v>
      </c>
      <c r="O1023" s="62">
        <v>1.1102230246251565E-16</v>
      </c>
      <c r="P1023" s="298" t="s">
        <v>4160</v>
      </c>
      <c r="Q1023" s="60" t="s">
        <v>27</v>
      </c>
      <c r="R1023" s="60"/>
      <c r="S1023" s="286" t="str">
        <f t="shared" si="103"/>
        <v>SIM</v>
      </c>
      <c r="T1023" s="286" t="str">
        <f>IFERROR(VLOOKUP($A1023,'ABC-S'!$A$5:$A$270,1,FALSE),"")</f>
        <v>74253/1</v>
      </c>
      <c r="W1023" s="286" t="s">
        <v>65</v>
      </c>
      <c r="X1023" s="286">
        <v>88316</v>
      </c>
      <c r="Y1023" s="286" t="s">
        <v>424</v>
      </c>
      <c r="Z1023" s="335">
        <v>200</v>
      </c>
      <c r="AA1023" s="286">
        <v>0.04</v>
      </c>
      <c r="AB1023" s="378"/>
      <c r="AC1023" s="381" t="s">
        <v>21</v>
      </c>
      <c r="AD1023" s="378" t="s">
        <v>21</v>
      </c>
      <c r="AE1023" s="378" t="s">
        <v>21</v>
      </c>
      <c r="AF1023" s="378" t="s">
        <v>21</v>
      </c>
      <c r="AG1023" s="378"/>
      <c r="AI1023" s="378">
        <v>0</v>
      </c>
      <c r="AJ1023" s="378">
        <v>0</v>
      </c>
      <c r="AL1023" s="286">
        <v>88316</v>
      </c>
      <c r="AM1023" s="286"/>
    </row>
    <row r="1024" spans="1:39" s="51" customFormat="1" ht="22.5" x14ac:dyDescent="0.25">
      <c r="A1024" s="59" t="s">
        <v>65</v>
      </c>
      <c r="B1024" s="59" t="s">
        <v>87</v>
      </c>
      <c r="C1024" s="248"/>
      <c r="D1024" s="59">
        <v>93358</v>
      </c>
      <c r="E1024" s="60" t="s">
        <v>1293</v>
      </c>
      <c r="F1024" s="59" t="s">
        <v>44</v>
      </c>
      <c r="G1024" s="61">
        <v>0.18</v>
      </c>
      <c r="H1024" s="62">
        <v>69.66</v>
      </c>
      <c r="I1024" s="62">
        <f>IF($D1024="","",G1024*H1024)</f>
        <v>12.538799999999998</v>
      </c>
      <c r="J1024" s="62"/>
      <c r="K1024" s="62">
        <v>8.2619999999999987</v>
      </c>
      <c r="L1024" s="62">
        <v>4.2767999999999997</v>
      </c>
      <c r="M1024" s="62">
        <v>0</v>
      </c>
      <c r="N1024" s="62">
        <v>0</v>
      </c>
      <c r="O1024" s="62">
        <v>0</v>
      </c>
      <c r="P1024" s="298" t="s">
        <v>4160</v>
      </c>
      <c r="Q1024" s="60" t="s">
        <v>27</v>
      </c>
      <c r="R1024" s="60" t="s">
        <v>27</v>
      </c>
      <c r="S1024" s="286" t="str">
        <f t="shared" si="103"/>
        <v>SIM</v>
      </c>
      <c r="T1024" s="286" t="str">
        <f>IFERROR(VLOOKUP($A1024,'ABC-S'!$A$5:$A$270,1,FALSE),"")</f>
        <v>74253/1</v>
      </c>
      <c r="W1024" s="286" t="s">
        <v>65</v>
      </c>
      <c r="X1024" s="286" t="s">
        <v>21</v>
      </c>
      <c r="Y1024" s="286" t="s">
        <v>1513</v>
      </c>
      <c r="Z1024" s="335" t="s">
        <v>21</v>
      </c>
      <c r="AA1024" s="286" t="s">
        <v>21</v>
      </c>
      <c r="AB1024" s="378"/>
      <c r="AC1024" s="381">
        <v>93358</v>
      </c>
      <c r="AD1024" s="378">
        <v>0.18</v>
      </c>
      <c r="AE1024" s="378">
        <v>3.956</v>
      </c>
      <c r="AF1024" s="378">
        <v>0.71207999999999994</v>
      </c>
      <c r="AG1024" s="378"/>
      <c r="AI1024" s="378">
        <v>0</v>
      </c>
      <c r="AJ1024" s="378">
        <v>0</v>
      </c>
      <c r="AL1024" s="286">
        <v>93358</v>
      </c>
      <c r="AM1024" s="286"/>
    </row>
    <row r="1025" spans="1:39" s="51" customFormat="1" ht="22.5" x14ac:dyDescent="0.25">
      <c r="A1025" s="59" t="s">
        <v>65</v>
      </c>
      <c r="B1025" s="59" t="s">
        <v>87</v>
      </c>
      <c r="C1025" s="248"/>
      <c r="D1025" s="59">
        <v>93382</v>
      </c>
      <c r="E1025" s="60" t="s">
        <v>40</v>
      </c>
      <c r="F1025" s="59" t="s">
        <v>44</v>
      </c>
      <c r="G1025" s="61">
        <v>0.18</v>
      </c>
      <c r="H1025" s="62">
        <v>25.09</v>
      </c>
      <c r="I1025" s="62">
        <f>IF($D1025="","",G1025*H1025)</f>
        <v>4.5161999999999995</v>
      </c>
      <c r="J1025" s="62"/>
      <c r="K1025" s="62">
        <v>2.6928000000000001</v>
      </c>
      <c r="L1025" s="62">
        <v>1.6541999999999999</v>
      </c>
      <c r="M1025" s="62">
        <v>0.16919999999999999</v>
      </c>
      <c r="N1025" s="62">
        <v>0</v>
      </c>
      <c r="O1025" s="62">
        <v>0</v>
      </c>
      <c r="P1025" s="298" t="s">
        <v>4160</v>
      </c>
      <c r="Q1025" s="60" t="s">
        <v>27</v>
      </c>
      <c r="R1025" s="60"/>
      <c r="S1025" s="286" t="str">
        <f t="shared" si="103"/>
        <v>SIM</v>
      </c>
      <c r="T1025" s="286" t="str">
        <f>IFERROR(VLOOKUP($A1025,'ABC-S'!$A$5:$A$270,1,FALSE),"")</f>
        <v>74253/1</v>
      </c>
      <c r="W1025" s="286" t="s">
        <v>65</v>
      </c>
      <c r="X1025" s="286" t="s">
        <v>21</v>
      </c>
      <c r="Y1025" s="286" t="s">
        <v>1513</v>
      </c>
      <c r="Z1025" s="335" t="s">
        <v>21</v>
      </c>
      <c r="AA1025" s="286" t="s">
        <v>21</v>
      </c>
      <c r="AB1025" s="378"/>
      <c r="AC1025" s="381">
        <v>93382</v>
      </c>
      <c r="AD1025" s="378">
        <v>0.18</v>
      </c>
      <c r="AE1025" s="378">
        <v>1.1870000000000001</v>
      </c>
      <c r="AF1025" s="378">
        <v>0.21365999999999999</v>
      </c>
      <c r="AG1025" s="378"/>
      <c r="AI1025" s="378">
        <v>0</v>
      </c>
      <c r="AJ1025" s="378">
        <v>0</v>
      </c>
      <c r="AL1025" s="286">
        <v>93382</v>
      </c>
      <c r="AM1025" s="286"/>
    </row>
    <row r="1029" spans="1:39" ht="12.75" x14ac:dyDescent="0.25">
      <c r="B1029" s="255"/>
      <c r="H1029" s="75"/>
      <c r="I1029" s="76"/>
      <c r="J1029" s="77"/>
      <c r="K1029" s="297"/>
      <c r="L1029" s="297"/>
      <c r="M1029" s="297"/>
      <c r="N1029" s="297"/>
      <c r="O1029" s="297"/>
      <c r="P1029" s="297"/>
    </row>
    <row r="1030" spans="1:39" ht="12.75" x14ac:dyDescent="0.25">
      <c r="H1030" s="78" t="s">
        <v>135</v>
      </c>
      <c r="I1030" s="79"/>
      <c r="J1030" s="78"/>
      <c r="K1030" s="40"/>
      <c r="L1030" s="40"/>
      <c r="M1030" s="40"/>
      <c r="N1030" s="78"/>
      <c r="O1030" s="78"/>
      <c r="P1030" s="78"/>
    </row>
    <row r="1031" spans="1:39" ht="12.75" x14ac:dyDescent="0.25">
      <c r="B1031" s="123" t="str">
        <f>'PSP-RESUMO'!$A$16</f>
        <v>RRT DO ORÇAMENTO: 0</v>
      </c>
      <c r="H1031" s="78" t="s">
        <v>136</v>
      </c>
      <c r="I1031" s="79"/>
      <c r="J1031" s="78"/>
      <c r="K1031" s="40"/>
      <c r="L1031" s="40"/>
      <c r="M1031" s="40"/>
      <c r="N1031" s="78"/>
      <c r="O1031" s="78"/>
      <c r="P1031" s="78"/>
    </row>
  </sheetData>
  <autoFilter ref="A4:AM1025" xr:uid="{B7C9E935-7088-4E45-AA9F-EDAD1BC280C7}">
    <filterColumn colId="18">
      <customFilters>
        <customFilter operator="notEqual" val=" "/>
      </customFilters>
    </filterColumn>
  </autoFilter>
  <pageMargins left="0.511811024" right="0.511811024" top="0.78740157499999996" bottom="0.78740157499999996" header="0.31496062000000002" footer="0.31496062000000002"/>
  <pageSetup paperSize="9" scale="96" fitToHeight="0" orientation="landscape"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98B4-D31A-4B86-9B3E-51D68203D631}">
  <sheetPr>
    <tabColor rgb="FF002060"/>
    <pageSetUpPr fitToPage="1"/>
  </sheetPr>
  <dimension ref="A1:R349"/>
  <sheetViews>
    <sheetView showGridLines="0" workbookViewId="0">
      <pane ySplit="5" topLeftCell="A6" activePane="bottomLeft" state="frozen"/>
      <selection activeCell="P26" sqref="P26"/>
      <selection pane="bottomLeft" sqref="A1:XFD1048576"/>
    </sheetView>
  </sheetViews>
  <sheetFormatPr defaultColWidth="9.140625" defaultRowHeight="12.75" x14ac:dyDescent="0.25"/>
  <cols>
    <col min="1" max="1" width="8.7109375" style="71" customWidth="1"/>
    <col min="2" max="2" width="7.7109375" style="71" customWidth="1"/>
    <col min="3" max="3" width="30.7109375" style="70" customWidth="1"/>
    <col min="4" max="4" width="6.7109375" style="71" customWidth="1"/>
    <col min="5" max="5" width="13.7109375" style="72" customWidth="1"/>
    <col min="6" max="6" width="17.7109375" style="72" customWidth="1"/>
    <col min="7" max="7" width="8.7109375" style="72" customWidth="1"/>
    <col min="8" max="8" width="15.7109375" style="72" customWidth="1"/>
    <col min="9" max="9" width="11.7109375" style="72" customWidth="1"/>
    <col min="10" max="10" width="8.7109375" style="72" customWidth="1"/>
    <col min="11" max="11" width="15.7109375" style="72" customWidth="1"/>
    <col min="12" max="12" width="11.7109375" style="72" customWidth="1"/>
    <col min="13" max="13" width="8.7109375" style="72" customWidth="1"/>
    <col min="14" max="14" width="15.7109375" style="72" customWidth="1"/>
    <col min="15" max="17" width="9.140625" style="70"/>
    <col min="18" max="18" width="24.7109375" style="70" bestFit="1" customWidth="1"/>
    <col min="19" max="16384" width="9.140625" style="70"/>
  </cols>
  <sheetData>
    <row r="1" spans="1:18" s="67" customFormat="1" ht="18" x14ac:dyDescent="0.25">
      <c r="A1" s="67" t="s">
        <v>130</v>
      </c>
      <c r="B1" s="68"/>
      <c r="D1" s="68"/>
      <c r="E1" s="158"/>
      <c r="F1" s="69"/>
      <c r="G1" s="69"/>
      <c r="H1" s="69"/>
      <c r="I1" s="69"/>
      <c r="J1" s="69"/>
      <c r="K1" s="69"/>
      <c r="L1" s="69"/>
      <c r="M1" s="69"/>
      <c r="N1" s="69"/>
      <c r="R1" s="288"/>
    </row>
    <row r="2" spans="1:18" x14ac:dyDescent="0.25">
      <c r="A2" s="70"/>
      <c r="F2" s="287"/>
      <c r="R2" s="333"/>
    </row>
    <row r="3" spans="1:18" x14ac:dyDescent="0.25">
      <c r="A3" s="70" t="s">
        <v>366</v>
      </c>
      <c r="E3" s="247"/>
      <c r="N3" s="247"/>
    </row>
    <row r="4" spans="1:18" s="73" customFormat="1" ht="25.5" customHeight="1" x14ac:dyDescent="0.25">
      <c r="A4" s="242" t="s">
        <v>126</v>
      </c>
      <c r="B4" s="242" t="s">
        <v>131</v>
      </c>
      <c r="C4" s="242" t="s">
        <v>125</v>
      </c>
      <c r="D4" s="242" t="s">
        <v>1</v>
      </c>
      <c r="E4" s="243" t="s">
        <v>261</v>
      </c>
      <c r="F4" s="244" t="s">
        <v>132</v>
      </c>
      <c r="G4" s="245"/>
      <c r="H4" s="246"/>
      <c r="I4" s="244" t="s">
        <v>140</v>
      </c>
      <c r="J4" s="245"/>
      <c r="K4" s="246"/>
      <c r="L4" s="244" t="s">
        <v>141</v>
      </c>
      <c r="M4" s="245"/>
      <c r="N4" s="246"/>
    </row>
    <row r="5" spans="1:18" s="74" customFormat="1" ht="12" x14ac:dyDescent="0.25">
      <c r="A5" s="216"/>
      <c r="B5" s="217"/>
      <c r="C5" s="221" t="s">
        <v>272</v>
      </c>
      <c r="D5" s="217"/>
      <c r="E5" s="218"/>
      <c r="F5" s="219"/>
      <c r="G5" s="219"/>
      <c r="H5" s="219"/>
      <c r="I5" s="219"/>
      <c r="J5" s="219"/>
      <c r="K5" s="219"/>
      <c r="L5" s="219"/>
      <c r="M5" s="219"/>
      <c r="N5" s="220"/>
    </row>
    <row r="6" spans="1:18" s="74" customFormat="1" ht="12" x14ac:dyDescent="0.25">
      <c r="A6" s="1998" t="s">
        <v>3680</v>
      </c>
      <c r="B6" s="1998" t="s">
        <v>423</v>
      </c>
      <c r="C6" s="2017" t="s">
        <v>3681</v>
      </c>
      <c r="D6" s="1998" t="s">
        <v>76</v>
      </c>
      <c r="E6" s="2004">
        <v>285.01</v>
      </c>
      <c r="F6" s="336" t="s">
        <v>335</v>
      </c>
      <c r="G6" s="337" t="s">
        <v>356</v>
      </c>
      <c r="H6" s="338">
        <v>285.01583938912461</v>
      </c>
      <c r="I6" s="249" t="s">
        <v>335</v>
      </c>
      <c r="J6" s="250" t="s">
        <v>356</v>
      </c>
      <c r="K6" s="251"/>
      <c r="L6" s="252" t="s">
        <v>335</v>
      </c>
      <c r="M6" s="250" t="s">
        <v>356</v>
      </c>
      <c r="N6" s="251"/>
      <c r="P6" s="74" t="s">
        <v>3680</v>
      </c>
    </row>
    <row r="7" spans="1:18" s="74" customFormat="1" ht="12" x14ac:dyDescent="0.25">
      <c r="A7" s="1999"/>
      <c r="B7" s="1999"/>
      <c r="C7" s="2018"/>
      <c r="D7" s="1999"/>
      <c r="E7" s="2005"/>
      <c r="F7" s="340" t="s">
        <v>355</v>
      </c>
      <c r="G7" s="2007" t="s">
        <v>361</v>
      </c>
      <c r="H7" s="2008"/>
      <c r="I7" s="253" t="s">
        <v>355</v>
      </c>
      <c r="J7" s="2009"/>
      <c r="K7" s="2010"/>
      <c r="L7" s="253" t="s">
        <v>355</v>
      </c>
      <c r="M7" s="2015"/>
      <c r="N7" s="2010"/>
    </row>
    <row r="8" spans="1:18" s="74" customFormat="1" ht="12" customHeight="1" x14ac:dyDescent="0.25">
      <c r="A8" s="1999"/>
      <c r="B8" s="1999"/>
      <c r="C8" s="2018"/>
      <c r="D8" s="1999"/>
      <c r="E8" s="2005"/>
      <c r="F8" s="340"/>
      <c r="G8" s="2007" t="s">
        <v>3424</v>
      </c>
      <c r="H8" s="2008"/>
      <c r="I8" s="253" t="s">
        <v>359</v>
      </c>
      <c r="J8" s="2009"/>
      <c r="K8" s="2010"/>
      <c r="L8" s="253" t="s">
        <v>359</v>
      </c>
      <c r="M8" s="2009"/>
      <c r="N8" s="2010"/>
    </row>
    <row r="9" spans="1:18" s="74" customFormat="1" ht="12" customHeight="1" x14ac:dyDescent="0.25">
      <c r="A9" s="1999"/>
      <c r="B9" s="1999"/>
      <c r="C9" s="2018"/>
      <c r="D9" s="1999"/>
      <c r="E9" s="2005"/>
      <c r="F9" s="340"/>
      <c r="G9" s="2007" t="s">
        <v>4106</v>
      </c>
      <c r="H9" s="2008"/>
      <c r="I9" s="253" t="s">
        <v>358</v>
      </c>
      <c r="J9" s="2009"/>
      <c r="K9" s="2010"/>
      <c r="L9" s="253" t="s">
        <v>358</v>
      </c>
      <c r="M9" s="2015"/>
      <c r="N9" s="2010"/>
    </row>
    <row r="10" spans="1:18" s="74" customFormat="1" ht="12" x14ac:dyDescent="0.25">
      <c r="A10" s="1999"/>
      <c r="B10" s="1999"/>
      <c r="C10" s="2018"/>
      <c r="D10" s="1999"/>
      <c r="E10" s="2005"/>
      <c r="F10" s="340"/>
      <c r="G10" s="2007" t="s">
        <v>3682</v>
      </c>
      <c r="H10" s="2008"/>
      <c r="I10" s="253" t="s">
        <v>360</v>
      </c>
      <c r="J10" s="2009"/>
      <c r="K10" s="2010"/>
      <c r="L10" s="253" t="s">
        <v>360</v>
      </c>
      <c r="M10" s="2009"/>
      <c r="N10" s="2010"/>
    </row>
    <row r="11" spans="1:18" s="74" customFormat="1" ht="12" customHeight="1" x14ac:dyDescent="0.25">
      <c r="A11" s="2000"/>
      <c r="B11" s="2000"/>
      <c r="C11" s="2019"/>
      <c r="D11" s="2000"/>
      <c r="E11" s="2006"/>
      <c r="F11" s="341"/>
      <c r="G11" s="2011"/>
      <c r="H11" s="2012"/>
      <c r="I11" s="254" t="s">
        <v>357</v>
      </c>
      <c r="J11" s="2013"/>
      <c r="K11" s="2014"/>
      <c r="L11" s="254" t="s">
        <v>357</v>
      </c>
      <c r="M11" s="2016"/>
      <c r="N11" s="2014"/>
    </row>
    <row r="12" spans="1:18" s="74" customFormat="1" ht="12" x14ac:dyDescent="0.25">
      <c r="A12" s="1998" t="s">
        <v>3684</v>
      </c>
      <c r="B12" s="1998" t="s">
        <v>423</v>
      </c>
      <c r="C12" s="2017" t="s">
        <v>3683</v>
      </c>
      <c r="D12" s="1998" t="s">
        <v>75</v>
      </c>
      <c r="E12" s="2004">
        <v>82.56</v>
      </c>
      <c r="F12" s="336" t="s">
        <v>335</v>
      </c>
      <c r="G12" s="337" t="s">
        <v>356</v>
      </c>
      <c r="H12" s="338">
        <v>82.562161867428685</v>
      </c>
      <c r="I12" s="249" t="s">
        <v>335</v>
      </c>
      <c r="J12" s="250" t="s">
        <v>356</v>
      </c>
      <c r="K12" s="251"/>
      <c r="L12" s="252" t="s">
        <v>335</v>
      </c>
      <c r="M12" s="250" t="s">
        <v>356</v>
      </c>
      <c r="N12" s="251"/>
      <c r="P12" s="74" t="s">
        <v>3684</v>
      </c>
    </row>
    <row r="13" spans="1:18" s="74" customFormat="1" ht="12" x14ac:dyDescent="0.25">
      <c r="A13" s="1999"/>
      <c r="B13" s="1999"/>
      <c r="C13" s="2018"/>
      <c r="D13" s="1999"/>
      <c r="E13" s="2005"/>
      <c r="F13" s="340" t="s">
        <v>355</v>
      </c>
      <c r="G13" s="2007" t="s">
        <v>361</v>
      </c>
      <c r="H13" s="2008"/>
      <c r="I13" s="253" t="s">
        <v>355</v>
      </c>
      <c r="J13" s="2009"/>
      <c r="K13" s="2010"/>
      <c r="L13" s="253" t="s">
        <v>355</v>
      </c>
      <c r="M13" s="2015"/>
      <c r="N13" s="2010"/>
    </row>
    <row r="14" spans="1:18" s="74" customFormat="1" ht="12" customHeight="1" x14ac:dyDescent="0.25">
      <c r="A14" s="1999"/>
      <c r="B14" s="1999"/>
      <c r="C14" s="2018"/>
      <c r="D14" s="1999"/>
      <c r="E14" s="2005"/>
      <c r="F14" s="340"/>
      <c r="G14" s="2007" t="s">
        <v>3424</v>
      </c>
      <c r="H14" s="2008"/>
      <c r="I14" s="253" t="s">
        <v>359</v>
      </c>
      <c r="J14" s="2009"/>
      <c r="K14" s="2010"/>
      <c r="L14" s="253" t="s">
        <v>359</v>
      </c>
      <c r="M14" s="2009"/>
      <c r="N14" s="2010"/>
    </row>
    <row r="15" spans="1:18" s="74" customFormat="1" ht="12" customHeight="1" x14ac:dyDescent="0.25">
      <c r="A15" s="1999"/>
      <c r="B15" s="1999"/>
      <c r="C15" s="2018"/>
      <c r="D15" s="1999"/>
      <c r="E15" s="2005"/>
      <c r="F15" s="340"/>
      <c r="G15" s="2007" t="s">
        <v>4106</v>
      </c>
      <c r="H15" s="2008"/>
      <c r="I15" s="253" t="s">
        <v>358</v>
      </c>
      <c r="J15" s="2009"/>
      <c r="K15" s="2010"/>
      <c r="L15" s="253" t="s">
        <v>358</v>
      </c>
      <c r="M15" s="2015"/>
      <c r="N15" s="2010"/>
    </row>
    <row r="16" spans="1:18" s="74" customFormat="1" ht="12" x14ac:dyDescent="0.25">
      <c r="A16" s="1999"/>
      <c r="B16" s="1999"/>
      <c r="C16" s="2018"/>
      <c r="D16" s="1999"/>
      <c r="E16" s="2005"/>
      <c r="F16" s="340"/>
      <c r="G16" s="2007" t="s">
        <v>3682</v>
      </c>
      <c r="H16" s="2008"/>
      <c r="I16" s="253" t="s">
        <v>360</v>
      </c>
      <c r="J16" s="2009"/>
      <c r="K16" s="2010"/>
      <c r="L16" s="253" t="s">
        <v>360</v>
      </c>
      <c r="M16" s="2009"/>
      <c r="N16" s="2010"/>
    </row>
    <row r="17" spans="1:16" s="74" customFormat="1" ht="12" customHeight="1" x14ac:dyDescent="0.25">
      <c r="A17" s="2000"/>
      <c r="B17" s="2000"/>
      <c r="C17" s="2019"/>
      <c r="D17" s="2000"/>
      <c r="E17" s="2006"/>
      <c r="F17" s="341"/>
      <c r="G17" s="2011"/>
      <c r="H17" s="2012"/>
      <c r="I17" s="254" t="s">
        <v>357</v>
      </c>
      <c r="J17" s="2013"/>
      <c r="K17" s="2014"/>
      <c r="L17" s="254" t="s">
        <v>357</v>
      </c>
      <c r="M17" s="2016"/>
      <c r="N17" s="2014"/>
    </row>
    <row r="18" spans="1:16" s="74" customFormat="1" ht="12" x14ac:dyDescent="0.25">
      <c r="A18" s="1998" t="s">
        <v>922</v>
      </c>
      <c r="B18" s="1998" t="s">
        <v>423</v>
      </c>
      <c r="C18" s="2017" t="s">
        <v>921</v>
      </c>
      <c r="D18" s="1998" t="s">
        <v>76</v>
      </c>
      <c r="E18" s="2004">
        <v>0.34</v>
      </c>
      <c r="F18" s="336" t="s">
        <v>335</v>
      </c>
      <c r="G18" s="337" t="s">
        <v>356</v>
      </c>
      <c r="H18" s="338">
        <v>0.3489009257641511</v>
      </c>
      <c r="I18" s="249" t="s">
        <v>335</v>
      </c>
      <c r="J18" s="250" t="s">
        <v>356</v>
      </c>
      <c r="K18" s="251"/>
      <c r="L18" s="252" t="s">
        <v>335</v>
      </c>
      <c r="M18" s="250" t="s">
        <v>356</v>
      </c>
      <c r="N18" s="251"/>
      <c r="P18" s="74" t="s">
        <v>922</v>
      </c>
    </row>
    <row r="19" spans="1:16" s="74" customFormat="1" ht="12" x14ac:dyDescent="0.25">
      <c r="A19" s="1999"/>
      <c r="B19" s="1999"/>
      <c r="C19" s="2018"/>
      <c r="D19" s="1999"/>
      <c r="E19" s="2005"/>
      <c r="F19" s="340" t="s">
        <v>355</v>
      </c>
      <c r="G19" s="2007" t="s">
        <v>361</v>
      </c>
      <c r="H19" s="2008"/>
      <c r="I19" s="253" t="s">
        <v>355</v>
      </c>
      <c r="J19" s="2009"/>
      <c r="K19" s="2010"/>
      <c r="L19" s="253" t="s">
        <v>355</v>
      </c>
      <c r="M19" s="2015"/>
      <c r="N19" s="2010"/>
    </row>
    <row r="20" spans="1:16" s="74" customFormat="1" ht="12" customHeight="1" x14ac:dyDescent="0.25">
      <c r="A20" s="1999"/>
      <c r="B20" s="1999"/>
      <c r="C20" s="2018"/>
      <c r="D20" s="1999"/>
      <c r="E20" s="2005"/>
      <c r="F20" s="340"/>
      <c r="G20" s="2007" t="s">
        <v>3424</v>
      </c>
      <c r="H20" s="2008"/>
      <c r="I20" s="253" t="s">
        <v>359</v>
      </c>
      <c r="J20" s="2009"/>
      <c r="K20" s="2010"/>
      <c r="L20" s="253" t="s">
        <v>359</v>
      </c>
      <c r="M20" s="2009"/>
      <c r="N20" s="2010"/>
    </row>
    <row r="21" spans="1:16" s="74" customFormat="1" ht="12" customHeight="1" x14ac:dyDescent="0.25">
      <c r="A21" s="1999"/>
      <c r="B21" s="1999"/>
      <c r="C21" s="2018"/>
      <c r="D21" s="1999"/>
      <c r="E21" s="2005"/>
      <c r="F21" s="340"/>
      <c r="G21" s="2007" t="s">
        <v>4106</v>
      </c>
      <c r="H21" s="2008"/>
      <c r="I21" s="253" t="s">
        <v>358</v>
      </c>
      <c r="J21" s="2009"/>
      <c r="K21" s="2010"/>
      <c r="L21" s="253" t="s">
        <v>358</v>
      </c>
      <c r="M21" s="2015"/>
      <c r="N21" s="2010"/>
    </row>
    <row r="22" spans="1:16" s="74" customFormat="1" ht="12" x14ac:dyDescent="0.25">
      <c r="A22" s="1999"/>
      <c r="B22" s="1999"/>
      <c r="C22" s="2018"/>
      <c r="D22" s="1999"/>
      <c r="E22" s="2005"/>
      <c r="F22" s="340"/>
      <c r="G22" s="2007" t="s">
        <v>920</v>
      </c>
      <c r="H22" s="2008"/>
      <c r="I22" s="253" t="s">
        <v>360</v>
      </c>
      <c r="J22" s="2009"/>
      <c r="K22" s="2010"/>
      <c r="L22" s="253" t="s">
        <v>360</v>
      </c>
      <c r="M22" s="2009"/>
      <c r="N22" s="2010"/>
    </row>
    <row r="23" spans="1:16" s="74" customFormat="1" ht="12" customHeight="1" x14ac:dyDescent="0.25">
      <c r="A23" s="2000"/>
      <c r="B23" s="2000"/>
      <c r="C23" s="2019"/>
      <c r="D23" s="2000"/>
      <c r="E23" s="2006"/>
      <c r="F23" s="341"/>
      <c r="G23" s="2011"/>
      <c r="H23" s="2012"/>
      <c r="I23" s="254" t="s">
        <v>357</v>
      </c>
      <c r="J23" s="2013"/>
      <c r="K23" s="2014"/>
      <c r="L23" s="254" t="s">
        <v>357</v>
      </c>
      <c r="M23" s="2016"/>
      <c r="N23" s="2014"/>
    </row>
    <row r="24" spans="1:16" s="74" customFormat="1" ht="12" x14ac:dyDescent="0.25">
      <c r="A24" s="1998" t="s">
        <v>924</v>
      </c>
      <c r="B24" s="1998" t="s">
        <v>423</v>
      </c>
      <c r="C24" s="2017" t="s">
        <v>923</v>
      </c>
      <c r="D24" s="1998" t="s">
        <v>75</v>
      </c>
      <c r="E24" s="2004">
        <v>0.23</v>
      </c>
      <c r="F24" s="336" t="s">
        <v>335</v>
      </c>
      <c r="G24" s="337" t="s">
        <v>356</v>
      </c>
      <c r="H24" s="338">
        <v>0.23448578427291458</v>
      </c>
      <c r="I24" s="249" t="s">
        <v>335</v>
      </c>
      <c r="J24" s="250" t="s">
        <v>356</v>
      </c>
      <c r="K24" s="251"/>
      <c r="L24" s="252" t="s">
        <v>335</v>
      </c>
      <c r="M24" s="250" t="s">
        <v>356</v>
      </c>
      <c r="N24" s="251"/>
      <c r="P24" s="74" t="s">
        <v>924</v>
      </c>
    </row>
    <row r="25" spans="1:16" s="74" customFormat="1" ht="12" x14ac:dyDescent="0.25">
      <c r="A25" s="1999"/>
      <c r="B25" s="1999"/>
      <c r="C25" s="2018"/>
      <c r="D25" s="1999"/>
      <c r="E25" s="2005"/>
      <c r="F25" s="340" t="s">
        <v>355</v>
      </c>
      <c r="G25" s="2007" t="s">
        <v>361</v>
      </c>
      <c r="H25" s="2008"/>
      <c r="I25" s="253" t="s">
        <v>355</v>
      </c>
      <c r="J25" s="2009"/>
      <c r="K25" s="2010"/>
      <c r="L25" s="253" t="s">
        <v>355</v>
      </c>
      <c r="M25" s="2015"/>
      <c r="N25" s="2010"/>
    </row>
    <row r="26" spans="1:16" s="74" customFormat="1" ht="12" customHeight="1" x14ac:dyDescent="0.25">
      <c r="A26" s="1999"/>
      <c r="B26" s="1999"/>
      <c r="C26" s="2018"/>
      <c r="D26" s="1999"/>
      <c r="E26" s="2005"/>
      <c r="F26" s="340"/>
      <c r="G26" s="2007" t="s">
        <v>3424</v>
      </c>
      <c r="H26" s="2008"/>
      <c r="I26" s="253" t="s">
        <v>359</v>
      </c>
      <c r="J26" s="2009"/>
      <c r="K26" s="2010"/>
      <c r="L26" s="253" t="s">
        <v>359</v>
      </c>
      <c r="M26" s="2009"/>
      <c r="N26" s="2010"/>
    </row>
    <row r="27" spans="1:16" s="74" customFormat="1" ht="12" customHeight="1" x14ac:dyDescent="0.25">
      <c r="A27" s="1999"/>
      <c r="B27" s="1999"/>
      <c r="C27" s="2018"/>
      <c r="D27" s="1999"/>
      <c r="E27" s="2005"/>
      <c r="F27" s="340"/>
      <c r="G27" s="2007" t="s">
        <v>4106</v>
      </c>
      <c r="H27" s="2008"/>
      <c r="I27" s="253" t="s">
        <v>358</v>
      </c>
      <c r="J27" s="2009"/>
      <c r="K27" s="2010"/>
      <c r="L27" s="253" t="s">
        <v>358</v>
      </c>
      <c r="M27" s="2015"/>
      <c r="N27" s="2010"/>
    </row>
    <row r="28" spans="1:16" s="74" customFormat="1" ht="12" x14ac:dyDescent="0.25">
      <c r="A28" s="1999"/>
      <c r="B28" s="1999"/>
      <c r="C28" s="2018"/>
      <c r="D28" s="1999"/>
      <c r="E28" s="2005"/>
      <c r="F28" s="340"/>
      <c r="G28" s="2007" t="s">
        <v>920</v>
      </c>
      <c r="H28" s="2008"/>
      <c r="I28" s="253" t="s">
        <v>360</v>
      </c>
      <c r="J28" s="2009"/>
      <c r="K28" s="2010"/>
      <c r="L28" s="253" t="s">
        <v>360</v>
      </c>
      <c r="M28" s="2009"/>
      <c r="N28" s="2010"/>
    </row>
    <row r="29" spans="1:16" s="74" customFormat="1" ht="12" customHeight="1" x14ac:dyDescent="0.25">
      <c r="A29" s="2000"/>
      <c r="B29" s="2000"/>
      <c r="C29" s="2019"/>
      <c r="D29" s="2000"/>
      <c r="E29" s="2006"/>
      <c r="F29" s="341"/>
      <c r="G29" s="2011"/>
      <c r="H29" s="2012"/>
      <c r="I29" s="254" t="s">
        <v>357</v>
      </c>
      <c r="J29" s="2013"/>
      <c r="K29" s="2014"/>
      <c r="L29" s="254" t="s">
        <v>357</v>
      </c>
      <c r="M29" s="2016"/>
      <c r="N29" s="2014"/>
    </row>
    <row r="30" spans="1:16" s="74" customFormat="1" ht="12" x14ac:dyDescent="0.25">
      <c r="A30" s="1998" t="s">
        <v>3692</v>
      </c>
      <c r="B30" s="1998" t="s">
        <v>423</v>
      </c>
      <c r="C30" s="2017" t="s">
        <v>3694</v>
      </c>
      <c r="D30" s="1998" t="s">
        <v>76</v>
      </c>
      <c r="E30" s="2004">
        <v>297.74</v>
      </c>
      <c r="F30" s="336" t="s">
        <v>335</v>
      </c>
      <c r="G30" s="337" t="s">
        <v>356</v>
      </c>
      <c r="H30" s="338">
        <v>297.74517643786595</v>
      </c>
      <c r="I30" s="249" t="s">
        <v>335</v>
      </c>
      <c r="J30" s="250" t="s">
        <v>356</v>
      </c>
      <c r="K30" s="251"/>
      <c r="L30" s="252" t="s">
        <v>335</v>
      </c>
      <c r="M30" s="250" t="s">
        <v>356</v>
      </c>
      <c r="N30" s="251"/>
      <c r="P30" s="74" t="s">
        <v>3692</v>
      </c>
    </row>
    <row r="31" spans="1:16" s="74" customFormat="1" ht="12" x14ac:dyDescent="0.25">
      <c r="A31" s="1999"/>
      <c r="B31" s="1999"/>
      <c r="C31" s="2018"/>
      <c r="D31" s="1999"/>
      <c r="E31" s="2005"/>
      <c r="F31" s="340" t="s">
        <v>355</v>
      </c>
      <c r="G31" s="2007" t="s">
        <v>361</v>
      </c>
      <c r="H31" s="2008"/>
      <c r="I31" s="253" t="s">
        <v>355</v>
      </c>
      <c r="J31" s="2009"/>
      <c r="K31" s="2010"/>
      <c r="L31" s="253" t="s">
        <v>355</v>
      </c>
      <c r="M31" s="2015"/>
      <c r="N31" s="2010"/>
    </row>
    <row r="32" spans="1:16" s="74" customFormat="1" ht="12" customHeight="1" x14ac:dyDescent="0.25">
      <c r="A32" s="1999"/>
      <c r="B32" s="1999"/>
      <c r="C32" s="2018"/>
      <c r="D32" s="1999"/>
      <c r="E32" s="2005"/>
      <c r="F32" s="340"/>
      <c r="G32" s="2007" t="s">
        <v>3424</v>
      </c>
      <c r="H32" s="2008"/>
      <c r="I32" s="253" t="s">
        <v>359</v>
      </c>
      <c r="J32" s="2009"/>
      <c r="K32" s="2010"/>
      <c r="L32" s="253" t="s">
        <v>359</v>
      </c>
      <c r="M32" s="2009"/>
      <c r="N32" s="2010"/>
    </row>
    <row r="33" spans="1:16" s="74" customFormat="1" ht="12" customHeight="1" x14ac:dyDescent="0.25">
      <c r="A33" s="1999"/>
      <c r="B33" s="1999"/>
      <c r="C33" s="2018"/>
      <c r="D33" s="1999"/>
      <c r="E33" s="2005"/>
      <c r="F33" s="340"/>
      <c r="G33" s="2007" t="s">
        <v>4106</v>
      </c>
      <c r="H33" s="2008"/>
      <c r="I33" s="253" t="s">
        <v>358</v>
      </c>
      <c r="J33" s="2009"/>
      <c r="K33" s="2010"/>
      <c r="L33" s="253" t="s">
        <v>358</v>
      </c>
      <c r="M33" s="2015"/>
      <c r="N33" s="2010"/>
    </row>
    <row r="34" spans="1:16" s="74" customFormat="1" ht="12" customHeight="1" x14ac:dyDescent="0.25">
      <c r="A34" s="1999"/>
      <c r="B34" s="1999"/>
      <c r="C34" s="2018"/>
      <c r="D34" s="1999"/>
      <c r="E34" s="2005"/>
      <c r="F34" s="340"/>
      <c r="G34" s="2007" t="s">
        <v>3696</v>
      </c>
      <c r="H34" s="2008"/>
      <c r="I34" s="253" t="s">
        <v>360</v>
      </c>
      <c r="J34" s="2009"/>
      <c r="K34" s="2010"/>
      <c r="L34" s="253" t="s">
        <v>360</v>
      </c>
      <c r="M34" s="2009"/>
      <c r="N34" s="2010"/>
    </row>
    <row r="35" spans="1:16" s="74" customFormat="1" ht="12" customHeight="1" x14ac:dyDescent="0.25">
      <c r="A35" s="2000"/>
      <c r="B35" s="2000"/>
      <c r="C35" s="2019"/>
      <c r="D35" s="2000"/>
      <c r="E35" s="2006"/>
      <c r="F35" s="341"/>
      <c r="G35" s="2011"/>
      <c r="H35" s="2012"/>
      <c r="I35" s="254" t="s">
        <v>357</v>
      </c>
      <c r="J35" s="2013"/>
      <c r="K35" s="2014"/>
      <c r="L35" s="254" t="s">
        <v>357</v>
      </c>
      <c r="M35" s="2016"/>
      <c r="N35" s="2014"/>
    </row>
    <row r="36" spans="1:16" s="74" customFormat="1" ht="12" x14ac:dyDescent="0.25">
      <c r="A36" s="1998" t="s">
        <v>3693</v>
      </c>
      <c r="B36" s="1998" t="s">
        <v>423</v>
      </c>
      <c r="C36" s="2017" t="s">
        <v>3695</v>
      </c>
      <c r="D36" s="1998" t="s">
        <v>75</v>
      </c>
      <c r="E36" s="2004">
        <v>71.040000000000006</v>
      </c>
      <c r="F36" s="336" t="s">
        <v>335</v>
      </c>
      <c r="G36" s="337" t="s">
        <v>356</v>
      </c>
      <c r="H36" s="338">
        <v>71.048648836492106</v>
      </c>
      <c r="I36" s="249" t="s">
        <v>335</v>
      </c>
      <c r="J36" s="250" t="s">
        <v>356</v>
      </c>
      <c r="K36" s="251"/>
      <c r="L36" s="252" t="s">
        <v>335</v>
      </c>
      <c r="M36" s="250" t="s">
        <v>356</v>
      </c>
      <c r="N36" s="251"/>
      <c r="P36" s="74" t="s">
        <v>3693</v>
      </c>
    </row>
    <row r="37" spans="1:16" s="74" customFormat="1" ht="12" x14ac:dyDescent="0.25">
      <c r="A37" s="1999"/>
      <c r="B37" s="1999"/>
      <c r="C37" s="2018"/>
      <c r="D37" s="1999"/>
      <c r="E37" s="2005"/>
      <c r="F37" s="340" t="s">
        <v>355</v>
      </c>
      <c r="G37" s="2007" t="s">
        <v>361</v>
      </c>
      <c r="H37" s="2008"/>
      <c r="I37" s="253" t="s">
        <v>355</v>
      </c>
      <c r="J37" s="2009"/>
      <c r="K37" s="2010"/>
      <c r="L37" s="253" t="s">
        <v>355</v>
      </c>
      <c r="M37" s="2015"/>
      <c r="N37" s="2010"/>
    </row>
    <row r="38" spans="1:16" s="74" customFormat="1" ht="12" customHeight="1" x14ac:dyDescent="0.25">
      <c r="A38" s="1999"/>
      <c r="B38" s="1999"/>
      <c r="C38" s="2018"/>
      <c r="D38" s="1999"/>
      <c r="E38" s="2005"/>
      <c r="F38" s="340"/>
      <c r="G38" s="2007" t="s">
        <v>3424</v>
      </c>
      <c r="H38" s="2008"/>
      <c r="I38" s="253" t="s">
        <v>359</v>
      </c>
      <c r="J38" s="2009"/>
      <c r="K38" s="2010"/>
      <c r="L38" s="253" t="s">
        <v>359</v>
      </c>
      <c r="M38" s="2009"/>
      <c r="N38" s="2010"/>
    </row>
    <row r="39" spans="1:16" s="74" customFormat="1" ht="12" customHeight="1" x14ac:dyDescent="0.25">
      <c r="A39" s="1999"/>
      <c r="B39" s="1999"/>
      <c r="C39" s="2018"/>
      <c r="D39" s="1999"/>
      <c r="E39" s="2005"/>
      <c r="F39" s="340"/>
      <c r="G39" s="2007" t="s">
        <v>4106</v>
      </c>
      <c r="H39" s="2008"/>
      <c r="I39" s="253" t="s">
        <v>358</v>
      </c>
      <c r="J39" s="2009"/>
      <c r="K39" s="2010"/>
      <c r="L39" s="253" t="s">
        <v>358</v>
      </c>
      <c r="M39" s="2015"/>
      <c r="N39" s="2010"/>
    </row>
    <row r="40" spans="1:16" s="74" customFormat="1" ht="12" x14ac:dyDescent="0.25">
      <c r="A40" s="1999"/>
      <c r="B40" s="1999"/>
      <c r="C40" s="2018"/>
      <c r="D40" s="1999"/>
      <c r="E40" s="2005"/>
      <c r="F40" s="340"/>
      <c r="G40" s="2007" t="s">
        <v>3696</v>
      </c>
      <c r="H40" s="2008"/>
      <c r="I40" s="253" t="s">
        <v>360</v>
      </c>
      <c r="J40" s="2009"/>
      <c r="K40" s="2010"/>
      <c r="L40" s="253" t="s">
        <v>360</v>
      </c>
      <c r="M40" s="2009"/>
      <c r="N40" s="2010"/>
    </row>
    <row r="41" spans="1:16" s="74" customFormat="1" ht="12" customHeight="1" x14ac:dyDescent="0.25">
      <c r="A41" s="2000"/>
      <c r="B41" s="2000"/>
      <c r="C41" s="2019"/>
      <c r="D41" s="2000"/>
      <c r="E41" s="2006"/>
      <c r="F41" s="341"/>
      <c r="G41" s="2011"/>
      <c r="H41" s="2012"/>
      <c r="I41" s="254" t="s">
        <v>357</v>
      </c>
      <c r="J41" s="2013"/>
      <c r="K41" s="2014"/>
      <c r="L41" s="254" t="s">
        <v>357</v>
      </c>
      <c r="M41" s="2016"/>
      <c r="N41" s="2014"/>
    </row>
    <row r="42" spans="1:16" s="74" customFormat="1" ht="12" x14ac:dyDescent="0.25">
      <c r="A42" s="1998" t="s">
        <v>285</v>
      </c>
      <c r="B42" s="1998" t="s">
        <v>423</v>
      </c>
      <c r="C42" s="2017" t="s">
        <v>4157</v>
      </c>
      <c r="D42" s="1998" t="s">
        <v>46</v>
      </c>
      <c r="E42" s="2004">
        <v>127.74</v>
      </c>
      <c r="F42" s="336" t="s">
        <v>335</v>
      </c>
      <c r="G42" s="337" t="s">
        <v>356</v>
      </c>
      <c r="H42" s="338">
        <v>127.74113392611943</v>
      </c>
      <c r="I42" s="249" t="s">
        <v>335</v>
      </c>
      <c r="J42" s="250" t="s">
        <v>356</v>
      </c>
      <c r="K42" s="251"/>
      <c r="L42" s="252" t="s">
        <v>335</v>
      </c>
      <c r="M42" s="250" t="s">
        <v>356</v>
      </c>
      <c r="N42" s="251"/>
      <c r="P42" s="74" t="s">
        <v>285</v>
      </c>
    </row>
    <row r="43" spans="1:16" s="74" customFormat="1" ht="12" x14ac:dyDescent="0.25">
      <c r="A43" s="1999"/>
      <c r="B43" s="1999"/>
      <c r="C43" s="2018"/>
      <c r="D43" s="1999"/>
      <c r="E43" s="2005"/>
      <c r="F43" s="340" t="s">
        <v>355</v>
      </c>
      <c r="G43" s="2007" t="s">
        <v>361</v>
      </c>
      <c r="H43" s="2008"/>
      <c r="I43" s="253" t="s">
        <v>355</v>
      </c>
      <c r="J43" s="2009"/>
      <c r="K43" s="2010"/>
      <c r="L43" s="253" t="s">
        <v>355</v>
      </c>
      <c r="M43" s="2015"/>
      <c r="N43" s="2010"/>
    </row>
    <row r="44" spans="1:16" s="74" customFormat="1" ht="12" customHeight="1" x14ac:dyDescent="0.25">
      <c r="A44" s="1999"/>
      <c r="B44" s="1999"/>
      <c r="C44" s="2018"/>
      <c r="D44" s="1999"/>
      <c r="E44" s="2005"/>
      <c r="F44" s="340"/>
      <c r="G44" s="2007" t="s">
        <v>3424</v>
      </c>
      <c r="H44" s="2008"/>
      <c r="I44" s="253" t="s">
        <v>359</v>
      </c>
      <c r="J44" s="2009"/>
      <c r="K44" s="2010"/>
      <c r="L44" s="253" t="s">
        <v>359</v>
      </c>
      <c r="M44" s="2009"/>
      <c r="N44" s="2010"/>
    </row>
    <row r="45" spans="1:16" s="74" customFormat="1" ht="12" customHeight="1" x14ac:dyDescent="0.25">
      <c r="A45" s="1999"/>
      <c r="B45" s="1999"/>
      <c r="C45" s="2018"/>
      <c r="D45" s="1999"/>
      <c r="E45" s="2005"/>
      <c r="F45" s="340"/>
      <c r="G45" s="2007" t="s">
        <v>4106</v>
      </c>
      <c r="H45" s="2008"/>
      <c r="I45" s="253" t="s">
        <v>358</v>
      </c>
      <c r="J45" s="2009"/>
      <c r="K45" s="2010"/>
      <c r="L45" s="253" t="s">
        <v>358</v>
      </c>
      <c r="M45" s="2015"/>
      <c r="N45" s="2010"/>
    </row>
    <row r="46" spans="1:16" s="74" customFormat="1" ht="12" x14ac:dyDescent="0.25">
      <c r="A46" s="1999"/>
      <c r="B46" s="1999"/>
      <c r="C46" s="2018"/>
      <c r="D46" s="1999"/>
      <c r="E46" s="2005"/>
      <c r="F46" s="340"/>
      <c r="G46" s="2007" t="s">
        <v>368</v>
      </c>
      <c r="H46" s="2008"/>
      <c r="I46" s="253" t="s">
        <v>360</v>
      </c>
      <c r="J46" s="2009"/>
      <c r="K46" s="2010"/>
      <c r="L46" s="253" t="s">
        <v>360</v>
      </c>
      <c r="M46" s="2009"/>
      <c r="N46" s="2010"/>
    </row>
    <row r="47" spans="1:16" s="74" customFormat="1" ht="12" customHeight="1" x14ac:dyDescent="0.25">
      <c r="A47" s="2000"/>
      <c r="B47" s="2000"/>
      <c r="C47" s="2019"/>
      <c r="D47" s="2000"/>
      <c r="E47" s="2006"/>
      <c r="F47" s="341"/>
      <c r="G47" s="2011"/>
      <c r="H47" s="2012"/>
      <c r="I47" s="254" t="s">
        <v>357</v>
      </c>
      <c r="J47" s="2013"/>
      <c r="K47" s="2014"/>
      <c r="L47" s="254" t="s">
        <v>357</v>
      </c>
      <c r="M47" s="2016"/>
      <c r="N47" s="2014"/>
    </row>
    <row r="48" spans="1:16" s="74" customFormat="1" ht="12" x14ac:dyDescent="0.25">
      <c r="A48" s="1998" t="s">
        <v>286</v>
      </c>
      <c r="B48" s="1998" t="s">
        <v>423</v>
      </c>
      <c r="C48" s="2017" t="s">
        <v>4156</v>
      </c>
      <c r="D48" s="1998" t="s">
        <v>46</v>
      </c>
      <c r="E48" s="2004">
        <v>10.220000000000001</v>
      </c>
      <c r="F48" s="336" t="s">
        <v>335</v>
      </c>
      <c r="G48" s="337" t="s">
        <v>356</v>
      </c>
      <c r="H48" s="338">
        <v>10.222101063192344</v>
      </c>
      <c r="I48" s="249" t="s">
        <v>335</v>
      </c>
      <c r="J48" s="250" t="s">
        <v>356</v>
      </c>
      <c r="K48" s="251"/>
      <c r="L48" s="252" t="s">
        <v>335</v>
      </c>
      <c r="M48" s="250" t="s">
        <v>356</v>
      </c>
      <c r="N48" s="251"/>
      <c r="P48" s="74" t="s">
        <v>286</v>
      </c>
    </row>
    <row r="49" spans="1:16" s="74" customFormat="1" ht="12" x14ac:dyDescent="0.25">
      <c r="A49" s="1999"/>
      <c r="B49" s="1999"/>
      <c r="C49" s="2018"/>
      <c r="D49" s="1999"/>
      <c r="E49" s="2005"/>
      <c r="F49" s="340" t="s">
        <v>355</v>
      </c>
      <c r="G49" s="2007" t="s">
        <v>361</v>
      </c>
      <c r="H49" s="2008"/>
      <c r="I49" s="253" t="s">
        <v>355</v>
      </c>
      <c r="J49" s="2009"/>
      <c r="K49" s="2010"/>
      <c r="L49" s="253" t="s">
        <v>355</v>
      </c>
      <c r="M49" s="2015"/>
      <c r="N49" s="2010"/>
    </row>
    <row r="50" spans="1:16" s="74" customFormat="1" ht="12" customHeight="1" x14ac:dyDescent="0.25">
      <c r="A50" s="1999"/>
      <c r="B50" s="1999"/>
      <c r="C50" s="2018"/>
      <c r="D50" s="1999"/>
      <c r="E50" s="2005"/>
      <c r="F50" s="340"/>
      <c r="G50" s="2007" t="s">
        <v>3424</v>
      </c>
      <c r="H50" s="2008"/>
      <c r="I50" s="253" t="s">
        <v>359</v>
      </c>
      <c r="J50" s="2009"/>
      <c r="K50" s="2010"/>
      <c r="L50" s="253" t="s">
        <v>359</v>
      </c>
      <c r="M50" s="2009"/>
      <c r="N50" s="2010"/>
    </row>
    <row r="51" spans="1:16" s="74" customFormat="1" ht="12" customHeight="1" x14ac:dyDescent="0.25">
      <c r="A51" s="1999"/>
      <c r="B51" s="1999"/>
      <c r="C51" s="2018"/>
      <c r="D51" s="1999"/>
      <c r="E51" s="2005"/>
      <c r="F51" s="340"/>
      <c r="G51" s="2007" t="s">
        <v>4106</v>
      </c>
      <c r="H51" s="2008"/>
      <c r="I51" s="253" t="s">
        <v>358</v>
      </c>
      <c r="J51" s="2009"/>
      <c r="K51" s="2010"/>
      <c r="L51" s="253" t="s">
        <v>358</v>
      </c>
      <c r="M51" s="2015"/>
      <c r="N51" s="2010"/>
    </row>
    <row r="52" spans="1:16" s="74" customFormat="1" ht="12" x14ac:dyDescent="0.25">
      <c r="A52" s="1999"/>
      <c r="B52" s="1999"/>
      <c r="C52" s="2018"/>
      <c r="D52" s="1999"/>
      <c r="E52" s="2005"/>
      <c r="F52" s="340"/>
      <c r="G52" s="2007" t="s">
        <v>864</v>
      </c>
      <c r="H52" s="2008"/>
      <c r="I52" s="253" t="s">
        <v>360</v>
      </c>
      <c r="J52" s="2009"/>
      <c r="K52" s="2010"/>
      <c r="L52" s="253" t="s">
        <v>360</v>
      </c>
      <c r="M52" s="2009"/>
      <c r="N52" s="2010"/>
    </row>
    <row r="53" spans="1:16" s="74" customFormat="1" ht="12" customHeight="1" x14ac:dyDescent="0.25">
      <c r="A53" s="2000"/>
      <c r="B53" s="2000"/>
      <c r="C53" s="2019"/>
      <c r="D53" s="2000"/>
      <c r="E53" s="2006"/>
      <c r="F53" s="341"/>
      <c r="G53" s="2011"/>
      <c r="H53" s="2012"/>
      <c r="I53" s="254" t="s">
        <v>357</v>
      </c>
      <c r="J53" s="2013"/>
      <c r="K53" s="2014"/>
      <c r="L53" s="254" t="s">
        <v>357</v>
      </c>
      <c r="M53" s="2016"/>
      <c r="N53" s="2014"/>
    </row>
    <row r="54" spans="1:16" s="74" customFormat="1" ht="12" x14ac:dyDescent="0.25">
      <c r="A54" s="1998" t="s">
        <v>284</v>
      </c>
      <c r="B54" s="1998" t="s">
        <v>423</v>
      </c>
      <c r="C54" s="2017" t="s">
        <v>4158</v>
      </c>
      <c r="D54" s="1998" t="s">
        <v>46</v>
      </c>
      <c r="E54" s="2004">
        <v>178.62</v>
      </c>
      <c r="F54" s="336" t="s">
        <v>335</v>
      </c>
      <c r="G54" s="337" t="s">
        <v>356</v>
      </c>
      <c r="H54" s="338">
        <v>178.62270019945848</v>
      </c>
      <c r="I54" s="249" t="s">
        <v>335</v>
      </c>
      <c r="J54" s="250" t="s">
        <v>356</v>
      </c>
      <c r="K54" s="251"/>
      <c r="L54" s="252" t="s">
        <v>335</v>
      </c>
      <c r="M54" s="250" t="s">
        <v>356</v>
      </c>
      <c r="N54" s="251"/>
      <c r="P54" s="74" t="s">
        <v>284</v>
      </c>
    </row>
    <row r="55" spans="1:16" s="74" customFormat="1" ht="12" x14ac:dyDescent="0.25">
      <c r="A55" s="1999"/>
      <c r="B55" s="1999"/>
      <c r="C55" s="2018"/>
      <c r="D55" s="1999"/>
      <c r="E55" s="2005"/>
      <c r="F55" s="340" t="s">
        <v>355</v>
      </c>
      <c r="G55" s="2007" t="s">
        <v>361</v>
      </c>
      <c r="H55" s="2008"/>
      <c r="I55" s="253" t="s">
        <v>355</v>
      </c>
      <c r="J55" s="2009"/>
      <c r="K55" s="2010"/>
      <c r="L55" s="253" t="s">
        <v>355</v>
      </c>
      <c r="M55" s="2015"/>
      <c r="N55" s="2010"/>
    </row>
    <row r="56" spans="1:16" s="74" customFormat="1" ht="12" customHeight="1" x14ac:dyDescent="0.25">
      <c r="A56" s="1999"/>
      <c r="B56" s="1999"/>
      <c r="C56" s="2018"/>
      <c r="D56" s="1999"/>
      <c r="E56" s="2005"/>
      <c r="F56" s="340"/>
      <c r="G56" s="2007" t="s">
        <v>3424</v>
      </c>
      <c r="H56" s="2008"/>
      <c r="I56" s="253" t="s">
        <v>359</v>
      </c>
      <c r="J56" s="2009"/>
      <c r="K56" s="2010"/>
      <c r="L56" s="253" t="s">
        <v>359</v>
      </c>
      <c r="M56" s="2009"/>
      <c r="N56" s="2010"/>
    </row>
    <row r="57" spans="1:16" s="74" customFormat="1" ht="12" customHeight="1" x14ac:dyDescent="0.25">
      <c r="A57" s="1999"/>
      <c r="B57" s="1999"/>
      <c r="C57" s="2018"/>
      <c r="D57" s="1999"/>
      <c r="E57" s="2005"/>
      <c r="F57" s="340"/>
      <c r="G57" s="2007" t="s">
        <v>4106</v>
      </c>
      <c r="H57" s="2008"/>
      <c r="I57" s="253" t="s">
        <v>358</v>
      </c>
      <c r="J57" s="2009"/>
      <c r="K57" s="2010"/>
      <c r="L57" s="253" t="s">
        <v>358</v>
      </c>
      <c r="M57" s="2015"/>
      <c r="N57" s="2010"/>
    </row>
    <row r="58" spans="1:16" s="74" customFormat="1" ht="12" x14ac:dyDescent="0.25">
      <c r="A58" s="1999"/>
      <c r="B58" s="1999"/>
      <c r="C58" s="2018"/>
      <c r="D58" s="1999"/>
      <c r="E58" s="2005"/>
      <c r="F58" s="340"/>
      <c r="G58" s="2007" t="s">
        <v>369</v>
      </c>
      <c r="H58" s="2008"/>
      <c r="I58" s="253" t="s">
        <v>360</v>
      </c>
      <c r="J58" s="2009"/>
      <c r="K58" s="2010"/>
      <c r="L58" s="253" t="s">
        <v>360</v>
      </c>
      <c r="M58" s="2009"/>
      <c r="N58" s="2010"/>
    </row>
    <row r="59" spans="1:16" s="74" customFormat="1" ht="12" customHeight="1" x14ac:dyDescent="0.25">
      <c r="A59" s="2000"/>
      <c r="B59" s="2000"/>
      <c r="C59" s="2019"/>
      <c r="D59" s="2000"/>
      <c r="E59" s="2006"/>
      <c r="F59" s="341"/>
      <c r="G59" s="2011"/>
      <c r="H59" s="2012"/>
      <c r="I59" s="254" t="s">
        <v>357</v>
      </c>
      <c r="J59" s="2013"/>
      <c r="K59" s="2014"/>
      <c r="L59" s="254" t="s">
        <v>357</v>
      </c>
      <c r="M59" s="2016"/>
      <c r="N59" s="2014"/>
    </row>
    <row r="60" spans="1:16" s="74" customFormat="1" ht="12" x14ac:dyDescent="0.25">
      <c r="A60" s="1998" t="s">
        <v>283</v>
      </c>
      <c r="B60" s="1998" t="s">
        <v>423</v>
      </c>
      <c r="C60" s="2017" t="s">
        <v>4155</v>
      </c>
      <c r="D60" s="1998" t="s">
        <v>46</v>
      </c>
      <c r="E60" s="2004">
        <v>4.99</v>
      </c>
      <c r="F60" s="336" t="s">
        <v>335</v>
      </c>
      <c r="G60" s="337" t="s">
        <v>356</v>
      </c>
      <c r="H60" s="338">
        <v>4.9939163990999162</v>
      </c>
      <c r="I60" s="249" t="s">
        <v>335</v>
      </c>
      <c r="J60" s="250" t="s">
        <v>356</v>
      </c>
      <c r="K60" s="251"/>
      <c r="L60" s="252" t="s">
        <v>335</v>
      </c>
      <c r="M60" s="250" t="s">
        <v>356</v>
      </c>
      <c r="N60" s="251"/>
      <c r="P60" s="74" t="s">
        <v>283</v>
      </c>
    </row>
    <row r="61" spans="1:16" s="74" customFormat="1" ht="12" x14ac:dyDescent="0.25">
      <c r="A61" s="1999"/>
      <c r="B61" s="1999"/>
      <c r="C61" s="2018"/>
      <c r="D61" s="1999"/>
      <c r="E61" s="2005"/>
      <c r="F61" s="340" t="s">
        <v>355</v>
      </c>
      <c r="G61" s="2007" t="s">
        <v>361</v>
      </c>
      <c r="H61" s="2008"/>
      <c r="I61" s="253" t="s">
        <v>355</v>
      </c>
      <c r="J61" s="2009"/>
      <c r="K61" s="2010"/>
      <c r="L61" s="253" t="s">
        <v>355</v>
      </c>
      <c r="M61" s="2015"/>
      <c r="N61" s="2010"/>
    </row>
    <row r="62" spans="1:16" s="74" customFormat="1" ht="12" customHeight="1" x14ac:dyDescent="0.25">
      <c r="A62" s="1999"/>
      <c r="B62" s="1999"/>
      <c r="C62" s="2018"/>
      <c r="D62" s="1999"/>
      <c r="E62" s="2005"/>
      <c r="F62" s="340"/>
      <c r="G62" s="2007" t="s">
        <v>3424</v>
      </c>
      <c r="H62" s="2008"/>
      <c r="I62" s="253" t="s">
        <v>359</v>
      </c>
      <c r="J62" s="2009"/>
      <c r="K62" s="2010"/>
      <c r="L62" s="253" t="s">
        <v>359</v>
      </c>
      <c r="M62" s="2009"/>
      <c r="N62" s="2010"/>
    </row>
    <row r="63" spans="1:16" s="74" customFormat="1" ht="12" customHeight="1" x14ac:dyDescent="0.25">
      <c r="A63" s="1999"/>
      <c r="B63" s="1999"/>
      <c r="C63" s="2018"/>
      <c r="D63" s="1999"/>
      <c r="E63" s="2005"/>
      <c r="F63" s="340"/>
      <c r="G63" s="2007" t="s">
        <v>4106</v>
      </c>
      <c r="H63" s="2008"/>
      <c r="I63" s="253" t="s">
        <v>358</v>
      </c>
      <c r="J63" s="2009"/>
      <c r="K63" s="2010"/>
      <c r="L63" s="253" t="s">
        <v>358</v>
      </c>
      <c r="M63" s="2015"/>
      <c r="N63" s="2010"/>
    </row>
    <row r="64" spans="1:16" s="74" customFormat="1" ht="12" x14ac:dyDescent="0.25">
      <c r="A64" s="1999"/>
      <c r="B64" s="1999"/>
      <c r="C64" s="2018"/>
      <c r="D64" s="1999"/>
      <c r="E64" s="2005"/>
      <c r="F64" s="340"/>
      <c r="G64" s="2007" t="s">
        <v>846</v>
      </c>
      <c r="H64" s="2008"/>
      <c r="I64" s="253" t="s">
        <v>360</v>
      </c>
      <c r="J64" s="2009"/>
      <c r="K64" s="2010"/>
      <c r="L64" s="253" t="s">
        <v>360</v>
      </c>
      <c r="M64" s="2009"/>
      <c r="N64" s="2010"/>
    </row>
    <row r="65" spans="1:16" s="74" customFormat="1" ht="12" customHeight="1" x14ac:dyDescent="0.25">
      <c r="A65" s="2000"/>
      <c r="B65" s="2000"/>
      <c r="C65" s="2019"/>
      <c r="D65" s="2000"/>
      <c r="E65" s="2006"/>
      <c r="F65" s="341"/>
      <c r="G65" s="2011"/>
      <c r="H65" s="2012"/>
      <c r="I65" s="254" t="s">
        <v>357</v>
      </c>
      <c r="J65" s="2013"/>
      <c r="K65" s="2014"/>
      <c r="L65" s="254" t="s">
        <v>357</v>
      </c>
      <c r="M65" s="2016"/>
      <c r="N65" s="2014"/>
    </row>
    <row r="66" spans="1:16" s="74" customFormat="1" ht="12" x14ac:dyDescent="0.25">
      <c r="A66" s="1998" t="s">
        <v>282</v>
      </c>
      <c r="B66" s="1998" t="s">
        <v>423</v>
      </c>
      <c r="C66" s="2017" t="s">
        <v>4154</v>
      </c>
      <c r="D66" s="1998" t="s">
        <v>46</v>
      </c>
      <c r="E66" s="2004">
        <v>11.16</v>
      </c>
      <c r="F66" s="336" t="s">
        <v>335</v>
      </c>
      <c r="G66" s="337" t="s">
        <v>356</v>
      </c>
      <c r="H66" s="338">
        <v>11.162980710569423</v>
      </c>
      <c r="I66" s="249" t="s">
        <v>335</v>
      </c>
      <c r="J66" s="250" t="s">
        <v>356</v>
      </c>
      <c r="K66" s="251"/>
      <c r="L66" s="252" t="s">
        <v>335</v>
      </c>
      <c r="M66" s="250" t="s">
        <v>356</v>
      </c>
      <c r="N66" s="251"/>
      <c r="P66" s="74" t="s">
        <v>282</v>
      </c>
    </row>
    <row r="67" spans="1:16" s="74" customFormat="1" ht="12" x14ac:dyDescent="0.25">
      <c r="A67" s="1999"/>
      <c r="B67" s="1999"/>
      <c r="C67" s="2018"/>
      <c r="D67" s="1999"/>
      <c r="E67" s="2005"/>
      <c r="F67" s="340" t="s">
        <v>355</v>
      </c>
      <c r="G67" s="2007" t="s">
        <v>361</v>
      </c>
      <c r="H67" s="2008"/>
      <c r="I67" s="253" t="s">
        <v>355</v>
      </c>
      <c r="J67" s="2009"/>
      <c r="K67" s="2010"/>
      <c r="L67" s="253" t="s">
        <v>355</v>
      </c>
      <c r="M67" s="2015"/>
      <c r="N67" s="2010"/>
    </row>
    <row r="68" spans="1:16" s="74" customFormat="1" ht="12" customHeight="1" x14ac:dyDescent="0.25">
      <c r="A68" s="1999"/>
      <c r="B68" s="1999"/>
      <c r="C68" s="2018"/>
      <c r="D68" s="1999"/>
      <c r="E68" s="2005"/>
      <c r="F68" s="340"/>
      <c r="G68" s="2007" t="s">
        <v>3424</v>
      </c>
      <c r="H68" s="2008"/>
      <c r="I68" s="253" t="s">
        <v>359</v>
      </c>
      <c r="J68" s="2009"/>
      <c r="K68" s="2010"/>
      <c r="L68" s="253" t="s">
        <v>359</v>
      </c>
      <c r="M68" s="2009"/>
      <c r="N68" s="2010"/>
    </row>
    <row r="69" spans="1:16" s="74" customFormat="1" ht="12" customHeight="1" x14ac:dyDescent="0.25">
      <c r="A69" s="1999"/>
      <c r="B69" s="1999"/>
      <c r="C69" s="2018"/>
      <c r="D69" s="1999"/>
      <c r="E69" s="2005"/>
      <c r="F69" s="340"/>
      <c r="G69" s="2007" t="s">
        <v>4106</v>
      </c>
      <c r="H69" s="2008"/>
      <c r="I69" s="253" t="s">
        <v>358</v>
      </c>
      <c r="J69" s="2009"/>
      <c r="K69" s="2010"/>
      <c r="L69" s="253" t="s">
        <v>358</v>
      </c>
      <c r="M69" s="2015"/>
      <c r="N69" s="2010"/>
    </row>
    <row r="70" spans="1:16" s="74" customFormat="1" ht="12" x14ac:dyDescent="0.25">
      <c r="A70" s="1999"/>
      <c r="B70" s="1999"/>
      <c r="C70" s="2018"/>
      <c r="D70" s="1999"/>
      <c r="E70" s="2005"/>
      <c r="F70" s="340"/>
      <c r="G70" s="2007" t="s">
        <v>846</v>
      </c>
      <c r="H70" s="2008"/>
      <c r="I70" s="253" t="s">
        <v>360</v>
      </c>
      <c r="J70" s="2009"/>
      <c r="K70" s="2010"/>
      <c r="L70" s="253" t="s">
        <v>360</v>
      </c>
      <c r="M70" s="2009"/>
      <c r="N70" s="2010"/>
    </row>
    <row r="71" spans="1:16" s="74" customFormat="1" ht="12" customHeight="1" x14ac:dyDescent="0.25">
      <c r="A71" s="2000"/>
      <c r="B71" s="2000"/>
      <c r="C71" s="2019"/>
      <c r="D71" s="2000"/>
      <c r="E71" s="2006"/>
      <c r="F71" s="341"/>
      <c r="G71" s="2011"/>
      <c r="H71" s="2012"/>
      <c r="I71" s="254" t="s">
        <v>357</v>
      </c>
      <c r="J71" s="2013"/>
      <c r="K71" s="2014"/>
      <c r="L71" s="254" t="s">
        <v>357</v>
      </c>
      <c r="M71" s="2016"/>
      <c r="N71" s="2014"/>
    </row>
    <row r="72" spans="1:16" s="74" customFormat="1" ht="12" x14ac:dyDescent="0.25">
      <c r="A72" s="1998" t="s">
        <v>3685</v>
      </c>
      <c r="B72" s="1998" t="s">
        <v>423</v>
      </c>
      <c r="C72" s="2017" t="s">
        <v>3686</v>
      </c>
      <c r="D72" s="1998" t="s">
        <v>76</v>
      </c>
      <c r="E72" s="2004">
        <v>145.07</v>
      </c>
      <c r="F72" s="336" t="s">
        <v>335</v>
      </c>
      <c r="G72" s="337" t="s">
        <v>356</v>
      </c>
      <c r="H72" s="338">
        <v>145.07122127463475</v>
      </c>
      <c r="I72" s="249" t="s">
        <v>335</v>
      </c>
      <c r="J72" s="250" t="s">
        <v>356</v>
      </c>
      <c r="K72" s="251"/>
      <c r="L72" s="252" t="s">
        <v>335</v>
      </c>
      <c r="M72" s="250" t="s">
        <v>356</v>
      </c>
      <c r="N72" s="251"/>
      <c r="P72" s="74" t="s">
        <v>3685</v>
      </c>
    </row>
    <row r="73" spans="1:16" s="74" customFormat="1" ht="12" x14ac:dyDescent="0.25">
      <c r="A73" s="1999"/>
      <c r="B73" s="1999"/>
      <c r="C73" s="2018"/>
      <c r="D73" s="1999"/>
      <c r="E73" s="2005"/>
      <c r="F73" s="340" t="s">
        <v>355</v>
      </c>
      <c r="G73" s="2007" t="s">
        <v>361</v>
      </c>
      <c r="H73" s="2008"/>
      <c r="I73" s="253" t="s">
        <v>355</v>
      </c>
      <c r="J73" s="2009"/>
      <c r="K73" s="2010"/>
      <c r="L73" s="253" t="s">
        <v>355</v>
      </c>
      <c r="M73" s="2015"/>
      <c r="N73" s="2010"/>
    </row>
    <row r="74" spans="1:16" s="74" customFormat="1" ht="12" customHeight="1" x14ac:dyDescent="0.25">
      <c r="A74" s="1999"/>
      <c r="B74" s="1999"/>
      <c r="C74" s="2018"/>
      <c r="D74" s="1999"/>
      <c r="E74" s="2005"/>
      <c r="F74" s="340"/>
      <c r="G74" s="2007" t="s">
        <v>3424</v>
      </c>
      <c r="H74" s="2008"/>
      <c r="I74" s="253" t="s">
        <v>359</v>
      </c>
      <c r="J74" s="2009"/>
      <c r="K74" s="2010"/>
      <c r="L74" s="253" t="s">
        <v>359</v>
      </c>
      <c r="M74" s="2009"/>
      <c r="N74" s="2010"/>
    </row>
    <row r="75" spans="1:16" s="74" customFormat="1" ht="12" customHeight="1" x14ac:dyDescent="0.25">
      <c r="A75" s="1999"/>
      <c r="B75" s="1999"/>
      <c r="C75" s="2018"/>
      <c r="D75" s="1999"/>
      <c r="E75" s="2005"/>
      <c r="F75" s="340"/>
      <c r="G75" s="2007" t="s">
        <v>4106</v>
      </c>
      <c r="H75" s="2008"/>
      <c r="I75" s="253" t="s">
        <v>358</v>
      </c>
      <c r="J75" s="2009"/>
      <c r="K75" s="2010"/>
      <c r="L75" s="253" t="s">
        <v>358</v>
      </c>
      <c r="M75" s="2015"/>
      <c r="N75" s="2010"/>
    </row>
    <row r="76" spans="1:16" s="74" customFormat="1" ht="12" x14ac:dyDescent="0.25">
      <c r="A76" s="1999"/>
      <c r="B76" s="1999"/>
      <c r="C76" s="2018"/>
      <c r="D76" s="1999"/>
      <c r="E76" s="2005"/>
      <c r="F76" s="340"/>
      <c r="G76" s="2007" t="s">
        <v>3687</v>
      </c>
      <c r="H76" s="2008"/>
      <c r="I76" s="253" t="s">
        <v>360</v>
      </c>
      <c r="J76" s="2009"/>
      <c r="K76" s="2010"/>
      <c r="L76" s="253" t="s">
        <v>360</v>
      </c>
      <c r="M76" s="2009"/>
      <c r="N76" s="2010"/>
    </row>
    <row r="77" spans="1:16" s="74" customFormat="1" ht="12" customHeight="1" x14ac:dyDescent="0.25">
      <c r="A77" s="2000"/>
      <c r="B77" s="2000"/>
      <c r="C77" s="2019"/>
      <c r="D77" s="2000"/>
      <c r="E77" s="2006"/>
      <c r="F77" s="341"/>
      <c r="G77" s="2011"/>
      <c r="H77" s="2012"/>
      <c r="I77" s="254" t="s">
        <v>357</v>
      </c>
      <c r="J77" s="2013"/>
      <c r="K77" s="2014"/>
      <c r="L77" s="254" t="s">
        <v>357</v>
      </c>
      <c r="M77" s="2016"/>
      <c r="N77" s="2014"/>
    </row>
    <row r="78" spans="1:16" s="74" customFormat="1" ht="12" x14ac:dyDescent="0.25">
      <c r="A78" s="1998" t="s">
        <v>3688</v>
      </c>
      <c r="B78" s="1998" t="s">
        <v>423</v>
      </c>
      <c r="C78" s="2017" t="s">
        <v>3686</v>
      </c>
      <c r="D78" s="1998" t="s">
        <v>76</v>
      </c>
      <c r="E78" s="2004">
        <v>68.790000000000006</v>
      </c>
      <c r="F78" s="336" t="s">
        <v>335</v>
      </c>
      <c r="G78" s="337" t="s">
        <v>356</v>
      </c>
      <c r="H78" s="338">
        <v>68.795149091531627</v>
      </c>
      <c r="I78" s="249" t="s">
        <v>335</v>
      </c>
      <c r="J78" s="250" t="s">
        <v>356</v>
      </c>
      <c r="K78" s="251"/>
      <c r="L78" s="252" t="s">
        <v>335</v>
      </c>
      <c r="M78" s="250" t="s">
        <v>356</v>
      </c>
      <c r="N78" s="251"/>
      <c r="P78" s="74" t="s">
        <v>3688</v>
      </c>
    </row>
    <row r="79" spans="1:16" s="74" customFormat="1" ht="12" x14ac:dyDescent="0.25">
      <c r="A79" s="1999"/>
      <c r="B79" s="1999"/>
      <c r="C79" s="2018"/>
      <c r="D79" s="1999"/>
      <c r="E79" s="2005"/>
      <c r="F79" s="340" t="s">
        <v>355</v>
      </c>
      <c r="G79" s="2007" t="s">
        <v>361</v>
      </c>
      <c r="H79" s="2008"/>
      <c r="I79" s="253" t="s">
        <v>355</v>
      </c>
      <c r="J79" s="2009"/>
      <c r="K79" s="2010"/>
      <c r="L79" s="253" t="s">
        <v>355</v>
      </c>
      <c r="M79" s="2015"/>
      <c r="N79" s="2010"/>
    </row>
    <row r="80" spans="1:16" s="74" customFormat="1" ht="12" customHeight="1" x14ac:dyDescent="0.25">
      <c r="A80" s="1999"/>
      <c r="B80" s="1999"/>
      <c r="C80" s="2018"/>
      <c r="D80" s="1999"/>
      <c r="E80" s="2005"/>
      <c r="F80" s="340"/>
      <c r="G80" s="2007" t="s">
        <v>3424</v>
      </c>
      <c r="H80" s="2008"/>
      <c r="I80" s="253" t="s">
        <v>359</v>
      </c>
      <c r="J80" s="2009"/>
      <c r="K80" s="2010"/>
      <c r="L80" s="253" t="s">
        <v>359</v>
      </c>
      <c r="M80" s="2009"/>
      <c r="N80" s="2010"/>
    </row>
    <row r="81" spans="1:16" s="74" customFormat="1" ht="12" customHeight="1" x14ac:dyDescent="0.25">
      <c r="A81" s="1999"/>
      <c r="B81" s="1999"/>
      <c r="C81" s="2018"/>
      <c r="D81" s="1999"/>
      <c r="E81" s="2005"/>
      <c r="F81" s="340"/>
      <c r="G81" s="2007" t="s">
        <v>4106</v>
      </c>
      <c r="H81" s="2008"/>
      <c r="I81" s="253" t="s">
        <v>358</v>
      </c>
      <c r="J81" s="2009"/>
      <c r="K81" s="2010"/>
      <c r="L81" s="253" t="s">
        <v>358</v>
      </c>
      <c r="M81" s="2015"/>
      <c r="N81" s="2010"/>
    </row>
    <row r="82" spans="1:16" s="74" customFormat="1" ht="12" x14ac:dyDescent="0.25">
      <c r="A82" s="1999"/>
      <c r="B82" s="1999"/>
      <c r="C82" s="2018"/>
      <c r="D82" s="1999"/>
      <c r="E82" s="2005"/>
      <c r="F82" s="340"/>
      <c r="G82" s="2007" t="s">
        <v>3687</v>
      </c>
      <c r="H82" s="2008"/>
      <c r="I82" s="253" t="s">
        <v>360</v>
      </c>
      <c r="J82" s="2009"/>
      <c r="K82" s="2010"/>
      <c r="L82" s="253" t="s">
        <v>360</v>
      </c>
      <c r="M82" s="2009"/>
      <c r="N82" s="2010"/>
    </row>
    <row r="83" spans="1:16" s="74" customFormat="1" ht="12" customHeight="1" x14ac:dyDescent="0.25">
      <c r="A83" s="2000"/>
      <c r="B83" s="2000"/>
      <c r="C83" s="2019"/>
      <c r="D83" s="2000"/>
      <c r="E83" s="2006"/>
      <c r="F83" s="341"/>
      <c r="G83" s="2011"/>
      <c r="H83" s="2012"/>
      <c r="I83" s="254" t="s">
        <v>357</v>
      </c>
      <c r="J83" s="2013"/>
      <c r="K83" s="2014"/>
      <c r="L83" s="254" t="s">
        <v>357</v>
      </c>
      <c r="M83" s="2016"/>
      <c r="N83" s="2014"/>
    </row>
    <row r="84" spans="1:16" s="74" customFormat="1" ht="12" x14ac:dyDescent="0.25">
      <c r="A84" s="1998" t="s">
        <v>850</v>
      </c>
      <c r="B84" s="1998" t="s">
        <v>94</v>
      </c>
      <c r="C84" s="2017" t="s">
        <v>848</v>
      </c>
      <c r="D84" s="1998" t="s">
        <v>205</v>
      </c>
      <c r="E84" s="2004">
        <v>5050.3900000000003</v>
      </c>
      <c r="F84" s="336" t="s">
        <v>335</v>
      </c>
      <c r="G84" s="337" t="s">
        <v>356</v>
      </c>
      <c r="H84" s="338">
        <v>5050.3952802561889</v>
      </c>
      <c r="I84" s="249" t="s">
        <v>335</v>
      </c>
      <c r="J84" s="250" t="s">
        <v>356</v>
      </c>
      <c r="K84" s="251"/>
      <c r="L84" s="252" t="s">
        <v>335</v>
      </c>
      <c r="M84" s="250" t="s">
        <v>356</v>
      </c>
      <c r="N84" s="251"/>
      <c r="P84" s="74" t="s">
        <v>850</v>
      </c>
    </row>
    <row r="85" spans="1:16" s="74" customFormat="1" ht="12" x14ac:dyDescent="0.25">
      <c r="A85" s="1999"/>
      <c r="B85" s="1999"/>
      <c r="C85" s="2018"/>
      <c r="D85" s="1999"/>
      <c r="E85" s="2005"/>
      <c r="F85" s="340" t="s">
        <v>355</v>
      </c>
      <c r="G85" s="2007" t="s">
        <v>361</v>
      </c>
      <c r="H85" s="2008"/>
      <c r="I85" s="253" t="s">
        <v>355</v>
      </c>
      <c r="J85" s="2009"/>
      <c r="K85" s="2010"/>
      <c r="L85" s="253" t="s">
        <v>355</v>
      </c>
      <c r="M85" s="2015"/>
      <c r="N85" s="2010"/>
    </row>
    <row r="86" spans="1:16" s="74" customFormat="1" ht="12" customHeight="1" x14ac:dyDescent="0.25">
      <c r="A86" s="1999"/>
      <c r="B86" s="1999"/>
      <c r="C86" s="2018"/>
      <c r="D86" s="1999"/>
      <c r="E86" s="2005"/>
      <c r="F86" s="340"/>
      <c r="G86" s="2007" t="s">
        <v>4105</v>
      </c>
      <c r="H86" s="2008"/>
      <c r="I86" s="253" t="s">
        <v>359</v>
      </c>
      <c r="J86" s="2009"/>
      <c r="K86" s="2010"/>
      <c r="L86" s="253" t="s">
        <v>359</v>
      </c>
      <c r="M86" s="2009"/>
      <c r="N86" s="2010"/>
    </row>
    <row r="87" spans="1:16" s="74" customFormat="1" ht="12" x14ac:dyDescent="0.25">
      <c r="A87" s="1999"/>
      <c r="B87" s="1999"/>
      <c r="C87" s="2018"/>
      <c r="D87" s="1999"/>
      <c r="E87" s="2005"/>
      <c r="F87" s="340"/>
      <c r="G87" s="2007" t="s">
        <v>4106</v>
      </c>
      <c r="H87" s="2008"/>
      <c r="I87" s="253" t="s">
        <v>358</v>
      </c>
      <c r="J87" s="2009"/>
      <c r="K87" s="2010"/>
      <c r="L87" s="253" t="s">
        <v>358</v>
      </c>
      <c r="M87" s="2015"/>
      <c r="N87" s="2010"/>
    </row>
    <row r="88" spans="1:16" s="74" customFormat="1" ht="12" x14ac:dyDescent="0.25">
      <c r="A88" s="1999"/>
      <c r="B88" s="1999"/>
      <c r="C88" s="2018"/>
      <c r="D88" s="1999"/>
      <c r="E88" s="2005"/>
      <c r="F88" s="340"/>
      <c r="G88" s="2007" t="s">
        <v>852</v>
      </c>
      <c r="H88" s="2008"/>
      <c r="I88" s="253" t="s">
        <v>360</v>
      </c>
      <c r="J88" s="2009"/>
      <c r="K88" s="2010"/>
      <c r="L88" s="253" t="s">
        <v>360</v>
      </c>
      <c r="M88" s="2009"/>
      <c r="N88" s="2010"/>
    </row>
    <row r="89" spans="1:16" s="74" customFormat="1" ht="12" customHeight="1" x14ac:dyDescent="0.25">
      <c r="A89" s="2000"/>
      <c r="B89" s="2000"/>
      <c r="C89" s="2019"/>
      <c r="D89" s="2000"/>
      <c r="E89" s="2006"/>
      <c r="F89" s="341"/>
      <c r="G89" s="2011"/>
      <c r="H89" s="2012"/>
      <c r="I89" s="254" t="s">
        <v>357</v>
      </c>
      <c r="J89" s="2013"/>
      <c r="K89" s="2014"/>
      <c r="L89" s="254" t="s">
        <v>357</v>
      </c>
      <c r="M89" s="2016"/>
      <c r="N89" s="2014"/>
    </row>
    <row r="90" spans="1:16" s="74" customFormat="1" ht="12" x14ac:dyDescent="0.25">
      <c r="A90" s="1998" t="s">
        <v>851</v>
      </c>
      <c r="B90" s="1998" t="s">
        <v>94</v>
      </c>
      <c r="C90" s="2017" t="s">
        <v>451</v>
      </c>
      <c r="D90" s="1998" t="s">
        <v>205</v>
      </c>
      <c r="E90" s="2004">
        <v>3416.3</v>
      </c>
      <c r="F90" s="336" t="s">
        <v>335</v>
      </c>
      <c r="G90" s="337" t="s">
        <v>356</v>
      </c>
      <c r="H90" s="338">
        <v>3416.3034381672801</v>
      </c>
      <c r="I90" s="249" t="s">
        <v>335</v>
      </c>
      <c r="J90" s="250" t="s">
        <v>356</v>
      </c>
      <c r="K90" s="251"/>
      <c r="L90" s="252" t="s">
        <v>335</v>
      </c>
      <c r="M90" s="250" t="s">
        <v>356</v>
      </c>
      <c r="N90" s="251"/>
      <c r="P90" s="74" t="s">
        <v>851</v>
      </c>
    </row>
    <row r="91" spans="1:16" s="74" customFormat="1" ht="12" x14ac:dyDescent="0.25">
      <c r="A91" s="1999"/>
      <c r="B91" s="1999"/>
      <c r="C91" s="2018"/>
      <c r="D91" s="1999"/>
      <c r="E91" s="2005"/>
      <c r="F91" s="340" t="s">
        <v>355</v>
      </c>
      <c r="G91" s="2007" t="s">
        <v>361</v>
      </c>
      <c r="H91" s="2008"/>
      <c r="I91" s="253" t="s">
        <v>355</v>
      </c>
      <c r="J91" s="2009"/>
      <c r="K91" s="2010"/>
      <c r="L91" s="253" t="s">
        <v>355</v>
      </c>
      <c r="M91" s="2015"/>
      <c r="N91" s="2010"/>
    </row>
    <row r="92" spans="1:16" s="74" customFormat="1" ht="12" customHeight="1" x14ac:dyDescent="0.25">
      <c r="A92" s="1999"/>
      <c r="B92" s="1999"/>
      <c r="C92" s="2018"/>
      <c r="D92" s="1999"/>
      <c r="E92" s="2005"/>
      <c r="F92" s="340"/>
      <c r="G92" s="2007" t="s">
        <v>4105</v>
      </c>
      <c r="H92" s="2008"/>
      <c r="I92" s="253" t="s">
        <v>359</v>
      </c>
      <c r="J92" s="2009"/>
      <c r="K92" s="2010"/>
      <c r="L92" s="253" t="s">
        <v>359</v>
      </c>
      <c r="M92" s="2009"/>
      <c r="N92" s="2010"/>
    </row>
    <row r="93" spans="1:16" s="74" customFormat="1" ht="12" x14ac:dyDescent="0.25">
      <c r="A93" s="1999"/>
      <c r="B93" s="1999"/>
      <c r="C93" s="2018"/>
      <c r="D93" s="1999"/>
      <c r="E93" s="2005"/>
      <c r="F93" s="340"/>
      <c r="G93" s="2007" t="s">
        <v>4106</v>
      </c>
      <c r="H93" s="2008"/>
      <c r="I93" s="253" t="s">
        <v>358</v>
      </c>
      <c r="J93" s="2009"/>
      <c r="K93" s="2010"/>
      <c r="L93" s="253" t="s">
        <v>358</v>
      </c>
      <c r="M93" s="2015"/>
      <c r="N93" s="2010"/>
    </row>
    <row r="94" spans="1:16" s="74" customFormat="1" ht="12" x14ac:dyDescent="0.25">
      <c r="A94" s="1999"/>
      <c r="B94" s="1999"/>
      <c r="C94" s="2018"/>
      <c r="D94" s="1999"/>
      <c r="E94" s="2005"/>
      <c r="F94" s="340"/>
      <c r="G94" s="2007" t="s">
        <v>853</v>
      </c>
      <c r="H94" s="2008"/>
      <c r="I94" s="253" t="s">
        <v>360</v>
      </c>
      <c r="J94" s="2009"/>
      <c r="K94" s="2010"/>
      <c r="L94" s="253" t="s">
        <v>360</v>
      </c>
      <c r="M94" s="2009"/>
      <c r="N94" s="2010"/>
    </row>
    <row r="95" spans="1:16" s="74" customFormat="1" ht="12" customHeight="1" x14ac:dyDescent="0.25">
      <c r="A95" s="2000"/>
      <c r="B95" s="2000"/>
      <c r="C95" s="2019"/>
      <c r="D95" s="2000"/>
      <c r="E95" s="2006"/>
      <c r="F95" s="341"/>
      <c r="G95" s="2011"/>
      <c r="H95" s="2012"/>
      <c r="I95" s="254" t="s">
        <v>357</v>
      </c>
      <c r="J95" s="2013"/>
      <c r="K95" s="2014"/>
      <c r="L95" s="254" t="s">
        <v>357</v>
      </c>
      <c r="M95" s="2016"/>
      <c r="N95" s="2014"/>
    </row>
    <row r="96" spans="1:16" s="74" customFormat="1" ht="12" x14ac:dyDescent="0.25">
      <c r="A96" s="1998" t="s">
        <v>849</v>
      </c>
      <c r="B96" s="1998" t="s">
        <v>94</v>
      </c>
      <c r="C96" s="2017" t="s">
        <v>450</v>
      </c>
      <c r="D96" s="1998" t="s">
        <v>205</v>
      </c>
      <c r="E96" s="2004">
        <v>3761.5</v>
      </c>
      <c r="F96" s="336" t="s">
        <v>335</v>
      </c>
      <c r="G96" s="337" t="s">
        <v>356</v>
      </c>
      <c r="H96" s="338">
        <v>3761.5065361646043</v>
      </c>
      <c r="I96" s="249" t="s">
        <v>335</v>
      </c>
      <c r="J96" s="250" t="s">
        <v>356</v>
      </c>
      <c r="K96" s="251"/>
      <c r="L96" s="252" t="s">
        <v>335</v>
      </c>
      <c r="M96" s="250" t="s">
        <v>356</v>
      </c>
      <c r="N96" s="251"/>
      <c r="P96" s="74" t="s">
        <v>849</v>
      </c>
    </row>
    <row r="97" spans="1:16" s="74" customFormat="1" ht="12" x14ac:dyDescent="0.25">
      <c r="A97" s="1999"/>
      <c r="B97" s="1999"/>
      <c r="C97" s="2018"/>
      <c r="D97" s="1999"/>
      <c r="E97" s="2005"/>
      <c r="F97" s="340" t="s">
        <v>355</v>
      </c>
      <c r="G97" s="2007" t="s">
        <v>361</v>
      </c>
      <c r="H97" s="2008"/>
      <c r="I97" s="253" t="s">
        <v>355</v>
      </c>
      <c r="J97" s="2009"/>
      <c r="K97" s="2010"/>
      <c r="L97" s="253" t="s">
        <v>355</v>
      </c>
      <c r="M97" s="2015"/>
      <c r="N97" s="2010"/>
    </row>
    <row r="98" spans="1:16" s="74" customFormat="1" ht="12" customHeight="1" x14ac:dyDescent="0.25">
      <c r="A98" s="1999"/>
      <c r="B98" s="1999"/>
      <c r="C98" s="2018"/>
      <c r="D98" s="1999"/>
      <c r="E98" s="2005"/>
      <c r="F98" s="340"/>
      <c r="G98" s="2007" t="s">
        <v>4105</v>
      </c>
      <c r="H98" s="2008"/>
      <c r="I98" s="253" t="s">
        <v>359</v>
      </c>
      <c r="J98" s="2009"/>
      <c r="K98" s="2010"/>
      <c r="L98" s="253" t="s">
        <v>359</v>
      </c>
      <c r="M98" s="2009"/>
      <c r="N98" s="2010"/>
    </row>
    <row r="99" spans="1:16" s="74" customFormat="1" ht="12" x14ac:dyDescent="0.25">
      <c r="A99" s="1999"/>
      <c r="B99" s="1999"/>
      <c r="C99" s="2018"/>
      <c r="D99" s="1999"/>
      <c r="E99" s="2005"/>
      <c r="F99" s="340"/>
      <c r="G99" s="2007" t="s">
        <v>4106</v>
      </c>
      <c r="H99" s="2008"/>
      <c r="I99" s="253" t="s">
        <v>358</v>
      </c>
      <c r="J99" s="2009"/>
      <c r="K99" s="2010"/>
      <c r="L99" s="253" t="s">
        <v>358</v>
      </c>
      <c r="M99" s="2015"/>
      <c r="N99" s="2010"/>
    </row>
    <row r="100" spans="1:16" s="74" customFormat="1" ht="12" x14ac:dyDescent="0.25">
      <c r="A100" s="1999"/>
      <c r="B100" s="1999"/>
      <c r="C100" s="2018"/>
      <c r="D100" s="1999"/>
      <c r="E100" s="2005"/>
      <c r="F100" s="340"/>
      <c r="G100" s="2007" t="s">
        <v>847</v>
      </c>
      <c r="H100" s="2008"/>
      <c r="I100" s="253" t="s">
        <v>360</v>
      </c>
      <c r="J100" s="2009"/>
      <c r="K100" s="2010"/>
      <c r="L100" s="253" t="s">
        <v>360</v>
      </c>
      <c r="M100" s="2009"/>
      <c r="N100" s="2010"/>
    </row>
    <row r="101" spans="1:16" s="74" customFormat="1" ht="12" customHeight="1" x14ac:dyDescent="0.25">
      <c r="A101" s="2000"/>
      <c r="B101" s="2000"/>
      <c r="C101" s="2019"/>
      <c r="D101" s="2000"/>
      <c r="E101" s="2006"/>
      <c r="F101" s="341"/>
      <c r="G101" s="2011"/>
      <c r="H101" s="2012"/>
      <c r="I101" s="254" t="s">
        <v>357</v>
      </c>
      <c r="J101" s="2013"/>
      <c r="K101" s="2014"/>
      <c r="L101" s="254" t="s">
        <v>357</v>
      </c>
      <c r="M101" s="2016"/>
      <c r="N101" s="2014"/>
    </row>
    <row r="102" spans="1:16" s="74" customFormat="1" ht="12" x14ac:dyDescent="0.25">
      <c r="A102" s="1998" t="s">
        <v>720</v>
      </c>
      <c r="B102" s="1998" t="s">
        <v>94</v>
      </c>
      <c r="C102" s="2017" t="s">
        <v>4159</v>
      </c>
      <c r="D102" s="1998" t="s">
        <v>46</v>
      </c>
      <c r="E102" s="2004">
        <v>28.74</v>
      </c>
      <c r="F102" s="336" t="s">
        <v>335</v>
      </c>
      <c r="G102" s="337" t="s">
        <v>356</v>
      </c>
      <c r="H102" s="338">
        <v>28.746913059313396</v>
      </c>
      <c r="I102" s="249" t="s">
        <v>335</v>
      </c>
      <c r="J102" s="250" t="s">
        <v>356</v>
      </c>
      <c r="K102" s="251"/>
      <c r="L102" s="252" t="s">
        <v>335</v>
      </c>
      <c r="M102" s="250" t="s">
        <v>356</v>
      </c>
      <c r="N102" s="251"/>
      <c r="P102" s="74" t="s">
        <v>720</v>
      </c>
    </row>
    <row r="103" spans="1:16" s="74" customFormat="1" ht="12" x14ac:dyDescent="0.25">
      <c r="A103" s="1999"/>
      <c r="B103" s="1999"/>
      <c r="C103" s="2018"/>
      <c r="D103" s="1999"/>
      <c r="E103" s="2005"/>
      <c r="F103" s="340" t="s">
        <v>355</v>
      </c>
      <c r="G103" s="2007" t="s">
        <v>361</v>
      </c>
      <c r="H103" s="2008"/>
      <c r="I103" s="253" t="s">
        <v>355</v>
      </c>
      <c r="J103" s="2009"/>
      <c r="K103" s="2010"/>
      <c r="L103" s="253" t="s">
        <v>355</v>
      </c>
      <c r="M103" s="2015"/>
      <c r="N103" s="2010"/>
    </row>
    <row r="104" spans="1:16" s="74" customFormat="1" ht="12" x14ac:dyDescent="0.25">
      <c r="A104" s="1999"/>
      <c r="B104" s="1999"/>
      <c r="C104" s="2018"/>
      <c r="D104" s="1999"/>
      <c r="E104" s="2005"/>
      <c r="F104" s="340"/>
      <c r="G104" s="2007" t="s">
        <v>3424</v>
      </c>
      <c r="H104" s="2008"/>
      <c r="I104" s="253" t="s">
        <v>359</v>
      </c>
      <c r="J104" s="2009"/>
      <c r="K104" s="2010"/>
      <c r="L104" s="253" t="s">
        <v>359</v>
      </c>
      <c r="M104" s="2009"/>
      <c r="N104" s="2010"/>
    </row>
    <row r="105" spans="1:16" s="74" customFormat="1" ht="12" x14ac:dyDescent="0.25">
      <c r="A105" s="1999"/>
      <c r="B105" s="1999"/>
      <c r="C105" s="2018"/>
      <c r="D105" s="1999"/>
      <c r="E105" s="2005"/>
      <c r="F105" s="340"/>
      <c r="G105" s="2007" t="s">
        <v>4106</v>
      </c>
      <c r="H105" s="2008"/>
      <c r="I105" s="253" t="s">
        <v>358</v>
      </c>
      <c r="J105" s="2009"/>
      <c r="K105" s="2010"/>
      <c r="L105" s="253" t="s">
        <v>358</v>
      </c>
      <c r="M105" s="2015"/>
      <c r="N105" s="2010"/>
    </row>
    <row r="106" spans="1:16" s="74" customFormat="1" ht="12" x14ac:dyDescent="0.25">
      <c r="A106" s="1999"/>
      <c r="B106" s="1999"/>
      <c r="C106" s="2018"/>
      <c r="D106" s="1999"/>
      <c r="E106" s="2005"/>
      <c r="F106" s="340"/>
      <c r="G106" s="2007" t="s">
        <v>846</v>
      </c>
      <c r="H106" s="2008"/>
      <c r="I106" s="253" t="s">
        <v>360</v>
      </c>
      <c r="J106" s="2009"/>
      <c r="K106" s="2010"/>
      <c r="L106" s="253" t="s">
        <v>360</v>
      </c>
      <c r="M106" s="2009"/>
      <c r="N106" s="2010"/>
    </row>
    <row r="107" spans="1:16" s="74" customFormat="1" ht="12" x14ac:dyDescent="0.25">
      <c r="A107" s="2000"/>
      <c r="B107" s="2000"/>
      <c r="C107" s="2019"/>
      <c r="D107" s="2000"/>
      <c r="E107" s="2006"/>
      <c r="F107" s="341"/>
      <c r="G107" s="2011"/>
      <c r="H107" s="2012"/>
      <c r="I107" s="254" t="s">
        <v>357</v>
      </c>
      <c r="J107" s="2013"/>
      <c r="K107" s="2014"/>
      <c r="L107" s="254" t="s">
        <v>357</v>
      </c>
      <c r="M107" s="2016"/>
      <c r="N107" s="2014"/>
    </row>
    <row r="108" spans="1:16" s="74" customFormat="1" ht="12" x14ac:dyDescent="0.25">
      <c r="A108" s="239"/>
      <c r="B108" s="238"/>
      <c r="C108" s="241" t="s">
        <v>310</v>
      </c>
      <c r="D108" s="238"/>
      <c r="E108" s="240"/>
      <c r="F108" s="236"/>
      <c r="G108" s="236"/>
      <c r="H108" s="236"/>
      <c r="I108" s="236"/>
      <c r="J108" s="236"/>
      <c r="K108" s="236"/>
      <c r="L108" s="236"/>
      <c r="M108" s="236"/>
      <c r="N108" s="237"/>
    </row>
    <row r="109" spans="1:16" s="74" customFormat="1" ht="12" x14ac:dyDescent="0.25">
      <c r="A109" s="1998" t="s">
        <v>3350</v>
      </c>
      <c r="B109" s="1998" t="s">
        <v>1513</v>
      </c>
      <c r="C109" s="2001" t="s">
        <v>3351</v>
      </c>
      <c r="D109" s="1998" t="s">
        <v>46</v>
      </c>
      <c r="E109" s="2004">
        <v>0</v>
      </c>
      <c r="F109" s="336" t="s">
        <v>335</v>
      </c>
      <c r="G109" s="337" t="s">
        <v>356</v>
      </c>
      <c r="H109" s="1606">
        <v>0</v>
      </c>
      <c r="I109" s="249" t="s">
        <v>335</v>
      </c>
      <c r="J109" s="250" t="s">
        <v>356</v>
      </c>
      <c r="K109" s="251"/>
      <c r="L109" s="249" t="s">
        <v>335</v>
      </c>
      <c r="M109" s="250" t="s">
        <v>356</v>
      </c>
      <c r="N109" s="251"/>
      <c r="P109" s="74" t="s">
        <v>3350</v>
      </c>
    </row>
    <row r="110" spans="1:16" s="74" customFormat="1" ht="12" x14ac:dyDescent="0.25">
      <c r="A110" s="1999"/>
      <c r="B110" s="1999"/>
      <c r="C110" s="2002"/>
      <c r="D110" s="1999"/>
      <c r="E110" s="2005"/>
      <c r="F110" s="340" t="s">
        <v>355</v>
      </c>
      <c r="G110" s="2007" t="s">
        <v>242</v>
      </c>
      <c r="H110" s="2008"/>
      <c r="I110" s="253" t="s">
        <v>355</v>
      </c>
      <c r="J110" s="2009"/>
      <c r="K110" s="2010"/>
      <c r="L110" s="253" t="s">
        <v>355</v>
      </c>
      <c r="M110" s="2009"/>
      <c r="N110" s="2010"/>
    </row>
    <row r="111" spans="1:16" s="74" customFormat="1" ht="12" customHeight="1" x14ac:dyDescent="0.25">
      <c r="A111" s="1999"/>
      <c r="B111" s="1999"/>
      <c r="C111" s="2002"/>
      <c r="D111" s="1999"/>
      <c r="E111" s="2005"/>
      <c r="F111" s="340"/>
      <c r="G111" s="2032" t="s">
        <v>1454</v>
      </c>
      <c r="H111" s="2033"/>
      <c r="I111" s="253" t="s">
        <v>359</v>
      </c>
      <c r="J111" s="2009"/>
      <c r="K111" s="2010"/>
      <c r="L111" s="253" t="s">
        <v>359</v>
      </c>
      <c r="M111" s="2009"/>
      <c r="N111" s="2010"/>
    </row>
    <row r="112" spans="1:16" s="74" customFormat="1" ht="12" customHeight="1" x14ac:dyDescent="0.25">
      <c r="A112" s="1999"/>
      <c r="B112" s="1999"/>
      <c r="C112" s="2002"/>
      <c r="D112" s="1999"/>
      <c r="E112" s="2005"/>
      <c r="F112" s="340"/>
      <c r="G112" s="2041" t="s">
        <v>3606</v>
      </c>
      <c r="H112" s="2042"/>
      <c r="I112" s="253" t="s">
        <v>358</v>
      </c>
      <c r="J112" s="2009"/>
      <c r="K112" s="2010"/>
      <c r="L112" s="253" t="s">
        <v>358</v>
      </c>
      <c r="M112" s="2009"/>
      <c r="N112" s="2010"/>
    </row>
    <row r="113" spans="1:16" s="74" customFormat="1" ht="12" customHeight="1" x14ac:dyDescent="0.25">
      <c r="A113" s="1999"/>
      <c r="B113" s="1999"/>
      <c r="C113" s="2002"/>
      <c r="D113" s="1999"/>
      <c r="E113" s="2005"/>
      <c r="F113" s="340"/>
      <c r="G113" s="2043"/>
      <c r="H113" s="2044"/>
      <c r="I113" s="253" t="s">
        <v>360</v>
      </c>
      <c r="J113" s="2009"/>
      <c r="K113" s="2010"/>
      <c r="L113" s="253" t="s">
        <v>360</v>
      </c>
      <c r="M113" s="2009"/>
      <c r="N113" s="2010"/>
    </row>
    <row r="114" spans="1:16" s="74" customFormat="1" ht="12" x14ac:dyDescent="0.25">
      <c r="A114" s="2000"/>
      <c r="B114" s="2000"/>
      <c r="C114" s="2003"/>
      <c r="D114" s="2000"/>
      <c r="E114" s="2006"/>
      <c r="F114" s="341"/>
      <c r="G114" s="2045"/>
      <c r="H114" s="2046"/>
      <c r="I114" s="254" t="s">
        <v>357</v>
      </c>
      <c r="J114" s="2013"/>
      <c r="K114" s="2014"/>
      <c r="L114" s="254" t="s">
        <v>357</v>
      </c>
      <c r="M114" s="2013"/>
      <c r="N114" s="2014"/>
    </row>
    <row r="115" spans="1:16" s="74" customFormat="1" ht="12" x14ac:dyDescent="0.25">
      <c r="A115" s="1998" t="s">
        <v>3386</v>
      </c>
      <c r="B115" s="1998" t="s">
        <v>1513</v>
      </c>
      <c r="C115" s="2001" t="s">
        <v>3354</v>
      </c>
      <c r="D115" s="1998" t="s">
        <v>46</v>
      </c>
      <c r="E115" s="2004">
        <v>19.440000000000001</v>
      </c>
      <c r="F115" s="336" t="s">
        <v>335</v>
      </c>
      <c r="G115" s="337" t="s">
        <v>356</v>
      </c>
      <c r="H115" s="1606">
        <v>19.442531110412933</v>
      </c>
      <c r="I115" s="249" t="s">
        <v>335</v>
      </c>
      <c r="J115" s="250" t="s">
        <v>356</v>
      </c>
      <c r="K115" s="251"/>
      <c r="L115" s="249" t="s">
        <v>335</v>
      </c>
      <c r="M115" s="250" t="s">
        <v>356</v>
      </c>
      <c r="N115" s="251"/>
      <c r="P115" s="74" t="s">
        <v>3386</v>
      </c>
    </row>
    <row r="116" spans="1:16" s="74" customFormat="1" ht="12" x14ac:dyDescent="0.25">
      <c r="A116" s="1999"/>
      <c r="B116" s="1999"/>
      <c r="C116" s="2002"/>
      <c r="D116" s="1999"/>
      <c r="E116" s="2005"/>
      <c r="F116" s="340" t="s">
        <v>355</v>
      </c>
      <c r="G116" s="2007" t="s">
        <v>242</v>
      </c>
      <c r="H116" s="2008"/>
      <c r="I116" s="253" t="s">
        <v>355</v>
      </c>
      <c r="J116" s="2009"/>
      <c r="K116" s="2010"/>
      <c r="L116" s="253" t="s">
        <v>355</v>
      </c>
      <c r="M116" s="2015"/>
      <c r="N116" s="2010"/>
    </row>
    <row r="117" spans="1:16" s="74" customFormat="1" ht="12" customHeight="1" x14ac:dyDescent="0.25">
      <c r="A117" s="1999"/>
      <c r="B117" s="1999"/>
      <c r="C117" s="2002"/>
      <c r="D117" s="1999"/>
      <c r="E117" s="2005"/>
      <c r="F117" s="340"/>
      <c r="G117" s="2032" t="s">
        <v>3382</v>
      </c>
      <c r="H117" s="2034"/>
      <c r="I117" s="253" t="s">
        <v>359</v>
      </c>
      <c r="J117" s="2009"/>
      <c r="K117" s="2010"/>
      <c r="L117" s="253" t="s">
        <v>359</v>
      </c>
      <c r="M117" s="2009"/>
      <c r="N117" s="2010"/>
    </row>
    <row r="118" spans="1:16" s="74" customFormat="1" ht="12" customHeight="1" x14ac:dyDescent="0.25">
      <c r="A118" s="1999"/>
      <c r="B118" s="1999"/>
      <c r="C118" s="2002"/>
      <c r="D118" s="1999"/>
      <c r="E118" s="2005"/>
      <c r="F118" s="340"/>
      <c r="G118" s="2035" t="s">
        <v>3605</v>
      </c>
      <c r="H118" s="2036"/>
      <c r="I118" s="253" t="s">
        <v>358</v>
      </c>
      <c r="J118" s="2009"/>
      <c r="K118" s="2010"/>
      <c r="L118" s="253" t="s">
        <v>358</v>
      </c>
      <c r="M118" s="2015"/>
      <c r="N118" s="2010"/>
    </row>
    <row r="119" spans="1:16" s="74" customFormat="1" ht="12" customHeight="1" x14ac:dyDescent="0.25">
      <c r="A119" s="1999"/>
      <c r="B119" s="1999"/>
      <c r="C119" s="2002"/>
      <c r="D119" s="1999"/>
      <c r="E119" s="2005"/>
      <c r="F119" s="340"/>
      <c r="G119" s="2037"/>
      <c r="H119" s="2038"/>
      <c r="I119" s="253" t="s">
        <v>360</v>
      </c>
      <c r="J119" s="2009"/>
      <c r="K119" s="2010"/>
      <c r="L119" s="253" t="s">
        <v>360</v>
      </c>
      <c r="M119" s="2009"/>
      <c r="N119" s="2010"/>
    </row>
    <row r="120" spans="1:16" s="74" customFormat="1" ht="12" x14ac:dyDescent="0.25">
      <c r="A120" s="2000"/>
      <c r="B120" s="2000"/>
      <c r="C120" s="2003"/>
      <c r="D120" s="2000"/>
      <c r="E120" s="2006"/>
      <c r="F120" s="341"/>
      <c r="G120" s="2039"/>
      <c r="H120" s="2040"/>
      <c r="I120" s="254" t="s">
        <v>357</v>
      </c>
      <c r="J120" s="2013"/>
      <c r="K120" s="2014"/>
      <c r="L120" s="254" t="s">
        <v>357</v>
      </c>
      <c r="M120" s="2016"/>
      <c r="N120" s="2014"/>
    </row>
    <row r="121" spans="1:16" s="74" customFormat="1" ht="12" x14ac:dyDescent="0.25">
      <c r="A121" s="1998" t="s">
        <v>1062</v>
      </c>
      <c r="B121" s="1998" t="s">
        <v>85</v>
      </c>
      <c r="C121" s="2001" t="s">
        <v>4107</v>
      </c>
      <c r="D121" s="1998" t="s">
        <v>205</v>
      </c>
      <c r="E121" s="2004">
        <v>18541.34</v>
      </c>
      <c r="F121" s="336" t="s">
        <v>335</v>
      </c>
      <c r="G121" s="337" t="s">
        <v>356</v>
      </c>
      <c r="H121" s="338">
        <v>18541.34</v>
      </c>
      <c r="I121" s="249" t="s">
        <v>335</v>
      </c>
      <c r="J121" s="250" t="s">
        <v>356</v>
      </c>
      <c r="K121" s="251"/>
      <c r="L121" s="249" t="s">
        <v>335</v>
      </c>
      <c r="M121" s="250" t="s">
        <v>356</v>
      </c>
      <c r="N121" s="251"/>
      <c r="P121" s="74" t="s">
        <v>1062</v>
      </c>
    </row>
    <row r="122" spans="1:16" s="74" customFormat="1" ht="12" x14ac:dyDescent="0.25">
      <c r="A122" s="1999"/>
      <c r="B122" s="1999"/>
      <c r="C122" s="2002"/>
      <c r="D122" s="1999"/>
      <c r="E122" s="2005"/>
      <c r="F122" s="340" t="s">
        <v>355</v>
      </c>
      <c r="G122" s="2007" t="s">
        <v>1060</v>
      </c>
      <c r="H122" s="2008"/>
      <c r="I122" s="253" t="s">
        <v>355</v>
      </c>
      <c r="J122" s="2009"/>
      <c r="K122" s="2010"/>
      <c r="L122" s="253" t="s">
        <v>355</v>
      </c>
      <c r="M122" s="2015"/>
      <c r="N122" s="2010"/>
    </row>
    <row r="123" spans="1:16" s="74" customFormat="1" ht="12" customHeight="1" x14ac:dyDescent="0.25">
      <c r="A123" s="1999"/>
      <c r="B123" s="1999"/>
      <c r="C123" s="2002"/>
      <c r="D123" s="1999"/>
      <c r="E123" s="2005"/>
      <c r="F123" s="340"/>
      <c r="G123" s="2020" t="s">
        <v>4108</v>
      </c>
      <c r="H123" s="2008"/>
      <c r="I123" s="253" t="s">
        <v>359</v>
      </c>
      <c r="J123" s="2009"/>
      <c r="K123" s="2010"/>
      <c r="L123" s="253" t="s">
        <v>359</v>
      </c>
      <c r="M123" s="2009"/>
      <c r="N123" s="2010"/>
    </row>
    <row r="124" spans="1:16" s="74" customFormat="1" ht="12" customHeight="1" x14ac:dyDescent="0.25">
      <c r="A124" s="1999"/>
      <c r="B124" s="1999"/>
      <c r="C124" s="2002"/>
      <c r="D124" s="1999"/>
      <c r="E124" s="2005"/>
      <c r="F124" s="340"/>
      <c r="G124" s="2007" t="s">
        <v>1061</v>
      </c>
      <c r="H124" s="2008"/>
      <c r="I124" s="253" t="s">
        <v>358</v>
      </c>
      <c r="J124" s="2009"/>
      <c r="K124" s="2010"/>
      <c r="L124" s="253" t="s">
        <v>358</v>
      </c>
      <c r="M124" s="2015"/>
      <c r="N124" s="2010"/>
    </row>
    <row r="125" spans="1:16" s="74" customFormat="1" ht="12" customHeight="1" x14ac:dyDescent="0.25">
      <c r="A125" s="1999"/>
      <c r="B125" s="1999"/>
      <c r="C125" s="2002"/>
      <c r="D125" s="1999"/>
      <c r="E125" s="2005"/>
      <c r="F125" s="340"/>
      <c r="G125" s="2007" t="s">
        <v>4163</v>
      </c>
      <c r="H125" s="2008"/>
      <c r="I125" s="253" t="s">
        <v>360</v>
      </c>
      <c r="J125" s="2009"/>
      <c r="K125" s="2010"/>
      <c r="L125" s="253" t="s">
        <v>360</v>
      </c>
      <c r="M125" s="2009"/>
      <c r="N125" s="2010"/>
    </row>
    <row r="126" spans="1:16" s="74" customFormat="1" ht="12" x14ac:dyDescent="0.25">
      <c r="A126" s="2000"/>
      <c r="B126" s="2000"/>
      <c r="C126" s="2003"/>
      <c r="D126" s="2000"/>
      <c r="E126" s="2006"/>
      <c r="F126" s="341"/>
      <c r="G126" s="2011"/>
      <c r="H126" s="2012"/>
      <c r="I126" s="254" t="s">
        <v>357</v>
      </c>
      <c r="J126" s="2013"/>
      <c r="K126" s="2014"/>
      <c r="L126" s="254" t="s">
        <v>357</v>
      </c>
      <c r="M126" s="2016"/>
      <c r="N126" s="2014"/>
    </row>
    <row r="127" spans="1:16" s="74" customFormat="1" ht="12" x14ac:dyDescent="0.25">
      <c r="A127" s="1998" t="s">
        <v>1058</v>
      </c>
      <c r="B127" s="1998" t="s">
        <v>85</v>
      </c>
      <c r="C127" s="2001" t="s">
        <v>1059</v>
      </c>
      <c r="D127" s="1998" t="s">
        <v>205</v>
      </c>
      <c r="E127" s="2004">
        <v>35310.93</v>
      </c>
      <c r="F127" s="336" t="s">
        <v>335</v>
      </c>
      <c r="G127" s="337" t="s">
        <v>356</v>
      </c>
      <c r="H127" s="338">
        <v>35310.93</v>
      </c>
      <c r="I127" s="249" t="s">
        <v>335</v>
      </c>
      <c r="J127" s="250" t="s">
        <v>356</v>
      </c>
      <c r="K127" s="251"/>
      <c r="L127" s="249" t="s">
        <v>335</v>
      </c>
      <c r="M127" s="250" t="s">
        <v>356</v>
      </c>
      <c r="N127" s="251"/>
      <c r="P127" s="74" t="s">
        <v>1058</v>
      </c>
    </row>
    <row r="128" spans="1:16" s="74" customFormat="1" ht="12" x14ac:dyDescent="0.25">
      <c r="A128" s="1999"/>
      <c r="B128" s="1999"/>
      <c r="C128" s="2002"/>
      <c r="D128" s="1999"/>
      <c r="E128" s="2005"/>
      <c r="F128" s="340" t="s">
        <v>355</v>
      </c>
      <c r="G128" s="2007" t="s">
        <v>1060</v>
      </c>
      <c r="H128" s="2008"/>
      <c r="I128" s="253" t="s">
        <v>355</v>
      </c>
      <c r="J128" s="2009"/>
      <c r="K128" s="2010"/>
      <c r="L128" s="253" t="s">
        <v>355</v>
      </c>
      <c r="M128" s="2015"/>
      <c r="N128" s="2010"/>
    </row>
    <row r="129" spans="1:16" s="74" customFormat="1" ht="12" customHeight="1" x14ac:dyDescent="0.25">
      <c r="A129" s="1999"/>
      <c r="B129" s="1999"/>
      <c r="C129" s="2002"/>
      <c r="D129" s="1999"/>
      <c r="E129" s="2005"/>
      <c r="F129" s="340"/>
      <c r="G129" s="2020" t="s">
        <v>4108</v>
      </c>
      <c r="H129" s="2008"/>
      <c r="I129" s="253" t="s">
        <v>359</v>
      </c>
      <c r="J129" s="2009"/>
      <c r="K129" s="2010"/>
      <c r="L129" s="253" t="s">
        <v>359</v>
      </c>
      <c r="M129" s="2009"/>
      <c r="N129" s="2010"/>
    </row>
    <row r="130" spans="1:16" s="74" customFormat="1" ht="12" customHeight="1" x14ac:dyDescent="0.25">
      <c r="A130" s="1999"/>
      <c r="B130" s="1999"/>
      <c r="C130" s="2002"/>
      <c r="D130" s="1999"/>
      <c r="E130" s="2005"/>
      <c r="F130" s="340"/>
      <c r="G130" s="2007" t="s">
        <v>1061</v>
      </c>
      <c r="H130" s="2008"/>
      <c r="I130" s="253" t="s">
        <v>358</v>
      </c>
      <c r="J130" s="2009"/>
      <c r="K130" s="2010"/>
      <c r="L130" s="253" t="s">
        <v>358</v>
      </c>
      <c r="M130" s="2015"/>
      <c r="N130" s="2010"/>
    </row>
    <row r="131" spans="1:16" s="74" customFormat="1" ht="12" customHeight="1" x14ac:dyDescent="0.25">
      <c r="A131" s="1999"/>
      <c r="B131" s="1999"/>
      <c r="C131" s="2002"/>
      <c r="D131" s="1999"/>
      <c r="E131" s="2005"/>
      <c r="F131" s="340"/>
      <c r="G131" s="2007" t="s">
        <v>4164</v>
      </c>
      <c r="H131" s="2008"/>
      <c r="I131" s="253" t="s">
        <v>360</v>
      </c>
      <c r="J131" s="2009"/>
      <c r="K131" s="2010"/>
      <c r="L131" s="253" t="s">
        <v>360</v>
      </c>
      <c r="M131" s="2009"/>
      <c r="N131" s="2010"/>
    </row>
    <row r="132" spans="1:16" s="74" customFormat="1" ht="12" x14ac:dyDescent="0.25">
      <c r="A132" s="2000"/>
      <c r="B132" s="2000"/>
      <c r="C132" s="2003"/>
      <c r="D132" s="2000"/>
      <c r="E132" s="2006"/>
      <c r="F132" s="341"/>
      <c r="G132" s="2011"/>
      <c r="H132" s="2012"/>
      <c r="I132" s="254" t="s">
        <v>357</v>
      </c>
      <c r="J132" s="2013"/>
      <c r="K132" s="2014"/>
      <c r="L132" s="254" t="s">
        <v>357</v>
      </c>
      <c r="M132" s="2016"/>
      <c r="N132" s="2014"/>
    </row>
    <row r="133" spans="1:16" s="74" customFormat="1" ht="12" x14ac:dyDescent="0.25">
      <c r="A133" s="1998" t="s">
        <v>1063</v>
      </c>
      <c r="B133" s="1998" t="s">
        <v>85</v>
      </c>
      <c r="C133" s="2001" t="s">
        <v>1064</v>
      </c>
      <c r="D133" s="1998" t="s">
        <v>205</v>
      </c>
      <c r="E133" s="2004">
        <v>19331.11</v>
      </c>
      <c r="F133" s="336" t="s">
        <v>335</v>
      </c>
      <c r="G133" s="337" t="s">
        <v>356</v>
      </c>
      <c r="H133" s="338">
        <v>19331.11</v>
      </c>
      <c r="I133" s="249" t="s">
        <v>335</v>
      </c>
      <c r="J133" s="250" t="s">
        <v>356</v>
      </c>
      <c r="K133" s="251"/>
      <c r="L133" s="249" t="s">
        <v>335</v>
      </c>
      <c r="M133" s="250" t="s">
        <v>356</v>
      </c>
      <c r="N133" s="251"/>
      <c r="P133" s="74" t="s">
        <v>1063</v>
      </c>
    </row>
    <row r="134" spans="1:16" s="74" customFormat="1" ht="12" x14ac:dyDescent="0.25">
      <c r="A134" s="1999"/>
      <c r="B134" s="1999"/>
      <c r="C134" s="2002"/>
      <c r="D134" s="1999"/>
      <c r="E134" s="2005"/>
      <c r="F134" s="340" t="s">
        <v>355</v>
      </c>
      <c r="G134" s="2007" t="s">
        <v>1060</v>
      </c>
      <c r="H134" s="2008"/>
      <c r="I134" s="253" t="s">
        <v>355</v>
      </c>
      <c r="J134" s="2009"/>
      <c r="K134" s="2010"/>
      <c r="L134" s="253" t="s">
        <v>355</v>
      </c>
      <c r="M134" s="2015"/>
      <c r="N134" s="2010"/>
    </row>
    <row r="135" spans="1:16" s="74" customFormat="1" ht="12" customHeight="1" x14ac:dyDescent="0.25">
      <c r="A135" s="1999"/>
      <c r="B135" s="1999"/>
      <c r="C135" s="2002"/>
      <c r="D135" s="1999"/>
      <c r="E135" s="2005"/>
      <c r="F135" s="340"/>
      <c r="G135" s="2020" t="s">
        <v>4108</v>
      </c>
      <c r="H135" s="2008"/>
      <c r="I135" s="253" t="s">
        <v>359</v>
      </c>
      <c r="J135" s="2009"/>
      <c r="K135" s="2010"/>
      <c r="L135" s="253" t="s">
        <v>359</v>
      </c>
      <c r="M135" s="2009"/>
      <c r="N135" s="2010"/>
    </row>
    <row r="136" spans="1:16" s="74" customFormat="1" ht="12" customHeight="1" x14ac:dyDescent="0.25">
      <c r="A136" s="1999"/>
      <c r="B136" s="1999"/>
      <c r="C136" s="2002"/>
      <c r="D136" s="1999"/>
      <c r="E136" s="2005"/>
      <c r="F136" s="340"/>
      <c r="G136" s="2007" t="s">
        <v>1061</v>
      </c>
      <c r="H136" s="2008"/>
      <c r="I136" s="253" t="s">
        <v>358</v>
      </c>
      <c r="J136" s="2009"/>
      <c r="K136" s="2010"/>
      <c r="L136" s="253" t="s">
        <v>358</v>
      </c>
      <c r="M136" s="2015"/>
      <c r="N136" s="2010"/>
    </row>
    <row r="137" spans="1:16" s="74" customFormat="1" ht="12" customHeight="1" x14ac:dyDescent="0.25">
      <c r="A137" s="1999"/>
      <c r="B137" s="1999"/>
      <c r="C137" s="2002"/>
      <c r="D137" s="1999"/>
      <c r="E137" s="2005"/>
      <c r="F137" s="340"/>
      <c r="G137" s="2007" t="s">
        <v>4165</v>
      </c>
      <c r="H137" s="2008"/>
      <c r="I137" s="253" t="s">
        <v>360</v>
      </c>
      <c r="J137" s="2009"/>
      <c r="K137" s="2010"/>
      <c r="L137" s="253" t="s">
        <v>360</v>
      </c>
      <c r="M137" s="2009"/>
      <c r="N137" s="2010"/>
    </row>
    <row r="138" spans="1:16" s="74" customFormat="1" ht="12" x14ac:dyDescent="0.25">
      <c r="A138" s="2000"/>
      <c r="B138" s="2000"/>
      <c r="C138" s="2003"/>
      <c r="D138" s="2000"/>
      <c r="E138" s="2006"/>
      <c r="F138" s="341"/>
      <c r="G138" s="2011"/>
      <c r="H138" s="2012"/>
      <c r="I138" s="254" t="s">
        <v>357</v>
      </c>
      <c r="J138" s="2013"/>
      <c r="K138" s="2014"/>
      <c r="L138" s="254" t="s">
        <v>357</v>
      </c>
      <c r="M138" s="2016"/>
      <c r="N138" s="2014"/>
    </row>
    <row r="139" spans="1:16" s="74" customFormat="1" ht="12" x14ac:dyDescent="0.25">
      <c r="A139" s="1998" t="s">
        <v>1065</v>
      </c>
      <c r="B139" s="1998" t="s">
        <v>85</v>
      </c>
      <c r="C139" s="2001" t="s">
        <v>1066</v>
      </c>
      <c r="D139" s="1998" t="s">
        <v>205</v>
      </c>
      <c r="E139" s="2004">
        <v>4760.5</v>
      </c>
      <c r="F139" s="336" t="s">
        <v>335</v>
      </c>
      <c r="G139" s="337" t="s">
        <v>356</v>
      </c>
      <c r="H139" s="338">
        <v>4760.5</v>
      </c>
      <c r="I139" s="249" t="s">
        <v>335</v>
      </c>
      <c r="J139" s="250" t="s">
        <v>356</v>
      </c>
      <c r="K139" s="251"/>
      <c r="L139" s="249" t="s">
        <v>335</v>
      </c>
      <c r="M139" s="250" t="s">
        <v>356</v>
      </c>
      <c r="N139" s="251"/>
      <c r="P139" s="74" t="s">
        <v>1065</v>
      </c>
    </row>
    <row r="140" spans="1:16" s="74" customFormat="1" ht="12" x14ac:dyDescent="0.25">
      <c r="A140" s="1999"/>
      <c r="B140" s="1999"/>
      <c r="C140" s="2002"/>
      <c r="D140" s="1999"/>
      <c r="E140" s="2005"/>
      <c r="F140" s="340" t="s">
        <v>355</v>
      </c>
      <c r="G140" s="2007" t="s">
        <v>1060</v>
      </c>
      <c r="H140" s="2008"/>
      <c r="I140" s="253" t="s">
        <v>355</v>
      </c>
      <c r="J140" s="2009"/>
      <c r="K140" s="2010"/>
      <c r="L140" s="253" t="s">
        <v>355</v>
      </c>
      <c r="M140" s="2015"/>
      <c r="N140" s="2010"/>
    </row>
    <row r="141" spans="1:16" s="74" customFormat="1" ht="12" customHeight="1" x14ac:dyDescent="0.25">
      <c r="A141" s="1999"/>
      <c r="B141" s="1999"/>
      <c r="C141" s="2002"/>
      <c r="D141" s="1999"/>
      <c r="E141" s="2005"/>
      <c r="F141" s="340"/>
      <c r="G141" s="2020" t="s">
        <v>4108</v>
      </c>
      <c r="H141" s="2008"/>
      <c r="I141" s="253" t="s">
        <v>359</v>
      </c>
      <c r="J141" s="2009"/>
      <c r="K141" s="2010"/>
      <c r="L141" s="253" t="s">
        <v>359</v>
      </c>
      <c r="M141" s="2009"/>
      <c r="N141" s="2010"/>
    </row>
    <row r="142" spans="1:16" s="74" customFormat="1" ht="12" customHeight="1" x14ac:dyDescent="0.25">
      <c r="A142" s="1999"/>
      <c r="B142" s="1999"/>
      <c r="C142" s="2002"/>
      <c r="D142" s="1999"/>
      <c r="E142" s="2005"/>
      <c r="F142" s="340"/>
      <c r="G142" s="2007" t="s">
        <v>1061</v>
      </c>
      <c r="H142" s="2008"/>
      <c r="I142" s="253" t="s">
        <v>358</v>
      </c>
      <c r="J142" s="2009"/>
      <c r="K142" s="2010"/>
      <c r="L142" s="253" t="s">
        <v>358</v>
      </c>
      <c r="M142" s="2015"/>
      <c r="N142" s="2010"/>
    </row>
    <row r="143" spans="1:16" s="74" customFormat="1" ht="12" customHeight="1" x14ac:dyDescent="0.25">
      <c r="A143" s="1999"/>
      <c r="B143" s="1999"/>
      <c r="C143" s="2002"/>
      <c r="D143" s="1999"/>
      <c r="E143" s="2005"/>
      <c r="F143" s="340"/>
      <c r="G143" s="2007" t="s">
        <v>4166</v>
      </c>
      <c r="H143" s="2008"/>
      <c r="I143" s="253" t="s">
        <v>360</v>
      </c>
      <c r="J143" s="2009"/>
      <c r="K143" s="2010"/>
      <c r="L143" s="253" t="s">
        <v>360</v>
      </c>
      <c r="M143" s="2009"/>
      <c r="N143" s="2010"/>
    </row>
    <row r="144" spans="1:16" s="74" customFormat="1" ht="12" x14ac:dyDescent="0.25">
      <c r="A144" s="2000"/>
      <c r="B144" s="2000"/>
      <c r="C144" s="2003"/>
      <c r="D144" s="2000"/>
      <c r="E144" s="2006"/>
      <c r="F144" s="341"/>
      <c r="G144" s="2011"/>
      <c r="H144" s="2012"/>
      <c r="I144" s="254" t="s">
        <v>357</v>
      </c>
      <c r="J144" s="2013"/>
      <c r="K144" s="2014"/>
      <c r="L144" s="254" t="s">
        <v>357</v>
      </c>
      <c r="M144" s="2016"/>
      <c r="N144" s="2014"/>
    </row>
    <row r="145" spans="1:16" s="74" customFormat="1" ht="12" x14ac:dyDescent="0.25">
      <c r="A145" s="239"/>
      <c r="B145" s="238"/>
      <c r="C145" s="241" t="s">
        <v>273</v>
      </c>
      <c r="D145" s="238"/>
      <c r="E145" s="240"/>
      <c r="F145" s="236"/>
      <c r="G145" s="236"/>
      <c r="H145" s="236"/>
      <c r="I145" s="236"/>
      <c r="J145" s="236"/>
      <c r="K145" s="236"/>
      <c r="L145" s="236"/>
      <c r="M145" s="236"/>
      <c r="N145" s="237"/>
    </row>
    <row r="146" spans="1:16" s="74" customFormat="1" ht="12" x14ac:dyDescent="0.25">
      <c r="A146" s="1998" t="s">
        <v>385</v>
      </c>
      <c r="B146" s="1998" t="s">
        <v>89</v>
      </c>
      <c r="C146" s="2001" t="s">
        <v>386</v>
      </c>
      <c r="D146" s="1998" t="s">
        <v>41</v>
      </c>
      <c r="E146" s="2004">
        <v>12.25</v>
      </c>
      <c r="F146" s="336" t="s">
        <v>335</v>
      </c>
      <c r="G146" s="337" t="s">
        <v>356</v>
      </c>
      <c r="H146" s="338">
        <v>12.25</v>
      </c>
      <c r="I146" s="249" t="s">
        <v>335</v>
      </c>
      <c r="J146" s="250" t="s">
        <v>356</v>
      </c>
      <c r="K146" s="251"/>
      <c r="L146" s="249" t="s">
        <v>335</v>
      </c>
      <c r="M146" s="250" t="s">
        <v>356</v>
      </c>
      <c r="N146" s="251"/>
      <c r="P146" s="74" t="s">
        <v>385</v>
      </c>
    </row>
    <row r="147" spans="1:16" s="74" customFormat="1" ht="12" x14ac:dyDescent="0.25">
      <c r="A147" s="1999"/>
      <c r="B147" s="1999"/>
      <c r="C147" s="2002"/>
      <c r="D147" s="1999"/>
      <c r="E147" s="2005"/>
      <c r="F147" s="340" t="s">
        <v>355</v>
      </c>
      <c r="G147" s="2007" t="s">
        <v>3423</v>
      </c>
      <c r="H147" s="2008"/>
      <c r="I147" s="253" t="s">
        <v>355</v>
      </c>
      <c r="J147" s="2009"/>
      <c r="K147" s="2010"/>
      <c r="L147" s="253" t="s">
        <v>355</v>
      </c>
      <c r="M147" s="2009"/>
      <c r="N147" s="2010"/>
    </row>
    <row r="148" spans="1:16" s="74" customFormat="1" ht="12" x14ac:dyDescent="0.25">
      <c r="A148" s="1999"/>
      <c r="B148" s="1999"/>
      <c r="C148" s="2002"/>
      <c r="D148" s="1999"/>
      <c r="E148" s="2005"/>
      <c r="F148" s="340"/>
      <c r="G148" s="2007" t="s">
        <v>387</v>
      </c>
      <c r="H148" s="2008"/>
      <c r="I148" s="253" t="s">
        <v>359</v>
      </c>
      <c r="J148" s="2009"/>
      <c r="K148" s="2010"/>
      <c r="L148" s="253" t="s">
        <v>359</v>
      </c>
      <c r="M148" s="2009"/>
      <c r="N148" s="2010"/>
    </row>
    <row r="149" spans="1:16" s="74" customFormat="1" ht="12" x14ac:dyDescent="0.25">
      <c r="A149" s="1999"/>
      <c r="B149" s="1999"/>
      <c r="C149" s="2002"/>
      <c r="D149" s="1999"/>
      <c r="E149" s="2005"/>
      <c r="F149" s="340"/>
      <c r="G149" s="2007"/>
      <c r="H149" s="2008"/>
      <c r="I149" s="253" t="s">
        <v>358</v>
      </c>
      <c r="J149" s="2009"/>
      <c r="K149" s="2010"/>
      <c r="L149" s="253" t="s">
        <v>358</v>
      </c>
      <c r="M149" s="2009"/>
      <c r="N149" s="2010"/>
    </row>
    <row r="150" spans="1:16" s="74" customFormat="1" ht="12" x14ac:dyDescent="0.25">
      <c r="A150" s="1999"/>
      <c r="B150" s="1999"/>
      <c r="C150" s="2002"/>
      <c r="D150" s="1999"/>
      <c r="E150" s="2005"/>
      <c r="F150" s="340"/>
      <c r="G150" s="2007"/>
      <c r="H150" s="2008"/>
      <c r="I150" s="253" t="s">
        <v>360</v>
      </c>
      <c r="J150" s="2009"/>
      <c r="K150" s="2010"/>
      <c r="L150" s="253" t="s">
        <v>360</v>
      </c>
      <c r="M150" s="2009"/>
      <c r="N150" s="2010"/>
    </row>
    <row r="151" spans="1:16" s="74" customFormat="1" ht="12" x14ac:dyDescent="0.25">
      <c r="A151" s="2000"/>
      <c r="B151" s="2000"/>
      <c r="C151" s="2003"/>
      <c r="D151" s="2000"/>
      <c r="E151" s="2006"/>
      <c r="F151" s="341"/>
      <c r="G151" s="2011"/>
      <c r="H151" s="2012"/>
      <c r="I151" s="254" t="s">
        <v>357</v>
      </c>
      <c r="J151" s="2013"/>
      <c r="K151" s="2014"/>
      <c r="L151" s="254" t="s">
        <v>357</v>
      </c>
      <c r="M151" s="2013"/>
      <c r="N151" s="2014"/>
    </row>
    <row r="152" spans="1:16" s="74" customFormat="1" ht="12" x14ac:dyDescent="0.25">
      <c r="A152" s="1998" t="s">
        <v>828</v>
      </c>
      <c r="B152" s="1998" t="s">
        <v>89</v>
      </c>
      <c r="C152" s="2001" t="s">
        <v>829</v>
      </c>
      <c r="D152" s="1998" t="s">
        <v>41</v>
      </c>
      <c r="E152" s="2004">
        <v>39.26</v>
      </c>
      <c r="F152" s="336" t="s">
        <v>335</v>
      </c>
      <c r="G152" s="337" t="s">
        <v>356</v>
      </c>
      <c r="H152" s="338">
        <v>39.262230112487089</v>
      </c>
      <c r="I152" s="249" t="s">
        <v>335</v>
      </c>
      <c r="J152" s="250" t="s">
        <v>356</v>
      </c>
      <c r="K152" s="251"/>
      <c r="L152" s="249" t="s">
        <v>335</v>
      </c>
      <c r="M152" s="250" t="s">
        <v>356</v>
      </c>
      <c r="N152" s="251"/>
      <c r="P152" s="74" t="s">
        <v>828</v>
      </c>
    </row>
    <row r="153" spans="1:16" s="74" customFormat="1" ht="12" x14ac:dyDescent="0.25">
      <c r="A153" s="1999"/>
      <c r="B153" s="1999"/>
      <c r="C153" s="2002"/>
      <c r="D153" s="1999"/>
      <c r="E153" s="2005"/>
      <c r="F153" s="340" t="s">
        <v>355</v>
      </c>
      <c r="G153" s="2007" t="s">
        <v>3424</v>
      </c>
      <c r="H153" s="2008"/>
      <c r="I153" s="253" t="s">
        <v>355</v>
      </c>
      <c r="J153" s="2009"/>
      <c r="K153" s="2010"/>
      <c r="L153" s="253" t="s">
        <v>355</v>
      </c>
      <c r="M153" s="2009"/>
      <c r="N153" s="2010"/>
    </row>
    <row r="154" spans="1:16" s="74" customFormat="1" ht="12" customHeight="1" x14ac:dyDescent="0.25">
      <c r="A154" s="1999"/>
      <c r="B154" s="1999"/>
      <c r="C154" s="2002"/>
      <c r="D154" s="1999"/>
      <c r="E154" s="2005"/>
      <c r="F154" s="340"/>
      <c r="G154" s="2007" t="s">
        <v>4106</v>
      </c>
      <c r="H154" s="2008"/>
      <c r="I154" s="253" t="s">
        <v>359</v>
      </c>
      <c r="J154" s="2009"/>
      <c r="K154" s="2010"/>
      <c r="L154" s="253" t="s">
        <v>359</v>
      </c>
      <c r="M154" s="2009"/>
      <c r="N154" s="2010"/>
    </row>
    <row r="155" spans="1:16" s="74" customFormat="1" ht="12" x14ac:dyDescent="0.25">
      <c r="A155" s="1999"/>
      <c r="B155" s="1999"/>
      <c r="C155" s="2002"/>
      <c r="D155" s="1999"/>
      <c r="E155" s="2005"/>
      <c r="F155" s="340"/>
      <c r="G155" s="2007" t="s">
        <v>4109</v>
      </c>
      <c r="H155" s="2008"/>
      <c r="I155" s="253" t="s">
        <v>358</v>
      </c>
      <c r="J155" s="2009"/>
      <c r="K155" s="2010"/>
      <c r="L155" s="253" t="s">
        <v>358</v>
      </c>
      <c r="M155" s="2009"/>
      <c r="N155" s="2010"/>
    </row>
    <row r="156" spans="1:16" s="74" customFormat="1" ht="12" x14ac:dyDescent="0.25">
      <c r="A156" s="1999"/>
      <c r="B156" s="1999"/>
      <c r="C156" s="2002"/>
      <c r="D156" s="1999"/>
      <c r="E156" s="2005"/>
      <c r="F156" s="340"/>
      <c r="G156" s="2007"/>
      <c r="H156" s="2008"/>
      <c r="I156" s="253" t="s">
        <v>360</v>
      </c>
      <c r="J156" s="2009"/>
      <c r="K156" s="2010"/>
      <c r="L156" s="253" t="s">
        <v>360</v>
      </c>
      <c r="M156" s="2009"/>
      <c r="N156" s="2010"/>
    </row>
    <row r="157" spans="1:16" s="74" customFormat="1" ht="12" x14ac:dyDescent="0.25">
      <c r="A157" s="2000"/>
      <c r="B157" s="2000"/>
      <c r="C157" s="2003"/>
      <c r="D157" s="2000"/>
      <c r="E157" s="2006"/>
      <c r="F157" s="341"/>
      <c r="G157" s="2011"/>
      <c r="H157" s="2012"/>
      <c r="I157" s="254" t="s">
        <v>357</v>
      </c>
      <c r="J157" s="2013"/>
      <c r="K157" s="2014"/>
      <c r="L157" s="254" t="s">
        <v>357</v>
      </c>
      <c r="M157" s="2013"/>
      <c r="N157" s="2014"/>
    </row>
    <row r="158" spans="1:16" s="74" customFormat="1" ht="12" x14ac:dyDescent="0.25">
      <c r="A158" s="1998" t="s">
        <v>832</v>
      </c>
      <c r="B158" s="1998" t="s">
        <v>89</v>
      </c>
      <c r="C158" s="2001" t="s">
        <v>833</v>
      </c>
      <c r="D158" s="1998" t="s">
        <v>41</v>
      </c>
      <c r="E158" s="2004">
        <v>40.78</v>
      </c>
      <c r="F158" s="336" t="s">
        <v>335</v>
      </c>
      <c r="G158" s="337" t="s">
        <v>356</v>
      </c>
      <c r="H158" s="338">
        <v>40.784865075298221</v>
      </c>
      <c r="I158" s="249" t="s">
        <v>335</v>
      </c>
      <c r="J158" s="250" t="s">
        <v>356</v>
      </c>
      <c r="K158" s="251"/>
      <c r="L158" s="249" t="s">
        <v>335</v>
      </c>
      <c r="M158" s="250" t="s">
        <v>356</v>
      </c>
      <c r="N158" s="251"/>
      <c r="P158" s="74" t="s">
        <v>832</v>
      </c>
    </row>
    <row r="159" spans="1:16" s="74" customFormat="1" ht="12" x14ac:dyDescent="0.25">
      <c r="A159" s="1999"/>
      <c r="B159" s="1999"/>
      <c r="C159" s="2002"/>
      <c r="D159" s="1999"/>
      <c r="E159" s="2005"/>
      <c r="F159" s="340" t="s">
        <v>355</v>
      </c>
      <c r="G159" s="2007" t="s">
        <v>3424</v>
      </c>
      <c r="H159" s="2008"/>
      <c r="I159" s="253" t="s">
        <v>355</v>
      </c>
      <c r="J159" s="2009"/>
      <c r="K159" s="2010"/>
      <c r="L159" s="253" t="s">
        <v>355</v>
      </c>
      <c r="M159" s="2009"/>
      <c r="N159" s="2010"/>
    </row>
    <row r="160" spans="1:16" s="74" customFormat="1" ht="12" x14ac:dyDescent="0.25">
      <c r="A160" s="1999"/>
      <c r="B160" s="1999"/>
      <c r="C160" s="2002"/>
      <c r="D160" s="1999"/>
      <c r="E160" s="2005"/>
      <c r="F160" s="340"/>
      <c r="G160" s="2007" t="s">
        <v>4106</v>
      </c>
      <c r="H160" s="2008"/>
      <c r="I160" s="253" t="s">
        <v>359</v>
      </c>
      <c r="J160" s="2009"/>
      <c r="K160" s="2010"/>
      <c r="L160" s="253" t="s">
        <v>359</v>
      </c>
      <c r="M160" s="2009"/>
      <c r="N160" s="2010"/>
    </row>
    <row r="161" spans="1:16" s="74" customFormat="1" ht="12" x14ac:dyDescent="0.25">
      <c r="A161" s="1999"/>
      <c r="B161" s="1999"/>
      <c r="C161" s="2002"/>
      <c r="D161" s="1999"/>
      <c r="E161" s="2005"/>
      <c r="F161" s="340"/>
      <c r="G161" s="2007" t="s">
        <v>4110</v>
      </c>
      <c r="H161" s="2008"/>
      <c r="I161" s="253" t="s">
        <v>358</v>
      </c>
      <c r="J161" s="2009"/>
      <c r="K161" s="2010"/>
      <c r="L161" s="253" t="s">
        <v>358</v>
      </c>
      <c r="M161" s="2009"/>
      <c r="N161" s="2010"/>
    </row>
    <row r="162" spans="1:16" s="74" customFormat="1" ht="12" x14ac:dyDescent="0.25">
      <c r="A162" s="1999"/>
      <c r="B162" s="1999"/>
      <c r="C162" s="2002"/>
      <c r="D162" s="1999"/>
      <c r="E162" s="2005"/>
      <c r="F162" s="340"/>
      <c r="G162" s="2007"/>
      <c r="H162" s="2008"/>
      <c r="I162" s="253" t="s">
        <v>360</v>
      </c>
      <c r="J162" s="2009"/>
      <c r="K162" s="2010"/>
      <c r="L162" s="253" t="s">
        <v>360</v>
      </c>
      <c r="M162" s="2009"/>
      <c r="N162" s="2010"/>
    </row>
    <row r="163" spans="1:16" s="74" customFormat="1" ht="12" x14ac:dyDescent="0.25">
      <c r="A163" s="2000"/>
      <c r="B163" s="2000"/>
      <c r="C163" s="2003"/>
      <c r="D163" s="2000"/>
      <c r="E163" s="2006"/>
      <c r="F163" s="341"/>
      <c r="G163" s="2011"/>
      <c r="H163" s="2012"/>
      <c r="I163" s="254" t="s">
        <v>357</v>
      </c>
      <c r="J163" s="2013"/>
      <c r="K163" s="2014"/>
      <c r="L163" s="254" t="s">
        <v>357</v>
      </c>
      <c r="M163" s="2013"/>
      <c r="N163" s="2014"/>
    </row>
    <row r="164" spans="1:16" s="74" customFormat="1" ht="12" x14ac:dyDescent="0.25">
      <c r="A164" s="1998" t="s">
        <v>836</v>
      </c>
      <c r="B164" s="1998" t="s">
        <v>89</v>
      </c>
      <c r="C164" s="2001" t="s">
        <v>269</v>
      </c>
      <c r="D164" s="1998" t="s">
        <v>54</v>
      </c>
      <c r="E164" s="2004">
        <v>12.43</v>
      </c>
      <c r="F164" s="336" t="s">
        <v>335</v>
      </c>
      <c r="G164" s="337" t="s">
        <v>356</v>
      </c>
      <c r="H164" s="338">
        <v>12.433945865955916</v>
      </c>
      <c r="I164" s="249" t="s">
        <v>335</v>
      </c>
      <c r="J164" s="250" t="s">
        <v>356</v>
      </c>
      <c r="K164" s="251"/>
      <c r="L164" s="249" t="s">
        <v>335</v>
      </c>
      <c r="M164" s="250" t="s">
        <v>356</v>
      </c>
      <c r="N164" s="251"/>
      <c r="P164" s="74" t="s">
        <v>836</v>
      </c>
    </row>
    <row r="165" spans="1:16" s="74" customFormat="1" ht="12" x14ac:dyDescent="0.25">
      <c r="A165" s="1999"/>
      <c r="B165" s="1999"/>
      <c r="C165" s="2002"/>
      <c r="D165" s="1999"/>
      <c r="E165" s="2005"/>
      <c r="F165" s="340" t="s">
        <v>355</v>
      </c>
      <c r="G165" s="2007" t="s">
        <v>3424</v>
      </c>
      <c r="H165" s="2008"/>
      <c r="I165" s="253" t="s">
        <v>355</v>
      </c>
      <c r="J165" s="2009"/>
      <c r="K165" s="2010"/>
      <c r="L165" s="253" t="s">
        <v>355</v>
      </c>
      <c r="M165" s="2009"/>
      <c r="N165" s="2010"/>
    </row>
    <row r="166" spans="1:16" s="74" customFormat="1" ht="12" x14ac:dyDescent="0.25">
      <c r="A166" s="1999"/>
      <c r="B166" s="1999"/>
      <c r="C166" s="2002"/>
      <c r="D166" s="1999"/>
      <c r="E166" s="2005"/>
      <c r="F166" s="340"/>
      <c r="G166" s="2007" t="s">
        <v>4106</v>
      </c>
      <c r="H166" s="2008"/>
      <c r="I166" s="253" t="s">
        <v>359</v>
      </c>
      <c r="J166" s="2009"/>
      <c r="K166" s="2010"/>
      <c r="L166" s="253" t="s">
        <v>359</v>
      </c>
      <c r="M166" s="2009"/>
      <c r="N166" s="2010"/>
    </row>
    <row r="167" spans="1:16" s="74" customFormat="1" ht="12" x14ac:dyDescent="0.25">
      <c r="A167" s="1999"/>
      <c r="B167" s="1999"/>
      <c r="C167" s="2002"/>
      <c r="D167" s="1999"/>
      <c r="E167" s="2005"/>
      <c r="F167" s="340"/>
      <c r="G167" s="2007" t="s">
        <v>838</v>
      </c>
      <c r="H167" s="2008"/>
      <c r="I167" s="253" t="s">
        <v>358</v>
      </c>
      <c r="J167" s="2009"/>
      <c r="K167" s="2010"/>
      <c r="L167" s="253" t="s">
        <v>358</v>
      </c>
      <c r="M167" s="2009"/>
      <c r="N167" s="2010"/>
    </row>
    <row r="168" spans="1:16" s="74" customFormat="1" ht="12" x14ac:dyDescent="0.25">
      <c r="A168" s="1999"/>
      <c r="B168" s="1999"/>
      <c r="C168" s="2002"/>
      <c r="D168" s="1999"/>
      <c r="E168" s="2005"/>
      <c r="F168" s="340"/>
      <c r="G168" s="2007"/>
      <c r="H168" s="2008"/>
      <c r="I168" s="253" t="s">
        <v>360</v>
      </c>
      <c r="J168" s="2009"/>
      <c r="K168" s="2010"/>
      <c r="L168" s="253" t="s">
        <v>360</v>
      </c>
      <c r="M168" s="2009"/>
      <c r="N168" s="2010"/>
    </row>
    <row r="169" spans="1:16" s="74" customFormat="1" ht="12" x14ac:dyDescent="0.25">
      <c r="A169" s="2000"/>
      <c r="B169" s="2000"/>
      <c r="C169" s="2003"/>
      <c r="D169" s="2000"/>
      <c r="E169" s="2006"/>
      <c r="F169" s="341"/>
      <c r="G169" s="2011"/>
      <c r="H169" s="2012"/>
      <c r="I169" s="254" t="s">
        <v>357</v>
      </c>
      <c r="J169" s="2013"/>
      <c r="K169" s="2014"/>
      <c r="L169" s="254" t="s">
        <v>357</v>
      </c>
      <c r="M169" s="2013"/>
      <c r="N169" s="2014"/>
    </row>
    <row r="170" spans="1:16" s="74" customFormat="1" ht="12" x14ac:dyDescent="0.25">
      <c r="A170" s="1998" t="s">
        <v>837</v>
      </c>
      <c r="B170" s="1998" t="s">
        <v>89</v>
      </c>
      <c r="C170" s="2001" t="s">
        <v>415</v>
      </c>
      <c r="D170" s="1998" t="s">
        <v>54</v>
      </c>
      <c r="E170" s="2004">
        <v>17.11</v>
      </c>
      <c r="F170" s="336" t="s">
        <v>335</v>
      </c>
      <c r="G170" s="337" t="s">
        <v>356</v>
      </c>
      <c r="H170" s="338">
        <v>17.116048376600155</v>
      </c>
      <c r="I170" s="249" t="s">
        <v>335</v>
      </c>
      <c r="J170" s="250" t="s">
        <v>356</v>
      </c>
      <c r="K170" s="251"/>
      <c r="L170" s="249" t="s">
        <v>335</v>
      </c>
      <c r="M170" s="250" t="s">
        <v>356</v>
      </c>
      <c r="N170" s="251"/>
      <c r="P170" s="74" t="s">
        <v>837</v>
      </c>
    </row>
    <row r="171" spans="1:16" s="74" customFormat="1" ht="12" x14ac:dyDescent="0.25">
      <c r="A171" s="1999"/>
      <c r="B171" s="1999"/>
      <c r="C171" s="2002"/>
      <c r="D171" s="1999"/>
      <c r="E171" s="2005"/>
      <c r="F171" s="340" t="s">
        <v>355</v>
      </c>
      <c r="G171" s="2007" t="s">
        <v>3424</v>
      </c>
      <c r="H171" s="2008"/>
      <c r="I171" s="253" t="s">
        <v>355</v>
      </c>
      <c r="J171" s="2009"/>
      <c r="K171" s="2010"/>
      <c r="L171" s="253" t="s">
        <v>355</v>
      </c>
      <c r="M171" s="2009"/>
      <c r="N171" s="2010"/>
    </row>
    <row r="172" spans="1:16" s="74" customFormat="1" ht="12" x14ac:dyDescent="0.25">
      <c r="A172" s="1999"/>
      <c r="B172" s="1999"/>
      <c r="C172" s="2002"/>
      <c r="D172" s="1999"/>
      <c r="E172" s="2005"/>
      <c r="F172" s="340"/>
      <c r="G172" s="2007" t="s">
        <v>4106</v>
      </c>
      <c r="H172" s="2008"/>
      <c r="I172" s="253" t="s">
        <v>359</v>
      </c>
      <c r="J172" s="2009"/>
      <c r="K172" s="2010"/>
      <c r="L172" s="253" t="s">
        <v>359</v>
      </c>
      <c r="M172" s="2009"/>
      <c r="N172" s="2010"/>
    </row>
    <row r="173" spans="1:16" s="74" customFormat="1" ht="12" x14ac:dyDescent="0.25">
      <c r="A173" s="1999"/>
      <c r="B173" s="1999"/>
      <c r="C173" s="2002"/>
      <c r="D173" s="1999"/>
      <c r="E173" s="2005"/>
      <c r="F173" s="340"/>
      <c r="G173" s="2007" t="s">
        <v>839</v>
      </c>
      <c r="H173" s="2008"/>
      <c r="I173" s="253" t="s">
        <v>358</v>
      </c>
      <c r="J173" s="2009"/>
      <c r="K173" s="2010"/>
      <c r="L173" s="253" t="s">
        <v>358</v>
      </c>
      <c r="M173" s="2009"/>
      <c r="N173" s="2010"/>
    </row>
    <row r="174" spans="1:16" s="74" customFormat="1" ht="12" x14ac:dyDescent="0.25">
      <c r="A174" s="1999"/>
      <c r="B174" s="1999"/>
      <c r="C174" s="2002"/>
      <c r="D174" s="1999"/>
      <c r="E174" s="2005"/>
      <c r="F174" s="340"/>
      <c r="G174" s="2007"/>
      <c r="H174" s="2008"/>
      <c r="I174" s="253" t="s">
        <v>360</v>
      </c>
      <c r="J174" s="2009"/>
      <c r="K174" s="2010"/>
      <c r="L174" s="253" t="s">
        <v>360</v>
      </c>
      <c r="M174" s="2009"/>
      <c r="N174" s="2010"/>
    </row>
    <row r="175" spans="1:16" s="74" customFormat="1" ht="12" x14ac:dyDescent="0.25">
      <c r="A175" s="2000"/>
      <c r="B175" s="2000"/>
      <c r="C175" s="2003"/>
      <c r="D175" s="2000"/>
      <c r="E175" s="2006"/>
      <c r="F175" s="341"/>
      <c r="G175" s="2011"/>
      <c r="H175" s="2012"/>
      <c r="I175" s="254" t="s">
        <v>357</v>
      </c>
      <c r="J175" s="2013"/>
      <c r="K175" s="2014"/>
      <c r="L175" s="254" t="s">
        <v>357</v>
      </c>
      <c r="M175" s="2013"/>
      <c r="N175" s="2014"/>
    </row>
    <row r="176" spans="1:16" s="74" customFormat="1" ht="12" x14ac:dyDescent="0.25">
      <c r="A176" s="1998" t="s">
        <v>854</v>
      </c>
      <c r="B176" s="1998" t="s">
        <v>89</v>
      </c>
      <c r="C176" s="2001" t="s">
        <v>342</v>
      </c>
      <c r="D176" s="1998" t="s">
        <v>54</v>
      </c>
      <c r="E176" s="2004">
        <v>8.01</v>
      </c>
      <c r="F176" s="336" t="s">
        <v>335</v>
      </c>
      <c r="G176" s="337" t="s">
        <v>356</v>
      </c>
      <c r="H176" s="338">
        <v>8.0189570316448346</v>
      </c>
      <c r="I176" s="249" t="s">
        <v>335</v>
      </c>
      <c r="J176" s="250" t="s">
        <v>356</v>
      </c>
      <c r="K176" s="251"/>
      <c r="L176" s="249" t="s">
        <v>335</v>
      </c>
      <c r="M176" s="250" t="s">
        <v>356</v>
      </c>
      <c r="N176" s="251"/>
      <c r="P176" s="74" t="s">
        <v>854</v>
      </c>
    </row>
    <row r="177" spans="1:16" s="74" customFormat="1" ht="12" x14ac:dyDescent="0.25">
      <c r="A177" s="1999"/>
      <c r="B177" s="1999"/>
      <c r="C177" s="2002"/>
      <c r="D177" s="1999"/>
      <c r="E177" s="2005"/>
      <c r="F177" s="340" t="s">
        <v>355</v>
      </c>
      <c r="G177" s="2007" t="s">
        <v>3424</v>
      </c>
      <c r="H177" s="2008"/>
      <c r="I177" s="253" t="s">
        <v>355</v>
      </c>
      <c r="J177" s="2009"/>
      <c r="K177" s="2010"/>
      <c r="L177" s="253" t="s">
        <v>355</v>
      </c>
      <c r="M177" s="2009"/>
      <c r="N177" s="2010"/>
    </row>
    <row r="178" spans="1:16" s="74" customFormat="1" ht="12" x14ac:dyDescent="0.25">
      <c r="A178" s="1999"/>
      <c r="B178" s="1999"/>
      <c r="C178" s="2002"/>
      <c r="D178" s="1999"/>
      <c r="E178" s="2005"/>
      <c r="F178" s="340"/>
      <c r="G178" s="2007" t="s">
        <v>4106</v>
      </c>
      <c r="H178" s="2008"/>
      <c r="I178" s="253" t="s">
        <v>359</v>
      </c>
      <c r="J178" s="2009"/>
      <c r="K178" s="2010"/>
      <c r="L178" s="253" t="s">
        <v>359</v>
      </c>
      <c r="M178" s="2009"/>
      <c r="N178" s="2010"/>
    </row>
    <row r="179" spans="1:16" s="74" customFormat="1" ht="12" x14ac:dyDescent="0.25">
      <c r="A179" s="1999"/>
      <c r="B179" s="1999"/>
      <c r="C179" s="2002"/>
      <c r="D179" s="1999"/>
      <c r="E179" s="2005"/>
      <c r="F179" s="340"/>
      <c r="G179" s="2007" t="s">
        <v>855</v>
      </c>
      <c r="H179" s="2008"/>
      <c r="I179" s="253" t="s">
        <v>358</v>
      </c>
      <c r="J179" s="2009"/>
      <c r="K179" s="2010"/>
      <c r="L179" s="253" t="s">
        <v>358</v>
      </c>
      <c r="M179" s="2009"/>
      <c r="N179" s="2010"/>
    </row>
    <row r="180" spans="1:16" s="74" customFormat="1" ht="12" x14ac:dyDescent="0.25">
      <c r="A180" s="1999"/>
      <c r="B180" s="1999"/>
      <c r="C180" s="2002"/>
      <c r="D180" s="1999"/>
      <c r="E180" s="2005"/>
      <c r="F180" s="340"/>
      <c r="G180" s="2007"/>
      <c r="H180" s="2008"/>
      <c r="I180" s="253" t="s">
        <v>360</v>
      </c>
      <c r="J180" s="2009"/>
      <c r="K180" s="2010"/>
      <c r="L180" s="253" t="s">
        <v>360</v>
      </c>
      <c r="M180" s="2009"/>
      <c r="N180" s="2010"/>
    </row>
    <row r="181" spans="1:16" s="74" customFormat="1" ht="12" x14ac:dyDescent="0.25">
      <c r="A181" s="2000"/>
      <c r="B181" s="2000"/>
      <c r="C181" s="2003"/>
      <c r="D181" s="2000"/>
      <c r="E181" s="2006"/>
      <c r="F181" s="341"/>
      <c r="G181" s="2011"/>
      <c r="H181" s="2012"/>
      <c r="I181" s="254" t="s">
        <v>357</v>
      </c>
      <c r="J181" s="2013"/>
      <c r="K181" s="2014"/>
      <c r="L181" s="254" t="s">
        <v>357</v>
      </c>
      <c r="M181" s="2013"/>
      <c r="N181" s="2014"/>
    </row>
    <row r="182" spans="1:16" s="74" customFormat="1" ht="12" x14ac:dyDescent="0.25">
      <c r="A182" s="1998" t="s">
        <v>856</v>
      </c>
      <c r="B182" s="1998" t="s">
        <v>89</v>
      </c>
      <c r="C182" s="2001" t="s">
        <v>344</v>
      </c>
      <c r="D182" s="1998" t="s">
        <v>51</v>
      </c>
      <c r="E182" s="2004">
        <v>309.27</v>
      </c>
      <c r="F182" s="336" t="s">
        <v>335</v>
      </c>
      <c r="G182" s="337" t="s">
        <v>356</v>
      </c>
      <c r="H182" s="338">
        <v>309.27130558706574</v>
      </c>
      <c r="I182" s="249" t="s">
        <v>335</v>
      </c>
      <c r="J182" s="250" t="s">
        <v>356</v>
      </c>
      <c r="K182" s="251"/>
      <c r="L182" s="249" t="s">
        <v>335</v>
      </c>
      <c r="M182" s="250" t="s">
        <v>356</v>
      </c>
      <c r="N182" s="251"/>
      <c r="P182" s="74" t="s">
        <v>856</v>
      </c>
    </row>
    <row r="183" spans="1:16" s="74" customFormat="1" ht="12" x14ac:dyDescent="0.25">
      <c r="A183" s="1999"/>
      <c r="B183" s="1999"/>
      <c r="C183" s="2002"/>
      <c r="D183" s="1999"/>
      <c r="E183" s="2005"/>
      <c r="F183" s="340" t="s">
        <v>355</v>
      </c>
      <c r="G183" s="2007" t="s">
        <v>3424</v>
      </c>
      <c r="H183" s="2008"/>
      <c r="I183" s="253" t="s">
        <v>355</v>
      </c>
      <c r="J183" s="2009"/>
      <c r="K183" s="2010"/>
      <c r="L183" s="253" t="s">
        <v>355</v>
      </c>
      <c r="M183" s="2009"/>
      <c r="N183" s="2010"/>
    </row>
    <row r="184" spans="1:16" s="74" customFormat="1" ht="12" x14ac:dyDescent="0.25">
      <c r="A184" s="1999"/>
      <c r="B184" s="1999"/>
      <c r="C184" s="2002"/>
      <c r="D184" s="1999"/>
      <c r="E184" s="2005"/>
      <c r="F184" s="340"/>
      <c r="G184" s="2007" t="s">
        <v>4106</v>
      </c>
      <c r="H184" s="2008"/>
      <c r="I184" s="253" t="s">
        <v>359</v>
      </c>
      <c r="J184" s="2009"/>
      <c r="K184" s="2010"/>
      <c r="L184" s="253" t="s">
        <v>359</v>
      </c>
      <c r="M184" s="2009"/>
      <c r="N184" s="2010"/>
    </row>
    <row r="185" spans="1:16" s="74" customFormat="1" ht="12" x14ac:dyDescent="0.25">
      <c r="A185" s="1999"/>
      <c r="B185" s="1999"/>
      <c r="C185" s="2002"/>
      <c r="D185" s="1999"/>
      <c r="E185" s="2005"/>
      <c r="F185" s="340"/>
      <c r="G185" s="2007" t="s">
        <v>857</v>
      </c>
      <c r="H185" s="2008"/>
      <c r="I185" s="253" t="s">
        <v>358</v>
      </c>
      <c r="J185" s="2009"/>
      <c r="K185" s="2010"/>
      <c r="L185" s="253" t="s">
        <v>358</v>
      </c>
      <c r="M185" s="2009"/>
      <c r="N185" s="2010"/>
    </row>
    <row r="186" spans="1:16" s="74" customFormat="1" ht="12" x14ac:dyDescent="0.25">
      <c r="A186" s="1999"/>
      <c r="B186" s="1999"/>
      <c r="C186" s="2002"/>
      <c r="D186" s="1999"/>
      <c r="E186" s="2005"/>
      <c r="F186" s="340"/>
      <c r="G186" s="2007"/>
      <c r="H186" s="2008"/>
      <c r="I186" s="253" t="s">
        <v>360</v>
      </c>
      <c r="J186" s="2009"/>
      <c r="K186" s="2010"/>
      <c r="L186" s="253" t="s">
        <v>360</v>
      </c>
      <c r="M186" s="2009"/>
      <c r="N186" s="2010"/>
    </row>
    <row r="187" spans="1:16" s="74" customFormat="1" ht="12" x14ac:dyDescent="0.25">
      <c r="A187" s="2000"/>
      <c r="B187" s="2000"/>
      <c r="C187" s="2003"/>
      <c r="D187" s="2000"/>
      <c r="E187" s="2006"/>
      <c r="F187" s="341"/>
      <c r="G187" s="2011"/>
      <c r="H187" s="2012"/>
      <c r="I187" s="254" t="s">
        <v>357</v>
      </c>
      <c r="J187" s="2013"/>
      <c r="K187" s="2014"/>
      <c r="L187" s="254" t="s">
        <v>357</v>
      </c>
      <c r="M187" s="2013"/>
      <c r="N187" s="2014"/>
    </row>
    <row r="188" spans="1:16" s="74" customFormat="1" ht="12" x14ac:dyDescent="0.25">
      <c r="A188" s="1998" t="s">
        <v>868</v>
      </c>
      <c r="B188" s="1998" t="s">
        <v>89</v>
      </c>
      <c r="C188" s="2001" t="s">
        <v>345</v>
      </c>
      <c r="D188" s="1998" t="s">
        <v>51</v>
      </c>
      <c r="E188" s="2004">
        <v>115.55</v>
      </c>
      <c r="F188" s="336" t="s">
        <v>335</v>
      </c>
      <c r="G188" s="337" t="s">
        <v>356</v>
      </c>
      <c r="H188" s="338">
        <v>115.55004833673189</v>
      </c>
      <c r="I188" s="249" t="s">
        <v>335</v>
      </c>
      <c r="J188" s="250" t="s">
        <v>356</v>
      </c>
      <c r="K188" s="251"/>
      <c r="L188" s="249" t="s">
        <v>335</v>
      </c>
      <c r="M188" s="250" t="s">
        <v>356</v>
      </c>
      <c r="N188" s="251"/>
      <c r="P188" s="74" t="s">
        <v>868</v>
      </c>
    </row>
    <row r="189" spans="1:16" s="74" customFormat="1" ht="12" x14ac:dyDescent="0.25">
      <c r="A189" s="1999"/>
      <c r="B189" s="1999"/>
      <c r="C189" s="2002"/>
      <c r="D189" s="1999"/>
      <c r="E189" s="2005"/>
      <c r="F189" s="340" t="s">
        <v>355</v>
      </c>
      <c r="G189" s="2007" t="s">
        <v>3424</v>
      </c>
      <c r="H189" s="2008"/>
      <c r="I189" s="253" t="s">
        <v>355</v>
      </c>
      <c r="J189" s="2009"/>
      <c r="K189" s="2010"/>
      <c r="L189" s="253" t="s">
        <v>355</v>
      </c>
      <c r="M189" s="2009"/>
      <c r="N189" s="2010"/>
    </row>
    <row r="190" spans="1:16" s="74" customFormat="1" ht="12" x14ac:dyDescent="0.25">
      <c r="A190" s="1999"/>
      <c r="B190" s="1999"/>
      <c r="C190" s="2002"/>
      <c r="D190" s="1999"/>
      <c r="E190" s="2005"/>
      <c r="F190" s="340"/>
      <c r="G190" s="2007" t="s">
        <v>4106</v>
      </c>
      <c r="H190" s="2008"/>
      <c r="I190" s="253" t="s">
        <v>359</v>
      </c>
      <c r="J190" s="2009"/>
      <c r="K190" s="2010"/>
      <c r="L190" s="253" t="s">
        <v>359</v>
      </c>
      <c r="M190" s="2009"/>
      <c r="N190" s="2010"/>
    </row>
    <row r="191" spans="1:16" s="74" customFormat="1" ht="12" x14ac:dyDescent="0.25">
      <c r="A191" s="1999"/>
      <c r="B191" s="1999"/>
      <c r="C191" s="2002"/>
      <c r="D191" s="1999"/>
      <c r="E191" s="2005"/>
      <c r="F191" s="340"/>
      <c r="G191" s="2007" t="s">
        <v>869</v>
      </c>
      <c r="H191" s="2008"/>
      <c r="I191" s="253" t="s">
        <v>358</v>
      </c>
      <c r="J191" s="2009"/>
      <c r="K191" s="2010"/>
      <c r="L191" s="253" t="s">
        <v>358</v>
      </c>
      <c r="M191" s="2009"/>
      <c r="N191" s="2010"/>
    </row>
    <row r="192" spans="1:16" s="74" customFormat="1" ht="12" x14ac:dyDescent="0.25">
      <c r="A192" s="1999"/>
      <c r="B192" s="1999"/>
      <c r="C192" s="2002"/>
      <c r="D192" s="1999"/>
      <c r="E192" s="2005"/>
      <c r="F192" s="340"/>
      <c r="G192" s="2007"/>
      <c r="H192" s="2008"/>
      <c r="I192" s="253" t="s">
        <v>360</v>
      </c>
      <c r="J192" s="2009"/>
      <c r="K192" s="2010"/>
      <c r="L192" s="253" t="s">
        <v>360</v>
      </c>
      <c r="M192" s="2009"/>
      <c r="N192" s="2010"/>
    </row>
    <row r="193" spans="1:16" s="74" customFormat="1" ht="12" x14ac:dyDescent="0.25">
      <c r="A193" s="2000"/>
      <c r="B193" s="2000"/>
      <c r="C193" s="2003"/>
      <c r="D193" s="2000"/>
      <c r="E193" s="2006"/>
      <c r="F193" s="341"/>
      <c r="G193" s="2011"/>
      <c r="H193" s="2012"/>
      <c r="I193" s="254" t="s">
        <v>357</v>
      </c>
      <c r="J193" s="2013"/>
      <c r="K193" s="2014"/>
      <c r="L193" s="254" t="s">
        <v>357</v>
      </c>
      <c r="M193" s="2013"/>
      <c r="N193" s="2014"/>
    </row>
    <row r="194" spans="1:16" s="74" customFormat="1" ht="12" x14ac:dyDescent="0.25">
      <c r="A194" s="1998" t="s">
        <v>875</v>
      </c>
      <c r="B194" s="1998" t="s">
        <v>89</v>
      </c>
      <c r="C194" s="2001" t="s">
        <v>876</v>
      </c>
      <c r="D194" s="1998" t="s">
        <v>51</v>
      </c>
      <c r="E194" s="2004">
        <v>323.51</v>
      </c>
      <c r="F194" s="336" t="s">
        <v>335</v>
      </c>
      <c r="G194" s="337" t="s">
        <v>356</v>
      </c>
      <c r="H194" s="338">
        <v>323.51207535567755</v>
      </c>
      <c r="I194" s="249" t="s">
        <v>335</v>
      </c>
      <c r="J194" s="250" t="s">
        <v>356</v>
      </c>
      <c r="K194" s="251"/>
      <c r="L194" s="249" t="s">
        <v>335</v>
      </c>
      <c r="M194" s="250" t="s">
        <v>356</v>
      </c>
      <c r="N194" s="251"/>
      <c r="P194" s="74" t="s">
        <v>875</v>
      </c>
    </row>
    <row r="195" spans="1:16" s="74" customFormat="1" ht="12" x14ac:dyDescent="0.25">
      <c r="A195" s="1999"/>
      <c r="B195" s="1999"/>
      <c r="C195" s="2002"/>
      <c r="D195" s="1999"/>
      <c r="E195" s="2005"/>
      <c r="F195" s="340" t="s">
        <v>355</v>
      </c>
      <c r="G195" s="2007" t="s">
        <v>3424</v>
      </c>
      <c r="H195" s="2008"/>
      <c r="I195" s="253" t="s">
        <v>355</v>
      </c>
      <c r="J195" s="2009"/>
      <c r="K195" s="2010"/>
      <c r="L195" s="253" t="s">
        <v>355</v>
      </c>
      <c r="M195" s="2009"/>
      <c r="N195" s="2010"/>
    </row>
    <row r="196" spans="1:16" s="74" customFormat="1" ht="12" x14ac:dyDescent="0.25">
      <c r="A196" s="1999"/>
      <c r="B196" s="1999"/>
      <c r="C196" s="2002"/>
      <c r="D196" s="1999"/>
      <c r="E196" s="2005"/>
      <c r="F196" s="340"/>
      <c r="G196" s="2007" t="s">
        <v>4106</v>
      </c>
      <c r="H196" s="2008"/>
      <c r="I196" s="253" t="s">
        <v>359</v>
      </c>
      <c r="J196" s="2009"/>
      <c r="K196" s="2010"/>
      <c r="L196" s="253" t="s">
        <v>359</v>
      </c>
      <c r="M196" s="2009"/>
      <c r="N196" s="2010"/>
    </row>
    <row r="197" spans="1:16" s="74" customFormat="1" ht="12" x14ac:dyDescent="0.25">
      <c r="A197" s="1999"/>
      <c r="B197" s="1999"/>
      <c r="C197" s="2002"/>
      <c r="D197" s="1999"/>
      <c r="E197" s="2005"/>
      <c r="F197" s="340"/>
      <c r="G197" s="2007" t="s">
        <v>877</v>
      </c>
      <c r="H197" s="2008"/>
      <c r="I197" s="253" t="s">
        <v>358</v>
      </c>
      <c r="J197" s="2009"/>
      <c r="K197" s="2010"/>
      <c r="L197" s="253" t="s">
        <v>358</v>
      </c>
      <c r="M197" s="2009"/>
      <c r="N197" s="2010"/>
    </row>
    <row r="198" spans="1:16" s="74" customFormat="1" ht="12" x14ac:dyDescent="0.25">
      <c r="A198" s="1999"/>
      <c r="B198" s="1999"/>
      <c r="C198" s="2002"/>
      <c r="D198" s="1999"/>
      <c r="E198" s="2005"/>
      <c r="F198" s="340"/>
      <c r="G198" s="2007"/>
      <c r="H198" s="2008"/>
      <c r="I198" s="253" t="s">
        <v>360</v>
      </c>
      <c r="J198" s="2009"/>
      <c r="K198" s="2010"/>
      <c r="L198" s="253" t="s">
        <v>360</v>
      </c>
      <c r="M198" s="2009"/>
      <c r="N198" s="2010"/>
    </row>
    <row r="199" spans="1:16" s="74" customFormat="1" ht="12" x14ac:dyDescent="0.25">
      <c r="A199" s="2000"/>
      <c r="B199" s="2000"/>
      <c r="C199" s="2003"/>
      <c r="D199" s="2000"/>
      <c r="E199" s="2006"/>
      <c r="F199" s="341"/>
      <c r="G199" s="2011"/>
      <c r="H199" s="2012"/>
      <c r="I199" s="254" t="s">
        <v>357</v>
      </c>
      <c r="J199" s="2013"/>
      <c r="K199" s="2014"/>
      <c r="L199" s="254" t="s">
        <v>357</v>
      </c>
      <c r="M199" s="2013"/>
      <c r="N199" s="2014"/>
    </row>
    <row r="200" spans="1:16" s="74" customFormat="1" ht="12" x14ac:dyDescent="0.25">
      <c r="A200" s="1998" t="s">
        <v>880</v>
      </c>
      <c r="B200" s="1998" t="s">
        <v>89</v>
      </c>
      <c r="C200" s="2001" t="s">
        <v>341</v>
      </c>
      <c r="D200" s="1998" t="s">
        <v>41</v>
      </c>
      <c r="E200" s="2004">
        <v>282.81</v>
      </c>
      <c r="F200" s="336" t="s">
        <v>335</v>
      </c>
      <c r="G200" s="337" t="s">
        <v>356</v>
      </c>
      <c r="H200" s="338">
        <v>282.81856837814797</v>
      </c>
      <c r="I200" s="249" t="s">
        <v>335</v>
      </c>
      <c r="J200" s="250" t="s">
        <v>356</v>
      </c>
      <c r="K200" s="251"/>
      <c r="L200" s="249" t="s">
        <v>335</v>
      </c>
      <c r="M200" s="250" t="s">
        <v>356</v>
      </c>
      <c r="N200" s="251"/>
      <c r="P200" s="74" t="s">
        <v>880</v>
      </c>
    </row>
    <row r="201" spans="1:16" s="74" customFormat="1" ht="12" x14ac:dyDescent="0.25">
      <c r="A201" s="1999"/>
      <c r="B201" s="1999"/>
      <c r="C201" s="2002"/>
      <c r="D201" s="1999"/>
      <c r="E201" s="2005"/>
      <c r="F201" s="340" t="s">
        <v>355</v>
      </c>
      <c r="G201" s="2007" t="s">
        <v>3424</v>
      </c>
      <c r="H201" s="2008"/>
      <c r="I201" s="253" t="s">
        <v>355</v>
      </c>
      <c r="J201" s="2009"/>
      <c r="K201" s="2010"/>
      <c r="L201" s="253" t="s">
        <v>355</v>
      </c>
      <c r="M201" s="2009"/>
      <c r="N201" s="2010"/>
    </row>
    <row r="202" spans="1:16" s="74" customFormat="1" ht="12" x14ac:dyDescent="0.25">
      <c r="A202" s="1999"/>
      <c r="B202" s="1999"/>
      <c r="C202" s="2002"/>
      <c r="D202" s="1999"/>
      <c r="E202" s="2005"/>
      <c r="F202" s="340"/>
      <c r="G202" s="2007" t="s">
        <v>4106</v>
      </c>
      <c r="H202" s="2008"/>
      <c r="I202" s="253" t="s">
        <v>359</v>
      </c>
      <c r="J202" s="2009"/>
      <c r="K202" s="2010"/>
      <c r="L202" s="253" t="s">
        <v>359</v>
      </c>
      <c r="M202" s="2009"/>
      <c r="N202" s="2010"/>
    </row>
    <row r="203" spans="1:16" s="74" customFormat="1" ht="12" x14ac:dyDescent="0.25">
      <c r="A203" s="1999"/>
      <c r="B203" s="1999"/>
      <c r="C203" s="2002"/>
      <c r="D203" s="1999"/>
      <c r="E203" s="2005"/>
      <c r="F203" s="340"/>
      <c r="G203" s="2007" t="s">
        <v>881</v>
      </c>
      <c r="H203" s="2008"/>
      <c r="I203" s="253" t="s">
        <v>358</v>
      </c>
      <c r="J203" s="2009"/>
      <c r="K203" s="2010"/>
      <c r="L203" s="253" t="s">
        <v>358</v>
      </c>
      <c r="M203" s="2009"/>
      <c r="N203" s="2010"/>
    </row>
    <row r="204" spans="1:16" s="74" customFormat="1" ht="12" x14ac:dyDescent="0.25">
      <c r="A204" s="1999"/>
      <c r="B204" s="1999"/>
      <c r="C204" s="2002"/>
      <c r="D204" s="1999"/>
      <c r="E204" s="2005"/>
      <c r="F204" s="340"/>
      <c r="G204" s="2007"/>
      <c r="H204" s="2008"/>
      <c r="I204" s="253" t="s">
        <v>360</v>
      </c>
      <c r="J204" s="2009"/>
      <c r="K204" s="2010"/>
      <c r="L204" s="253" t="s">
        <v>360</v>
      </c>
      <c r="M204" s="2009"/>
      <c r="N204" s="2010"/>
    </row>
    <row r="205" spans="1:16" s="74" customFormat="1" ht="12" x14ac:dyDescent="0.25">
      <c r="A205" s="2000"/>
      <c r="B205" s="2000"/>
      <c r="C205" s="2003"/>
      <c r="D205" s="2000"/>
      <c r="E205" s="2006"/>
      <c r="F205" s="341"/>
      <c r="G205" s="2011"/>
      <c r="H205" s="2012"/>
      <c r="I205" s="254" t="s">
        <v>357</v>
      </c>
      <c r="J205" s="2013"/>
      <c r="K205" s="2014"/>
      <c r="L205" s="254" t="s">
        <v>357</v>
      </c>
      <c r="M205" s="2013"/>
      <c r="N205" s="2014"/>
    </row>
    <row r="206" spans="1:16" s="74" customFormat="1" ht="12" x14ac:dyDescent="0.25">
      <c r="A206" s="1998" t="s">
        <v>882</v>
      </c>
      <c r="B206" s="1998" t="s">
        <v>89</v>
      </c>
      <c r="C206" s="2001" t="s">
        <v>340</v>
      </c>
      <c r="D206" s="1998" t="s">
        <v>41</v>
      </c>
      <c r="E206" s="2004">
        <v>180.56</v>
      </c>
      <c r="F206" s="336" t="s">
        <v>335</v>
      </c>
      <c r="G206" s="337" t="s">
        <v>356</v>
      </c>
      <c r="H206" s="338">
        <v>180.56612621020651</v>
      </c>
      <c r="I206" s="249" t="s">
        <v>335</v>
      </c>
      <c r="J206" s="250" t="s">
        <v>356</v>
      </c>
      <c r="K206" s="251"/>
      <c r="L206" s="249" t="s">
        <v>335</v>
      </c>
      <c r="M206" s="250" t="s">
        <v>356</v>
      </c>
      <c r="N206" s="251"/>
      <c r="P206" s="74" t="s">
        <v>882</v>
      </c>
    </row>
    <row r="207" spans="1:16" s="74" customFormat="1" ht="12" x14ac:dyDescent="0.25">
      <c r="A207" s="1999"/>
      <c r="B207" s="1999"/>
      <c r="C207" s="2002"/>
      <c r="D207" s="1999"/>
      <c r="E207" s="2005"/>
      <c r="F207" s="340" t="s">
        <v>355</v>
      </c>
      <c r="G207" s="2007" t="s">
        <v>3424</v>
      </c>
      <c r="H207" s="2008"/>
      <c r="I207" s="253" t="s">
        <v>355</v>
      </c>
      <c r="J207" s="2009"/>
      <c r="K207" s="2010"/>
      <c r="L207" s="253" t="s">
        <v>355</v>
      </c>
      <c r="M207" s="2009"/>
      <c r="N207" s="2010"/>
    </row>
    <row r="208" spans="1:16" s="74" customFormat="1" ht="12" x14ac:dyDescent="0.25">
      <c r="A208" s="1999"/>
      <c r="B208" s="1999"/>
      <c r="C208" s="2002"/>
      <c r="D208" s="1999"/>
      <c r="E208" s="2005"/>
      <c r="F208" s="340"/>
      <c r="G208" s="2007" t="s">
        <v>4106</v>
      </c>
      <c r="H208" s="2008"/>
      <c r="I208" s="253" t="s">
        <v>359</v>
      </c>
      <c r="J208" s="2009"/>
      <c r="K208" s="2010"/>
      <c r="L208" s="253" t="s">
        <v>359</v>
      </c>
      <c r="M208" s="2009"/>
      <c r="N208" s="2010"/>
    </row>
    <row r="209" spans="1:16" s="74" customFormat="1" ht="12" x14ac:dyDescent="0.25">
      <c r="A209" s="1999"/>
      <c r="B209" s="1999"/>
      <c r="C209" s="2002"/>
      <c r="D209" s="1999"/>
      <c r="E209" s="2005"/>
      <c r="F209" s="340"/>
      <c r="G209" s="2007" t="s">
        <v>883</v>
      </c>
      <c r="H209" s="2008"/>
      <c r="I209" s="253" t="s">
        <v>358</v>
      </c>
      <c r="J209" s="2009"/>
      <c r="K209" s="2010"/>
      <c r="L209" s="253" t="s">
        <v>358</v>
      </c>
      <c r="M209" s="2009"/>
      <c r="N209" s="2010"/>
    </row>
    <row r="210" spans="1:16" s="74" customFormat="1" ht="12" x14ac:dyDescent="0.25">
      <c r="A210" s="1999"/>
      <c r="B210" s="1999"/>
      <c r="C210" s="2002"/>
      <c r="D210" s="1999"/>
      <c r="E210" s="2005"/>
      <c r="F210" s="340"/>
      <c r="G210" s="2007"/>
      <c r="H210" s="2008"/>
      <c r="I210" s="253" t="s">
        <v>360</v>
      </c>
      <c r="J210" s="2009"/>
      <c r="K210" s="2010"/>
      <c r="L210" s="253" t="s">
        <v>360</v>
      </c>
      <c r="M210" s="2009"/>
      <c r="N210" s="2010"/>
    </row>
    <row r="211" spans="1:16" s="74" customFormat="1" ht="12" x14ac:dyDescent="0.25">
      <c r="A211" s="2000"/>
      <c r="B211" s="2000"/>
      <c r="C211" s="2003"/>
      <c r="D211" s="2000"/>
      <c r="E211" s="2006"/>
      <c r="F211" s="341"/>
      <c r="G211" s="2011"/>
      <c r="H211" s="2012"/>
      <c r="I211" s="254" t="s">
        <v>357</v>
      </c>
      <c r="J211" s="2013"/>
      <c r="K211" s="2014"/>
      <c r="L211" s="254" t="s">
        <v>357</v>
      </c>
      <c r="M211" s="2013"/>
      <c r="N211" s="2014"/>
    </row>
    <row r="212" spans="1:16" s="74" customFormat="1" ht="12" x14ac:dyDescent="0.25">
      <c r="A212" s="1998" t="s">
        <v>4099</v>
      </c>
      <c r="B212" s="1998" t="s">
        <v>89</v>
      </c>
      <c r="C212" s="2001" t="s">
        <v>4100</v>
      </c>
      <c r="D212" s="1998" t="s">
        <v>41</v>
      </c>
      <c r="E212" s="2004">
        <v>24.22</v>
      </c>
      <c r="F212" s="336" t="s">
        <v>335</v>
      </c>
      <c r="G212" s="337" t="s">
        <v>356</v>
      </c>
      <c r="H212" s="338">
        <v>24.223708383002524</v>
      </c>
      <c r="I212" s="249" t="s">
        <v>335</v>
      </c>
      <c r="J212" s="250" t="s">
        <v>356</v>
      </c>
      <c r="K212" s="251"/>
      <c r="L212" s="249" t="s">
        <v>335</v>
      </c>
      <c r="M212" s="250" t="s">
        <v>356</v>
      </c>
      <c r="N212" s="251"/>
      <c r="P212" s="74" t="s">
        <v>4099</v>
      </c>
    </row>
    <row r="213" spans="1:16" s="74" customFormat="1" ht="12" x14ac:dyDescent="0.25">
      <c r="A213" s="1999"/>
      <c r="B213" s="1999"/>
      <c r="C213" s="2002"/>
      <c r="D213" s="1999"/>
      <c r="E213" s="2005"/>
      <c r="F213" s="340" t="s">
        <v>355</v>
      </c>
      <c r="G213" s="2007" t="s">
        <v>3424</v>
      </c>
      <c r="H213" s="2008"/>
      <c r="I213" s="253" t="s">
        <v>355</v>
      </c>
      <c r="J213" s="2009"/>
      <c r="K213" s="2010"/>
      <c r="L213" s="253" t="s">
        <v>355</v>
      </c>
      <c r="M213" s="2009"/>
      <c r="N213" s="2010"/>
    </row>
    <row r="214" spans="1:16" s="74" customFormat="1" ht="12" x14ac:dyDescent="0.25">
      <c r="A214" s="1999"/>
      <c r="B214" s="1999"/>
      <c r="C214" s="2002"/>
      <c r="D214" s="1999"/>
      <c r="E214" s="2005"/>
      <c r="F214" s="340"/>
      <c r="G214" s="2007" t="s">
        <v>4106</v>
      </c>
      <c r="H214" s="2008"/>
      <c r="I214" s="253" t="s">
        <v>359</v>
      </c>
      <c r="J214" s="2009"/>
      <c r="K214" s="2010"/>
      <c r="L214" s="253" t="s">
        <v>359</v>
      </c>
      <c r="M214" s="2009"/>
      <c r="N214" s="2010"/>
    </row>
    <row r="215" spans="1:16" s="74" customFormat="1" ht="12" x14ac:dyDescent="0.25">
      <c r="A215" s="1999"/>
      <c r="B215" s="1999"/>
      <c r="C215" s="2002"/>
      <c r="D215" s="1999"/>
      <c r="E215" s="2005"/>
      <c r="F215" s="340"/>
      <c r="G215" s="2007" t="s">
        <v>4101</v>
      </c>
      <c r="H215" s="2008"/>
      <c r="I215" s="253" t="s">
        <v>358</v>
      </c>
      <c r="J215" s="2009"/>
      <c r="K215" s="2010"/>
      <c r="L215" s="253" t="s">
        <v>358</v>
      </c>
      <c r="M215" s="2009"/>
      <c r="N215" s="2010"/>
    </row>
    <row r="216" spans="1:16" s="74" customFormat="1" ht="12" x14ac:dyDescent="0.25">
      <c r="A216" s="1999"/>
      <c r="B216" s="1999"/>
      <c r="C216" s="2002"/>
      <c r="D216" s="1999"/>
      <c r="E216" s="2005"/>
      <c r="F216" s="340"/>
      <c r="G216" s="2007"/>
      <c r="H216" s="2008"/>
      <c r="I216" s="253" t="s">
        <v>360</v>
      </c>
      <c r="J216" s="2009"/>
      <c r="K216" s="2010"/>
      <c r="L216" s="253" t="s">
        <v>360</v>
      </c>
      <c r="M216" s="2009"/>
      <c r="N216" s="2010"/>
    </row>
    <row r="217" spans="1:16" s="74" customFormat="1" ht="12" x14ac:dyDescent="0.25">
      <c r="A217" s="2000"/>
      <c r="B217" s="2000"/>
      <c r="C217" s="2003"/>
      <c r="D217" s="2000"/>
      <c r="E217" s="2006"/>
      <c r="F217" s="341"/>
      <c r="G217" s="2011"/>
      <c r="H217" s="2012"/>
      <c r="I217" s="254" t="s">
        <v>357</v>
      </c>
      <c r="J217" s="2013"/>
      <c r="K217" s="2014"/>
      <c r="L217" s="254" t="s">
        <v>357</v>
      </c>
      <c r="M217" s="2013"/>
      <c r="N217" s="2014"/>
    </row>
    <row r="218" spans="1:16" s="74" customFormat="1" ht="12" x14ac:dyDescent="0.25">
      <c r="A218" s="1998" t="s">
        <v>4102</v>
      </c>
      <c r="B218" s="1998" t="s">
        <v>89</v>
      </c>
      <c r="C218" s="2001" t="s">
        <v>4103</v>
      </c>
      <c r="D218" s="1998" t="s">
        <v>51</v>
      </c>
      <c r="E218" s="2004">
        <v>282.02</v>
      </c>
      <c r="F218" s="336" t="s">
        <v>335</v>
      </c>
      <c r="G218" s="337" t="s">
        <v>356</v>
      </c>
      <c r="H218" s="338">
        <v>282.02201277331733</v>
      </c>
      <c r="I218" s="249" t="s">
        <v>335</v>
      </c>
      <c r="J218" s="250" t="s">
        <v>356</v>
      </c>
      <c r="K218" s="251"/>
      <c r="L218" s="249" t="s">
        <v>335</v>
      </c>
      <c r="M218" s="250" t="s">
        <v>356</v>
      </c>
      <c r="N218" s="251"/>
      <c r="P218" s="74" t="s">
        <v>4102</v>
      </c>
    </row>
    <row r="219" spans="1:16" s="74" customFormat="1" ht="12" x14ac:dyDescent="0.25">
      <c r="A219" s="1999"/>
      <c r="B219" s="1999"/>
      <c r="C219" s="2002"/>
      <c r="D219" s="1999"/>
      <c r="E219" s="2005"/>
      <c r="F219" s="340" t="s">
        <v>355</v>
      </c>
      <c r="G219" s="2007" t="s">
        <v>3424</v>
      </c>
      <c r="H219" s="2008"/>
      <c r="I219" s="253" t="s">
        <v>355</v>
      </c>
      <c r="J219" s="2009"/>
      <c r="K219" s="2010"/>
      <c r="L219" s="253" t="s">
        <v>355</v>
      </c>
      <c r="M219" s="2009"/>
      <c r="N219" s="2010"/>
    </row>
    <row r="220" spans="1:16" s="74" customFormat="1" ht="12" x14ac:dyDescent="0.25">
      <c r="A220" s="1999"/>
      <c r="B220" s="1999"/>
      <c r="C220" s="2002"/>
      <c r="D220" s="1999"/>
      <c r="E220" s="2005"/>
      <c r="F220" s="340"/>
      <c r="G220" s="2007" t="s">
        <v>4106</v>
      </c>
      <c r="H220" s="2008"/>
      <c r="I220" s="253" t="s">
        <v>359</v>
      </c>
      <c r="J220" s="2009"/>
      <c r="K220" s="2010"/>
      <c r="L220" s="253" t="s">
        <v>359</v>
      </c>
      <c r="M220" s="2009"/>
      <c r="N220" s="2010"/>
    </row>
    <row r="221" spans="1:16" s="74" customFormat="1" ht="12" x14ac:dyDescent="0.25">
      <c r="A221" s="1999"/>
      <c r="B221" s="1999"/>
      <c r="C221" s="2002"/>
      <c r="D221" s="1999"/>
      <c r="E221" s="2005"/>
      <c r="F221" s="340"/>
      <c r="G221" s="2007" t="s">
        <v>4104</v>
      </c>
      <c r="H221" s="2008"/>
      <c r="I221" s="253" t="s">
        <v>358</v>
      </c>
      <c r="J221" s="2009"/>
      <c r="K221" s="2010"/>
      <c r="L221" s="253" t="s">
        <v>358</v>
      </c>
      <c r="M221" s="2009"/>
      <c r="N221" s="2010"/>
    </row>
    <row r="222" spans="1:16" s="74" customFormat="1" ht="12" x14ac:dyDescent="0.25">
      <c r="A222" s="1999"/>
      <c r="B222" s="1999"/>
      <c r="C222" s="2002"/>
      <c r="D222" s="1999"/>
      <c r="E222" s="2005"/>
      <c r="F222" s="340"/>
      <c r="G222" s="2007"/>
      <c r="H222" s="2008"/>
      <c r="I222" s="253" t="s">
        <v>360</v>
      </c>
      <c r="J222" s="2009"/>
      <c r="K222" s="2010"/>
      <c r="L222" s="253" t="s">
        <v>360</v>
      </c>
      <c r="M222" s="2009"/>
      <c r="N222" s="2010"/>
    </row>
    <row r="223" spans="1:16" s="74" customFormat="1" ht="12" x14ac:dyDescent="0.25">
      <c r="A223" s="2000"/>
      <c r="B223" s="2000"/>
      <c r="C223" s="2003"/>
      <c r="D223" s="2000"/>
      <c r="E223" s="2006"/>
      <c r="F223" s="341"/>
      <c r="G223" s="2011"/>
      <c r="H223" s="2012"/>
      <c r="I223" s="254" t="s">
        <v>357</v>
      </c>
      <c r="J223" s="2013"/>
      <c r="K223" s="2014"/>
      <c r="L223" s="254" t="s">
        <v>357</v>
      </c>
      <c r="M223" s="2013"/>
      <c r="N223" s="2014"/>
    </row>
    <row r="224" spans="1:16" s="74" customFormat="1" ht="12" x14ac:dyDescent="0.25">
      <c r="A224" s="1998" t="s">
        <v>761</v>
      </c>
      <c r="B224" s="1998" t="s">
        <v>89</v>
      </c>
      <c r="C224" s="2001" t="s">
        <v>762</v>
      </c>
      <c r="D224" s="1998" t="s">
        <v>41</v>
      </c>
      <c r="E224" s="2004">
        <v>68</v>
      </c>
      <c r="F224" s="336" t="s">
        <v>335</v>
      </c>
      <c r="G224" s="337" t="s">
        <v>356</v>
      </c>
      <c r="H224" s="338">
        <v>78.459999999999994</v>
      </c>
      <c r="I224" s="336" t="s">
        <v>335</v>
      </c>
      <c r="J224" s="337" t="s">
        <v>356</v>
      </c>
      <c r="K224" s="339">
        <v>58.18</v>
      </c>
      <c r="L224" s="336" t="s">
        <v>335</v>
      </c>
      <c r="M224" s="337" t="s">
        <v>356</v>
      </c>
      <c r="N224" s="339">
        <v>68</v>
      </c>
      <c r="P224" s="74" t="s">
        <v>761</v>
      </c>
    </row>
    <row r="225" spans="1:16" s="74" customFormat="1" ht="12" x14ac:dyDescent="0.25">
      <c r="A225" s="1999"/>
      <c r="B225" s="1999"/>
      <c r="C225" s="2002"/>
      <c r="D225" s="1999"/>
      <c r="E225" s="2005"/>
      <c r="F225" s="340" t="s">
        <v>355</v>
      </c>
      <c r="G225" s="2007" t="s">
        <v>1035</v>
      </c>
      <c r="H225" s="2008"/>
      <c r="I225" s="340" t="s">
        <v>355</v>
      </c>
      <c r="J225" s="2007" t="s">
        <v>1035</v>
      </c>
      <c r="K225" s="2008"/>
      <c r="L225" s="340" t="s">
        <v>355</v>
      </c>
      <c r="M225" s="2021" t="s">
        <v>1035</v>
      </c>
      <c r="N225" s="2008"/>
    </row>
    <row r="226" spans="1:16" s="74" customFormat="1" ht="12" x14ac:dyDescent="0.25">
      <c r="A226" s="1999"/>
      <c r="B226" s="1999"/>
      <c r="C226" s="2002"/>
      <c r="D226" s="1999"/>
      <c r="E226" s="2005"/>
      <c r="F226" s="340" t="s">
        <v>359</v>
      </c>
      <c r="G226" s="2007"/>
      <c r="H226" s="2008"/>
      <c r="I226" s="340" t="s">
        <v>359</v>
      </c>
      <c r="J226" s="2007"/>
      <c r="K226" s="2008"/>
      <c r="L226" s="340" t="s">
        <v>359</v>
      </c>
      <c r="M226" s="2007"/>
      <c r="N226" s="2008"/>
    </row>
    <row r="227" spans="1:16" s="74" customFormat="1" ht="12" x14ac:dyDescent="0.25">
      <c r="A227" s="1999"/>
      <c r="B227" s="1999"/>
      <c r="C227" s="2002"/>
      <c r="D227" s="1999"/>
      <c r="E227" s="2005"/>
      <c r="F227" s="340" t="s">
        <v>358</v>
      </c>
      <c r="G227" s="2007"/>
      <c r="H227" s="2008"/>
      <c r="I227" s="340" t="s">
        <v>358</v>
      </c>
      <c r="J227" s="2007"/>
      <c r="K227" s="2008"/>
      <c r="L227" s="340" t="s">
        <v>358</v>
      </c>
      <c r="M227" s="2021"/>
      <c r="N227" s="2008"/>
    </row>
    <row r="228" spans="1:16" s="74" customFormat="1" ht="12" customHeight="1" x14ac:dyDescent="0.25">
      <c r="A228" s="1999"/>
      <c r="B228" s="1999"/>
      <c r="C228" s="2002"/>
      <c r="D228" s="1999"/>
      <c r="E228" s="2005"/>
      <c r="F228" s="340" t="s">
        <v>360</v>
      </c>
      <c r="G228" s="2007"/>
      <c r="H228" s="2008"/>
      <c r="I228" s="340" t="s">
        <v>360</v>
      </c>
      <c r="J228" s="2007"/>
      <c r="K228" s="2008"/>
      <c r="L228" s="340" t="s">
        <v>360</v>
      </c>
      <c r="M228" s="2007"/>
      <c r="N228" s="2008"/>
    </row>
    <row r="229" spans="1:16" s="74" customFormat="1" ht="12" x14ac:dyDescent="0.25">
      <c r="A229" s="2000"/>
      <c r="B229" s="2000"/>
      <c r="C229" s="2003"/>
      <c r="D229" s="2000"/>
      <c r="E229" s="2006"/>
      <c r="F229" s="341" t="s">
        <v>357</v>
      </c>
      <c r="G229" s="2011"/>
      <c r="H229" s="2012"/>
      <c r="I229" s="341" t="s">
        <v>357</v>
      </c>
      <c r="J229" s="2011"/>
      <c r="K229" s="2012"/>
      <c r="L229" s="341" t="s">
        <v>357</v>
      </c>
      <c r="M229" s="2031"/>
      <c r="N229" s="2012"/>
    </row>
    <row r="230" spans="1:16" s="74" customFormat="1" ht="12" x14ac:dyDescent="0.25">
      <c r="A230" s="1998" t="s">
        <v>3727</v>
      </c>
      <c r="B230" s="1998" t="s">
        <v>89</v>
      </c>
      <c r="C230" s="2001" t="s">
        <v>762</v>
      </c>
      <c r="D230" s="1998" t="s">
        <v>41</v>
      </c>
      <c r="E230" s="2004">
        <v>68</v>
      </c>
      <c r="F230" s="336" t="s">
        <v>335</v>
      </c>
      <c r="G230" s="337" t="s">
        <v>356</v>
      </c>
      <c r="H230" s="338">
        <v>78.459999999999994</v>
      </c>
      <c r="I230" s="336" t="s">
        <v>335</v>
      </c>
      <c r="J230" s="337" t="s">
        <v>356</v>
      </c>
      <c r="K230" s="339">
        <v>58.18</v>
      </c>
      <c r="L230" s="336" t="s">
        <v>335</v>
      </c>
      <c r="M230" s="337" t="s">
        <v>356</v>
      </c>
      <c r="N230" s="339">
        <v>68</v>
      </c>
      <c r="P230" s="74" t="e">
        <v>#N/A</v>
      </c>
    </row>
    <row r="231" spans="1:16" s="74" customFormat="1" ht="12" x14ac:dyDescent="0.25">
      <c r="A231" s="1999"/>
      <c r="B231" s="1999"/>
      <c r="C231" s="2002"/>
      <c r="D231" s="1999"/>
      <c r="E231" s="2005"/>
      <c r="F231" s="340" t="s">
        <v>355</v>
      </c>
      <c r="G231" s="2007" t="s">
        <v>1035</v>
      </c>
      <c r="H231" s="2008"/>
      <c r="I231" s="340" t="s">
        <v>355</v>
      </c>
      <c r="J231" s="2007" t="s">
        <v>1035</v>
      </c>
      <c r="K231" s="2008"/>
      <c r="L231" s="340" t="s">
        <v>355</v>
      </c>
      <c r="M231" s="2021" t="s">
        <v>1035</v>
      </c>
      <c r="N231" s="2008"/>
    </row>
    <row r="232" spans="1:16" s="74" customFormat="1" ht="12" x14ac:dyDescent="0.25">
      <c r="A232" s="1999"/>
      <c r="B232" s="1999"/>
      <c r="C232" s="2002"/>
      <c r="D232" s="1999"/>
      <c r="E232" s="2005"/>
      <c r="F232" s="340" t="s">
        <v>359</v>
      </c>
      <c r="G232" s="2007"/>
      <c r="H232" s="2008"/>
      <c r="I232" s="340" t="s">
        <v>359</v>
      </c>
      <c r="J232" s="2007"/>
      <c r="K232" s="2008"/>
      <c r="L232" s="340" t="s">
        <v>359</v>
      </c>
      <c r="M232" s="2007"/>
      <c r="N232" s="2008"/>
    </row>
    <row r="233" spans="1:16" s="74" customFormat="1" ht="12" x14ac:dyDescent="0.25">
      <c r="A233" s="1999"/>
      <c r="B233" s="1999"/>
      <c r="C233" s="2002"/>
      <c r="D233" s="1999"/>
      <c r="E233" s="2005"/>
      <c r="F233" s="340" t="s">
        <v>358</v>
      </c>
      <c r="G233" s="2007"/>
      <c r="H233" s="2008"/>
      <c r="I233" s="340" t="s">
        <v>358</v>
      </c>
      <c r="J233" s="2007"/>
      <c r="K233" s="2008"/>
      <c r="L233" s="340" t="s">
        <v>358</v>
      </c>
      <c r="M233" s="2021"/>
      <c r="N233" s="2008"/>
    </row>
    <row r="234" spans="1:16" s="74" customFormat="1" ht="12" customHeight="1" x14ac:dyDescent="0.25">
      <c r="A234" s="1999"/>
      <c r="B234" s="1999"/>
      <c r="C234" s="2002"/>
      <c r="D234" s="1999"/>
      <c r="E234" s="2005"/>
      <c r="F234" s="340" t="s">
        <v>360</v>
      </c>
      <c r="G234" s="2007"/>
      <c r="H234" s="2008"/>
      <c r="I234" s="340" t="s">
        <v>360</v>
      </c>
      <c r="J234" s="2007"/>
      <c r="K234" s="2008"/>
      <c r="L234" s="340" t="s">
        <v>360</v>
      </c>
      <c r="M234" s="2007"/>
      <c r="N234" s="2008"/>
    </row>
    <row r="235" spans="1:16" s="74" customFormat="1" ht="12" x14ac:dyDescent="0.25">
      <c r="A235" s="2000"/>
      <c r="B235" s="2000"/>
      <c r="C235" s="2003"/>
      <c r="D235" s="2000"/>
      <c r="E235" s="2006"/>
      <c r="F235" s="341" t="s">
        <v>357</v>
      </c>
      <c r="G235" s="2011"/>
      <c r="H235" s="2012"/>
      <c r="I235" s="341" t="s">
        <v>357</v>
      </c>
      <c r="J235" s="2011"/>
      <c r="K235" s="2012"/>
      <c r="L235" s="341" t="s">
        <v>357</v>
      </c>
      <c r="M235" s="2031"/>
      <c r="N235" s="2012"/>
    </row>
    <row r="236" spans="1:16" s="74" customFormat="1" ht="12" x14ac:dyDescent="0.25">
      <c r="A236" s="2025" t="s">
        <v>244</v>
      </c>
      <c r="B236" s="2025" t="s">
        <v>89</v>
      </c>
      <c r="C236" s="2022" t="s">
        <v>245</v>
      </c>
      <c r="D236" s="2025" t="s">
        <v>205</v>
      </c>
      <c r="E236" s="2028">
        <v>169.98</v>
      </c>
      <c r="F236" s="336" t="s">
        <v>335</v>
      </c>
      <c r="G236" s="337" t="s">
        <v>356</v>
      </c>
      <c r="H236" s="338">
        <v>169.98</v>
      </c>
      <c r="I236" s="336" t="s">
        <v>335</v>
      </c>
      <c r="J236" s="337" t="s">
        <v>356</v>
      </c>
      <c r="K236" s="339">
        <v>149</v>
      </c>
      <c r="L236" s="336" t="s">
        <v>335</v>
      </c>
      <c r="M236" s="337" t="s">
        <v>356</v>
      </c>
      <c r="N236" s="339">
        <v>224.98</v>
      </c>
      <c r="P236" s="74" t="s">
        <v>244</v>
      </c>
    </row>
    <row r="237" spans="1:16" s="74" customFormat="1" ht="12" x14ac:dyDescent="0.25">
      <c r="A237" s="2026"/>
      <c r="B237" s="2026"/>
      <c r="C237" s="2023"/>
      <c r="D237" s="2026"/>
      <c r="E237" s="2029"/>
      <c r="F237" s="340" t="s">
        <v>355</v>
      </c>
      <c r="G237" s="2007" t="s">
        <v>246</v>
      </c>
      <c r="H237" s="2008"/>
      <c r="I237" s="340" t="s">
        <v>355</v>
      </c>
      <c r="J237" s="2007" t="s">
        <v>247</v>
      </c>
      <c r="K237" s="2008"/>
      <c r="L237" s="340" t="s">
        <v>355</v>
      </c>
      <c r="M237" s="2007" t="s">
        <v>1083</v>
      </c>
      <c r="N237" s="2008"/>
    </row>
    <row r="238" spans="1:16" s="74" customFormat="1" ht="12" x14ac:dyDescent="0.25">
      <c r="A238" s="2026"/>
      <c r="B238" s="2026"/>
      <c r="C238" s="2023"/>
      <c r="D238" s="2026"/>
      <c r="E238" s="2029"/>
      <c r="F238" s="340" t="s">
        <v>359</v>
      </c>
      <c r="G238" s="2007" t="s">
        <v>363</v>
      </c>
      <c r="H238" s="2008"/>
      <c r="I238" s="340" t="s">
        <v>359</v>
      </c>
      <c r="J238" s="2007" t="s">
        <v>363</v>
      </c>
      <c r="K238" s="2008"/>
      <c r="L238" s="340" t="s">
        <v>359</v>
      </c>
      <c r="M238" s="2007" t="s">
        <v>363</v>
      </c>
      <c r="N238" s="2008"/>
    </row>
    <row r="239" spans="1:16" s="74" customFormat="1" ht="12" x14ac:dyDescent="0.25">
      <c r="A239" s="2026"/>
      <c r="B239" s="2026"/>
      <c r="C239" s="2023"/>
      <c r="D239" s="2026"/>
      <c r="E239" s="2029"/>
      <c r="F239" s="340" t="s">
        <v>358</v>
      </c>
      <c r="G239" s="2007"/>
      <c r="H239" s="2008"/>
      <c r="I239" s="340" t="s">
        <v>358</v>
      </c>
      <c r="J239" s="2007"/>
      <c r="K239" s="2008"/>
      <c r="L239" s="340" t="s">
        <v>358</v>
      </c>
      <c r="M239" s="2007"/>
      <c r="N239" s="2008"/>
    </row>
    <row r="240" spans="1:16" s="74" customFormat="1" ht="12" x14ac:dyDescent="0.25">
      <c r="A240" s="2026"/>
      <c r="B240" s="2026"/>
      <c r="C240" s="2023"/>
      <c r="D240" s="2026"/>
      <c r="E240" s="2029"/>
      <c r="F240" s="340" t="s">
        <v>360</v>
      </c>
      <c r="G240" s="2007"/>
      <c r="H240" s="2008"/>
      <c r="I240" s="340" t="s">
        <v>360</v>
      </c>
      <c r="J240" s="2007"/>
      <c r="K240" s="2008"/>
      <c r="L240" s="340" t="s">
        <v>360</v>
      </c>
      <c r="M240" s="2007"/>
      <c r="N240" s="2008"/>
    </row>
    <row r="241" spans="1:16" s="74" customFormat="1" ht="12" x14ac:dyDescent="0.25">
      <c r="A241" s="2027"/>
      <c r="B241" s="2027"/>
      <c r="C241" s="2024"/>
      <c r="D241" s="2027"/>
      <c r="E241" s="2030"/>
      <c r="F241" s="341" t="s">
        <v>357</v>
      </c>
      <c r="G241" s="2011"/>
      <c r="H241" s="2012"/>
      <c r="I241" s="341" t="s">
        <v>357</v>
      </c>
      <c r="J241" s="2011"/>
      <c r="K241" s="2012"/>
      <c r="L241" s="341" t="s">
        <v>357</v>
      </c>
      <c r="M241" s="2011"/>
      <c r="N241" s="2012"/>
    </row>
    <row r="242" spans="1:16" s="74" customFormat="1" ht="12" x14ac:dyDescent="0.25">
      <c r="A242" s="1998" t="s">
        <v>253</v>
      </c>
      <c r="B242" s="1998" t="s">
        <v>89</v>
      </c>
      <c r="C242" s="2001" t="s">
        <v>254</v>
      </c>
      <c r="D242" s="1998" t="s">
        <v>205</v>
      </c>
      <c r="E242" s="2004">
        <v>2000</v>
      </c>
      <c r="F242" s="336" t="s">
        <v>335</v>
      </c>
      <c r="G242" s="337" t="s">
        <v>356</v>
      </c>
      <c r="H242" s="338">
        <v>2000</v>
      </c>
      <c r="I242" s="249" t="s">
        <v>335</v>
      </c>
      <c r="J242" s="250" t="s">
        <v>356</v>
      </c>
      <c r="K242" s="251"/>
      <c r="L242" s="249" t="s">
        <v>335</v>
      </c>
      <c r="M242" s="250" t="s">
        <v>356</v>
      </c>
      <c r="N242" s="251"/>
      <c r="P242" s="74" t="s">
        <v>253</v>
      </c>
    </row>
    <row r="243" spans="1:16" s="74" customFormat="1" ht="12" x14ac:dyDescent="0.25">
      <c r="A243" s="1999"/>
      <c r="B243" s="1999"/>
      <c r="C243" s="2002"/>
      <c r="D243" s="1999"/>
      <c r="E243" s="2005"/>
      <c r="F243" s="340" t="s">
        <v>355</v>
      </c>
      <c r="G243" s="2007" t="s">
        <v>362</v>
      </c>
      <c r="H243" s="2008"/>
      <c r="I243" s="253" t="s">
        <v>355</v>
      </c>
      <c r="J243" s="2009"/>
      <c r="K243" s="2010"/>
      <c r="L243" s="253" t="s">
        <v>355</v>
      </c>
      <c r="M243" s="2009"/>
      <c r="N243" s="2010"/>
    </row>
    <row r="244" spans="1:16" s="74" customFormat="1" ht="12" x14ac:dyDescent="0.25">
      <c r="A244" s="1999"/>
      <c r="B244" s="1999"/>
      <c r="C244" s="2002"/>
      <c r="D244" s="1999"/>
      <c r="E244" s="2005"/>
      <c r="F244" s="340" t="s">
        <v>359</v>
      </c>
      <c r="G244" s="2007"/>
      <c r="H244" s="2008"/>
      <c r="I244" s="253" t="s">
        <v>359</v>
      </c>
      <c r="J244" s="2009"/>
      <c r="K244" s="2010"/>
      <c r="L244" s="253" t="s">
        <v>359</v>
      </c>
      <c r="M244" s="2009"/>
      <c r="N244" s="2010"/>
    </row>
    <row r="245" spans="1:16" s="74" customFormat="1" ht="12" x14ac:dyDescent="0.25">
      <c r="A245" s="1999"/>
      <c r="B245" s="1999"/>
      <c r="C245" s="2002"/>
      <c r="D245" s="1999"/>
      <c r="E245" s="2005"/>
      <c r="F245" s="340" t="s">
        <v>358</v>
      </c>
      <c r="G245" s="2007"/>
      <c r="H245" s="2008"/>
      <c r="I245" s="253" t="s">
        <v>358</v>
      </c>
      <c r="J245" s="2009"/>
      <c r="K245" s="2010"/>
      <c r="L245" s="253" t="s">
        <v>358</v>
      </c>
      <c r="M245" s="2009"/>
      <c r="N245" s="2010"/>
    </row>
    <row r="246" spans="1:16" s="74" customFormat="1" ht="12" x14ac:dyDescent="0.25">
      <c r="A246" s="1999"/>
      <c r="B246" s="1999"/>
      <c r="C246" s="2002"/>
      <c r="D246" s="1999"/>
      <c r="E246" s="2005"/>
      <c r="F246" s="340" t="s">
        <v>360</v>
      </c>
      <c r="G246" s="2007"/>
      <c r="H246" s="2008"/>
      <c r="I246" s="253" t="s">
        <v>360</v>
      </c>
      <c r="J246" s="2009"/>
      <c r="K246" s="2010"/>
      <c r="L246" s="253" t="s">
        <v>360</v>
      </c>
      <c r="M246" s="2009"/>
      <c r="N246" s="2010"/>
    </row>
    <row r="247" spans="1:16" s="74" customFormat="1" ht="12" x14ac:dyDescent="0.25">
      <c r="A247" s="2000"/>
      <c r="B247" s="2000"/>
      <c r="C247" s="2003"/>
      <c r="D247" s="2000"/>
      <c r="E247" s="2006"/>
      <c r="F247" s="341" t="s">
        <v>357</v>
      </c>
      <c r="G247" s="2011"/>
      <c r="H247" s="2012"/>
      <c r="I247" s="254" t="s">
        <v>357</v>
      </c>
      <c r="J247" s="2013"/>
      <c r="K247" s="2014"/>
      <c r="L247" s="254" t="s">
        <v>357</v>
      </c>
      <c r="M247" s="2013"/>
      <c r="N247" s="2014"/>
    </row>
    <row r="248" spans="1:16" s="74" customFormat="1" ht="12" x14ac:dyDescent="0.25">
      <c r="A248" s="1998" t="s">
        <v>332</v>
      </c>
      <c r="B248" s="1998" t="s">
        <v>89</v>
      </c>
      <c r="C248" s="2001" t="s">
        <v>947</v>
      </c>
      <c r="D248" s="1998" t="s">
        <v>55</v>
      </c>
      <c r="E248" s="2004">
        <v>4162.1000000000004</v>
      </c>
      <c r="F248" s="336" t="s">
        <v>335</v>
      </c>
      <c r="G248" s="337" t="s">
        <v>356</v>
      </c>
      <c r="H248" s="338">
        <v>4162.1063999999997</v>
      </c>
      <c r="I248" s="249" t="s">
        <v>335</v>
      </c>
      <c r="J248" s="250" t="s">
        <v>356</v>
      </c>
      <c r="K248" s="251"/>
      <c r="L248" s="249" t="s">
        <v>335</v>
      </c>
      <c r="M248" s="250" t="s">
        <v>356</v>
      </c>
      <c r="N248" s="251"/>
      <c r="P248" s="74" t="s">
        <v>332</v>
      </c>
    </row>
    <row r="249" spans="1:16" s="74" customFormat="1" ht="23.25" customHeight="1" x14ac:dyDescent="0.25">
      <c r="A249" s="1999"/>
      <c r="B249" s="1999"/>
      <c r="C249" s="2002"/>
      <c r="D249" s="1999"/>
      <c r="E249" s="2005"/>
      <c r="F249" s="340" t="s">
        <v>355</v>
      </c>
      <c r="G249" s="2007" t="s">
        <v>3322</v>
      </c>
      <c r="H249" s="2008"/>
      <c r="I249" s="253" t="s">
        <v>355</v>
      </c>
      <c r="J249" s="2009"/>
      <c r="K249" s="2010"/>
      <c r="L249" s="253" t="s">
        <v>355</v>
      </c>
      <c r="M249" s="2009"/>
      <c r="N249" s="2010"/>
    </row>
    <row r="250" spans="1:16" s="74" customFormat="1" ht="24" customHeight="1" x14ac:dyDescent="0.25">
      <c r="A250" s="1999"/>
      <c r="B250" s="1999"/>
      <c r="C250" s="2002"/>
      <c r="D250" s="1999"/>
      <c r="E250" s="2005"/>
      <c r="F250" s="340"/>
      <c r="G250" s="2007" t="s">
        <v>352</v>
      </c>
      <c r="H250" s="2008"/>
      <c r="I250" s="253" t="s">
        <v>359</v>
      </c>
      <c r="J250" s="2009"/>
      <c r="K250" s="2010"/>
      <c r="L250" s="253" t="s">
        <v>359</v>
      </c>
      <c r="M250" s="2009"/>
      <c r="N250" s="2010"/>
    </row>
    <row r="251" spans="1:16" s="74" customFormat="1" ht="12" x14ac:dyDescent="0.25">
      <c r="A251" s="1999"/>
      <c r="B251" s="1999"/>
      <c r="C251" s="2002"/>
      <c r="D251" s="1999"/>
      <c r="E251" s="2005"/>
      <c r="F251" s="340"/>
      <c r="G251" s="2007"/>
      <c r="H251" s="2008"/>
      <c r="I251" s="253" t="s">
        <v>358</v>
      </c>
      <c r="J251" s="2009"/>
      <c r="K251" s="2010"/>
      <c r="L251" s="253" t="s">
        <v>358</v>
      </c>
      <c r="M251" s="2009"/>
      <c r="N251" s="2010"/>
    </row>
    <row r="252" spans="1:16" s="74" customFormat="1" ht="12" x14ac:dyDescent="0.25">
      <c r="A252" s="1999"/>
      <c r="B252" s="1999"/>
      <c r="C252" s="2002"/>
      <c r="D252" s="1999"/>
      <c r="E252" s="2005"/>
      <c r="F252" s="340"/>
      <c r="G252" s="2007"/>
      <c r="H252" s="2008"/>
      <c r="I252" s="253" t="s">
        <v>360</v>
      </c>
      <c r="J252" s="2009"/>
      <c r="K252" s="2010"/>
      <c r="L252" s="253" t="s">
        <v>360</v>
      </c>
      <c r="M252" s="2009"/>
      <c r="N252" s="2010"/>
    </row>
    <row r="253" spans="1:16" s="74" customFormat="1" ht="12" x14ac:dyDescent="0.25">
      <c r="A253" s="2000"/>
      <c r="B253" s="2000"/>
      <c r="C253" s="2003"/>
      <c r="D253" s="2000"/>
      <c r="E253" s="2006"/>
      <c r="F253" s="341"/>
      <c r="G253" s="2011"/>
      <c r="H253" s="2012"/>
      <c r="I253" s="254" t="s">
        <v>357</v>
      </c>
      <c r="J253" s="2013"/>
      <c r="K253" s="2014"/>
      <c r="L253" s="254" t="s">
        <v>357</v>
      </c>
      <c r="M253" s="2013"/>
      <c r="N253" s="2014"/>
    </row>
    <row r="254" spans="1:16" s="74" customFormat="1" ht="12" x14ac:dyDescent="0.25">
      <c r="A254" s="1998" t="s">
        <v>334</v>
      </c>
      <c r="B254" s="1998" t="s">
        <v>89</v>
      </c>
      <c r="C254" s="2001" t="s">
        <v>343</v>
      </c>
      <c r="D254" s="1998" t="s">
        <v>55</v>
      </c>
      <c r="E254" s="2004">
        <v>2918.58</v>
      </c>
      <c r="F254" s="336" t="s">
        <v>335</v>
      </c>
      <c r="G254" s="337" t="s">
        <v>356</v>
      </c>
      <c r="H254" s="338">
        <v>2918.5821999999998</v>
      </c>
      <c r="I254" s="249" t="s">
        <v>335</v>
      </c>
      <c r="J254" s="250" t="s">
        <v>356</v>
      </c>
      <c r="K254" s="251"/>
      <c r="L254" s="249" t="s">
        <v>335</v>
      </c>
      <c r="M254" s="250" t="s">
        <v>356</v>
      </c>
      <c r="N254" s="251"/>
      <c r="P254" s="74" t="s">
        <v>334</v>
      </c>
    </row>
    <row r="255" spans="1:16" s="74" customFormat="1" ht="24" customHeight="1" x14ac:dyDescent="0.25">
      <c r="A255" s="1999"/>
      <c r="B255" s="1999"/>
      <c r="C255" s="2002"/>
      <c r="D255" s="1999"/>
      <c r="E255" s="2005"/>
      <c r="F255" s="340" t="s">
        <v>355</v>
      </c>
      <c r="G255" s="2007" t="s">
        <v>3322</v>
      </c>
      <c r="H255" s="2008"/>
      <c r="I255" s="253" t="s">
        <v>355</v>
      </c>
      <c r="J255" s="2009"/>
      <c r="K255" s="2010"/>
      <c r="L255" s="253" t="s">
        <v>355</v>
      </c>
      <c r="M255" s="2009"/>
      <c r="N255" s="2010"/>
    </row>
    <row r="256" spans="1:16" s="74" customFormat="1" ht="24" customHeight="1" x14ac:dyDescent="0.25">
      <c r="A256" s="1999"/>
      <c r="B256" s="1999"/>
      <c r="C256" s="2002"/>
      <c r="D256" s="1999"/>
      <c r="E256" s="2005"/>
      <c r="F256" s="340" t="s">
        <v>359</v>
      </c>
      <c r="G256" s="2007" t="s">
        <v>352</v>
      </c>
      <c r="H256" s="2008"/>
      <c r="I256" s="253" t="s">
        <v>359</v>
      </c>
      <c r="J256" s="2009"/>
      <c r="K256" s="2010"/>
      <c r="L256" s="253" t="s">
        <v>359</v>
      </c>
      <c r="M256" s="2009"/>
      <c r="N256" s="2010"/>
    </row>
    <row r="257" spans="1:16" s="74" customFormat="1" ht="12" x14ac:dyDescent="0.25">
      <c r="A257" s="1999"/>
      <c r="B257" s="1999"/>
      <c r="C257" s="2002"/>
      <c r="D257" s="1999"/>
      <c r="E257" s="2005"/>
      <c r="F257" s="340" t="s">
        <v>358</v>
      </c>
      <c r="G257" s="2007"/>
      <c r="H257" s="2008"/>
      <c r="I257" s="253" t="s">
        <v>358</v>
      </c>
      <c r="J257" s="2009"/>
      <c r="K257" s="2010"/>
      <c r="L257" s="253" t="s">
        <v>358</v>
      </c>
      <c r="M257" s="2009"/>
      <c r="N257" s="2010"/>
    </row>
    <row r="258" spans="1:16" s="74" customFormat="1" ht="12" x14ac:dyDescent="0.25">
      <c r="A258" s="1999"/>
      <c r="B258" s="1999"/>
      <c r="C258" s="2002"/>
      <c r="D258" s="1999"/>
      <c r="E258" s="2005"/>
      <c r="F258" s="340" t="s">
        <v>360</v>
      </c>
      <c r="G258" s="2007"/>
      <c r="H258" s="2008"/>
      <c r="I258" s="253" t="s">
        <v>360</v>
      </c>
      <c r="J258" s="2009"/>
      <c r="K258" s="2010"/>
      <c r="L258" s="253" t="s">
        <v>360</v>
      </c>
      <c r="M258" s="2009"/>
      <c r="N258" s="2010"/>
    </row>
    <row r="259" spans="1:16" s="74" customFormat="1" ht="12" x14ac:dyDescent="0.25">
      <c r="A259" s="2000"/>
      <c r="B259" s="2000"/>
      <c r="C259" s="2003"/>
      <c r="D259" s="2000"/>
      <c r="E259" s="2006"/>
      <c r="F259" s="341" t="s">
        <v>357</v>
      </c>
      <c r="G259" s="2011"/>
      <c r="H259" s="2012"/>
      <c r="I259" s="254" t="s">
        <v>357</v>
      </c>
      <c r="J259" s="2013"/>
      <c r="K259" s="2014"/>
      <c r="L259" s="254" t="s">
        <v>357</v>
      </c>
      <c r="M259" s="2013"/>
      <c r="N259" s="2014"/>
    </row>
    <row r="260" spans="1:16" s="74" customFormat="1" ht="12" x14ac:dyDescent="0.25">
      <c r="A260" s="1998" t="s">
        <v>351</v>
      </c>
      <c r="B260" s="1998" t="s">
        <v>89</v>
      </c>
      <c r="C260" s="2001" t="s">
        <v>948</v>
      </c>
      <c r="D260" s="1998" t="s">
        <v>55</v>
      </c>
      <c r="E260" s="2004">
        <v>5994.75</v>
      </c>
      <c r="F260" s="336" t="s">
        <v>335</v>
      </c>
      <c r="G260" s="337" t="s">
        <v>356</v>
      </c>
      <c r="H260" s="338">
        <v>5994.7531588235297</v>
      </c>
      <c r="I260" s="249" t="s">
        <v>335</v>
      </c>
      <c r="J260" s="250" t="s">
        <v>356</v>
      </c>
      <c r="K260" s="251"/>
      <c r="L260" s="249" t="s">
        <v>335</v>
      </c>
      <c r="M260" s="250" t="s">
        <v>356</v>
      </c>
      <c r="N260" s="251"/>
      <c r="P260" s="74" t="s">
        <v>351</v>
      </c>
    </row>
    <row r="261" spans="1:16" s="74" customFormat="1" ht="24" customHeight="1" x14ac:dyDescent="0.25">
      <c r="A261" s="1999"/>
      <c r="B261" s="1999"/>
      <c r="C261" s="2002"/>
      <c r="D261" s="1999"/>
      <c r="E261" s="2005"/>
      <c r="F261" s="340" t="s">
        <v>355</v>
      </c>
      <c r="G261" s="2007" t="s">
        <v>3322</v>
      </c>
      <c r="H261" s="2008"/>
      <c r="I261" s="253" t="s">
        <v>355</v>
      </c>
      <c r="J261" s="2009"/>
      <c r="K261" s="2010"/>
      <c r="L261" s="253" t="s">
        <v>355</v>
      </c>
      <c r="M261" s="2009"/>
      <c r="N261" s="2010"/>
    </row>
    <row r="262" spans="1:16" s="74" customFormat="1" ht="24" customHeight="1" x14ac:dyDescent="0.25">
      <c r="A262" s="1999"/>
      <c r="B262" s="1999"/>
      <c r="C262" s="2002"/>
      <c r="D262" s="1999"/>
      <c r="E262" s="2005"/>
      <c r="F262" s="340"/>
      <c r="G262" s="2007" t="s">
        <v>352</v>
      </c>
      <c r="H262" s="2008"/>
      <c r="I262" s="253" t="s">
        <v>359</v>
      </c>
      <c r="J262" s="2009"/>
      <c r="K262" s="2010"/>
      <c r="L262" s="253" t="s">
        <v>359</v>
      </c>
      <c r="M262" s="2009"/>
      <c r="N262" s="2010"/>
    </row>
    <row r="263" spans="1:16" s="74" customFormat="1" ht="12" x14ac:dyDescent="0.25">
      <c r="A263" s="1999"/>
      <c r="B263" s="1999"/>
      <c r="C263" s="2002"/>
      <c r="D263" s="1999"/>
      <c r="E263" s="2005"/>
      <c r="F263" s="340"/>
      <c r="G263" s="2007"/>
      <c r="H263" s="2008"/>
      <c r="I263" s="253" t="s">
        <v>358</v>
      </c>
      <c r="J263" s="2009"/>
      <c r="K263" s="2010"/>
      <c r="L263" s="253" t="s">
        <v>358</v>
      </c>
      <c r="M263" s="2009"/>
      <c r="N263" s="2010"/>
    </row>
    <row r="264" spans="1:16" s="74" customFormat="1" ht="12" x14ac:dyDescent="0.25">
      <c r="A264" s="1999"/>
      <c r="B264" s="1999"/>
      <c r="C264" s="2002"/>
      <c r="D264" s="1999"/>
      <c r="E264" s="2005"/>
      <c r="F264" s="340"/>
      <c r="G264" s="2007"/>
      <c r="H264" s="2008"/>
      <c r="I264" s="253" t="s">
        <v>360</v>
      </c>
      <c r="J264" s="2009"/>
      <c r="K264" s="2010"/>
      <c r="L264" s="253" t="s">
        <v>360</v>
      </c>
      <c r="M264" s="2009"/>
      <c r="N264" s="2010"/>
    </row>
    <row r="265" spans="1:16" s="74" customFormat="1" ht="12" x14ac:dyDescent="0.25">
      <c r="A265" s="2000"/>
      <c r="B265" s="2000"/>
      <c r="C265" s="2003"/>
      <c r="D265" s="2000"/>
      <c r="E265" s="2006"/>
      <c r="F265" s="341"/>
      <c r="G265" s="2011"/>
      <c r="H265" s="2012"/>
      <c r="I265" s="254" t="s">
        <v>357</v>
      </c>
      <c r="J265" s="2013"/>
      <c r="K265" s="2014"/>
      <c r="L265" s="254" t="s">
        <v>357</v>
      </c>
      <c r="M265" s="2013"/>
      <c r="N265" s="2014"/>
    </row>
    <row r="266" spans="1:16" s="74" customFormat="1" ht="12" x14ac:dyDescent="0.25">
      <c r="A266" s="1998" t="s">
        <v>3323</v>
      </c>
      <c r="B266" s="1998" t="s">
        <v>89</v>
      </c>
      <c r="C266" s="2001" t="s">
        <v>3324</v>
      </c>
      <c r="D266" s="1998" t="s">
        <v>55</v>
      </c>
      <c r="E266" s="2004">
        <v>2973.15</v>
      </c>
      <c r="F266" s="336" t="s">
        <v>335</v>
      </c>
      <c r="G266" s="337" t="s">
        <v>356</v>
      </c>
      <c r="H266" s="338">
        <v>2973.1516000000001</v>
      </c>
      <c r="I266" s="249" t="s">
        <v>335</v>
      </c>
      <c r="J266" s="250" t="s">
        <v>356</v>
      </c>
      <c r="K266" s="251"/>
      <c r="L266" s="249" t="s">
        <v>335</v>
      </c>
      <c r="M266" s="250" t="s">
        <v>356</v>
      </c>
      <c r="N266" s="251"/>
      <c r="P266" s="74" t="s">
        <v>3323</v>
      </c>
    </row>
    <row r="267" spans="1:16" s="74" customFormat="1" ht="24" customHeight="1" x14ac:dyDescent="0.25">
      <c r="A267" s="1999"/>
      <c r="B267" s="1999"/>
      <c r="C267" s="2002"/>
      <c r="D267" s="1999"/>
      <c r="E267" s="2005"/>
      <c r="F267" s="340" t="s">
        <v>355</v>
      </c>
      <c r="G267" s="2007" t="s">
        <v>3322</v>
      </c>
      <c r="H267" s="2008"/>
      <c r="I267" s="253" t="s">
        <v>355</v>
      </c>
      <c r="J267" s="2009"/>
      <c r="K267" s="2010"/>
      <c r="L267" s="253" t="s">
        <v>355</v>
      </c>
      <c r="M267" s="2009"/>
      <c r="N267" s="2010"/>
    </row>
    <row r="268" spans="1:16" s="74" customFormat="1" ht="24" customHeight="1" x14ac:dyDescent="0.25">
      <c r="A268" s="1999"/>
      <c r="B268" s="1999"/>
      <c r="C268" s="2002"/>
      <c r="D268" s="1999"/>
      <c r="E268" s="2005"/>
      <c r="F268" s="340"/>
      <c r="G268" s="2007" t="s">
        <v>352</v>
      </c>
      <c r="H268" s="2008"/>
      <c r="I268" s="253" t="s">
        <v>359</v>
      </c>
      <c r="J268" s="2009"/>
      <c r="K268" s="2010"/>
      <c r="L268" s="253" t="s">
        <v>359</v>
      </c>
      <c r="M268" s="2009"/>
      <c r="N268" s="2010"/>
    </row>
    <row r="269" spans="1:16" s="74" customFormat="1" ht="12" x14ac:dyDescent="0.25">
      <c r="A269" s="1999"/>
      <c r="B269" s="1999"/>
      <c r="C269" s="2002"/>
      <c r="D269" s="1999"/>
      <c r="E269" s="2005"/>
      <c r="F269" s="340"/>
      <c r="G269" s="2007"/>
      <c r="H269" s="2008"/>
      <c r="I269" s="253" t="s">
        <v>358</v>
      </c>
      <c r="J269" s="2009"/>
      <c r="K269" s="2010"/>
      <c r="L269" s="253" t="s">
        <v>358</v>
      </c>
      <c r="M269" s="2009"/>
      <c r="N269" s="2010"/>
    </row>
    <row r="270" spans="1:16" s="74" customFormat="1" ht="12" x14ac:dyDescent="0.25">
      <c r="A270" s="1999"/>
      <c r="B270" s="1999"/>
      <c r="C270" s="2002"/>
      <c r="D270" s="1999"/>
      <c r="E270" s="2005"/>
      <c r="F270" s="340"/>
      <c r="G270" s="2007"/>
      <c r="H270" s="2008"/>
      <c r="I270" s="253" t="s">
        <v>360</v>
      </c>
      <c r="J270" s="2009"/>
      <c r="K270" s="2010"/>
      <c r="L270" s="253" t="s">
        <v>360</v>
      </c>
      <c r="M270" s="2009"/>
      <c r="N270" s="2010"/>
    </row>
    <row r="271" spans="1:16" s="74" customFormat="1" ht="12" x14ac:dyDescent="0.25">
      <c r="A271" s="2000"/>
      <c r="B271" s="2000"/>
      <c r="C271" s="2003"/>
      <c r="D271" s="2000"/>
      <c r="E271" s="2006"/>
      <c r="F271" s="341"/>
      <c r="G271" s="2011"/>
      <c r="H271" s="2012"/>
      <c r="I271" s="254" t="s">
        <v>357</v>
      </c>
      <c r="J271" s="2013"/>
      <c r="K271" s="2014"/>
      <c r="L271" s="254" t="s">
        <v>357</v>
      </c>
      <c r="M271" s="2013"/>
      <c r="N271" s="2014"/>
    </row>
    <row r="272" spans="1:16" s="74" customFormat="1" ht="12" x14ac:dyDescent="0.25">
      <c r="A272" s="1998" t="s">
        <v>3335</v>
      </c>
      <c r="B272" s="1998" t="s">
        <v>89</v>
      </c>
      <c r="C272" s="2001" t="s">
        <v>3336</v>
      </c>
      <c r="D272" s="1998" t="s">
        <v>55</v>
      </c>
      <c r="E272" s="2004">
        <v>4295.6099999999997</v>
      </c>
      <c r="F272" s="336" t="s">
        <v>335</v>
      </c>
      <c r="G272" s="337" t="s">
        <v>356</v>
      </c>
      <c r="H272" s="338">
        <v>4295.6135000000004</v>
      </c>
      <c r="I272" s="249" t="s">
        <v>335</v>
      </c>
      <c r="J272" s="250" t="s">
        <v>356</v>
      </c>
      <c r="K272" s="251"/>
      <c r="L272" s="249" t="s">
        <v>335</v>
      </c>
      <c r="M272" s="250" t="s">
        <v>356</v>
      </c>
      <c r="N272" s="251"/>
      <c r="P272" s="74" t="s">
        <v>3335</v>
      </c>
    </row>
    <row r="273" spans="1:16" s="74" customFormat="1" ht="24" customHeight="1" x14ac:dyDescent="0.25">
      <c r="A273" s="1999"/>
      <c r="B273" s="1999"/>
      <c r="C273" s="2002"/>
      <c r="D273" s="1999"/>
      <c r="E273" s="2005"/>
      <c r="F273" s="340" t="s">
        <v>355</v>
      </c>
      <c r="G273" s="2007" t="s">
        <v>3322</v>
      </c>
      <c r="H273" s="2008"/>
      <c r="I273" s="253" t="s">
        <v>355</v>
      </c>
      <c r="J273" s="2009"/>
      <c r="K273" s="2010"/>
      <c r="L273" s="253" t="s">
        <v>355</v>
      </c>
      <c r="M273" s="2009"/>
      <c r="N273" s="2010"/>
    </row>
    <row r="274" spans="1:16" s="74" customFormat="1" ht="24" customHeight="1" x14ac:dyDescent="0.25">
      <c r="A274" s="1999"/>
      <c r="B274" s="1999"/>
      <c r="C274" s="2002"/>
      <c r="D274" s="1999"/>
      <c r="E274" s="2005"/>
      <c r="F274" s="340"/>
      <c r="G274" s="2007" t="s">
        <v>352</v>
      </c>
      <c r="H274" s="2008"/>
      <c r="I274" s="253" t="s">
        <v>359</v>
      </c>
      <c r="J274" s="2009"/>
      <c r="K274" s="2010"/>
      <c r="L274" s="253" t="s">
        <v>359</v>
      </c>
      <c r="M274" s="2009"/>
      <c r="N274" s="2010"/>
    </row>
    <row r="275" spans="1:16" s="74" customFormat="1" ht="12" x14ac:dyDescent="0.25">
      <c r="A275" s="1999"/>
      <c r="B275" s="1999"/>
      <c r="C275" s="2002"/>
      <c r="D275" s="1999"/>
      <c r="E275" s="2005"/>
      <c r="F275" s="340"/>
      <c r="G275" s="2007"/>
      <c r="H275" s="2008"/>
      <c r="I275" s="253" t="s">
        <v>358</v>
      </c>
      <c r="J275" s="2009"/>
      <c r="K275" s="2010"/>
      <c r="L275" s="253" t="s">
        <v>358</v>
      </c>
      <c r="M275" s="2009"/>
      <c r="N275" s="2010"/>
    </row>
    <row r="276" spans="1:16" s="74" customFormat="1" ht="12" x14ac:dyDescent="0.25">
      <c r="A276" s="1999"/>
      <c r="B276" s="1999"/>
      <c r="C276" s="2002"/>
      <c r="D276" s="1999"/>
      <c r="E276" s="2005"/>
      <c r="F276" s="340"/>
      <c r="G276" s="2007"/>
      <c r="H276" s="2008"/>
      <c r="I276" s="253" t="s">
        <v>360</v>
      </c>
      <c r="J276" s="2009"/>
      <c r="K276" s="2010"/>
      <c r="L276" s="253" t="s">
        <v>360</v>
      </c>
      <c r="M276" s="2009"/>
      <c r="N276" s="2010"/>
    </row>
    <row r="277" spans="1:16" s="74" customFormat="1" ht="12" x14ac:dyDescent="0.25">
      <c r="A277" s="2000"/>
      <c r="B277" s="2000"/>
      <c r="C277" s="2003"/>
      <c r="D277" s="2000"/>
      <c r="E277" s="2006"/>
      <c r="F277" s="341"/>
      <c r="G277" s="2011"/>
      <c r="H277" s="2012"/>
      <c r="I277" s="254" t="s">
        <v>357</v>
      </c>
      <c r="J277" s="2013"/>
      <c r="K277" s="2014"/>
      <c r="L277" s="254" t="s">
        <v>357</v>
      </c>
      <c r="M277" s="2013"/>
      <c r="N277" s="2014"/>
    </row>
    <row r="278" spans="1:16" s="74" customFormat="1" ht="12" x14ac:dyDescent="0.25">
      <c r="A278" s="1998" t="s">
        <v>4054</v>
      </c>
      <c r="B278" s="1998" t="s">
        <v>89</v>
      </c>
      <c r="C278" s="2001" t="s">
        <v>4055</v>
      </c>
      <c r="D278" s="1998" t="s">
        <v>55</v>
      </c>
      <c r="E278" s="2004">
        <v>3168.02</v>
      </c>
      <c r="F278" s="336" t="s">
        <v>335</v>
      </c>
      <c r="G278" s="337" t="s">
        <v>356</v>
      </c>
      <c r="H278" s="338">
        <v>3168.0248999999999</v>
      </c>
      <c r="I278" s="249" t="s">
        <v>335</v>
      </c>
      <c r="J278" s="250" t="s">
        <v>356</v>
      </c>
      <c r="K278" s="251"/>
      <c r="L278" s="249" t="s">
        <v>335</v>
      </c>
      <c r="M278" s="250" t="s">
        <v>356</v>
      </c>
      <c r="N278" s="251"/>
      <c r="P278" s="74" t="s">
        <v>4054</v>
      </c>
    </row>
    <row r="279" spans="1:16" s="74" customFormat="1" ht="24" customHeight="1" x14ac:dyDescent="0.25">
      <c r="A279" s="1999"/>
      <c r="B279" s="1999"/>
      <c r="C279" s="2002"/>
      <c r="D279" s="1999"/>
      <c r="E279" s="2005"/>
      <c r="F279" s="340" t="s">
        <v>355</v>
      </c>
      <c r="G279" s="2007" t="s">
        <v>3322</v>
      </c>
      <c r="H279" s="2008"/>
      <c r="I279" s="253" t="s">
        <v>355</v>
      </c>
      <c r="J279" s="2009"/>
      <c r="K279" s="2010"/>
      <c r="L279" s="253" t="s">
        <v>355</v>
      </c>
      <c r="M279" s="2009"/>
      <c r="N279" s="2010"/>
    </row>
    <row r="280" spans="1:16" s="74" customFormat="1" ht="24" customHeight="1" x14ac:dyDescent="0.25">
      <c r="A280" s="1999"/>
      <c r="B280" s="1999"/>
      <c r="C280" s="2002"/>
      <c r="D280" s="1999"/>
      <c r="E280" s="2005"/>
      <c r="F280" s="340" t="s">
        <v>359</v>
      </c>
      <c r="G280" s="2007" t="s">
        <v>352</v>
      </c>
      <c r="H280" s="2008"/>
      <c r="I280" s="253" t="s">
        <v>359</v>
      </c>
      <c r="J280" s="2009"/>
      <c r="K280" s="2010"/>
      <c r="L280" s="253" t="s">
        <v>359</v>
      </c>
      <c r="M280" s="2009"/>
      <c r="N280" s="2010"/>
    </row>
    <row r="281" spans="1:16" s="74" customFormat="1" ht="12" x14ac:dyDescent="0.25">
      <c r="A281" s="1999"/>
      <c r="B281" s="1999"/>
      <c r="C281" s="2002"/>
      <c r="D281" s="1999"/>
      <c r="E281" s="2005"/>
      <c r="F281" s="340" t="s">
        <v>358</v>
      </c>
      <c r="G281" s="2007"/>
      <c r="H281" s="2008"/>
      <c r="I281" s="253" t="s">
        <v>358</v>
      </c>
      <c r="J281" s="2009"/>
      <c r="K281" s="2010"/>
      <c r="L281" s="253" t="s">
        <v>358</v>
      </c>
      <c r="M281" s="2009"/>
      <c r="N281" s="2010"/>
    </row>
    <row r="282" spans="1:16" s="74" customFormat="1" ht="12" x14ac:dyDescent="0.25">
      <c r="A282" s="1999"/>
      <c r="B282" s="1999"/>
      <c r="C282" s="2002"/>
      <c r="D282" s="1999"/>
      <c r="E282" s="2005"/>
      <c r="F282" s="340" t="s">
        <v>360</v>
      </c>
      <c r="G282" s="2007"/>
      <c r="H282" s="2008"/>
      <c r="I282" s="253" t="s">
        <v>360</v>
      </c>
      <c r="J282" s="2009"/>
      <c r="K282" s="2010"/>
      <c r="L282" s="253" t="s">
        <v>360</v>
      </c>
      <c r="M282" s="2009"/>
      <c r="N282" s="2010"/>
    </row>
    <row r="283" spans="1:16" s="74" customFormat="1" ht="12" x14ac:dyDescent="0.25">
      <c r="A283" s="2000"/>
      <c r="B283" s="2000"/>
      <c r="C283" s="2003"/>
      <c r="D283" s="2000"/>
      <c r="E283" s="2006"/>
      <c r="F283" s="341" t="s">
        <v>357</v>
      </c>
      <c r="G283" s="2011"/>
      <c r="H283" s="2012"/>
      <c r="I283" s="254" t="s">
        <v>357</v>
      </c>
      <c r="J283" s="2013"/>
      <c r="K283" s="2014"/>
      <c r="L283" s="254" t="s">
        <v>357</v>
      </c>
      <c r="M283" s="2013"/>
      <c r="N283" s="2014"/>
    </row>
    <row r="284" spans="1:16" s="74" customFormat="1" ht="12" x14ac:dyDescent="0.25">
      <c r="A284" s="2025" t="s">
        <v>1479</v>
      </c>
      <c r="B284" s="2025" t="s">
        <v>89</v>
      </c>
      <c r="C284" s="2022" t="s">
        <v>2592</v>
      </c>
      <c r="D284" s="2025" t="s">
        <v>205</v>
      </c>
      <c r="E284" s="2028">
        <v>3211</v>
      </c>
      <c r="F284" s="336" t="s">
        <v>335</v>
      </c>
      <c r="G284" s="337" t="s">
        <v>356</v>
      </c>
      <c r="H284" s="338">
        <v>3211.009613171947</v>
      </c>
      <c r="I284" s="249" t="s">
        <v>335</v>
      </c>
      <c r="J284" s="250" t="s">
        <v>356</v>
      </c>
      <c r="K284" s="251"/>
      <c r="L284" s="249" t="s">
        <v>335</v>
      </c>
      <c r="M284" s="250" t="s">
        <v>356</v>
      </c>
      <c r="N284" s="251"/>
      <c r="P284" s="74" t="s">
        <v>1479</v>
      </c>
    </row>
    <row r="285" spans="1:16" s="74" customFormat="1" ht="12" x14ac:dyDescent="0.25">
      <c r="A285" s="2026"/>
      <c r="B285" s="2026"/>
      <c r="C285" s="2023"/>
      <c r="D285" s="2026"/>
      <c r="E285" s="2029"/>
      <c r="F285" s="340" t="s">
        <v>355</v>
      </c>
      <c r="G285" s="2007" t="s">
        <v>1480</v>
      </c>
      <c r="H285" s="2008"/>
      <c r="I285" s="253" t="s">
        <v>355</v>
      </c>
      <c r="J285" s="2009"/>
      <c r="K285" s="2010"/>
      <c r="L285" s="253" t="s">
        <v>355</v>
      </c>
      <c r="M285" s="2009"/>
      <c r="N285" s="2010"/>
    </row>
    <row r="286" spans="1:16" s="74" customFormat="1" ht="12" x14ac:dyDescent="0.25">
      <c r="A286" s="2026"/>
      <c r="B286" s="2026"/>
      <c r="C286" s="2023"/>
      <c r="D286" s="2026"/>
      <c r="E286" s="2029"/>
      <c r="F286" s="340" t="s">
        <v>359</v>
      </c>
      <c r="G286" s="2007"/>
      <c r="H286" s="2008"/>
      <c r="I286" s="253" t="s">
        <v>359</v>
      </c>
      <c r="J286" s="2009"/>
      <c r="K286" s="2010"/>
      <c r="L286" s="253" t="s">
        <v>359</v>
      </c>
      <c r="M286" s="2009"/>
      <c r="N286" s="2010"/>
    </row>
    <row r="287" spans="1:16" s="74" customFormat="1" ht="12" x14ac:dyDescent="0.25">
      <c r="A287" s="2026"/>
      <c r="B287" s="2026"/>
      <c r="C287" s="2023"/>
      <c r="D287" s="2026"/>
      <c r="E287" s="2029"/>
      <c r="F287" s="340" t="s">
        <v>358</v>
      </c>
      <c r="G287" s="2007"/>
      <c r="H287" s="2008"/>
      <c r="I287" s="253" t="s">
        <v>358</v>
      </c>
      <c r="J287" s="2009"/>
      <c r="K287" s="2010"/>
      <c r="L287" s="253" t="s">
        <v>358</v>
      </c>
      <c r="M287" s="2009"/>
      <c r="N287" s="2010"/>
    </row>
    <row r="288" spans="1:16" s="74" customFormat="1" ht="12" x14ac:dyDescent="0.25">
      <c r="A288" s="2026"/>
      <c r="B288" s="2026"/>
      <c r="C288" s="2023"/>
      <c r="D288" s="2026"/>
      <c r="E288" s="2029"/>
      <c r="F288" s="340" t="s">
        <v>360</v>
      </c>
      <c r="G288" s="2007"/>
      <c r="H288" s="2008"/>
      <c r="I288" s="253" t="s">
        <v>360</v>
      </c>
      <c r="J288" s="2009"/>
      <c r="K288" s="2010"/>
      <c r="L288" s="253" t="s">
        <v>360</v>
      </c>
      <c r="M288" s="2009"/>
      <c r="N288" s="2010"/>
    </row>
    <row r="289" spans="1:16" s="74" customFormat="1" ht="12" x14ac:dyDescent="0.25">
      <c r="A289" s="2027"/>
      <c r="B289" s="2027"/>
      <c r="C289" s="2024"/>
      <c r="D289" s="2027"/>
      <c r="E289" s="2030"/>
      <c r="F289" s="341" t="s">
        <v>357</v>
      </c>
      <c r="G289" s="2011"/>
      <c r="H289" s="2012"/>
      <c r="I289" s="254" t="s">
        <v>357</v>
      </c>
      <c r="J289" s="2013"/>
      <c r="K289" s="2014"/>
      <c r="L289" s="254" t="s">
        <v>357</v>
      </c>
      <c r="M289" s="2013"/>
      <c r="N289" s="2014"/>
    </row>
    <row r="290" spans="1:16" s="74" customFormat="1" ht="12" x14ac:dyDescent="0.25">
      <c r="A290" s="2025" t="s">
        <v>1485</v>
      </c>
      <c r="B290" s="2025" t="s">
        <v>89</v>
      </c>
      <c r="C290" s="2022" t="s">
        <v>2593</v>
      </c>
      <c r="D290" s="2025" t="s">
        <v>205</v>
      </c>
      <c r="E290" s="2028">
        <v>5179.46</v>
      </c>
      <c r="F290" s="336" t="s">
        <v>335</v>
      </c>
      <c r="G290" s="337" t="s">
        <v>356</v>
      </c>
      <c r="H290" s="338">
        <v>5179.4653565730714</v>
      </c>
      <c r="I290" s="249" t="s">
        <v>335</v>
      </c>
      <c r="J290" s="250" t="s">
        <v>356</v>
      </c>
      <c r="K290" s="251"/>
      <c r="L290" s="249" t="s">
        <v>335</v>
      </c>
      <c r="M290" s="250" t="s">
        <v>356</v>
      </c>
      <c r="N290" s="251"/>
      <c r="P290" s="74" t="s">
        <v>1485</v>
      </c>
    </row>
    <row r="291" spans="1:16" s="74" customFormat="1" ht="12" x14ac:dyDescent="0.25">
      <c r="A291" s="2026"/>
      <c r="B291" s="2026"/>
      <c r="C291" s="2023"/>
      <c r="D291" s="2026"/>
      <c r="E291" s="2029"/>
      <c r="F291" s="340" t="s">
        <v>355</v>
      </c>
      <c r="G291" s="2007" t="s">
        <v>1486</v>
      </c>
      <c r="H291" s="2008"/>
      <c r="I291" s="253" t="s">
        <v>355</v>
      </c>
      <c r="J291" s="2009"/>
      <c r="K291" s="2010"/>
      <c r="L291" s="253" t="s">
        <v>355</v>
      </c>
      <c r="M291" s="2009"/>
      <c r="N291" s="2010"/>
    </row>
    <row r="292" spans="1:16" s="74" customFormat="1" ht="12" x14ac:dyDescent="0.25">
      <c r="A292" s="2026"/>
      <c r="B292" s="2026"/>
      <c r="C292" s="2023"/>
      <c r="D292" s="2026"/>
      <c r="E292" s="2029"/>
      <c r="F292" s="340" t="s">
        <v>359</v>
      </c>
      <c r="G292" s="2007" t="s">
        <v>1487</v>
      </c>
      <c r="H292" s="2008"/>
      <c r="I292" s="253" t="s">
        <v>359</v>
      </c>
      <c r="J292" s="2009"/>
      <c r="K292" s="2010"/>
      <c r="L292" s="253" t="s">
        <v>359</v>
      </c>
      <c r="M292" s="2009"/>
      <c r="N292" s="2010"/>
    </row>
    <row r="293" spans="1:16" s="74" customFormat="1" ht="12" x14ac:dyDescent="0.25">
      <c r="A293" s="2026"/>
      <c r="B293" s="2026"/>
      <c r="C293" s="2023"/>
      <c r="D293" s="2026"/>
      <c r="E293" s="2029"/>
      <c r="F293" s="340" t="s">
        <v>358</v>
      </c>
      <c r="G293" s="2007"/>
      <c r="H293" s="2008"/>
      <c r="I293" s="253" t="s">
        <v>358</v>
      </c>
      <c r="J293" s="2009"/>
      <c r="K293" s="2010"/>
      <c r="L293" s="253" t="s">
        <v>358</v>
      </c>
      <c r="M293" s="2009"/>
      <c r="N293" s="2010"/>
    </row>
    <row r="294" spans="1:16" s="74" customFormat="1" ht="12" x14ac:dyDescent="0.25">
      <c r="A294" s="2026"/>
      <c r="B294" s="2026"/>
      <c r="C294" s="2023"/>
      <c r="D294" s="2026"/>
      <c r="E294" s="2029"/>
      <c r="F294" s="340" t="s">
        <v>360</v>
      </c>
      <c r="G294" s="2007"/>
      <c r="H294" s="2008"/>
      <c r="I294" s="253" t="s">
        <v>360</v>
      </c>
      <c r="J294" s="2009"/>
      <c r="K294" s="2010"/>
      <c r="L294" s="253" t="s">
        <v>360</v>
      </c>
      <c r="M294" s="2009"/>
      <c r="N294" s="2010"/>
    </row>
    <row r="295" spans="1:16" s="74" customFormat="1" ht="12" x14ac:dyDescent="0.25">
      <c r="A295" s="2027"/>
      <c r="B295" s="2027"/>
      <c r="C295" s="2024"/>
      <c r="D295" s="2027"/>
      <c r="E295" s="2030"/>
      <c r="F295" s="341" t="s">
        <v>357</v>
      </c>
      <c r="G295" s="2011"/>
      <c r="H295" s="2012"/>
      <c r="I295" s="254" t="s">
        <v>357</v>
      </c>
      <c r="J295" s="2013"/>
      <c r="K295" s="2014"/>
      <c r="L295" s="254" t="s">
        <v>357</v>
      </c>
      <c r="M295" s="2013"/>
      <c r="N295" s="2014"/>
    </row>
    <row r="296" spans="1:16" s="74" customFormat="1" ht="12" x14ac:dyDescent="0.25">
      <c r="A296" s="239"/>
      <c r="B296" s="238"/>
      <c r="C296" s="241" t="s">
        <v>274</v>
      </c>
      <c r="D296" s="238"/>
      <c r="E296" s="240"/>
      <c r="F296" s="236"/>
      <c r="G296" s="236"/>
      <c r="H296" s="236"/>
      <c r="I296" s="236"/>
      <c r="J296" s="236"/>
      <c r="K296" s="236"/>
      <c r="L296" s="236"/>
      <c r="M296" s="236"/>
      <c r="N296" s="237"/>
    </row>
    <row r="297" spans="1:16" s="74" customFormat="1" ht="12" x14ac:dyDescent="0.25">
      <c r="A297" s="1998" t="s">
        <v>888</v>
      </c>
      <c r="B297" s="1998" t="s">
        <v>88</v>
      </c>
      <c r="C297" s="2001" t="s">
        <v>866</v>
      </c>
      <c r="D297" s="1998" t="s">
        <v>51</v>
      </c>
      <c r="E297" s="2004">
        <v>304.92</v>
      </c>
      <c r="F297" s="336" t="s">
        <v>335</v>
      </c>
      <c r="G297" s="337" t="s">
        <v>356</v>
      </c>
      <c r="H297" s="338">
        <v>304.92940323096963</v>
      </c>
      <c r="I297" s="249" t="s">
        <v>335</v>
      </c>
      <c r="J297" s="250" t="s">
        <v>356</v>
      </c>
      <c r="K297" s="251"/>
      <c r="L297" s="249" t="s">
        <v>335</v>
      </c>
      <c r="M297" s="250" t="s">
        <v>356</v>
      </c>
      <c r="N297" s="251"/>
      <c r="P297" s="74" t="s">
        <v>888</v>
      </c>
    </row>
    <row r="298" spans="1:16" s="74" customFormat="1" ht="12" x14ac:dyDescent="0.25">
      <c r="A298" s="1999"/>
      <c r="B298" s="1999"/>
      <c r="C298" s="2002"/>
      <c r="D298" s="1999"/>
      <c r="E298" s="2005"/>
      <c r="F298" s="340" t="s">
        <v>355</v>
      </c>
      <c r="G298" s="2007" t="s">
        <v>3424</v>
      </c>
      <c r="H298" s="2008"/>
      <c r="I298" s="253" t="s">
        <v>355</v>
      </c>
      <c r="J298" s="2009"/>
      <c r="K298" s="2010"/>
      <c r="L298" s="253" t="s">
        <v>355</v>
      </c>
      <c r="M298" s="2009"/>
      <c r="N298" s="2010"/>
    </row>
    <row r="299" spans="1:16" s="74" customFormat="1" ht="12" x14ac:dyDescent="0.25">
      <c r="A299" s="1999"/>
      <c r="B299" s="1999"/>
      <c r="C299" s="2002"/>
      <c r="D299" s="1999"/>
      <c r="E299" s="2005"/>
      <c r="F299" s="340"/>
      <c r="G299" s="2007" t="s">
        <v>4111</v>
      </c>
      <c r="H299" s="2008"/>
      <c r="I299" s="253" t="s">
        <v>359</v>
      </c>
      <c r="J299" s="2009"/>
      <c r="K299" s="2010"/>
      <c r="L299" s="253" t="s">
        <v>359</v>
      </c>
      <c r="M299" s="2009"/>
      <c r="N299" s="2010"/>
    </row>
    <row r="300" spans="1:16" s="74" customFormat="1" ht="12" x14ac:dyDescent="0.25">
      <c r="A300" s="1999"/>
      <c r="B300" s="1999"/>
      <c r="C300" s="2002"/>
      <c r="D300" s="1999"/>
      <c r="E300" s="2005"/>
      <c r="F300" s="340"/>
      <c r="G300" s="2007" t="s">
        <v>889</v>
      </c>
      <c r="H300" s="2008"/>
      <c r="I300" s="253" t="s">
        <v>358</v>
      </c>
      <c r="J300" s="2009"/>
      <c r="K300" s="2010"/>
      <c r="L300" s="253" t="s">
        <v>358</v>
      </c>
      <c r="M300" s="2009"/>
      <c r="N300" s="2010"/>
    </row>
    <row r="301" spans="1:16" s="74" customFormat="1" ht="24" customHeight="1" x14ac:dyDescent="0.25">
      <c r="A301" s="1999"/>
      <c r="B301" s="1999"/>
      <c r="C301" s="2002"/>
      <c r="D301" s="1999"/>
      <c r="E301" s="2005"/>
      <c r="F301" s="340"/>
      <c r="G301" s="2007"/>
      <c r="H301" s="2008"/>
      <c r="I301" s="253" t="s">
        <v>360</v>
      </c>
      <c r="J301" s="2009"/>
      <c r="K301" s="2010"/>
      <c r="L301" s="253" t="s">
        <v>360</v>
      </c>
      <c r="M301" s="2009"/>
      <c r="N301" s="2010"/>
    </row>
    <row r="302" spans="1:16" s="74" customFormat="1" ht="12" x14ac:dyDescent="0.25">
      <c r="A302" s="2000"/>
      <c r="B302" s="2000"/>
      <c r="C302" s="2003"/>
      <c r="D302" s="2000"/>
      <c r="E302" s="2006"/>
      <c r="F302" s="341"/>
      <c r="G302" s="2011"/>
      <c r="H302" s="2012"/>
      <c r="I302" s="254" t="s">
        <v>357</v>
      </c>
      <c r="J302" s="2013"/>
      <c r="K302" s="2014"/>
      <c r="L302" s="254" t="s">
        <v>357</v>
      </c>
      <c r="M302" s="2013"/>
      <c r="N302" s="2014"/>
    </row>
    <row r="303" spans="1:16" s="74" customFormat="1" ht="12" x14ac:dyDescent="0.25">
      <c r="A303" s="1998" t="s">
        <v>890</v>
      </c>
      <c r="B303" s="1998" t="s">
        <v>88</v>
      </c>
      <c r="C303" s="2001" t="s">
        <v>891</v>
      </c>
      <c r="D303" s="1998" t="s">
        <v>41</v>
      </c>
      <c r="E303" s="2004">
        <v>216.17</v>
      </c>
      <c r="F303" s="336" t="s">
        <v>335</v>
      </c>
      <c r="G303" s="337" t="s">
        <v>356</v>
      </c>
      <c r="H303" s="338">
        <v>216.17066086310064</v>
      </c>
      <c r="I303" s="249" t="s">
        <v>335</v>
      </c>
      <c r="J303" s="250" t="s">
        <v>356</v>
      </c>
      <c r="K303" s="251"/>
      <c r="L303" s="249" t="s">
        <v>335</v>
      </c>
      <c r="M303" s="250" t="s">
        <v>356</v>
      </c>
      <c r="N303" s="251"/>
      <c r="P303" s="74" t="s">
        <v>890</v>
      </c>
    </row>
    <row r="304" spans="1:16" s="74" customFormat="1" ht="12" customHeight="1" x14ac:dyDescent="0.25">
      <c r="A304" s="1999"/>
      <c r="B304" s="1999"/>
      <c r="C304" s="2002"/>
      <c r="D304" s="1999"/>
      <c r="E304" s="2005"/>
      <c r="F304" s="340" t="s">
        <v>355</v>
      </c>
      <c r="G304" s="2007" t="s">
        <v>3424</v>
      </c>
      <c r="H304" s="2008"/>
      <c r="I304" s="253" t="s">
        <v>355</v>
      </c>
      <c r="J304" s="2009"/>
      <c r="K304" s="2010"/>
      <c r="L304" s="253" t="s">
        <v>355</v>
      </c>
      <c r="M304" s="2009"/>
      <c r="N304" s="2010"/>
    </row>
    <row r="305" spans="1:16" s="74" customFormat="1" ht="12" customHeight="1" x14ac:dyDescent="0.25">
      <c r="A305" s="1999"/>
      <c r="B305" s="1999"/>
      <c r="C305" s="2002"/>
      <c r="D305" s="1999"/>
      <c r="E305" s="2005"/>
      <c r="F305" s="340"/>
      <c r="G305" s="2007" t="s">
        <v>4111</v>
      </c>
      <c r="H305" s="2008"/>
      <c r="I305" s="253" t="s">
        <v>359</v>
      </c>
      <c r="J305" s="2009"/>
      <c r="K305" s="2010"/>
      <c r="L305" s="253" t="s">
        <v>359</v>
      </c>
      <c r="M305" s="2009"/>
      <c r="N305" s="2010"/>
    </row>
    <row r="306" spans="1:16" s="74" customFormat="1" ht="12" x14ac:dyDescent="0.25">
      <c r="A306" s="1999"/>
      <c r="B306" s="1999"/>
      <c r="C306" s="2002"/>
      <c r="D306" s="1999"/>
      <c r="E306" s="2005"/>
      <c r="F306" s="340"/>
      <c r="G306" s="2007" t="s">
        <v>892</v>
      </c>
      <c r="H306" s="2008"/>
      <c r="I306" s="253" t="s">
        <v>358</v>
      </c>
      <c r="J306" s="2009"/>
      <c r="K306" s="2010"/>
      <c r="L306" s="253" t="s">
        <v>358</v>
      </c>
      <c r="M306" s="2009"/>
      <c r="N306" s="2010"/>
    </row>
    <row r="307" spans="1:16" s="74" customFormat="1" ht="24" customHeight="1" x14ac:dyDescent="0.25">
      <c r="A307" s="1999"/>
      <c r="B307" s="1999"/>
      <c r="C307" s="2002"/>
      <c r="D307" s="1999"/>
      <c r="E307" s="2005"/>
      <c r="F307" s="340"/>
      <c r="G307" s="2007"/>
      <c r="H307" s="2008"/>
      <c r="I307" s="253" t="s">
        <v>360</v>
      </c>
      <c r="J307" s="2009"/>
      <c r="K307" s="2010"/>
      <c r="L307" s="253" t="s">
        <v>360</v>
      </c>
      <c r="M307" s="2009"/>
      <c r="N307" s="2010"/>
    </row>
    <row r="308" spans="1:16" s="74" customFormat="1" ht="12" x14ac:dyDescent="0.25">
      <c r="A308" s="2000"/>
      <c r="B308" s="2000"/>
      <c r="C308" s="2003"/>
      <c r="D308" s="2000"/>
      <c r="E308" s="2006"/>
      <c r="F308" s="341"/>
      <c r="G308" s="2011"/>
      <c r="H308" s="2012"/>
      <c r="I308" s="254" t="s">
        <v>357</v>
      </c>
      <c r="J308" s="2013"/>
      <c r="K308" s="2014"/>
      <c r="L308" s="254" t="s">
        <v>357</v>
      </c>
      <c r="M308" s="2013"/>
      <c r="N308" s="2014"/>
    </row>
    <row r="309" spans="1:16" s="74" customFormat="1" ht="12" x14ac:dyDescent="0.25">
      <c r="A309" s="1998" t="s">
        <v>908</v>
      </c>
      <c r="B309" s="1998" t="s">
        <v>88</v>
      </c>
      <c r="C309" s="2001" t="s">
        <v>909</v>
      </c>
      <c r="D309" s="1998" t="s">
        <v>41</v>
      </c>
      <c r="E309" s="2004">
        <v>141.18</v>
      </c>
      <c r="F309" s="336" t="s">
        <v>335</v>
      </c>
      <c r="G309" s="337" t="s">
        <v>356</v>
      </c>
      <c r="H309" s="338">
        <v>141.18088894465231</v>
      </c>
      <c r="I309" s="249" t="s">
        <v>335</v>
      </c>
      <c r="J309" s="250" t="s">
        <v>356</v>
      </c>
      <c r="K309" s="251"/>
      <c r="L309" s="249" t="s">
        <v>335</v>
      </c>
      <c r="M309" s="250" t="s">
        <v>356</v>
      </c>
      <c r="N309" s="251"/>
      <c r="P309" s="74" t="s">
        <v>908</v>
      </c>
    </row>
    <row r="310" spans="1:16" s="74" customFormat="1" ht="12" customHeight="1" x14ac:dyDescent="0.25">
      <c r="A310" s="1999"/>
      <c r="B310" s="1999"/>
      <c r="C310" s="2002"/>
      <c r="D310" s="1999"/>
      <c r="E310" s="2005"/>
      <c r="F310" s="340" t="s">
        <v>355</v>
      </c>
      <c r="G310" s="2007" t="s">
        <v>3424</v>
      </c>
      <c r="H310" s="2008"/>
      <c r="I310" s="253" t="s">
        <v>355</v>
      </c>
      <c r="J310" s="2009"/>
      <c r="K310" s="2010"/>
      <c r="L310" s="253" t="s">
        <v>355</v>
      </c>
      <c r="M310" s="2009"/>
      <c r="N310" s="2010"/>
    </row>
    <row r="311" spans="1:16" s="74" customFormat="1" ht="12" x14ac:dyDescent="0.25">
      <c r="A311" s="1999"/>
      <c r="B311" s="1999"/>
      <c r="C311" s="2002"/>
      <c r="D311" s="1999"/>
      <c r="E311" s="2005"/>
      <c r="F311" s="340"/>
      <c r="G311" s="2007" t="s">
        <v>4111</v>
      </c>
      <c r="H311" s="2008"/>
      <c r="I311" s="253" t="s">
        <v>359</v>
      </c>
      <c r="J311" s="2009"/>
      <c r="K311" s="2010"/>
      <c r="L311" s="253" t="s">
        <v>359</v>
      </c>
      <c r="M311" s="2009"/>
      <c r="N311" s="2010"/>
    </row>
    <row r="312" spans="1:16" s="74" customFormat="1" ht="12" x14ac:dyDescent="0.25">
      <c r="A312" s="1999"/>
      <c r="B312" s="1999"/>
      <c r="C312" s="2002"/>
      <c r="D312" s="1999"/>
      <c r="E312" s="2005"/>
      <c r="F312" s="340"/>
      <c r="G312" s="2007" t="s">
        <v>910</v>
      </c>
      <c r="H312" s="2008"/>
      <c r="I312" s="253" t="s">
        <v>358</v>
      </c>
      <c r="J312" s="2009"/>
      <c r="K312" s="2010"/>
      <c r="L312" s="253" t="s">
        <v>358</v>
      </c>
      <c r="M312" s="2009"/>
      <c r="N312" s="2010"/>
    </row>
    <row r="313" spans="1:16" s="74" customFormat="1" ht="24" customHeight="1" x14ac:dyDescent="0.25">
      <c r="A313" s="1999"/>
      <c r="B313" s="1999"/>
      <c r="C313" s="2002"/>
      <c r="D313" s="1999"/>
      <c r="E313" s="2005"/>
      <c r="F313" s="340"/>
      <c r="G313" s="2007"/>
      <c r="H313" s="2008"/>
      <c r="I313" s="253" t="s">
        <v>360</v>
      </c>
      <c r="J313" s="2009"/>
      <c r="K313" s="2010"/>
      <c r="L313" s="253" t="s">
        <v>360</v>
      </c>
      <c r="M313" s="2009"/>
      <c r="N313" s="2010"/>
    </row>
    <row r="314" spans="1:16" s="74" customFormat="1" ht="12" x14ac:dyDescent="0.25">
      <c r="A314" s="2000"/>
      <c r="B314" s="2000"/>
      <c r="C314" s="2003"/>
      <c r="D314" s="2000"/>
      <c r="E314" s="2006"/>
      <c r="F314" s="341"/>
      <c r="G314" s="2011"/>
      <c r="H314" s="2012"/>
      <c r="I314" s="254" t="s">
        <v>357</v>
      </c>
      <c r="J314" s="2013"/>
      <c r="K314" s="2014"/>
      <c r="L314" s="254" t="s">
        <v>357</v>
      </c>
      <c r="M314" s="2013"/>
      <c r="N314" s="2014"/>
    </row>
    <row r="315" spans="1:16" s="74" customFormat="1" ht="12" x14ac:dyDescent="0.25">
      <c r="A315" s="1998" t="s">
        <v>3418</v>
      </c>
      <c r="B315" s="1998" t="s">
        <v>88</v>
      </c>
      <c r="C315" s="2001" t="s">
        <v>3419</v>
      </c>
      <c r="D315" s="1998" t="s">
        <v>3420</v>
      </c>
      <c r="E315" s="2004">
        <v>560</v>
      </c>
      <c r="F315" s="336" t="s">
        <v>335</v>
      </c>
      <c r="G315" s="337" t="s">
        <v>356</v>
      </c>
      <c r="H315" s="338">
        <v>560</v>
      </c>
      <c r="I315" s="249" t="s">
        <v>335</v>
      </c>
      <c r="J315" s="250" t="s">
        <v>356</v>
      </c>
      <c r="K315" s="251"/>
      <c r="L315" s="249" t="s">
        <v>335</v>
      </c>
      <c r="M315" s="250" t="s">
        <v>356</v>
      </c>
      <c r="N315" s="251"/>
      <c r="P315" s="74" t="s">
        <v>3418</v>
      </c>
    </row>
    <row r="316" spans="1:16" s="74" customFormat="1" ht="12" x14ac:dyDescent="0.25">
      <c r="A316" s="1999"/>
      <c r="B316" s="1999"/>
      <c r="C316" s="2002"/>
      <c r="D316" s="1999"/>
      <c r="E316" s="2005"/>
      <c r="F316" s="340" t="s">
        <v>355</v>
      </c>
      <c r="G316" s="2007" t="s">
        <v>3421</v>
      </c>
      <c r="H316" s="2008"/>
      <c r="I316" s="253" t="s">
        <v>355</v>
      </c>
      <c r="J316" s="2009"/>
      <c r="K316" s="2010"/>
      <c r="L316" s="253" t="s">
        <v>355</v>
      </c>
      <c r="M316" s="2009"/>
      <c r="N316" s="2010"/>
    </row>
    <row r="317" spans="1:16" s="74" customFormat="1" ht="12" x14ac:dyDescent="0.25">
      <c r="A317" s="1999"/>
      <c r="B317" s="1999"/>
      <c r="C317" s="2002"/>
      <c r="D317" s="1999"/>
      <c r="E317" s="2005"/>
      <c r="F317" s="340"/>
      <c r="G317" s="2007" t="s">
        <v>3422</v>
      </c>
      <c r="H317" s="2008"/>
      <c r="I317" s="253" t="s">
        <v>359</v>
      </c>
      <c r="J317" s="2009"/>
      <c r="K317" s="2010"/>
      <c r="L317" s="253" t="s">
        <v>359</v>
      </c>
      <c r="M317" s="2009"/>
      <c r="N317" s="2010"/>
    </row>
    <row r="318" spans="1:16" s="74" customFormat="1" ht="12" x14ac:dyDescent="0.25">
      <c r="A318" s="1999"/>
      <c r="B318" s="1999"/>
      <c r="C318" s="2002"/>
      <c r="D318" s="1999"/>
      <c r="E318" s="2005"/>
      <c r="F318" s="340"/>
      <c r="G318" s="2007"/>
      <c r="H318" s="2008"/>
      <c r="I318" s="253" t="s">
        <v>358</v>
      </c>
      <c r="J318" s="2009"/>
      <c r="K318" s="2010"/>
      <c r="L318" s="253" t="s">
        <v>358</v>
      </c>
      <c r="M318" s="2009"/>
      <c r="N318" s="2010"/>
    </row>
    <row r="319" spans="1:16" s="74" customFormat="1" ht="12" x14ac:dyDescent="0.25">
      <c r="A319" s="1999"/>
      <c r="B319" s="1999"/>
      <c r="C319" s="2002"/>
      <c r="D319" s="1999"/>
      <c r="E319" s="2005"/>
      <c r="F319" s="340"/>
      <c r="G319" s="2007"/>
      <c r="H319" s="2008"/>
      <c r="I319" s="253" t="s">
        <v>360</v>
      </c>
      <c r="J319" s="2009"/>
      <c r="K319" s="2010"/>
      <c r="L319" s="253" t="s">
        <v>360</v>
      </c>
      <c r="M319" s="2009"/>
      <c r="N319" s="2010"/>
    </row>
    <row r="320" spans="1:16" s="74" customFormat="1" ht="12" x14ac:dyDescent="0.25">
      <c r="A320" s="2000"/>
      <c r="B320" s="2000"/>
      <c r="C320" s="2003"/>
      <c r="D320" s="2000"/>
      <c r="E320" s="2006"/>
      <c r="F320" s="341"/>
      <c r="G320" s="2011"/>
      <c r="H320" s="2012"/>
      <c r="I320" s="254" t="s">
        <v>357</v>
      </c>
      <c r="J320" s="2013"/>
      <c r="K320" s="2014"/>
      <c r="L320" s="254" t="s">
        <v>357</v>
      </c>
      <c r="M320" s="2013"/>
      <c r="N320" s="2014"/>
    </row>
    <row r="321" spans="1:16" s="74" customFormat="1" ht="12" x14ac:dyDescent="0.25">
      <c r="A321" s="1998" t="s">
        <v>162</v>
      </c>
      <c r="B321" s="1998" t="s">
        <v>88</v>
      </c>
      <c r="C321" s="2001" t="s">
        <v>3643</v>
      </c>
      <c r="D321" s="1998" t="s">
        <v>55</v>
      </c>
      <c r="E321" s="2004">
        <v>12.23</v>
      </c>
      <c r="F321" s="336" t="s">
        <v>335</v>
      </c>
      <c r="G321" s="337" t="s">
        <v>356</v>
      </c>
      <c r="H321" s="338">
        <v>12.23</v>
      </c>
      <c r="I321" s="249" t="s">
        <v>335</v>
      </c>
      <c r="J321" s="250" t="s">
        <v>356</v>
      </c>
      <c r="K321" s="251"/>
      <c r="L321" s="249" t="s">
        <v>335</v>
      </c>
      <c r="M321" s="250" t="s">
        <v>356</v>
      </c>
      <c r="N321" s="251"/>
      <c r="P321" s="74" t="s">
        <v>162</v>
      </c>
    </row>
    <row r="322" spans="1:16" s="74" customFormat="1" ht="12" x14ac:dyDescent="0.25">
      <c r="A322" s="1999"/>
      <c r="B322" s="1999"/>
      <c r="C322" s="2002"/>
      <c r="D322" s="1999"/>
      <c r="E322" s="2005"/>
      <c r="F322" s="340" t="s">
        <v>355</v>
      </c>
      <c r="G322" s="2007" t="s">
        <v>163</v>
      </c>
      <c r="H322" s="2008"/>
      <c r="I322" s="253" t="s">
        <v>355</v>
      </c>
      <c r="J322" s="2009"/>
      <c r="K322" s="2010"/>
      <c r="L322" s="253" t="s">
        <v>355</v>
      </c>
      <c r="M322" s="2009"/>
      <c r="N322" s="2010"/>
    </row>
    <row r="323" spans="1:16" s="74" customFormat="1" ht="12" x14ac:dyDescent="0.25">
      <c r="A323" s="1999"/>
      <c r="B323" s="1999"/>
      <c r="C323" s="2002"/>
      <c r="D323" s="1999"/>
      <c r="E323" s="2005"/>
      <c r="F323" s="340" t="s">
        <v>359</v>
      </c>
      <c r="G323" s="2007" t="s">
        <v>364</v>
      </c>
      <c r="H323" s="2008"/>
      <c r="I323" s="253" t="s">
        <v>359</v>
      </c>
      <c r="J323" s="2009"/>
      <c r="K323" s="2010"/>
      <c r="L323" s="253" t="s">
        <v>359</v>
      </c>
      <c r="M323" s="2009"/>
      <c r="N323" s="2010"/>
    </row>
    <row r="324" spans="1:16" s="74" customFormat="1" ht="12" x14ac:dyDescent="0.25">
      <c r="A324" s="1999"/>
      <c r="B324" s="1999"/>
      <c r="C324" s="2002"/>
      <c r="D324" s="1999"/>
      <c r="E324" s="2005"/>
      <c r="F324" s="340" t="s">
        <v>358</v>
      </c>
      <c r="G324" s="2007" t="s">
        <v>365</v>
      </c>
      <c r="H324" s="2008"/>
      <c r="I324" s="253" t="s">
        <v>358</v>
      </c>
      <c r="J324" s="2009"/>
      <c r="K324" s="2010"/>
      <c r="L324" s="253" t="s">
        <v>358</v>
      </c>
      <c r="M324" s="2009"/>
      <c r="N324" s="2010"/>
    </row>
    <row r="325" spans="1:16" s="74" customFormat="1" ht="12" x14ac:dyDescent="0.25">
      <c r="A325" s="1999"/>
      <c r="B325" s="1999"/>
      <c r="C325" s="2002"/>
      <c r="D325" s="1999"/>
      <c r="E325" s="2005"/>
      <c r="F325" s="340" t="s">
        <v>360</v>
      </c>
      <c r="G325" s="2007" t="s">
        <v>3633</v>
      </c>
      <c r="H325" s="2008"/>
      <c r="I325" s="253" t="s">
        <v>360</v>
      </c>
      <c r="J325" s="2009"/>
      <c r="K325" s="2010"/>
      <c r="L325" s="253" t="s">
        <v>360</v>
      </c>
      <c r="M325" s="2009"/>
      <c r="N325" s="2010"/>
    </row>
    <row r="326" spans="1:16" s="74" customFormat="1" ht="12" x14ac:dyDescent="0.25">
      <c r="A326" s="2000"/>
      <c r="B326" s="2000"/>
      <c r="C326" s="2003"/>
      <c r="D326" s="2000"/>
      <c r="E326" s="2006"/>
      <c r="F326" s="341" t="s">
        <v>357</v>
      </c>
      <c r="G326" s="2011"/>
      <c r="H326" s="2012"/>
      <c r="I326" s="254" t="s">
        <v>357</v>
      </c>
      <c r="J326" s="2013"/>
      <c r="K326" s="2014"/>
      <c r="L326" s="254" t="s">
        <v>357</v>
      </c>
      <c r="M326" s="2013"/>
      <c r="N326" s="2014"/>
    </row>
    <row r="327" spans="1:16" s="74" customFormat="1" ht="12" x14ac:dyDescent="0.25">
      <c r="A327" s="1998" t="s">
        <v>1114</v>
      </c>
      <c r="B327" s="1998" t="s">
        <v>88</v>
      </c>
      <c r="C327" s="2001" t="s">
        <v>1116</v>
      </c>
      <c r="D327" s="1998" t="s">
        <v>41</v>
      </c>
      <c r="E327" s="2004">
        <v>7300</v>
      </c>
      <c r="F327" s="336" t="s">
        <v>335</v>
      </c>
      <c r="G327" s="337" t="s">
        <v>356</v>
      </c>
      <c r="H327" s="338">
        <v>7300</v>
      </c>
      <c r="I327" s="249" t="s">
        <v>335</v>
      </c>
      <c r="J327" s="250" t="s">
        <v>356</v>
      </c>
      <c r="K327" s="251"/>
      <c r="L327" s="249" t="s">
        <v>335</v>
      </c>
      <c r="M327" s="250" t="s">
        <v>356</v>
      </c>
      <c r="N327" s="251"/>
      <c r="P327" s="74" t="s">
        <v>1114</v>
      </c>
    </row>
    <row r="328" spans="1:16" s="74" customFormat="1" ht="12" x14ac:dyDescent="0.25">
      <c r="A328" s="1999"/>
      <c r="B328" s="1999"/>
      <c r="C328" s="2002"/>
      <c r="D328" s="1999"/>
      <c r="E328" s="2005"/>
      <c r="F328" s="340" t="s">
        <v>355</v>
      </c>
      <c r="G328" s="2007" t="s">
        <v>3423</v>
      </c>
      <c r="H328" s="2008"/>
      <c r="I328" s="253" t="s">
        <v>355</v>
      </c>
      <c r="J328" s="2009"/>
      <c r="K328" s="2010"/>
      <c r="L328" s="253" t="s">
        <v>355</v>
      </c>
      <c r="M328" s="2009"/>
      <c r="N328" s="2010"/>
    </row>
    <row r="329" spans="1:16" s="74" customFormat="1" ht="12" x14ac:dyDescent="0.25">
      <c r="A329" s="1999"/>
      <c r="B329" s="1999"/>
      <c r="C329" s="2002"/>
      <c r="D329" s="1999"/>
      <c r="E329" s="2005"/>
      <c r="F329" s="340"/>
      <c r="G329" s="2007" t="s">
        <v>1117</v>
      </c>
      <c r="H329" s="2008"/>
      <c r="I329" s="253" t="s">
        <v>359</v>
      </c>
      <c r="J329" s="2009"/>
      <c r="K329" s="2010"/>
      <c r="L329" s="253" t="s">
        <v>359</v>
      </c>
      <c r="M329" s="2009"/>
      <c r="N329" s="2010"/>
    </row>
    <row r="330" spans="1:16" s="74" customFormat="1" ht="12" x14ac:dyDescent="0.25">
      <c r="A330" s="1999"/>
      <c r="B330" s="1999"/>
      <c r="C330" s="2002"/>
      <c r="D330" s="1999"/>
      <c r="E330" s="2005"/>
      <c r="F330" s="340"/>
      <c r="G330" s="2007"/>
      <c r="H330" s="2008"/>
      <c r="I330" s="253" t="s">
        <v>358</v>
      </c>
      <c r="J330" s="2009"/>
      <c r="K330" s="2010"/>
      <c r="L330" s="253" t="s">
        <v>358</v>
      </c>
      <c r="M330" s="2009"/>
      <c r="N330" s="2010"/>
    </row>
    <row r="331" spans="1:16" s="74" customFormat="1" ht="12" x14ac:dyDescent="0.25">
      <c r="A331" s="1999"/>
      <c r="B331" s="1999"/>
      <c r="C331" s="2002"/>
      <c r="D331" s="1999"/>
      <c r="E331" s="2005"/>
      <c r="F331" s="340"/>
      <c r="G331" s="2007"/>
      <c r="H331" s="2008"/>
      <c r="I331" s="253" t="s">
        <v>360</v>
      </c>
      <c r="J331" s="2009"/>
      <c r="K331" s="2010"/>
      <c r="L331" s="253" t="s">
        <v>360</v>
      </c>
      <c r="M331" s="2009"/>
      <c r="N331" s="2010"/>
    </row>
    <row r="332" spans="1:16" s="74" customFormat="1" ht="12" x14ac:dyDescent="0.25">
      <c r="A332" s="2000"/>
      <c r="B332" s="2000"/>
      <c r="C332" s="2003"/>
      <c r="D332" s="2000"/>
      <c r="E332" s="2006"/>
      <c r="F332" s="341"/>
      <c r="G332" s="2011"/>
      <c r="H332" s="2012"/>
      <c r="I332" s="254" t="s">
        <v>357</v>
      </c>
      <c r="J332" s="2013"/>
      <c r="K332" s="2014"/>
      <c r="L332" s="254" t="s">
        <v>357</v>
      </c>
      <c r="M332" s="2013"/>
      <c r="N332" s="2014"/>
    </row>
    <row r="333" spans="1:16" s="74" customFormat="1" ht="12" x14ac:dyDescent="0.25">
      <c r="A333" s="1998" t="s">
        <v>3634</v>
      </c>
      <c r="B333" s="1998" t="s">
        <v>88</v>
      </c>
      <c r="C333" s="2001" t="s">
        <v>3641</v>
      </c>
      <c r="D333" s="1998" t="s">
        <v>55</v>
      </c>
      <c r="E333" s="2004">
        <v>21.44</v>
      </c>
      <c r="F333" s="336" t="s">
        <v>335</v>
      </c>
      <c r="G333" s="337" t="s">
        <v>356</v>
      </c>
      <c r="H333" s="338">
        <v>21.44</v>
      </c>
      <c r="I333" s="249" t="s">
        <v>335</v>
      </c>
      <c r="J333" s="250" t="s">
        <v>356</v>
      </c>
      <c r="K333" s="251"/>
      <c r="L333" s="249" t="s">
        <v>335</v>
      </c>
      <c r="M333" s="250" t="s">
        <v>356</v>
      </c>
      <c r="N333" s="251"/>
      <c r="P333" s="74" t="s">
        <v>3634</v>
      </c>
    </row>
    <row r="334" spans="1:16" s="74" customFormat="1" ht="12" customHeight="1" x14ac:dyDescent="0.25">
      <c r="A334" s="1999"/>
      <c r="B334" s="1999"/>
      <c r="C334" s="2002"/>
      <c r="D334" s="1999"/>
      <c r="E334" s="2005"/>
      <c r="F334" s="340" t="s">
        <v>355</v>
      </c>
      <c r="G334" s="2007" t="s">
        <v>163</v>
      </c>
      <c r="H334" s="2008"/>
      <c r="I334" s="253" t="s">
        <v>355</v>
      </c>
      <c r="J334" s="2009"/>
      <c r="K334" s="2010"/>
      <c r="L334" s="253" t="s">
        <v>355</v>
      </c>
      <c r="M334" s="2009"/>
      <c r="N334" s="2010"/>
    </row>
    <row r="335" spans="1:16" s="74" customFormat="1" ht="12" customHeight="1" x14ac:dyDescent="0.25">
      <c r="A335" s="1999"/>
      <c r="B335" s="1999"/>
      <c r="C335" s="2002"/>
      <c r="D335" s="1999"/>
      <c r="E335" s="2005"/>
      <c r="F335" s="340" t="s">
        <v>359</v>
      </c>
      <c r="G335" s="2007" t="s">
        <v>364</v>
      </c>
      <c r="H335" s="2008"/>
      <c r="I335" s="253" t="s">
        <v>359</v>
      </c>
      <c r="J335" s="2009"/>
      <c r="K335" s="2010"/>
      <c r="L335" s="253" t="s">
        <v>359</v>
      </c>
      <c r="M335" s="2009"/>
      <c r="N335" s="2010"/>
    </row>
    <row r="336" spans="1:16" s="74" customFormat="1" ht="12" customHeight="1" x14ac:dyDescent="0.25">
      <c r="A336" s="1999"/>
      <c r="B336" s="1999"/>
      <c r="C336" s="2002"/>
      <c r="D336" s="1999"/>
      <c r="E336" s="2005"/>
      <c r="F336" s="340" t="s">
        <v>358</v>
      </c>
      <c r="G336" s="2007" t="s">
        <v>365</v>
      </c>
      <c r="H336" s="2008"/>
      <c r="I336" s="253" t="s">
        <v>358</v>
      </c>
      <c r="J336" s="2009"/>
      <c r="K336" s="2010"/>
      <c r="L336" s="253" t="s">
        <v>358</v>
      </c>
      <c r="M336" s="2009"/>
      <c r="N336" s="2010"/>
    </row>
    <row r="337" spans="1:16" s="74" customFormat="1" ht="12" x14ac:dyDescent="0.25">
      <c r="A337" s="1999"/>
      <c r="B337" s="1999"/>
      <c r="C337" s="2002"/>
      <c r="D337" s="1999"/>
      <c r="E337" s="2005"/>
      <c r="F337" s="340" t="s">
        <v>360</v>
      </c>
      <c r="G337" s="2007" t="s">
        <v>3633</v>
      </c>
      <c r="H337" s="2008"/>
      <c r="I337" s="253" t="s">
        <v>360</v>
      </c>
      <c r="J337" s="2009"/>
      <c r="K337" s="2010"/>
      <c r="L337" s="253" t="s">
        <v>360</v>
      </c>
      <c r="M337" s="2009"/>
      <c r="N337" s="2010"/>
    </row>
    <row r="338" spans="1:16" s="74" customFormat="1" ht="12" x14ac:dyDescent="0.25">
      <c r="A338" s="2000"/>
      <c r="B338" s="2000"/>
      <c r="C338" s="2003"/>
      <c r="D338" s="2000"/>
      <c r="E338" s="2006"/>
      <c r="F338" s="341" t="s">
        <v>357</v>
      </c>
      <c r="G338" s="2011"/>
      <c r="H338" s="2012"/>
      <c r="I338" s="254" t="s">
        <v>357</v>
      </c>
      <c r="J338" s="2013"/>
      <c r="K338" s="2014"/>
      <c r="L338" s="254" t="s">
        <v>357</v>
      </c>
      <c r="M338" s="2013"/>
      <c r="N338" s="2014"/>
    </row>
    <row r="339" spans="1:16" s="74" customFormat="1" ht="12" x14ac:dyDescent="0.25">
      <c r="A339" s="1998" t="s">
        <v>3636</v>
      </c>
      <c r="B339" s="1998" t="s">
        <v>88</v>
      </c>
      <c r="C339" s="2001" t="s">
        <v>3642</v>
      </c>
      <c r="D339" s="1998" t="s">
        <v>55</v>
      </c>
      <c r="E339" s="2004">
        <v>19.07</v>
      </c>
      <c r="F339" s="336" t="s">
        <v>335</v>
      </c>
      <c r="G339" s="337" t="s">
        <v>356</v>
      </c>
      <c r="H339" s="338">
        <v>19.07</v>
      </c>
      <c r="I339" s="249" t="s">
        <v>335</v>
      </c>
      <c r="J339" s="250" t="s">
        <v>356</v>
      </c>
      <c r="K339" s="251"/>
      <c r="L339" s="249" t="s">
        <v>335</v>
      </c>
      <c r="M339" s="250" t="s">
        <v>356</v>
      </c>
      <c r="N339" s="251"/>
      <c r="P339" s="74" t="s">
        <v>3636</v>
      </c>
    </row>
    <row r="340" spans="1:16" s="74" customFormat="1" ht="12" customHeight="1" x14ac:dyDescent="0.25">
      <c r="A340" s="1999"/>
      <c r="B340" s="1999"/>
      <c r="C340" s="2002"/>
      <c r="D340" s="1999"/>
      <c r="E340" s="2005"/>
      <c r="F340" s="340" t="s">
        <v>355</v>
      </c>
      <c r="G340" s="2007" t="s">
        <v>163</v>
      </c>
      <c r="H340" s="2008"/>
      <c r="I340" s="253" t="s">
        <v>355</v>
      </c>
      <c r="J340" s="2009"/>
      <c r="K340" s="2010"/>
      <c r="L340" s="253" t="s">
        <v>355</v>
      </c>
      <c r="M340" s="2009"/>
      <c r="N340" s="2010"/>
    </row>
    <row r="341" spans="1:16" s="74" customFormat="1" ht="12" customHeight="1" x14ac:dyDescent="0.25">
      <c r="A341" s="1999"/>
      <c r="B341" s="1999"/>
      <c r="C341" s="2002"/>
      <c r="D341" s="1999"/>
      <c r="E341" s="2005"/>
      <c r="F341" s="340" t="s">
        <v>359</v>
      </c>
      <c r="G341" s="2007" t="s">
        <v>364</v>
      </c>
      <c r="H341" s="2008"/>
      <c r="I341" s="253" t="s">
        <v>359</v>
      </c>
      <c r="J341" s="2009"/>
      <c r="K341" s="2010"/>
      <c r="L341" s="253" t="s">
        <v>359</v>
      </c>
      <c r="M341" s="2009"/>
      <c r="N341" s="2010"/>
    </row>
    <row r="342" spans="1:16" s="74" customFormat="1" ht="12" customHeight="1" x14ac:dyDescent="0.25">
      <c r="A342" s="1999"/>
      <c r="B342" s="1999"/>
      <c r="C342" s="2002"/>
      <c r="D342" s="1999"/>
      <c r="E342" s="2005"/>
      <c r="F342" s="340" t="s">
        <v>358</v>
      </c>
      <c r="G342" s="2007" t="s">
        <v>365</v>
      </c>
      <c r="H342" s="2008"/>
      <c r="I342" s="253" t="s">
        <v>358</v>
      </c>
      <c r="J342" s="2009"/>
      <c r="K342" s="2010"/>
      <c r="L342" s="253" t="s">
        <v>358</v>
      </c>
      <c r="M342" s="2009"/>
      <c r="N342" s="2010"/>
    </row>
    <row r="343" spans="1:16" s="74" customFormat="1" ht="12" x14ac:dyDescent="0.25">
      <c r="A343" s="1999"/>
      <c r="B343" s="1999"/>
      <c r="C343" s="2002"/>
      <c r="D343" s="1999"/>
      <c r="E343" s="2005"/>
      <c r="F343" s="340" t="s">
        <v>360</v>
      </c>
      <c r="G343" s="2007" t="s">
        <v>3633</v>
      </c>
      <c r="H343" s="2008"/>
      <c r="I343" s="253" t="s">
        <v>360</v>
      </c>
      <c r="J343" s="2009"/>
      <c r="K343" s="2010"/>
      <c r="L343" s="253" t="s">
        <v>360</v>
      </c>
      <c r="M343" s="2009"/>
      <c r="N343" s="2010"/>
    </row>
    <row r="344" spans="1:16" s="74" customFormat="1" ht="12" x14ac:dyDescent="0.25">
      <c r="A344" s="2000"/>
      <c r="B344" s="2000"/>
      <c r="C344" s="2003"/>
      <c r="D344" s="2000"/>
      <c r="E344" s="2006"/>
      <c r="F344" s="341" t="s">
        <v>357</v>
      </c>
      <c r="G344" s="2011"/>
      <c r="H344" s="2012"/>
      <c r="I344" s="254" t="s">
        <v>357</v>
      </c>
      <c r="J344" s="2013"/>
      <c r="K344" s="2014"/>
      <c r="L344" s="254" t="s">
        <v>357</v>
      </c>
      <c r="M344" s="2013"/>
      <c r="N344" s="2014"/>
    </row>
    <row r="345" spans="1:16" x14ac:dyDescent="0.25">
      <c r="A345" s="71" t="s">
        <v>21</v>
      </c>
    </row>
    <row r="346" spans="1:16" x14ac:dyDescent="0.25">
      <c r="A346" s="124"/>
    </row>
    <row r="347" spans="1:16" x14ac:dyDescent="0.25">
      <c r="L347" s="75"/>
      <c r="M347" s="76"/>
      <c r="N347" s="77"/>
    </row>
    <row r="348" spans="1:16" x14ac:dyDescent="0.25">
      <c r="L348" s="78" t="s">
        <v>135</v>
      </c>
      <c r="M348" s="79"/>
      <c r="N348" s="78"/>
    </row>
    <row r="349" spans="1:16" x14ac:dyDescent="0.25">
      <c r="A349" s="123" t="s">
        <v>1115</v>
      </c>
      <c r="L349" s="78" t="s">
        <v>136</v>
      </c>
      <c r="M349" s="79"/>
      <c r="N349" s="78"/>
    </row>
  </sheetData>
  <autoFilter ref="A4:E346" xr:uid="{C05E942D-5917-49CE-92CA-43A310762003}"/>
  <mergeCells count="1116">
    <mergeCell ref="A278:A283"/>
    <mergeCell ref="B278:B283"/>
    <mergeCell ref="C278:C283"/>
    <mergeCell ref="D278:D283"/>
    <mergeCell ref="E278:E283"/>
    <mergeCell ref="G279:H279"/>
    <mergeCell ref="J279:K279"/>
    <mergeCell ref="M279:N279"/>
    <mergeCell ref="G280:H280"/>
    <mergeCell ref="J280:K280"/>
    <mergeCell ref="M280:N280"/>
    <mergeCell ref="G281:H281"/>
    <mergeCell ref="J281:K281"/>
    <mergeCell ref="M281:N281"/>
    <mergeCell ref="G282:H282"/>
    <mergeCell ref="J282:K282"/>
    <mergeCell ref="M282:N282"/>
    <mergeCell ref="G283:H283"/>
    <mergeCell ref="J283:K283"/>
    <mergeCell ref="M283:N283"/>
    <mergeCell ref="A230:A235"/>
    <mergeCell ref="B230:B235"/>
    <mergeCell ref="C230:C235"/>
    <mergeCell ref="D230:D235"/>
    <mergeCell ref="E230:E235"/>
    <mergeCell ref="G231:H231"/>
    <mergeCell ref="J231:K231"/>
    <mergeCell ref="M231:N231"/>
    <mergeCell ref="G232:H232"/>
    <mergeCell ref="J232:K232"/>
    <mergeCell ref="M232:N232"/>
    <mergeCell ref="G233:H233"/>
    <mergeCell ref="J233:K233"/>
    <mergeCell ref="M233:N233"/>
    <mergeCell ref="G234:H234"/>
    <mergeCell ref="J234:K234"/>
    <mergeCell ref="M234:N234"/>
    <mergeCell ref="G235:H235"/>
    <mergeCell ref="J235:K235"/>
    <mergeCell ref="M235:N235"/>
    <mergeCell ref="M41:N41"/>
    <mergeCell ref="M37:N37"/>
    <mergeCell ref="G38:H38"/>
    <mergeCell ref="J38:K38"/>
    <mergeCell ref="M38:N38"/>
    <mergeCell ref="G39:H39"/>
    <mergeCell ref="J39:K39"/>
    <mergeCell ref="M39:N39"/>
    <mergeCell ref="G40:H40"/>
    <mergeCell ref="J40:K40"/>
    <mergeCell ref="M40:N40"/>
    <mergeCell ref="G32:H32"/>
    <mergeCell ref="J32:K32"/>
    <mergeCell ref="A36:A41"/>
    <mergeCell ref="B36:B41"/>
    <mergeCell ref="C36:C41"/>
    <mergeCell ref="D36:D41"/>
    <mergeCell ref="E36:E41"/>
    <mergeCell ref="G37:H37"/>
    <mergeCell ref="J37:K37"/>
    <mergeCell ref="G41:H41"/>
    <mergeCell ref="J41:K41"/>
    <mergeCell ref="A30:A35"/>
    <mergeCell ref="B30:B35"/>
    <mergeCell ref="C30:C35"/>
    <mergeCell ref="D30:D35"/>
    <mergeCell ref="E30:E35"/>
    <mergeCell ref="G31:H31"/>
    <mergeCell ref="J31:K31"/>
    <mergeCell ref="M31:N31"/>
    <mergeCell ref="M32:N32"/>
    <mergeCell ref="G33:H33"/>
    <mergeCell ref="A78:A83"/>
    <mergeCell ref="B78:B83"/>
    <mergeCell ref="C78:C83"/>
    <mergeCell ref="D78:D83"/>
    <mergeCell ref="E78:E83"/>
    <mergeCell ref="G79:H79"/>
    <mergeCell ref="J79:K79"/>
    <mergeCell ref="M79:N79"/>
    <mergeCell ref="G80:H80"/>
    <mergeCell ref="J80:K80"/>
    <mergeCell ref="M80:N80"/>
    <mergeCell ref="G81:H81"/>
    <mergeCell ref="J81:K81"/>
    <mergeCell ref="M81:N81"/>
    <mergeCell ref="G82:H82"/>
    <mergeCell ref="J82:K82"/>
    <mergeCell ref="M82:N82"/>
    <mergeCell ref="G83:H83"/>
    <mergeCell ref="J83:K83"/>
    <mergeCell ref="M83:N83"/>
    <mergeCell ref="C72:C77"/>
    <mergeCell ref="D72:D77"/>
    <mergeCell ref="E72:E77"/>
    <mergeCell ref="G73:H73"/>
    <mergeCell ref="J73:K73"/>
    <mergeCell ref="M73:N73"/>
    <mergeCell ref="G74:H74"/>
    <mergeCell ref="J74:K74"/>
    <mergeCell ref="M74:N74"/>
    <mergeCell ref="G75:H75"/>
    <mergeCell ref="J75:K75"/>
    <mergeCell ref="M75:N75"/>
    <mergeCell ref="G76:H76"/>
    <mergeCell ref="J76:K76"/>
    <mergeCell ref="M76:N76"/>
    <mergeCell ref="G77:H77"/>
    <mergeCell ref="J77:K77"/>
    <mergeCell ref="M77:N77"/>
    <mergeCell ref="A12:A17"/>
    <mergeCell ref="B12:B17"/>
    <mergeCell ref="C12:C17"/>
    <mergeCell ref="D12:D17"/>
    <mergeCell ref="E12:E17"/>
    <mergeCell ref="G13:H13"/>
    <mergeCell ref="J13:K13"/>
    <mergeCell ref="M13:N13"/>
    <mergeCell ref="G14:H14"/>
    <mergeCell ref="J14:K14"/>
    <mergeCell ref="M14:N14"/>
    <mergeCell ref="G15:H15"/>
    <mergeCell ref="J15:K15"/>
    <mergeCell ref="M15:N15"/>
    <mergeCell ref="G16:H16"/>
    <mergeCell ref="J16:K16"/>
    <mergeCell ref="M16:N16"/>
    <mergeCell ref="G17:H17"/>
    <mergeCell ref="J17:K17"/>
    <mergeCell ref="M17:N17"/>
    <mergeCell ref="A18:A23"/>
    <mergeCell ref="B18:B23"/>
    <mergeCell ref="C18:C23"/>
    <mergeCell ref="D18:D23"/>
    <mergeCell ref="E18:E23"/>
    <mergeCell ref="G19:H19"/>
    <mergeCell ref="J19:K19"/>
    <mergeCell ref="M19:N19"/>
    <mergeCell ref="G20:H20"/>
    <mergeCell ref="J20:K20"/>
    <mergeCell ref="M20:N20"/>
    <mergeCell ref="G21:H21"/>
    <mergeCell ref="J21:K21"/>
    <mergeCell ref="M21:N21"/>
    <mergeCell ref="G22:H22"/>
    <mergeCell ref="J22:K22"/>
    <mergeCell ref="M22:N22"/>
    <mergeCell ref="G23:H23"/>
    <mergeCell ref="J23:K23"/>
    <mergeCell ref="M23:N23"/>
    <mergeCell ref="A115:A120"/>
    <mergeCell ref="B115:B120"/>
    <mergeCell ref="C115:C120"/>
    <mergeCell ref="D115:D120"/>
    <mergeCell ref="E115:E120"/>
    <mergeCell ref="G116:H116"/>
    <mergeCell ref="J116:K116"/>
    <mergeCell ref="M116:N116"/>
    <mergeCell ref="G117:H117"/>
    <mergeCell ref="J117:K117"/>
    <mergeCell ref="M117:N117"/>
    <mergeCell ref="J118:K118"/>
    <mergeCell ref="M118:N118"/>
    <mergeCell ref="J119:K119"/>
    <mergeCell ref="M119:N119"/>
    <mergeCell ref="G118:H120"/>
    <mergeCell ref="G112:H114"/>
    <mergeCell ref="G122:H122"/>
    <mergeCell ref="J122:K122"/>
    <mergeCell ref="M122:N122"/>
    <mergeCell ref="G123:H123"/>
    <mergeCell ref="J123:K123"/>
    <mergeCell ref="M123:N123"/>
    <mergeCell ref="G124:H124"/>
    <mergeCell ref="J124:K124"/>
    <mergeCell ref="M124:N124"/>
    <mergeCell ref="G125:H125"/>
    <mergeCell ref="J125:K125"/>
    <mergeCell ref="M125:N125"/>
    <mergeCell ref="G126:H126"/>
    <mergeCell ref="J126:K126"/>
    <mergeCell ref="M126:N126"/>
    <mergeCell ref="M112:N112"/>
    <mergeCell ref="J114:K114"/>
    <mergeCell ref="J113:K113"/>
    <mergeCell ref="M271:N271"/>
    <mergeCell ref="A272:A277"/>
    <mergeCell ref="B272:B277"/>
    <mergeCell ref="C272:C277"/>
    <mergeCell ref="D272:D277"/>
    <mergeCell ref="E272:E277"/>
    <mergeCell ref="G273:H273"/>
    <mergeCell ref="J273:K273"/>
    <mergeCell ref="M273:N273"/>
    <mergeCell ref="G274:H274"/>
    <mergeCell ref="J274:K274"/>
    <mergeCell ref="M274:N274"/>
    <mergeCell ref="G275:H275"/>
    <mergeCell ref="J275:K275"/>
    <mergeCell ref="M275:N275"/>
    <mergeCell ref="G276:H276"/>
    <mergeCell ref="J276:K276"/>
    <mergeCell ref="M276:N276"/>
    <mergeCell ref="G277:H277"/>
    <mergeCell ref="J277:K277"/>
    <mergeCell ref="M277:N277"/>
    <mergeCell ref="J294:K294"/>
    <mergeCell ref="M294:N294"/>
    <mergeCell ref="G295:H295"/>
    <mergeCell ref="J295:K295"/>
    <mergeCell ref="M295:N295"/>
    <mergeCell ref="A266:A271"/>
    <mergeCell ref="B266:B271"/>
    <mergeCell ref="C266:C271"/>
    <mergeCell ref="D266:D271"/>
    <mergeCell ref="E266:E271"/>
    <mergeCell ref="G267:H267"/>
    <mergeCell ref="J267:K267"/>
    <mergeCell ref="M267:N267"/>
    <mergeCell ref="G268:H268"/>
    <mergeCell ref="J268:K268"/>
    <mergeCell ref="M268:N268"/>
    <mergeCell ref="G269:H269"/>
    <mergeCell ref="J269:K269"/>
    <mergeCell ref="M269:N269"/>
    <mergeCell ref="G270:H270"/>
    <mergeCell ref="J270:K270"/>
    <mergeCell ref="M270:N270"/>
    <mergeCell ref="G271:H271"/>
    <mergeCell ref="G291:H291"/>
    <mergeCell ref="J291:K291"/>
    <mergeCell ref="M291:N291"/>
    <mergeCell ref="G292:H292"/>
    <mergeCell ref="J292:K292"/>
    <mergeCell ref="M292:N292"/>
    <mergeCell ref="G293:H293"/>
    <mergeCell ref="J293:K293"/>
    <mergeCell ref="J271:K271"/>
    <mergeCell ref="M286:N286"/>
    <mergeCell ref="G287:H287"/>
    <mergeCell ref="J287:K287"/>
    <mergeCell ref="M287:N287"/>
    <mergeCell ref="G288:H288"/>
    <mergeCell ref="J288:K288"/>
    <mergeCell ref="M288:N288"/>
    <mergeCell ref="G289:H289"/>
    <mergeCell ref="J289:K289"/>
    <mergeCell ref="M289:N289"/>
    <mergeCell ref="A133:A138"/>
    <mergeCell ref="B133:B138"/>
    <mergeCell ref="C133:C138"/>
    <mergeCell ref="D133:D138"/>
    <mergeCell ref="E133:E138"/>
    <mergeCell ref="A309:A314"/>
    <mergeCell ref="B309:B314"/>
    <mergeCell ref="C309:C314"/>
    <mergeCell ref="D309:D314"/>
    <mergeCell ref="A284:A289"/>
    <mergeCell ref="B284:B289"/>
    <mergeCell ref="C284:C289"/>
    <mergeCell ref="D284:D289"/>
    <mergeCell ref="E284:E289"/>
    <mergeCell ref="A290:A295"/>
    <mergeCell ref="B290:B295"/>
    <mergeCell ref="C290:C295"/>
    <mergeCell ref="D290:D295"/>
    <mergeCell ref="E290:E295"/>
    <mergeCell ref="G135:H135"/>
    <mergeCell ref="J135:K135"/>
    <mergeCell ref="G294:H294"/>
    <mergeCell ref="J324:K324"/>
    <mergeCell ref="M324:N324"/>
    <mergeCell ref="G325:H325"/>
    <mergeCell ref="J325:K325"/>
    <mergeCell ref="M325:N325"/>
    <mergeCell ref="B127:B132"/>
    <mergeCell ref="C127:C132"/>
    <mergeCell ref="D127:D132"/>
    <mergeCell ref="E127:E132"/>
    <mergeCell ref="G128:H128"/>
    <mergeCell ref="J128:K128"/>
    <mergeCell ref="B321:B326"/>
    <mergeCell ref="C321:C326"/>
    <mergeCell ref="D321:D326"/>
    <mergeCell ref="E321:E326"/>
    <mergeCell ref="G322:H322"/>
    <mergeCell ref="J322:K322"/>
    <mergeCell ref="G326:H326"/>
    <mergeCell ref="J326:K326"/>
    <mergeCell ref="G285:H285"/>
    <mergeCell ref="J285:K285"/>
    <mergeCell ref="M285:N285"/>
    <mergeCell ref="G286:H286"/>
    <mergeCell ref="J286:K286"/>
    <mergeCell ref="M138:N138"/>
    <mergeCell ref="M131:N131"/>
    <mergeCell ref="G132:H132"/>
    <mergeCell ref="J132:K132"/>
    <mergeCell ref="M132:N132"/>
    <mergeCell ref="G134:H134"/>
    <mergeCell ref="J134:K134"/>
    <mergeCell ref="M134:N134"/>
    <mergeCell ref="G136:H136"/>
    <mergeCell ref="J136:K136"/>
    <mergeCell ref="M136:N136"/>
    <mergeCell ref="G137:H137"/>
    <mergeCell ref="J137:K137"/>
    <mergeCell ref="M137:N137"/>
    <mergeCell ref="G138:H138"/>
    <mergeCell ref="J138:K138"/>
    <mergeCell ref="A6:A11"/>
    <mergeCell ref="B6:B11"/>
    <mergeCell ref="C6:C11"/>
    <mergeCell ref="D6:D11"/>
    <mergeCell ref="E6:E11"/>
    <mergeCell ref="G7:H7"/>
    <mergeCell ref="J7:K7"/>
    <mergeCell ref="M7:N7"/>
    <mergeCell ref="G8:H8"/>
    <mergeCell ref="J8:K8"/>
    <mergeCell ref="M8:N8"/>
    <mergeCell ref="G9:H9"/>
    <mergeCell ref="J9:K9"/>
    <mergeCell ref="M9:N9"/>
    <mergeCell ref="G10:H10"/>
    <mergeCell ref="J10:K10"/>
    <mergeCell ref="M10:N10"/>
    <mergeCell ref="G11:H11"/>
    <mergeCell ref="J11:K11"/>
    <mergeCell ref="M11:N11"/>
    <mergeCell ref="J97:K97"/>
    <mergeCell ref="M97:N97"/>
    <mergeCell ref="M105:N105"/>
    <mergeCell ref="A121:A126"/>
    <mergeCell ref="E309:E314"/>
    <mergeCell ref="G310:H310"/>
    <mergeCell ref="J310:K310"/>
    <mergeCell ref="M310:N310"/>
    <mergeCell ref="G311:H311"/>
    <mergeCell ref="J311:K311"/>
    <mergeCell ref="M311:N311"/>
    <mergeCell ref="G312:H312"/>
    <mergeCell ref="J312:K312"/>
    <mergeCell ref="M312:N312"/>
    <mergeCell ref="G313:H313"/>
    <mergeCell ref="J313:K313"/>
    <mergeCell ref="M313:N313"/>
    <mergeCell ref="G314:H314"/>
    <mergeCell ref="J314:K314"/>
    <mergeCell ref="M314:N314"/>
    <mergeCell ref="A303:A308"/>
    <mergeCell ref="B303:B308"/>
    <mergeCell ref="C303:C308"/>
    <mergeCell ref="D303:D308"/>
    <mergeCell ref="E303:E308"/>
    <mergeCell ref="G304:H304"/>
    <mergeCell ref="J304:K304"/>
    <mergeCell ref="M304:N304"/>
    <mergeCell ref="G305:H305"/>
    <mergeCell ref="J305:K305"/>
    <mergeCell ref="M305:N305"/>
    <mergeCell ref="G306:H306"/>
    <mergeCell ref="J306:K306"/>
    <mergeCell ref="M306:N306"/>
    <mergeCell ref="G307:H307"/>
    <mergeCell ref="J307:K307"/>
    <mergeCell ref="G308:H308"/>
    <mergeCell ref="J308:K308"/>
    <mergeCell ref="M308:N308"/>
    <mergeCell ref="G210:H210"/>
    <mergeCell ref="J210:K210"/>
    <mergeCell ref="M210:N210"/>
    <mergeCell ref="G211:H211"/>
    <mergeCell ref="J211:K211"/>
    <mergeCell ref="M211:N211"/>
    <mergeCell ref="J161:K161"/>
    <mergeCell ref="M161:N161"/>
    <mergeCell ref="J198:K198"/>
    <mergeCell ref="G162:H162"/>
    <mergeCell ref="J162:K162"/>
    <mergeCell ref="M162:N162"/>
    <mergeCell ref="G163:H163"/>
    <mergeCell ref="J163:K163"/>
    <mergeCell ref="M163:N163"/>
    <mergeCell ref="G171:H171"/>
    <mergeCell ref="J171:K171"/>
    <mergeCell ref="M171:N171"/>
    <mergeCell ref="G172:H172"/>
    <mergeCell ref="J172:K172"/>
    <mergeCell ref="M172:N172"/>
    <mergeCell ref="G173:H173"/>
    <mergeCell ref="M208:N208"/>
    <mergeCell ref="G209:H209"/>
    <mergeCell ref="M261:N261"/>
    <mergeCell ref="G255:H255"/>
    <mergeCell ref="J255:K255"/>
    <mergeCell ref="M255:N255"/>
    <mergeCell ref="M293:N293"/>
    <mergeCell ref="C297:C302"/>
    <mergeCell ref="D297:D302"/>
    <mergeCell ref="E297:E302"/>
    <mergeCell ref="G298:H298"/>
    <mergeCell ref="J298:K298"/>
    <mergeCell ref="M298:N298"/>
    <mergeCell ref="G299:H299"/>
    <mergeCell ref="J299:K299"/>
    <mergeCell ref="M299:N299"/>
    <mergeCell ref="G300:H300"/>
    <mergeCell ref="J300:K300"/>
    <mergeCell ref="M300:N300"/>
    <mergeCell ref="G301:H301"/>
    <mergeCell ref="J301:K301"/>
    <mergeCell ref="J302:K302"/>
    <mergeCell ref="M302:N302"/>
    <mergeCell ref="M307:N307"/>
    <mergeCell ref="G207:H207"/>
    <mergeCell ref="J207:K207"/>
    <mergeCell ref="M207:N207"/>
    <mergeCell ref="G208:H208"/>
    <mergeCell ref="J208:K208"/>
    <mergeCell ref="M157:N157"/>
    <mergeCell ref="G159:H159"/>
    <mergeCell ref="G195:H195"/>
    <mergeCell ref="J195:K195"/>
    <mergeCell ref="M195:N195"/>
    <mergeCell ref="J159:K159"/>
    <mergeCell ref="M159:N159"/>
    <mergeCell ref="G160:H160"/>
    <mergeCell ref="J160:K160"/>
    <mergeCell ref="M160:N160"/>
    <mergeCell ref="G161:H161"/>
    <mergeCell ref="G196:H196"/>
    <mergeCell ref="J196:K196"/>
    <mergeCell ref="M196:N196"/>
    <mergeCell ref="G197:H197"/>
    <mergeCell ref="J197:K197"/>
    <mergeCell ref="M197:N197"/>
    <mergeCell ref="G198:H198"/>
    <mergeCell ref="M198:N198"/>
    <mergeCell ref="G199:H199"/>
    <mergeCell ref="J199:K199"/>
    <mergeCell ref="M199:N199"/>
    <mergeCell ref="M201:N201"/>
    <mergeCell ref="M202:N202"/>
    <mergeCell ref="M203:N203"/>
    <mergeCell ref="M205:N205"/>
    <mergeCell ref="M177:N177"/>
    <mergeCell ref="G85:H85"/>
    <mergeCell ref="J85:K85"/>
    <mergeCell ref="M85:N85"/>
    <mergeCell ref="G86:H86"/>
    <mergeCell ref="J86:K86"/>
    <mergeCell ref="M86:N86"/>
    <mergeCell ref="G87:H87"/>
    <mergeCell ref="J87:K87"/>
    <mergeCell ref="M87:N87"/>
    <mergeCell ref="G88:H88"/>
    <mergeCell ref="J88:K88"/>
    <mergeCell ref="M88:N88"/>
    <mergeCell ref="G89:H89"/>
    <mergeCell ref="J89:K89"/>
    <mergeCell ref="M89:N89"/>
    <mergeCell ref="G104:H104"/>
    <mergeCell ref="J104:K104"/>
    <mergeCell ref="M104:N104"/>
    <mergeCell ref="G95:H95"/>
    <mergeCell ref="J95:K95"/>
    <mergeCell ref="M95:N95"/>
    <mergeCell ref="G93:H93"/>
    <mergeCell ref="J93:K93"/>
    <mergeCell ref="M93:N93"/>
    <mergeCell ref="G94:H94"/>
    <mergeCell ref="J94:K94"/>
    <mergeCell ref="M94:N94"/>
    <mergeCell ref="G91:H91"/>
    <mergeCell ref="J91:K91"/>
    <mergeCell ref="M91:N91"/>
    <mergeCell ref="G92:H92"/>
    <mergeCell ref="J92:K92"/>
    <mergeCell ref="G256:H256"/>
    <mergeCell ref="J256:K256"/>
    <mergeCell ref="M256:N256"/>
    <mergeCell ref="G257:H257"/>
    <mergeCell ref="J257:K257"/>
    <mergeCell ref="M257:N257"/>
    <mergeCell ref="J253:K253"/>
    <mergeCell ref="M253:N253"/>
    <mergeCell ref="G246:H246"/>
    <mergeCell ref="J246:K246"/>
    <mergeCell ref="J209:K209"/>
    <mergeCell ref="M209:N209"/>
    <mergeCell ref="A102:A107"/>
    <mergeCell ref="B102:B107"/>
    <mergeCell ref="A200:A205"/>
    <mergeCell ref="B200:B205"/>
    <mergeCell ref="C200:C205"/>
    <mergeCell ref="D200:D205"/>
    <mergeCell ref="E200:E205"/>
    <mergeCell ref="G201:H201"/>
    <mergeCell ref="J201:K201"/>
    <mergeCell ref="G202:H202"/>
    <mergeCell ref="J202:K202"/>
    <mergeCell ref="G203:H203"/>
    <mergeCell ref="J203:K203"/>
    <mergeCell ref="G204:H204"/>
    <mergeCell ref="J204:K204"/>
    <mergeCell ref="G205:H205"/>
    <mergeCell ref="J205:K205"/>
    <mergeCell ref="J130:K130"/>
    <mergeCell ref="G131:H131"/>
    <mergeCell ref="J131:K131"/>
    <mergeCell ref="A127:A132"/>
    <mergeCell ref="A206:A211"/>
    <mergeCell ref="B206:B211"/>
    <mergeCell ref="C206:C211"/>
    <mergeCell ref="D206:D211"/>
    <mergeCell ref="A96:A101"/>
    <mergeCell ref="B96:B101"/>
    <mergeCell ref="C96:C101"/>
    <mergeCell ref="D96:D101"/>
    <mergeCell ref="E96:E101"/>
    <mergeCell ref="A194:A199"/>
    <mergeCell ref="B194:B199"/>
    <mergeCell ref="C194:C199"/>
    <mergeCell ref="D194:D199"/>
    <mergeCell ref="E194:E199"/>
    <mergeCell ref="C102:C107"/>
    <mergeCell ref="D102:D107"/>
    <mergeCell ref="E102:E107"/>
    <mergeCell ref="B109:B114"/>
    <mergeCell ref="C109:C114"/>
    <mergeCell ref="D109:D114"/>
    <mergeCell ref="E109:E114"/>
    <mergeCell ref="A146:A151"/>
    <mergeCell ref="B146:B151"/>
    <mergeCell ref="A109:A114"/>
    <mergeCell ref="C146:C151"/>
    <mergeCell ref="D146:D151"/>
    <mergeCell ref="E146:E151"/>
    <mergeCell ref="B121:B126"/>
    <mergeCell ref="C121:C126"/>
    <mergeCell ref="D121:D126"/>
    <mergeCell ref="E121:E126"/>
    <mergeCell ref="M92:N92"/>
    <mergeCell ref="G110:H110"/>
    <mergeCell ref="J110:K110"/>
    <mergeCell ref="J106:K106"/>
    <mergeCell ref="M106:N106"/>
    <mergeCell ref="J107:K107"/>
    <mergeCell ref="M107:N107"/>
    <mergeCell ref="J103:K103"/>
    <mergeCell ref="G103:H103"/>
    <mergeCell ref="M103:N103"/>
    <mergeCell ref="G105:H105"/>
    <mergeCell ref="J105:K105"/>
    <mergeCell ref="J151:K151"/>
    <mergeCell ref="M151:N151"/>
    <mergeCell ref="G149:H149"/>
    <mergeCell ref="J149:K149"/>
    <mergeCell ref="M149:N149"/>
    <mergeCell ref="G150:H150"/>
    <mergeCell ref="J150:K150"/>
    <mergeCell ref="M150:N150"/>
    <mergeCell ref="G147:H147"/>
    <mergeCell ref="J147:K147"/>
    <mergeCell ref="M147:N147"/>
    <mergeCell ref="G148:H148"/>
    <mergeCell ref="J148:K148"/>
    <mergeCell ref="G144:H144"/>
    <mergeCell ref="J144:K144"/>
    <mergeCell ref="G111:H111"/>
    <mergeCell ref="G151:H151"/>
    <mergeCell ref="G106:H106"/>
    <mergeCell ref="G107:H107"/>
    <mergeCell ref="M135:N135"/>
    <mergeCell ref="G43:H43"/>
    <mergeCell ref="J43:K43"/>
    <mergeCell ref="M43:N43"/>
    <mergeCell ref="G44:H44"/>
    <mergeCell ref="J44:K44"/>
    <mergeCell ref="M44:N44"/>
    <mergeCell ref="G45:H45"/>
    <mergeCell ref="J45:K45"/>
    <mergeCell ref="M45:N45"/>
    <mergeCell ref="G55:H55"/>
    <mergeCell ref="J55:K55"/>
    <mergeCell ref="M55:N55"/>
    <mergeCell ref="G56:H56"/>
    <mergeCell ref="J56:K56"/>
    <mergeCell ref="M56:N56"/>
    <mergeCell ref="G57:H57"/>
    <mergeCell ref="J57:K57"/>
    <mergeCell ref="M57:N57"/>
    <mergeCell ref="G46:H46"/>
    <mergeCell ref="J46:K46"/>
    <mergeCell ref="M46:N46"/>
    <mergeCell ref="G47:H47"/>
    <mergeCell ref="J47:K47"/>
    <mergeCell ref="M47:N47"/>
    <mergeCell ref="G49:H49"/>
    <mergeCell ref="J49:K49"/>
    <mergeCell ref="M49:N49"/>
    <mergeCell ref="G50:H50"/>
    <mergeCell ref="J50:K50"/>
    <mergeCell ref="M50:N50"/>
    <mergeCell ref="G51:H51"/>
    <mergeCell ref="J51:K51"/>
    <mergeCell ref="A339:A344"/>
    <mergeCell ref="B339:B344"/>
    <mergeCell ref="C339:C344"/>
    <mergeCell ref="D339:D344"/>
    <mergeCell ref="E339:E344"/>
    <mergeCell ref="G258:H258"/>
    <mergeCell ref="J258:K258"/>
    <mergeCell ref="M258:N258"/>
    <mergeCell ref="G259:H259"/>
    <mergeCell ref="J259:K259"/>
    <mergeCell ref="M259:N259"/>
    <mergeCell ref="A254:A259"/>
    <mergeCell ref="B254:B259"/>
    <mergeCell ref="C254:C259"/>
    <mergeCell ref="D254:D259"/>
    <mergeCell ref="E254:E259"/>
    <mergeCell ref="J340:K340"/>
    <mergeCell ref="M340:N340"/>
    <mergeCell ref="J341:K341"/>
    <mergeCell ref="M342:N342"/>
    <mergeCell ref="J343:K343"/>
    <mergeCell ref="M343:N343"/>
    <mergeCell ref="A260:A265"/>
    <mergeCell ref="B260:B265"/>
    <mergeCell ref="C260:C265"/>
    <mergeCell ref="D260:D265"/>
    <mergeCell ref="E260:E265"/>
    <mergeCell ref="G262:H262"/>
    <mergeCell ref="J262:K262"/>
    <mergeCell ref="M262:N262"/>
    <mergeCell ref="G263:H263"/>
    <mergeCell ref="J263:K263"/>
    <mergeCell ref="M263:N263"/>
    <mergeCell ref="G264:H264"/>
    <mergeCell ref="J264:K264"/>
    <mergeCell ref="M264:N264"/>
    <mergeCell ref="G265:H265"/>
    <mergeCell ref="J265:K265"/>
    <mergeCell ref="M265:N265"/>
    <mergeCell ref="M301:N301"/>
    <mergeCell ref="G302:H302"/>
    <mergeCell ref="G261:H261"/>
    <mergeCell ref="J261:K261"/>
    <mergeCell ref="J330:K330"/>
    <mergeCell ref="M330:N330"/>
    <mergeCell ref="G331:H331"/>
    <mergeCell ref="J331:K331"/>
    <mergeCell ref="M331:N331"/>
    <mergeCell ref="A315:A320"/>
    <mergeCell ref="B315:B320"/>
    <mergeCell ref="C315:C320"/>
    <mergeCell ref="M322:N322"/>
    <mergeCell ref="G323:H323"/>
    <mergeCell ref="J323:K323"/>
    <mergeCell ref="M323:N323"/>
    <mergeCell ref="J328:K328"/>
    <mergeCell ref="M328:N328"/>
    <mergeCell ref="G329:H329"/>
    <mergeCell ref="J329:K329"/>
    <mergeCell ref="M329:N329"/>
    <mergeCell ref="G330:H330"/>
    <mergeCell ref="M326:N326"/>
    <mergeCell ref="A297:A302"/>
    <mergeCell ref="B297:B302"/>
    <mergeCell ref="J344:K344"/>
    <mergeCell ref="M344:N344"/>
    <mergeCell ref="G340:H340"/>
    <mergeCell ref="G341:H341"/>
    <mergeCell ref="G342:H342"/>
    <mergeCell ref="G343:H343"/>
    <mergeCell ref="G344:H344"/>
    <mergeCell ref="M144:N144"/>
    <mergeCell ref="M192:N192"/>
    <mergeCell ref="M193:N193"/>
    <mergeCell ref="M148:N148"/>
    <mergeCell ref="M204:N204"/>
    <mergeCell ref="M226:N226"/>
    <mergeCell ref="G227:H227"/>
    <mergeCell ref="J227:K227"/>
    <mergeCell ref="M227:N227"/>
    <mergeCell ref="G228:H228"/>
    <mergeCell ref="J228:K228"/>
    <mergeCell ref="M228:N228"/>
    <mergeCell ref="G229:H229"/>
    <mergeCell ref="J229:K229"/>
    <mergeCell ref="M229:N229"/>
    <mergeCell ref="M341:N341"/>
    <mergeCell ref="J342:K342"/>
    <mergeCell ref="G252:H252"/>
    <mergeCell ref="J252:K252"/>
    <mergeCell ref="M252:N252"/>
    <mergeCell ref="G253:H253"/>
    <mergeCell ref="M246:N246"/>
    <mergeCell ref="G247:H247"/>
    <mergeCell ref="J247:K247"/>
    <mergeCell ref="M247:N247"/>
    <mergeCell ref="A248:A253"/>
    <mergeCell ref="B248:B253"/>
    <mergeCell ref="C248:C253"/>
    <mergeCell ref="D248:D253"/>
    <mergeCell ref="E248:E253"/>
    <mergeCell ref="G249:H249"/>
    <mergeCell ref="J249:K249"/>
    <mergeCell ref="M249:N249"/>
    <mergeCell ref="G250:H250"/>
    <mergeCell ref="J250:K250"/>
    <mergeCell ref="M250:N250"/>
    <mergeCell ref="G251:H251"/>
    <mergeCell ref="J251:K251"/>
    <mergeCell ref="M251:N251"/>
    <mergeCell ref="A242:A247"/>
    <mergeCell ref="B242:B247"/>
    <mergeCell ref="C242:C247"/>
    <mergeCell ref="D242:D247"/>
    <mergeCell ref="E242:E247"/>
    <mergeCell ref="G243:H243"/>
    <mergeCell ref="J243:K243"/>
    <mergeCell ref="M243:N243"/>
    <mergeCell ref="G244:H244"/>
    <mergeCell ref="J244:K244"/>
    <mergeCell ref="M244:N244"/>
    <mergeCell ref="G245:H245"/>
    <mergeCell ref="J245:K245"/>
    <mergeCell ref="M245:N245"/>
    <mergeCell ref="A60:A65"/>
    <mergeCell ref="B60:B65"/>
    <mergeCell ref="C60:C65"/>
    <mergeCell ref="D60:D65"/>
    <mergeCell ref="E60:E65"/>
    <mergeCell ref="A66:A71"/>
    <mergeCell ref="B66:B71"/>
    <mergeCell ref="C66:C71"/>
    <mergeCell ref="D66:D71"/>
    <mergeCell ref="E66:E71"/>
    <mergeCell ref="C236:C241"/>
    <mergeCell ref="D236:D241"/>
    <mergeCell ref="E236:E241"/>
    <mergeCell ref="G237:H237"/>
    <mergeCell ref="J237:K237"/>
    <mergeCell ref="M237:N237"/>
    <mergeCell ref="G238:H238"/>
    <mergeCell ref="J238:K238"/>
    <mergeCell ref="M238:N238"/>
    <mergeCell ref="G239:H239"/>
    <mergeCell ref="J239:K239"/>
    <mergeCell ref="M239:N239"/>
    <mergeCell ref="G240:H240"/>
    <mergeCell ref="J240:K240"/>
    <mergeCell ref="M240:N240"/>
    <mergeCell ref="G241:H241"/>
    <mergeCell ref="J241:K241"/>
    <mergeCell ref="M241:N241"/>
    <mergeCell ref="G226:H226"/>
    <mergeCell ref="J226:K226"/>
    <mergeCell ref="A236:A241"/>
    <mergeCell ref="B236:B241"/>
    <mergeCell ref="A152:A157"/>
    <mergeCell ref="B152:B157"/>
    <mergeCell ref="C152:C157"/>
    <mergeCell ref="D152:D157"/>
    <mergeCell ref="E152:E157"/>
    <mergeCell ref="A139:A144"/>
    <mergeCell ref="B139:B144"/>
    <mergeCell ref="C139:C144"/>
    <mergeCell ref="D139:D144"/>
    <mergeCell ref="E139:E144"/>
    <mergeCell ref="G225:H225"/>
    <mergeCell ref="J225:K225"/>
    <mergeCell ref="M225:N225"/>
    <mergeCell ref="A42:A47"/>
    <mergeCell ref="B42:B47"/>
    <mergeCell ref="C42:C47"/>
    <mergeCell ref="D42:D47"/>
    <mergeCell ref="E42:E47"/>
    <mergeCell ref="A48:A53"/>
    <mergeCell ref="B48:B53"/>
    <mergeCell ref="C48:C53"/>
    <mergeCell ref="D48:D53"/>
    <mergeCell ref="E48:E53"/>
    <mergeCell ref="A54:A59"/>
    <mergeCell ref="B54:B59"/>
    <mergeCell ref="C54:C59"/>
    <mergeCell ref="D54:D59"/>
    <mergeCell ref="E54:E59"/>
    <mergeCell ref="A84:A89"/>
    <mergeCell ref="B84:B89"/>
    <mergeCell ref="C84:C89"/>
    <mergeCell ref="D84:D89"/>
    <mergeCell ref="J174:K174"/>
    <mergeCell ref="M174:N174"/>
    <mergeCell ref="J98:K98"/>
    <mergeCell ref="M98:N98"/>
    <mergeCell ref="B176:B181"/>
    <mergeCell ref="C176:C181"/>
    <mergeCell ref="D176:D181"/>
    <mergeCell ref="E176:E181"/>
    <mergeCell ref="G177:H177"/>
    <mergeCell ref="J177:K177"/>
    <mergeCell ref="E84:E89"/>
    <mergeCell ref="A72:A77"/>
    <mergeCell ref="B72:B77"/>
    <mergeCell ref="A90:A95"/>
    <mergeCell ref="B90:B95"/>
    <mergeCell ref="C90:C95"/>
    <mergeCell ref="A224:A229"/>
    <mergeCell ref="B224:B229"/>
    <mergeCell ref="C224:C229"/>
    <mergeCell ref="D224:D229"/>
    <mergeCell ref="E224:E229"/>
    <mergeCell ref="A158:A163"/>
    <mergeCell ref="B158:B163"/>
    <mergeCell ref="C158:C163"/>
    <mergeCell ref="D158:D163"/>
    <mergeCell ref="E158:E163"/>
    <mergeCell ref="A170:A175"/>
    <mergeCell ref="B170:B175"/>
    <mergeCell ref="C170:C175"/>
    <mergeCell ref="D170:D175"/>
    <mergeCell ref="E170:E175"/>
    <mergeCell ref="A176:A181"/>
    <mergeCell ref="M140:N140"/>
    <mergeCell ref="G141:H141"/>
    <mergeCell ref="J141:K141"/>
    <mergeCell ref="M141:N141"/>
    <mergeCell ref="G142:H142"/>
    <mergeCell ref="J142:K142"/>
    <mergeCell ref="M142:N142"/>
    <mergeCell ref="G143:H143"/>
    <mergeCell ref="J143:K143"/>
    <mergeCell ref="M143:N143"/>
    <mergeCell ref="D90:D95"/>
    <mergeCell ref="E90:E95"/>
    <mergeCell ref="E206:E211"/>
    <mergeCell ref="A164:A169"/>
    <mergeCell ref="B164:B169"/>
    <mergeCell ref="C164:C169"/>
    <mergeCell ref="D164:D169"/>
    <mergeCell ref="E164:E169"/>
    <mergeCell ref="G165:H165"/>
    <mergeCell ref="J165:K165"/>
    <mergeCell ref="M165:N165"/>
    <mergeCell ref="J166:K166"/>
    <mergeCell ref="M166:N166"/>
    <mergeCell ref="G167:H167"/>
    <mergeCell ref="J167:K167"/>
    <mergeCell ref="M167:N167"/>
    <mergeCell ref="G168:H168"/>
    <mergeCell ref="J168:K168"/>
    <mergeCell ref="M168:N168"/>
    <mergeCell ref="G169:H169"/>
    <mergeCell ref="J169:K169"/>
    <mergeCell ref="M169:N169"/>
    <mergeCell ref="G178:H178"/>
    <mergeCell ref="J178:K178"/>
    <mergeCell ref="M178:N178"/>
    <mergeCell ref="G179:H179"/>
    <mergeCell ref="J179:K179"/>
    <mergeCell ref="M179:N179"/>
    <mergeCell ref="G180:H180"/>
    <mergeCell ref="J180:K180"/>
    <mergeCell ref="M180:N180"/>
    <mergeCell ref="G67:H67"/>
    <mergeCell ref="J67:K67"/>
    <mergeCell ref="M67:N67"/>
    <mergeCell ref="G68:H68"/>
    <mergeCell ref="J68:K68"/>
    <mergeCell ref="M68:N68"/>
    <mergeCell ref="G69:H69"/>
    <mergeCell ref="J69:K69"/>
    <mergeCell ref="M69:N69"/>
    <mergeCell ref="G70:H70"/>
    <mergeCell ref="J70:K70"/>
    <mergeCell ref="M70:N70"/>
    <mergeCell ref="G71:H71"/>
    <mergeCell ref="J173:K173"/>
    <mergeCell ref="M173:N173"/>
    <mergeCell ref="G174:H174"/>
    <mergeCell ref="J71:K71"/>
    <mergeCell ref="M71:N71"/>
    <mergeCell ref="G97:H97"/>
    <mergeCell ref="G153:H153"/>
    <mergeCell ref="J153:K153"/>
    <mergeCell ref="M153:N153"/>
    <mergeCell ref="G154:H154"/>
    <mergeCell ref="J185:K185"/>
    <mergeCell ref="M185:N185"/>
    <mergeCell ref="G186:H186"/>
    <mergeCell ref="J186:K186"/>
    <mergeCell ref="M186:N186"/>
    <mergeCell ref="G187:H187"/>
    <mergeCell ref="J187:K187"/>
    <mergeCell ref="M187:N187"/>
    <mergeCell ref="G166:H166"/>
    <mergeCell ref="G58:H58"/>
    <mergeCell ref="J58:K58"/>
    <mergeCell ref="M58:N58"/>
    <mergeCell ref="G59:H59"/>
    <mergeCell ref="J59:K59"/>
    <mergeCell ref="M59:N59"/>
    <mergeCell ref="G98:H98"/>
    <mergeCell ref="G175:H175"/>
    <mergeCell ref="M128:N128"/>
    <mergeCell ref="G129:H129"/>
    <mergeCell ref="J129:K129"/>
    <mergeCell ref="M129:N129"/>
    <mergeCell ref="G130:H130"/>
    <mergeCell ref="M130:N130"/>
    <mergeCell ref="M110:N110"/>
    <mergeCell ref="J112:K112"/>
    <mergeCell ref="J157:K157"/>
    <mergeCell ref="J111:K111"/>
    <mergeCell ref="M111:N111"/>
    <mergeCell ref="J120:K120"/>
    <mergeCell ref="M120:N120"/>
    <mergeCell ref="M114:N114"/>
    <mergeCell ref="M113:N113"/>
    <mergeCell ref="A182:A187"/>
    <mergeCell ref="B182:B187"/>
    <mergeCell ref="C182:C187"/>
    <mergeCell ref="D182:D187"/>
    <mergeCell ref="M63:N63"/>
    <mergeCell ref="G64:H64"/>
    <mergeCell ref="J64:K64"/>
    <mergeCell ref="M64:N64"/>
    <mergeCell ref="G65:H65"/>
    <mergeCell ref="J65:K65"/>
    <mergeCell ref="M65:N65"/>
    <mergeCell ref="J62:K62"/>
    <mergeCell ref="M62:N62"/>
    <mergeCell ref="G63:H63"/>
    <mergeCell ref="J63:K63"/>
    <mergeCell ref="G99:H99"/>
    <mergeCell ref="J99:K99"/>
    <mergeCell ref="M99:N99"/>
    <mergeCell ref="M100:N100"/>
    <mergeCell ref="G101:H101"/>
    <mergeCell ref="J101:K101"/>
    <mergeCell ref="M101:N101"/>
    <mergeCell ref="G181:H181"/>
    <mergeCell ref="J181:K181"/>
    <mergeCell ref="M181:N181"/>
    <mergeCell ref="E182:E187"/>
    <mergeCell ref="G183:H183"/>
    <mergeCell ref="J183:K183"/>
    <mergeCell ref="M183:N183"/>
    <mergeCell ref="G184:H184"/>
    <mergeCell ref="J184:K184"/>
    <mergeCell ref="M184:N184"/>
    <mergeCell ref="A188:A193"/>
    <mergeCell ref="B188:B193"/>
    <mergeCell ref="C188:C193"/>
    <mergeCell ref="D188:D193"/>
    <mergeCell ref="E188:E193"/>
    <mergeCell ref="G189:H189"/>
    <mergeCell ref="J189:K189"/>
    <mergeCell ref="M189:N189"/>
    <mergeCell ref="G190:H190"/>
    <mergeCell ref="J190:K190"/>
    <mergeCell ref="M190:N190"/>
    <mergeCell ref="G191:H191"/>
    <mergeCell ref="J191:K191"/>
    <mergeCell ref="M191:N191"/>
    <mergeCell ref="G192:H192"/>
    <mergeCell ref="J192:K192"/>
    <mergeCell ref="G193:H193"/>
    <mergeCell ref="J193:K193"/>
    <mergeCell ref="A24:A29"/>
    <mergeCell ref="B24:B29"/>
    <mergeCell ref="C24:C29"/>
    <mergeCell ref="D24:D29"/>
    <mergeCell ref="E24:E29"/>
    <mergeCell ref="G25:H25"/>
    <mergeCell ref="J25:K25"/>
    <mergeCell ref="M25:N25"/>
    <mergeCell ref="G26:H26"/>
    <mergeCell ref="J26:K26"/>
    <mergeCell ref="M26:N26"/>
    <mergeCell ref="G27:H27"/>
    <mergeCell ref="J27:K27"/>
    <mergeCell ref="M27:N27"/>
    <mergeCell ref="G28:H28"/>
    <mergeCell ref="J28:K28"/>
    <mergeCell ref="M28:N28"/>
    <mergeCell ref="G29:H29"/>
    <mergeCell ref="J29:K29"/>
    <mergeCell ref="M29:N29"/>
    <mergeCell ref="J33:K33"/>
    <mergeCell ref="M33:N33"/>
    <mergeCell ref="G34:H34"/>
    <mergeCell ref="J34:K34"/>
    <mergeCell ref="M34:N34"/>
    <mergeCell ref="G35:H35"/>
    <mergeCell ref="J35:K35"/>
    <mergeCell ref="M35:N35"/>
    <mergeCell ref="G61:H61"/>
    <mergeCell ref="J61:K61"/>
    <mergeCell ref="M61:N61"/>
    <mergeCell ref="G62:H62"/>
    <mergeCell ref="G100:H100"/>
    <mergeCell ref="J100:K100"/>
    <mergeCell ref="J175:K175"/>
    <mergeCell ref="M175:N175"/>
    <mergeCell ref="J52:K52"/>
    <mergeCell ref="M52:N52"/>
    <mergeCell ref="G53:H53"/>
    <mergeCell ref="J53:K53"/>
    <mergeCell ref="M53:N53"/>
    <mergeCell ref="J154:K154"/>
    <mergeCell ref="M154:N154"/>
    <mergeCell ref="G155:H155"/>
    <mergeCell ref="J155:K155"/>
    <mergeCell ref="M155:N155"/>
    <mergeCell ref="G156:H156"/>
    <mergeCell ref="J156:K156"/>
    <mergeCell ref="M156:N156"/>
    <mergeCell ref="G157:H157"/>
    <mergeCell ref="G140:H140"/>
    <mergeCell ref="J140:K140"/>
    <mergeCell ref="G185:H185"/>
    <mergeCell ref="A327:A332"/>
    <mergeCell ref="B327:B332"/>
    <mergeCell ref="C327:C332"/>
    <mergeCell ref="D327:D332"/>
    <mergeCell ref="E327:E332"/>
    <mergeCell ref="G328:H328"/>
    <mergeCell ref="G332:H332"/>
    <mergeCell ref="G324:H324"/>
    <mergeCell ref="A321:A326"/>
    <mergeCell ref="J338:K338"/>
    <mergeCell ref="M51:N51"/>
    <mergeCell ref="G52:H52"/>
    <mergeCell ref="J332:K332"/>
    <mergeCell ref="M332:N332"/>
    <mergeCell ref="D315:D320"/>
    <mergeCell ref="E315:E320"/>
    <mergeCell ref="G316:H316"/>
    <mergeCell ref="J316:K316"/>
    <mergeCell ref="M316:N316"/>
    <mergeCell ref="G317:H317"/>
    <mergeCell ref="J317:K317"/>
    <mergeCell ref="M317:N317"/>
    <mergeCell ref="G318:H318"/>
    <mergeCell ref="J318:K318"/>
    <mergeCell ref="M318:N318"/>
    <mergeCell ref="G319:H319"/>
    <mergeCell ref="J319:K319"/>
    <mergeCell ref="M319:N319"/>
    <mergeCell ref="G320:H320"/>
    <mergeCell ref="J320:K320"/>
    <mergeCell ref="M320:N320"/>
    <mergeCell ref="M338:N338"/>
    <mergeCell ref="J334:K334"/>
    <mergeCell ref="M334:N334"/>
    <mergeCell ref="G335:H335"/>
    <mergeCell ref="J335:K335"/>
    <mergeCell ref="M335:N335"/>
    <mergeCell ref="G336:H336"/>
    <mergeCell ref="J336:K336"/>
    <mergeCell ref="M336:N336"/>
    <mergeCell ref="G337:H337"/>
    <mergeCell ref="J337:K337"/>
    <mergeCell ref="M337:N337"/>
    <mergeCell ref="A333:A338"/>
    <mergeCell ref="B333:B338"/>
    <mergeCell ref="C333:C338"/>
    <mergeCell ref="D333:D338"/>
    <mergeCell ref="E333:E338"/>
    <mergeCell ref="G334:H334"/>
    <mergeCell ref="G338:H338"/>
    <mergeCell ref="A212:A217"/>
    <mergeCell ref="B212:B217"/>
    <mergeCell ref="C212:C217"/>
    <mergeCell ref="D212:D217"/>
    <mergeCell ref="E212:E217"/>
    <mergeCell ref="G213:H213"/>
    <mergeCell ref="J213:K213"/>
    <mergeCell ref="M213:N213"/>
    <mergeCell ref="G214:H214"/>
    <mergeCell ref="J214:K214"/>
    <mergeCell ref="M214:N214"/>
    <mergeCell ref="G215:H215"/>
    <mergeCell ref="J215:K215"/>
    <mergeCell ref="M215:N215"/>
    <mergeCell ref="G216:H216"/>
    <mergeCell ref="J216:K216"/>
    <mergeCell ref="M216:N216"/>
    <mergeCell ref="G217:H217"/>
    <mergeCell ref="J217:K217"/>
    <mergeCell ref="M217:N217"/>
    <mergeCell ref="A218:A223"/>
    <mergeCell ref="B218:B223"/>
    <mergeCell ref="C218:C223"/>
    <mergeCell ref="D218:D223"/>
    <mergeCell ref="E218:E223"/>
    <mergeCell ref="G219:H219"/>
    <mergeCell ref="J219:K219"/>
    <mergeCell ref="M219:N219"/>
    <mergeCell ref="G220:H220"/>
    <mergeCell ref="J220:K220"/>
    <mergeCell ref="M220:N220"/>
    <mergeCell ref="G221:H221"/>
    <mergeCell ref="J221:K221"/>
    <mergeCell ref="M221:N221"/>
    <mergeCell ref="G222:H222"/>
    <mergeCell ref="J222:K222"/>
    <mergeCell ref="M222:N222"/>
    <mergeCell ref="G223:H223"/>
    <mergeCell ref="J223:K223"/>
    <mergeCell ref="M223:N223"/>
  </mergeCells>
  <phoneticPr fontId="45" type="noConversion"/>
  <pageMargins left="0.511811024" right="0.511811024" top="0.78740157499999996" bottom="0.78740157499999996" header="0.31496062000000002" footer="0.31496062000000002"/>
  <pageSetup paperSize="9" scale="75" fitToHeight="0" orientation="landscape" r:id="rId1"/>
  <rowBreaks count="5" manualBreakCount="5">
    <brk id="101" max="13" man="1"/>
    <brk id="144" max="13" man="1"/>
    <brk id="241" max="13" man="1"/>
    <brk id="277" max="13" man="1"/>
    <brk id="320" max="13"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92CB1-6C19-4944-8A8D-132E5908FAE4}">
  <sheetPr>
    <tabColor rgb="FF002060"/>
    <pageSetUpPr fitToPage="1"/>
  </sheetPr>
  <dimension ref="A1:K1772"/>
  <sheetViews>
    <sheetView workbookViewId="0">
      <selection activeCell="O12" sqref="O12"/>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s="418" customFormat="1" ht="60.75" customHeight="1" x14ac:dyDescent="0.2">
      <c r="A1" s="417"/>
      <c r="B1" s="417"/>
      <c r="C1" s="417"/>
      <c r="D1" s="417"/>
      <c r="E1" s="417"/>
      <c r="F1" s="417"/>
      <c r="G1" s="417"/>
      <c r="H1" s="417"/>
      <c r="I1" s="417"/>
    </row>
    <row r="2" spans="1:11" s="418" customFormat="1" x14ac:dyDescent="0.2">
      <c r="A2" s="417"/>
      <c r="B2" s="2050" t="s">
        <v>1213</v>
      </c>
      <c r="C2" s="2050"/>
      <c r="D2" s="2050"/>
      <c r="E2" s="2050"/>
      <c r="F2" s="2050"/>
      <c r="G2" s="2050"/>
      <c r="H2" s="2050"/>
      <c r="I2" s="417"/>
      <c r="K2" s="419"/>
    </row>
    <row r="3" spans="1:11" s="418" customFormat="1" x14ac:dyDescent="0.2">
      <c r="A3" s="417"/>
      <c r="B3" s="2050" t="s">
        <v>1214</v>
      </c>
      <c r="C3" s="2050"/>
      <c r="D3" s="2050"/>
      <c r="E3" s="2050"/>
      <c r="F3" s="2050"/>
      <c r="G3" s="2050"/>
      <c r="H3" s="2050"/>
      <c r="I3" s="417"/>
      <c r="K3" s="419"/>
    </row>
    <row r="4" spans="1:11" s="418" customFormat="1" ht="14.25" x14ac:dyDescent="0.2">
      <c r="A4" s="417"/>
      <c r="B4" s="2051"/>
      <c r="C4" s="2051"/>
      <c r="D4" s="2051"/>
      <c r="E4" s="2051"/>
      <c r="F4" s="2051"/>
      <c r="G4" s="2051"/>
      <c r="H4" s="2051"/>
      <c r="I4" s="417"/>
    </row>
    <row r="5" spans="1:11" s="418" customFormat="1" ht="14.25" x14ac:dyDescent="0.2">
      <c r="A5" s="417"/>
      <c r="B5" s="2051" t="s">
        <v>1216</v>
      </c>
      <c r="C5" s="2051"/>
      <c r="D5" s="2051"/>
      <c r="E5" s="2051"/>
      <c r="F5" s="2051"/>
      <c r="G5" s="2051"/>
      <c r="H5" s="2051"/>
      <c r="I5" s="417"/>
    </row>
    <row r="6" spans="1:11" s="418" customFormat="1" ht="15" customHeight="1" thickBot="1" x14ac:dyDescent="0.25">
      <c r="A6" s="417"/>
      <c r="B6" s="420"/>
      <c r="C6" s="420"/>
      <c r="D6" s="420"/>
      <c r="E6" s="420"/>
      <c r="F6" s="420"/>
      <c r="G6" s="420"/>
      <c r="H6" s="421" t="s">
        <v>1217</v>
      </c>
      <c r="I6" s="417"/>
    </row>
    <row r="7" spans="1:11" s="418" customFormat="1" ht="15.75" customHeight="1" thickBot="1" x14ac:dyDescent="0.25">
      <c r="A7" s="417"/>
      <c r="B7" s="422" t="s">
        <v>1218</v>
      </c>
      <c r="C7" s="2067" t="s">
        <v>1315</v>
      </c>
      <c r="D7" s="2068"/>
      <c r="E7" s="2067" t="s">
        <v>1316</v>
      </c>
      <c r="F7" s="2069"/>
      <c r="G7" s="2068"/>
      <c r="H7" s="423" t="s">
        <v>1220</v>
      </c>
      <c r="I7" s="417"/>
    </row>
    <row r="8" spans="1:11" s="418" customFormat="1" thickTop="1" x14ac:dyDescent="0.2">
      <c r="A8" s="417"/>
      <c r="B8" s="2052" t="s">
        <v>1221</v>
      </c>
      <c r="C8" s="2053"/>
      <c r="D8" s="2053"/>
      <c r="E8" s="2053"/>
      <c r="F8" s="2053"/>
      <c r="G8" s="2053"/>
      <c r="H8" s="2054"/>
      <c r="I8" s="417"/>
    </row>
    <row r="9" spans="1:11" s="418" customFormat="1" ht="14.25" x14ac:dyDescent="0.2">
      <c r="A9" s="417"/>
      <c r="B9" s="2055" t="s">
        <v>1222</v>
      </c>
      <c r="C9" s="477" t="s">
        <v>1223</v>
      </c>
      <c r="D9" s="478"/>
      <c r="E9" s="2064" t="s">
        <v>1247</v>
      </c>
      <c r="F9" s="2065"/>
      <c r="G9" s="2066"/>
      <c r="H9" s="424">
        <v>4.2999999999999997E-2</v>
      </c>
      <c r="I9" s="417"/>
    </row>
    <row r="10" spans="1:11" s="418" customFormat="1" ht="14.25" x14ac:dyDescent="0.2">
      <c r="A10" s="417"/>
      <c r="B10" s="2056"/>
      <c r="C10" s="479" t="s">
        <v>1224</v>
      </c>
      <c r="D10" s="480"/>
      <c r="E10" s="2061" t="s">
        <v>1317</v>
      </c>
      <c r="F10" s="2062"/>
      <c r="G10" s="2063"/>
      <c r="H10" s="424">
        <v>5.8999999999999999E-3</v>
      </c>
      <c r="I10" s="417"/>
    </row>
    <row r="11" spans="1:11" s="418" customFormat="1" ht="14.25" x14ac:dyDescent="0.2">
      <c r="A11" s="417"/>
      <c r="B11" s="2056"/>
      <c r="C11" s="479" t="s">
        <v>1225</v>
      </c>
      <c r="D11" s="480"/>
      <c r="E11" s="2061" t="s">
        <v>1250</v>
      </c>
      <c r="F11" s="2062"/>
      <c r="G11" s="2063"/>
      <c r="H11" s="424">
        <v>6.4999999999999997E-3</v>
      </c>
      <c r="I11" s="417"/>
    </row>
    <row r="12" spans="1:11" s="418" customFormat="1" ht="14.25" x14ac:dyDescent="0.2">
      <c r="A12" s="417"/>
      <c r="B12" s="2057"/>
      <c r="C12" s="481" t="s">
        <v>1226</v>
      </c>
      <c r="D12" s="482"/>
      <c r="E12" s="2058" t="s">
        <v>1254</v>
      </c>
      <c r="F12" s="2059"/>
      <c r="G12" s="2060"/>
      <c r="H12" s="424">
        <v>1.1599999999999999E-2</v>
      </c>
      <c r="I12" s="417"/>
    </row>
    <row r="13" spans="1:11" s="418" customFormat="1" thickBot="1" x14ac:dyDescent="0.25">
      <c r="A13" s="417"/>
      <c r="B13" s="2047" t="s">
        <v>1227</v>
      </c>
      <c r="C13" s="2048"/>
      <c r="D13" s="2048"/>
      <c r="E13" s="2048"/>
      <c r="F13" s="2048"/>
      <c r="G13" s="2049"/>
      <c r="H13" s="425">
        <v>6.7000000000000004E-2</v>
      </c>
      <c r="I13" s="417"/>
    </row>
    <row r="14" spans="1:11" s="418" customFormat="1" thickTop="1" x14ac:dyDescent="0.2">
      <c r="A14" s="417"/>
      <c r="B14" s="2052" t="s">
        <v>1318</v>
      </c>
      <c r="C14" s="2053"/>
      <c r="D14" s="2053"/>
      <c r="E14" s="2053"/>
      <c r="F14" s="2053"/>
      <c r="G14" s="2053"/>
      <c r="H14" s="2054"/>
      <c r="I14" s="417"/>
    </row>
    <row r="15" spans="1:11" s="418" customFormat="1" ht="14.25" x14ac:dyDescent="0.2">
      <c r="A15" s="417"/>
      <c r="B15" s="2055" t="s">
        <v>1229</v>
      </c>
      <c r="C15" s="477" t="s">
        <v>1230</v>
      </c>
      <c r="D15" s="478"/>
      <c r="E15" s="2064" t="s">
        <v>1236</v>
      </c>
      <c r="F15" s="2065"/>
      <c r="G15" s="2066"/>
      <c r="H15" s="426">
        <v>0.03</v>
      </c>
      <c r="I15" s="417"/>
    </row>
    <row r="16" spans="1:11" s="418" customFormat="1" ht="14.25" x14ac:dyDescent="0.2">
      <c r="A16" s="417"/>
      <c r="B16" s="2056"/>
      <c r="C16" s="479" t="s">
        <v>1231</v>
      </c>
      <c r="D16" s="480"/>
      <c r="E16" s="2061" t="s">
        <v>16</v>
      </c>
      <c r="F16" s="2062"/>
      <c r="G16" s="2063"/>
      <c r="H16" s="424">
        <v>6.4999999999999997E-3</v>
      </c>
      <c r="I16" s="417"/>
    </row>
    <row r="17" spans="1:9" s="418" customFormat="1" ht="14.25" x14ac:dyDescent="0.2">
      <c r="A17" s="417"/>
      <c r="B17" s="2056"/>
      <c r="C17" s="479" t="s">
        <v>1232</v>
      </c>
      <c r="D17" s="480"/>
      <c r="E17" s="2061" t="s">
        <v>1319</v>
      </c>
      <c r="F17" s="2062"/>
      <c r="G17" s="2063"/>
      <c r="H17" s="424">
        <v>0.01</v>
      </c>
      <c r="I17" s="417"/>
    </row>
    <row r="18" spans="1:9" s="418" customFormat="1" ht="14.25" x14ac:dyDescent="0.2">
      <c r="A18" s="417"/>
      <c r="B18" s="2057"/>
      <c r="C18" s="481" t="s">
        <v>1233</v>
      </c>
      <c r="D18" s="482"/>
      <c r="E18" s="2058" t="s">
        <v>1320</v>
      </c>
      <c r="F18" s="2059"/>
      <c r="G18" s="2060"/>
      <c r="H18" s="427">
        <v>0</v>
      </c>
      <c r="I18" s="417"/>
    </row>
    <row r="19" spans="1:9" s="418" customFormat="1" thickBot="1" x14ac:dyDescent="0.25">
      <c r="A19" s="417"/>
      <c r="B19" s="2047" t="s">
        <v>1234</v>
      </c>
      <c r="C19" s="2048"/>
      <c r="D19" s="2048"/>
      <c r="E19" s="2048"/>
      <c r="F19" s="2048"/>
      <c r="G19" s="2049"/>
      <c r="H19" s="425">
        <v>4.65E-2</v>
      </c>
      <c r="I19" s="417"/>
    </row>
    <row r="20" spans="1:9" s="418" customFormat="1" thickTop="1" x14ac:dyDescent="0.2">
      <c r="A20" s="417"/>
      <c r="B20" s="2052" t="s">
        <v>1235</v>
      </c>
      <c r="C20" s="2053"/>
      <c r="D20" s="2053"/>
      <c r="E20" s="2053"/>
      <c r="F20" s="2053"/>
      <c r="G20" s="2053"/>
      <c r="H20" s="2054"/>
      <c r="I20" s="417"/>
    </row>
    <row r="21" spans="1:9" s="418" customFormat="1" ht="14.25" x14ac:dyDescent="0.2">
      <c r="A21" s="417"/>
      <c r="B21" s="428" t="s">
        <v>1236</v>
      </c>
      <c r="C21" s="475" t="s">
        <v>1237</v>
      </c>
      <c r="D21" s="476"/>
      <c r="E21" s="2083" t="s">
        <v>56</v>
      </c>
      <c r="F21" s="2084"/>
      <c r="G21" s="2085"/>
      <c r="H21" s="424">
        <v>7.4700000000000003E-2</v>
      </c>
      <c r="I21" s="417"/>
    </row>
    <row r="22" spans="1:9" s="418" customFormat="1" thickBot="1" x14ac:dyDescent="0.25">
      <c r="A22" s="417"/>
      <c r="B22" s="2047" t="s">
        <v>1238</v>
      </c>
      <c r="C22" s="2048"/>
      <c r="D22" s="2048"/>
      <c r="E22" s="2048"/>
      <c r="F22" s="2048"/>
      <c r="G22" s="2049"/>
      <c r="H22" s="425">
        <v>7.4700000000000003E-2</v>
      </c>
      <c r="I22" s="417"/>
    </row>
    <row r="23" spans="1:9" s="418" customFormat="1" ht="15.75" thickTop="1" thickBot="1" x14ac:dyDescent="0.25">
      <c r="A23" s="417"/>
      <c r="B23" s="2074" t="s">
        <v>1239</v>
      </c>
      <c r="C23" s="2075"/>
      <c r="D23" s="2075"/>
      <c r="E23" s="2075"/>
      <c r="F23" s="2075"/>
      <c r="G23" s="2076"/>
      <c r="H23" s="429">
        <v>0.2033513845915047</v>
      </c>
      <c r="I23" s="417"/>
    </row>
    <row r="24" spans="1:9" s="418" customFormat="1" ht="20.100000000000001" customHeight="1" x14ac:dyDescent="0.2">
      <c r="A24" s="417"/>
      <c r="B24" s="430"/>
      <c r="C24" s="430"/>
      <c r="D24" s="430"/>
      <c r="E24" s="430"/>
      <c r="F24" s="430"/>
      <c r="G24" s="430"/>
      <c r="H24" s="430"/>
      <c r="I24" s="417"/>
    </row>
    <row r="25" spans="1:9" s="418" customFormat="1" ht="15.75" customHeight="1" x14ac:dyDescent="0.2">
      <c r="A25" s="417"/>
      <c r="B25" s="2077" t="s">
        <v>1240</v>
      </c>
      <c r="C25" s="2077"/>
      <c r="D25" s="2077"/>
      <c r="E25" s="2077"/>
      <c r="F25" s="2077"/>
      <c r="G25" s="2077"/>
      <c r="H25" s="2077"/>
      <c r="I25" s="417"/>
    </row>
    <row r="26" spans="1:9" s="418" customFormat="1" ht="21" customHeight="1" x14ac:dyDescent="0.2">
      <c r="A26" s="417"/>
      <c r="B26" s="2078" t="s">
        <v>1241</v>
      </c>
      <c r="C26" s="2079" t="s">
        <v>1242</v>
      </c>
      <c r="D26" s="431" t="s">
        <v>1243</v>
      </c>
      <c r="E26" s="2080" t="s">
        <v>1244</v>
      </c>
      <c r="F26" s="2081">
        <v>-1</v>
      </c>
      <c r="G26" s="2082" t="s">
        <v>1245</v>
      </c>
      <c r="H26" s="2073" t="s">
        <v>1246</v>
      </c>
      <c r="I26" s="417"/>
    </row>
    <row r="27" spans="1:9" s="418" customFormat="1" ht="21" customHeight="1" x14ac:dyDescent="0.2">
      <c r="A27" s="417"/>
      <c r="B27" s="2078"/>
      <c r="C27" s="2079"/>
      <c r="D27" s="432" t="s">
        <v>1321</v>
      </c>
      <c r="E27" s="2080"/>
      <c r="F27" s="2081"/>
      <c r="G27" s="2082"/>
      <c r="H27" s="2073"/>
      <c r="I27" s="417"/>
    </row>
    <row r="28" spans="1:9" s="418" customFormat="1" ht="3" customHeight="1" x14ac:dyDescent="0.2">
      <c r="A28" s="417"/>
      <c r="B28" s="430"/>
      <c r="C28" s="430"/>
      <c r="D28" s="430"/>
      <c r="E28" s="430"/>
      <c r="F28" s="430"/>
      <c r="G28" s="430"/>
      <c r="H28" s="430"/>
      <c r="I28" s="417"/>
    </row>
    <row r="29" spans="1:9" s="418" customFormat="1" ht="14.25" x14ac:dyDescent="0.2">
      <c r="A29" s="417"/>
      <c r="B29" s="433" t="s">
        <v>1247</v>
      </c>
      <c r="C29" s="2071" t="s">
        <v>1248</v>
      </c>
      <c r="D29" s="2071"/>
      <c r="E29" s="2071"/>
      <c r="F29" s="2071"/>
      <c r="G29" s="2071"/>
      <c r="H29" s="2071"/>
      <c r="I29" s="417"/>
    </row>
    <row r="30" spans="1:9" s="418" customFormat="1" ht="14.25" x14ac:dyDescent="0.2">
      <c r="A30" s="417"/>
      <c r="B30" s="433" t="s">
        <v>1150</v>
      </c>
      <c r="C30" s="2071" t="s">
        <v>1249</v>
      </c>
      <c r="D30" s="2071"/>
      <c r="E30" s="2071"/>
      <c r="F30" s="2071"/>
      <c r="G30" s="2071"/>
      <c r="H30" s="2071"/>
      <c r="I30" s="417"/>
    </row>
    <row r="31" spans="1:9" s="418" customFormat="1" ht="14.25" x14ac:dyDescent="0.2">
      <c r="A31" s="417"/>
      <c r="B31" s="433" t="s">
        <v>1250</v>
      </c>
      <c r="C31" s="2071" t="s">
        <v>1251</v>
      </c>
      <c r="D31" s="2071"/>
      <c r="E31" s="2071"/>
      <c r="F31" s="2071"/>
      <c r="G31" s="2071"/>
      <c r="H31" s="2071"/>
      <c r="I31" s="417"/>
    </row>
    <row r="32" spans="1:9" s="418" customFormat="1" ht="14.25" x14ac:dyDescent="0.2">
      <c r="A32" s="417"/>
      <c r="B32" s="433" t="s">
        <v>1252</v>
      </c>
      <c r="C32" s="2071" t="s">
        <v>1253</v>
      </c>
      <c r="D32" s="2071"/>
      <c r="E32" s="2071"/>
      <c r="F32" s="2071"/>
      <c r="G32" s="2071"/>
      <c r="H32" s="2071"/>
      <c r="I32" s="417"/>
    </row>
    <row r="33" spans="1:9" s="418" customFormat="1" ht="14.25" x14ac:dyDescent="0.2">
      <c r="A33" s="417"/>
      <c r="B33" s="433" t="s">
        <v>1254</v>
      </c>
      <c r="C33" s="2071" t="s">
        <v>1255</v>
      </c>
      <c r="D33" s="2071"/>
      <c r="E33" s="2071"/>
      <c r="F33" s="2071"/>
      <c r="G33" s="2071"/>
      <c r="H33" s="2071"/>
      <c r="I33" s="417"/>
    </row>
    <row r="34" spans="1:9" s="418" customFormat="1" ht="14.25" x14ac:dyDescent="0.2">
      <c r="A34" s="417"/>
      <c r="B34" s="433" t="s">
        <v>56</v>
      </c>
      <c r="C34" s="2071" t="s">
        <v>1256</v>
      </c>
      <c r="D34" s="2071"/>
      <c r="E34" s="2071"/>
      <c r="F34" s="2071"/>
      <c r="G34" s="2071"/>
      <c r="H34" s="2071"/>
      <c r="I34" s="417"/>
    </row>
    <row r="35" spans="1:9" s="418" customFormat="1" ht="14.25" x14ac:dyDescent="0.2">
      <c r="A35" s="417"/>
      <c r="B35" s="433" t="s">
        <v>1257</v>
      </c>
      <c r="C35" s="2071" t="s">
        <v>1258</v>
      </c>
      <c r="D35" s="2071"/>
      <c r="E35" s="2071"/>
      <c r="F35" s="2071"/>
      <c r="G35" s="2071"/>
      <c r="H35" s="2071"/>
      <c r="I35" s="417"/>
    </row>
    <row r="36" spans="1:9" s="436" customFormat="1" ht="44.25" customHeight="1" x14ac:dyDescent="0.2">
      <c r="A36" s="434"/>
      <c r="B36" s="435"/>
      <c r="C36" s="2072" t="s">
        <v>1259</v>
      </c>
      <c r="D36" s="2072"/>
      <c r="E36" s="2072"/>
      <c r="F36" s="2072"/>
      <c r="G36" s="2072"/>
      <c r="H36" s="2072"/>
      <c r="I36" s="434"/>
    </row>
    <row r="37" spans="1:9" s="418" customFormat="1" ht="15" customHeight="1" x14ac:dyDescent="0.2">
      <c r="A37" s="417"/>
      <c r="B37" s="430"/>
      <c r="C37" s="430"/>
      <c r="D37" s="430"/>
      <c r="E37" s="430"/>
      <c r="F37" s="430"/>
      <c r="G37" s="430"/>
      <c r="H37" s="430"/>
      <c r="I37" s="417"/>
    </row>
    <row r="38" spans="1:9" s="418" customFormat="1" ht="14.25" x14ac:dyDescent="0.2">
      <c r="A38" s="417"/>
      <c r="B38" s="2070" t="s">
        <v>1260</v>
      </c>
      <c r="C38" s="2070"/>
      <c r="D38" s="2070"/>
      <c r="E38" s="2070"/>
      <c r="F38" s="2070"/>
      <c r="G38" s="2070"/>
      <c r="H38" s="2070"/>
      <c r="I38" s="417"/>
    </row>
    <row r="39" spans="1:9" s="418" customFormat="1" ht="14.25" x14ac:dyDescent="0.2">
      <c r="A39" s="417"/>
      <c r="B39" s="2070" t="s">
        <v>1261</v>
      </c>
      <c r="C39" s="2070"/>
      <c r="D39" s="2070"/>
      <c r="E39" s="2070"/>
      <c r="F39" s="2070"/>
      <c r="G39" s="2070"/>
      <c r="H39" s="2070"/>
      <c r="I39" s="417"/>
    </row>
    <row r="40" spans="1:9" s="418" customFormat="1" ht="5.0999999999999996" customHeight="1" x14ac:dyDescent="0.2">
      <c r="A40" s="417"/>
      <c r="B40" s="417"/>
      <c r="C40" s="417"/>
      <c r="D40" s="417"/>
      <c r="E40" s="417"/>
      <c r="F40" s="417"/>
      <c r="G40" s="417"/>
      <c r="H40" s="417"/>
      <c r="I40" s="417"/>
    </row>
    <row r="41" spans="1:9" s="418" customFormat="1" ht="14.25" x14ac:dyDescent="0.2"/>
    <row r="42" spans="1:9" s="418" customFormat="1" ht="14.25" x14ac:dyDescent="0.2"/>
    <row r="43" spans="1:9" s="418" customFormat="1" ht="14.25" x14ac:dyDescent="0.2"/>
    <row r="44" spans="1:9" s="418" customFormat="1" ht="14.25" hidden="1" x14ac:dyDescent="0.2">
      <c r="B44" s="437" t="s">
        <v>1215</v>
      </c>
    </row>
    <row r="45" spans="1:9" s="418" customFormat="1" ht="14.25" hidden="1" x14ac:dyDescent="0.2">
      <c r="B45" s="437" t="s">
        <v>1262</v>
      </c>
    </row>
    <row r="46" spans="1:9" s="418" customFormat="1" ht="14.25" hidden="1" x14ac:dyDescent="0.2">
      <c r="B46" s="437" t="s">
        <v>1269</v>
      </c>
    </row>
    <row r="47" spans="1:9" s="418" customFormat="1" ht="14.25" hidden="1" x14ac:dyDescent="0.2">
      <c r="B47" s="437" t="s">
        <v>1270</v>
      </c>
    </row>
    <row r="48" spans="1:9" s="418" customFormat="1" ht="14.25" hidden="1" x14ac:dyDescent="0.2">
      <c r="B48" s="437" t="s">
        <v>1271</v>
      </c>
    </row>
    <row r="49" spans="2:10" s="418" customFormat="1" ht="14.25" hidden="1" x14ac:dyDescent="0.2">
      <c r="B49" s="437" t="s">
        <v>1272</v>
      </c>
    </row>
    <row r="50" spans="2:10" s="418" customFormat="1" ht="14.25" hidden="1" x14ac:dyDescent="0.2">
      <c r="B50" s="437" t="s">
        <v>1266</v>
      </c>
    </row>
    <row r="51" spans="2:10" s="418" customFormat="1" ht="14.25" hidden="1" x14ac:dyDescent="0.2"/>
    <row r="52" spans="2:10" s="418" customFormat="1" ht="14.25" hidden="1" x14ac:dyDescent="0.2">
      <c r="B52" s="437" t="s">
        <v>1263</v>
      </c>
    </row>
    <row r="53" spans="2:10" s="418" customFormat="1" ht="14.25" hidden="1" x14ac:dyDescent="0.2">
      <c r="B53" s="437" t="s">
        <v>1216</v>
      </c>
    </row>
    <row r="54" spans="2:10" s="418" customFormat="1" ht="14.25" hidden="1" x14ac:dyDescent="0.2"/>
    <row r="55" spans="2:10" s="418" customFormat="1" ht="14.25" hidden="1" x14ac:dyDescent="0.2">
      <c r="B55" s="437" t="s">
        <v>1264</v>
      </c>
    </row>
    <row r="56" spans="2:10" s="418" customFormat="1" ht="14.25" hidden="1" x14ac:dyDescent="0.2">
      <c r="B56" s="437" t="s">
        <v>1217</v>
      </c>
      <c r="H56" s="438"/>
      <c r="I56" s="438"/>
      <c r="J56" s="438"/>
    </row>
    <row r="57" spans="2:10" s="418" customFormat="1" ht="14.25" hidden="1" x14ac:dyDescent="0.2">
      <c r="B57" s="437" t="s">
        <v>1265</v>
      </c>
    </row>
    <row r="58" spans="2:10" s="418" customFormat="1" ht="14.25" x14ac:dyDescent="0.2"/>
    <row r="59" spans="2:10" s="418" customFormat="1" ht="14.25" x14ac:dyDescent="0.2"/>
    <row r="60" spans="2:10" s="418" customFormat="1" ht="14.25" x14ac:dyDescent="0.2"/>
    <row r="61" spans="2:10" s="418" customFormat="1" ht="14.25" x14ac:dyDescent="0.2"/>
    <row r="62" spans="2:10" s="418" customFormat="1" ht="14.25" x14ac:dyDescent="0.2"/>
    <row r="63" spans="2:10" s="418" customFormat="1" ht="14.25" x14ac:dyDescent="0.2"/>
    <row r="64" spans="2:10" s="418" customFormat="1" ht="14.25" x14ac:dyDescent="0.2"/>
    <row r="65" s="418" customFormat="1" ht="14.25" x14ac:dyDescent="0.2"/>
    <row r="66" s="418" customFormat="1" ht="14.25" x14ac:dyDescent="0.2"/>
    <row r="67" s="418" customFormat="1" ht="14.25" x14ac:dyDescent="0.2"/>
    <row r="68" s="418" customFormat="1" ht="14.25" x14ac:dyDescent="0.2"/>
    <row r="69" s="418" customFormat="1" ht="14.25" x14ac:dyDescent="0.2"/>
    <row r="70" s="418" customFormat="1" ht="14.25" x14ac:dyDescent="0.2"/>
    <row r="71" s="418" customFormat="1" ht="14.25" x14ac:dyDescent="0.2"/>
    <row r="72" s="418" customFormat="1" ht="14.25" x14ac:dyDescent="0.2"/>
    <row r="73" s="418" customFormat="1" ht="14.25" x14ac:dyDescent="0.2"/>
    <row r="74" s="418" customFormat="1" ht="14.25" x14ac:dyDescent="0.2"/>
    <row r="75" s="418" customFormat="1" ht="14.25" x14ac:dyDescent="0.2"/>
    <row r="76" s="418" customFormat="1" ht="14.25" x14ac:dyDescent="0.2"/>
    <row r="77" s="418" customFormat="1" ht="14.25" x14ac:dyDescent="0.2"/>
    <row r="78" s="418" customFormat="1" ht="14.25" x14ac:dyDescent="0.2"/>
    <row r="79" s="418" customFormat="1" ht="14.25" x14ac:dyDescent="0.2"/>
    <row r="80" s="418" customFormat="1" ht="14.25" x14ac:dyDescent="0.2"/>
    <row r="81" s="418" customFormat="1" ht="14.25" x14ac:dyDescent="0.2"/>
    <row r="82" s="418" customFormat="1" ht="14.25" x14ac:dyDescent="0.2"/>
    <row r="83" s="418" customFormat="1" ht="14.25" x14ac:dyDescent="0.2"/>
    <row r="84" s="418" customFormat="1" ht="14.25" x14ac:dyDescent="0.2"/>
    <row r="85" s="418" customFormat="1" ht="14.25" x14ac:dyDescent="0.2"/>
    <row r="86" s="418" customFormat="1" ht="14.25" x14ac:dyDescent="0.2"/>
    <row r="87" s="418" customFormat="1" ht="14.25" x14ac:dyDescent="0.2"/>
    <row r="88" s="418" customFormat="1" ht="14.25" x14ac:dyDescent="0.2"/>
    <row r="89" s="418" customFormat="1" ht="14.25" x14ac:dyDescent="0.2"/>
    <row r="90" s="418" customFormat="1" ht="14.25" x14ac:dyDescent="0.2"/>
    <row r="91" s="418" customFormat="1" ht="14.25" x14ac:dyDescent="0.2"/>
    <row r="92" s="418" customFormat="1" ht="14.25" x14ac:dyDescent="0.2"/>
    <row r="93" s="418" customFormat="1" ht="14.25" x14ac:dyDescent="0.2"/>
    <row r="94" s="418" customFormat="1" ht="14.25" x14ac:dyDescent="0.2"/>
    <row r="95" s="418" customFormat="1" ht="14.25" x14ac:dyDescent="0.2"/>
    <row r="96" s="418" customFormat="1" ht="14.25" x14ac:dyDescent="0.2"/>
    <row r="97" s="418" customFormat="1" ht="14.25" x14ac:dyDescent="0.2"/>
    <row r="98" s="418" customFormat="1" ht="14.25" x14ac:dyDescent="0.2"/>
    <row r="99" s="418" customFormat="1" ht="14.25" x14ac:dyDescent="0.2"/>
    <row r="100" s="418" customFormat="1" ht="14.25" x14ac:dyDescent="0.2"/>
    <row r="101" s="418" customFormat="1" ht="14.25" x14ac:dyDescent="0.2"/>
    <row r="102" s="418" customFormat="1" ht="14.25" x14ac:dyDescent="0.2"/>
    <row r="103" s="418" customFormat="1" ht="14.25" x14ac:dyDescent="0.2"/>
    <row r="104" s="418" customFormat="1" ht="14.25" x14ac:dyDescent="0.2"/>
    <row r="105" s="418" customFormat="1" ht="14.25" x14ac:dyDescent="0.2"/>
    <row r="106" s="418" customFormat="1" ht="14.25" x14ac:dyDescent="0.2"/>
    <row r="107" s="418" customFormat="1" ht="14.25" x14ac:dyDescent="0.2"/>
    <row r="108" s="418" customFormat="1" ht="14.25" x14ac:dyDescent="0.2"/>
    <row r="109" s="418" customFormat="1" ht="14.25" x14ac:dyDescent="0.2"/>
    <row r="110" s="418" customFormat="1" ht="14.25" x14ac:dyDescent="0.2"/>
    <row r="111" s="418" customFormat="1" ht="14.25" x14ac:dyDescent="0.2"/>
    <row r="112" s="418" customFormat="1" ht="14.25" x14ac:dyDescent="0.2"/>
    <row r="113" s="418" customFormat="1" ht="14.25" x14ac:dyDescent="0.2"/>
    <row r="114" s="418" customFormat="1" ht="14.25" x14ac:dyDescent="0.2"/>
    <row r="115" s="418" customFormat="1" ht="14.25" x14ac:dyDescent="0.2"/>
    <row r="116" s="418" customFormat="1" ht="14.25" x14ac:dyDescent="0.2"/>
    <row r="117" s="418" customFormat="1" ht="14.25" x14ac:dyDescent="0.2"/>
    <row r="118" s="418" customFormat="1" ht="14.25" x14ac:dyDescent="0.2"/>
    <row r="119" s="418" customFormat="1" ht="14.25" x14ac:dyDescent="0.2"/>
    <row r="120" s="418" customFormat="1" ht="14.25" x14ac:dyDescent="0.2"/>
    <row r="121" s="418" customFormat="1" ht="14.25" x14ac:dyDescent="0.2"/>
    <row r="122" s="418" customFormat="1" ht="14.25" x14ac:dyDescent="0.2"/>
    <row r="123" s="418" customFormat="1" ht="14.25" x14ac:dyDescent="0.2"/>
    <row r="124" s="418" customFormat="1" ht="14.25" x14ac:dyDescent="0.2"/>
    <row r="125" s="418" customFormat="1" ht="14.25" x14ac:dyDescent="0.2"/>
    <row r="126" s="418" customFormat="1" ht="14.25" x14ac:dyDescent="0.2"/>
    <row r="127" s="418" customFormat="1" ht="14.25" x14ac:dyDescent="0.2"/>
    <row r="128" s="418" customFormat="1" ht="14.25" x14ac:dyDescent="0.2"/>
    <row r="129" s="418" customFormat="1" ht="14.25" x14ac:dyDescent="0.2"/>
    <row r="130" s="418" customFormat="1" ht="14.25" x14ac:dyDescent="0.2"/>
    <row r="131" s="418" customFormat="1" ht="14.25" x14ac:dyDescent="0.2"/>
    <row r="132" s="418" customFormat="1" ht="14.25" x14ac:dyDescent="0.2"/>
    <row r="133" s="418" customFormat="1" ht="14.25" x14ac:dyDescent="0.2"/>
    <row r="134" s="418" customFormat="1" ht="14.25" x14ac:dyDescent="0.2"/>
    <row r="135" s="418" customFormat="1" ht="14.25" x14ac:dyDescent="0.2"/>
    <row r="136" s="418" customFormat="1" ht="14.25" x14ac:dyDescent="0.2"/>
    <row r="137" s="418" customFormat="1" ht="14.25" x14ac:dyDescent="0.2"/>
    <row r="138" s="418" customFormat="1" ht="14.25" x14ac:dyDescent="0.2"/>
    <row r="139" s="418" customFormat="1" ht="14.25" x14ac:dyDescent="0.2"/>
    <row r="140" s="418" customFormat="1" ht="14.25" x14ac:dyDescent="0.2"/>
    <row r="141" s="418" customFormat="1" ht="14.25" x14ac:dyDescent="0.2"/>
    <row r="142" s="418" customFormat="1" ht="14.25" x14ac:dyDescent="0.2"/>
    <row r="143" s="418" customFormat="1" ht="14.25" x14ac:dyDescent="0.2"/>
    <row r="144" s="418" customFormat="1" ht="14.25" x14ac:dyDescent="0.2"/>
    <row r="145" s="418" customFormat="1" ht="14.25" x14ac:dyDescent="0.2"/>
    <row r="146" s="418" customFormat="1" ht="14.25" x14ac:dyDescent="0.2"/>
    <row r="147" s="418" customFormat="1" ht="14.25" x14ac:dyDescent="0.2"/>
    <row r="148" s="418" customFormat="1" ht="14.25" x14ac:dyDescent="0.2"/>
    <row r="149" s="418" customFormat="1" ht="14.25" x14ac:dyDescent="0.2"/>
    <row r="150" s="418" customFormat="1" ht="14.25" x14ac:dyDescent="0.2"/>
    <row r="151" s="418" customFormat="1" ht="14.25" x14ac:dyDescent="0.2"/>
    <row r="152" s="418" customFormat="1" ht="14.25" x14ac:dyDescent="0.2"/>
    <row r="153" s="418" customFormat="1" ht="14.25" x14ac:dyDescent="0.2"/>
    <row r="154" s="418" customFormat="1" ht="14.25" x14ac:dyDescent="0.2"/>
    <row r="155" s="418" customFormat="1" ht="14.25" x14ac:dyDescent="0.2"/>
    <row r="156" s="418" customFormat="1" ht="14.25" x14ac:dyDescent="0.2"/>
    <row r="157" s="418" customFormat="1" ht="14.25" x14ac:dyDescent="0.2"/>
    <row r="158" s="418" customFormat="1" ht="14.25" x14ac:dyDescent="0.2"/>
    <row r="159" s="418" customFormat="1" ht="14.25" x14ac:dyDescent="0.2"/>
    <row r="160" s="418" customFormat="1" ht="14.25" x14ac:dyDescent="0.2"/>
    <row r="161" s="418" customFormat="1" ht="14.25" x14ac:dyDescent="0.2"/>
    <row r="162" s="418" customFormat="1" ht="14.25" x14ac:dyDescent="0.2"/>
    <row r="163" s="418" customFormat="1" ht="14.25" x14ac:dyDescent="0.2"/>
    <row r="164" s="418" customFormat="1" ht="14.25" x14ac:dyDescent="0.2"/>
    <row r="165" s="418" customFormat="1" ht="14.25" x14ac:dyDescent="0.2"/>
    <row r="166" s="418" customFormat="1" ht="14.25" x14ac:dyDescent="0.2"/>
    <row r="167" s="418" customFormat="1" ht="14.25" x14ac:dyDescent="0.2"/>
    <row r="168" s="418" customFormat="1" ht="14.25" x14ac:dyDescent="0.2"/>
    <row r="169" s="418" customFormat="1" ht="14.25" x14ac:dyDescent="0.2"/>
    <row r="170" s="418" customFormat="1" ht="14.25" x14ac:dyDescent="0.2"/>
    <row r="171" s="418" customFormat="1" ht="14.25" x14ac:dyDescent="0.2"/>
    <row r="172" s="418" customFormat="1" ht="14.25" x14ac:dyDescent="0.2"/>
    <row r="173" s="418" customFormat="1" ht="14.25" x14ac:dyDescent="0.2"/>
    <row r="174" s="418" customFormat="1" ht="14.25" x14ac:dyDescent="0.2"/>
    <row r="175" s="418" customFormat="1" ht="14.25" x14ac:dyDescent="0.2"/>
    <row r="176" s="418" customFormat="1" ht="14.25" x14ac:dyDescent="0.2"/>
    <row r="177" s="418" customFormat="1" ht="14.25" x14ac:dyDescent="0.2"/>
    <row r="178" s="418" customFormat="1" ht="14.25" x14ac:dyDescent="0.2"/>
    <row r="179" s="418" customFormat="1" ht="14.25" x14ac:dyDescent="0.2"/>
    <row r="180" s="418" customFormat="1" ht="14.25" x14ac:dyDescent="0.2"/>
    <row r="181" s="418" customFormat="1" ht="14.25" x14ac:dyDescent="0.2"/>
    <row r="182" s="418" customFormat="1" ht="14.25" x14ac:dyDescent="0.2"/>
    <row r="183" s="418" customFormat="1" ht="14.25" x14ac:dyDescent="0.2"/>
    <row r="184" s="418" customFormat="1" ht="14.25" x14ac:dyDescent="0.2"/>
    <row r="185" s="418" customFormat="1" ht="14.25" x14ac:dyDescent="0.2"/>
    <row r="186" s="418" customFormat="1" ht="14.25" x14ac:dyDescent="0.2"/>
    <row r="187" s="418" customFormat="1" ht="14.25" x14ac:dyDescent="0.2"/>
    <row r="188" s="418" customFormat="1" ht="14.25" x14ac:dyDescent="0.2"/>
    <row r="189" s="418" customFormat="1" ht="14.25" x14ac:dyDescent="0.2"/>
    <row r="190" s="418" customFormat="1" ht="14.25" x14ac:dyDescent="0.2"/>
    <row r="191" s="418" customFormat="1" ht="14.25" x14ac:dyDescent="0.2"/>
    <row r="192" s="418" customFormat="1" ht="14.25" x14ac:dyDescent="0.2"/>
    <row r="193" s="418" customFormat="1" ht="14.25" x14ac:dyDescent="0.2"/>
    <row r="194" s="418" customFormat="1" ht="14.25" x14ac:dyDescent="0.2"/>
    <row r="195" s="418" customFormat="1" ht="14.25" x14ac:dyDescent="0.2"/>
    <row r="196" s="418" customFormat="1" ht="14.25" x14ac:dyDescent="0.2"/>
    <row r="197" s="418" customFormat="1" ht="14.25" x14ac:dyDescent="0.2"/>
    <row r="198" s="418" customFormat="1" ht="14.25" x14ac:dyDescent="0.2"/>
    <row r="199" s="418" customFormat="1" ht="14.25" x14ac:dyDescent="0.2"/>
    <row r="200" s="418" customFormat="1" ht="14.25" x14ac:dyDescent="0.2"/>
    <row r="201" s="418" customFormat="1" ht="14.25" x14ac:dyDescent="0.2"/>
    <row r="202" s="418" customFormat="1" ht="14.25" x14ac:dyDescent="0.2"/>
    <row r="203" s="418" customFormat="1" ht="14.25" x14ac:dyDescent="0.2"/>
    <row r="204" s="418" customFormat="1" ht="14.25" x14ac:dyDescent="0.2"/>
    <row r="205" s="418" customFormat="1" ht="14.25" x14ac:dyDescent="0.2"/>
    <row r="206" s="418" customFormat="1" ht="14.25" x14ac:dyDescent="0.2"/>
    <row r="207" s="418" customFormat="1" ht="14.25" x14ac:dyDescent="0.2"/>
    <row r="208" s="418" customFormat="1" ht="14.25" x14ac:dyDescent="0.2"/>
    <row r="209" s="418" customFormat="1" ht="14.25" x14ac:dyDescent="0.2"/>
    <row r="210" s="418" customFormat="1" ht="14.25" x14ac:dyDescent="0.2"/>
    <row r="211" s="418" customFormat="1" ht="14.25" x14ac:dyDescent="0.2"/>
    <row r="212" s="418" customFormat="1" ht="14.25" x14ac:dyDescent="0.2"/>
    <row r="213" s="418" customFormat="1" ht="14.25" x14ac:dyDescent="0.2"/>
    <row r="214" s="418" customFormat="1" ht="14.25" x14ac:dyDescent="0.2"/>
    <row r="215" s="418" customFormat="1" ht="14.25" x14ac:dyDescent="0.2"/>
    <row r="216" s="418" customFormat="1" ht="14.25" x14ac:dyDescent="0.2"/>
    <row r="217" s="418" customFormat="1" ht="14.25" x14ac:dyDescent="0.2"/>
    <row r="218" s="418" customFormat="1" ht="14.25" x14ac:dyDescent="0.2"/>
    <row r="219" s="418" customFormat="1" ht="14.25" x14ac:dyDescent="0.2"/>
    <row r="220" s="418" customFormat="1" ht="14.25" x14ac:dyDescent="0.2"/>
    <row r="221" s="418" customFormat="1" ht="14.25" x14ac:dyDescent="0.2"/>
    <row r="222" s="418" customFormat="1" ht="14.25" x14ac:dyDescent="0.2"/>
    <row r="223" s="418" customFormat="1" ht="14.25" x14ac:dyDescent="0.2"/>
    <row r="224" s="418" customFormat="1" ht="14.25" x14ac:dyDescent="0.2"/>
    <row r="225" s="418" customFormat="1" ht="14.25" x14ac:dyDescent="0.2"/>
    <row r="226" s="418" customFormat="1" ht="14.25" x14ac:dyDescent="0.2"/>
    <row r="227" s="418" customFormat="1" ht="14.25" x14ac:dyDescent="0.2"/>
    <row r="228" s="418" customFormat="1" ht="14.25" x14ac:dyDescent="0.2"/>
    <row r="229" s="418" customFormat="1" ht="14.25" x14ac:dyDescent="0.2"/>
    <row r="230" s="418" customFormat="1" ht="14.25" x14ac:dyDescent="0.2"/>
    <row r="231" s="418" customFormat="1" ht="14.25" x14ac:dyDescent="0.2"/>
    <row r="232" s="418" customFormat="1" ht="14.25" x14ac:dyDescent="0.2"/>
    <row r="233" s="418" customFormat="1" ht="14.25" x14ac:dyDescent="0.2"/>
    <row r="234" s="418" customFormat="1" ht="14.25" x14ac:dyDescent="0.2"/>
    <row r="235" s="418" customFormat="1" ht="14.25" x14ac:dyDescent="0.2"/>
    <row r="236" s="418" customFormat="1" ht="14.25" x14ac:dyDescent="0.2"/>
    <row r="237" s="418" customFormat="1" ht="14.25" x14ac:dyDescent="0.2"/>
    <row r="238" s="418" customFormat="1" ht="14.25" x14ac:dyDescent="0.2"/>
    <row r="239" s="418" customFormat="1" ht="14.25" x14ac:dyDescent="0.2"/>
    <row r="240" s="418" customFormat="1" ht="14.25" x14ac:dyDescent="0.2"/>
    <row r="241" s="418" customFormat="1" ht="14.25" x14ac:dyDescent="0.2"/>
    <row r="242" s="418" customFormat="1" ht="14.25" x14ac:dyDescent="0.2"/>
    <row r="243" s="418" customFormat="1" ht="14.25" x14ac:dyDescent="0.2"/>
    <row r="244" s="418" customFormat="1" ht="14.25" x14ac:dyDescent="0.2"/>
    <row r="245" s="418" customFormat="1" ht="14.25" x14ac:dyDescent="0.2"/>
    <row r="246" s="418" customFormat="1" ht="14.25" x14ac:dyDescent="0.2"/>
    <row r="247" s="418" customFormat="1" ht="14.25" x14ac:dyDescent="0.2"/>
    <row r="248" s="418" customFormat="1" ht="14.25" x14ac:dyDescent="0.2"/>
    <row r="249" s="418" customFormat="1" ht="14.25" x14ac:dyDescent="0.2"/>
    <row r="250" s="418" customFormat="1" ht="14.25" x14ac:dyDescent="0.2"/>
    <row r="251" s="418" customFormat="1" ht="14.25" x14ac:dyDescent="0.2"/>
    <row r="252" s="418" customFormat="1" ht="14.25" x14ac:dyDescent="0.2"/>
    <row r="253" s="418" customFormat="1" ht="14.25" x14ac:dyDescent="0.2"/>
    <row r="254" s="418" customFormat="1" ht="14.25" x14ac:dyDescent="0.2"/>
    <row r="255" s="418" customFormat="1" ht="14.25" x14ac:dyDescent="0.2"/>
    <row r="256" s="418" customFormat="1" ht="14.25" x14ac:dyDescent="0.2"/>
    <row r="257" s="418" customFormat="1" ht="14.25" x14ac:dyDescent="0.2"/>
    <row r="258" s="418" customFormat="1" ht="14.25" x14ac:dyDescent="0.2"/>
    <row r="259" s="418" customFormat="1" ht="14.25" x14ac:dyDescent="0.2"/>
    <row r="260" s="418" customFormat="1" ht="14.25" x14ac:dyDescent="0.2"/>
    <row r="261" s="418" customFormat="1" ht="14.25" x14ac:dyDescent="0.2"/>
    <row r="262" s="418" customFormat="1" ht="14.25" x14ac:dyDescent="0.2"/>
    <row r="263" s="418" customFormat="1" ht="14.25" x14ac:dyDescent="0.2"/>
    <row r="264" s="418" customFormat="1" ht="14.25" x14ac:dyDescent="0.2"/>
    <row r="265" s="418" customFormat="1" ht="14.25" x14ac:dyDescent="0.2"/>
    <row r="266" s="418" customFormat="1" ht="14.25" x14ac:dyDescent="0.2"/>
    <row r="267" s="418" customFormat="1" ht="14.25" x14ac:dyDescent="0.2"/>
    <row r="268" s="418" customFormat="1" ht="14.25" x14ac:dyDescent="0.2"/>
    <row r="269" s="418" customFormat="1" ht="14.25" x14ac:dyDescent="0.2"/>
    <row r="270" s="418" customFormat="1" ht="14.25" x14ac:dyDescent="0.2"/>
    <row r="271" s="418" customFormat="1" ht="14.25" x14ac:dyDescent="0.2"/>
    <row r="272" s="418" customFormat="1" ht="14.25" x14ac:dyDescent="0.2"/>
    <row r="273" s="418" customFormat="1" ht="14.25" x14ac:dyDescent="0.2"/>
    <row r="274" s="418" customFormat="1" ht="14.25" x14ac:dyDescent="0.2"/>
    <row r="275" s="418" customFormat="1" ht="14.25" x14ac:dyDescent="0.2"/>
    <row r="276" s="418" customFormat="1" ht="14.25" x14ac:dyDescent="0.2"/>
    <row r="277" s="418" customFormat="1" ht="14.25" x14ac:dyDescent="0.2"/>
    <row r="278" s="418" customFormat="1" ht="14.25" x14ac:dyDescent="0.2"/>
    <row r="279" s="418" customFormat="1" ht="14.25" x14ac:dyDescent="0.2"/>
    <row r="280" s="418" customFormat="1" ht="14.25" x14ac:dyDescent="0.2"/>
    <row r="281" s="418" customFormat="1" ht="14.25" x14ac:dyDescent="0.2"/>
    <row r="282" s="418" customFormat="1" ht="14.25" x14ac:dyDescent="0.2"/>
    <row r="283" s="418" customFormat="1" ht="14.25" x14ac:dyDescent="0.2"/>
    <row r="284" s="418" customFormat="1" ht="14.25" x14ac:dyDescent="0.2"/>
    <row r="285" s="418" customFormat="1" ht="14.25" x14ac:dyDescent="0.2"/>
    <row r="286" s="418" customFormat="1" ht="14.25" x14ac:dyDescent="0.2"/>
    <row r="287" s="418" customFormat="1" ht="14.25" x14ac:dyDescent="0.2"/>
    <row r="288" s="418" customFormat="1" ht="14.25" x14ac:dyDescent="0.2"/>
    <row r="289" s="418" customFormat="1" ht="14.25" x14ac:dyDescent="0.2"/>
    <row r="290" s="418" customFormat="1" ht="14.25" x14ac:dyDescent="0.2"/>
    <row r="291" s="418" customFormat="1" ht="14.25" x14ac:dyDescent="0.2"/>
    <row r="292" s="418" customFormat="1" ht="14.25" x14ac:dyDescent="0.2"/>
    <row r="293" s="418" customFormat="1" ht="14.25" x14ac:dyDescent="0.2"/>
    <row r="294" s="418" customFormat="1" ht="14.25" x14ac:dyDescent="0.2"/>
    <row r="295" s="418" customFormat="1" ht="14.25" x14ac:dyDescent="0.2"/>
    <row r="296" s="418" customFormat="1" ht="14.25" x14ac:dyDescent="0.2"/>
    <row r="297" s="418" customFormat="1" ht="14.25" x14ac:dyDescent="0.2"/>
    <row r="298" s="418" customFormat="1" ht="14.25" x14ac:dyDescent="0.2"/>
    <row r="299" s="418" customFormat="1" ht="14.25" x14ac:dyDescent="0.2"/>
    <row r="300" s="418" customFormat="1" ht="14.25" x14ac:dyDescent="0.2"/>
    <row r="301" s="418" customFormat="1" ht="14.25" x14ac:dyDescent="0.2"/>
    <row r="302" s="418" customFormat="1" ht="14.25" x14ac:dyDescent="0.2"/>
    <row r="303" s="418" customFormat="1" ht="14.25" x14ac:dyDescent="0.2"/>
    <row r="304" s="418" customFormat="1" ht="14.25" x14ac:dyDescent="0.2"/>
    <row r="305" s="418" customFormat="1" ht="14.25" x14ac:dyDescent="0.2"/>
    <row r="306" s="418" customFormat="1" ht="14.25" x14ac:dyDescent="0.2"/>
    <row r="307" s="418" customFormat="1" ht="14.25" x14ac:dyDescent="0.2"/>
    <row r="308" s="418" customFormat="1" ht="14.25" x14ac:dyDescent="0.2"/>
    <row r="309" s="418" customFormat="1" ht="14.25" x14ac:dyDescent="0.2"/>
    <row r="310" s="418" customFormat="1" ht="14.25" x14ac:dyDescent="0.2"/>
    <row r="311" s="418" customFormat="1" ht="14.25" x14ac:dyDescent="0.2"/>
    <row r="312" s="418" customFormat="1" ht="14.25" x14ac:dyDescent="0.2"/>
    <row r="313" s="418" customFormat="1" ht="14.25" x14ac:dyDescent="0.2"/>
    <row r="314" s="418" customFormat="1" ht="14.25" x14ac:dyDescent="0.2"/>
    <row r="315" s="418" customFormat="1" ht="14.25" x14ac:dyDescent="0.2"/>
    <row r="316" s="418" customFormat="1" ht="14.25" x14ac:dyDescent="0.2"/>
    <row r="317" s="418" customFormat="1" ht="14.25" x14ac:dyDescent="0.2"/>
    <row r="318" s="418" customFormat="1" ht="14.25" x14ac:dyDescent="0.2"/>
    <row r="319" s="418" customFormat="1" ht="14.25" x14ac:dyDescent="0.2"/>
    <row r="320" s="418" customFormat="1" ht="14.25" x14ac:dyDescent="0.2"/>
    <row r="321" s="418" customFormat="1" ht="14.25" x14ac:dyDescent="0.2"/>
    <row r="322" s="418" customFormat="1" ht="14.25" x14ac:dyDescent="0.2"/>
    <row r="323" s="418" customFormat="1" ht="14.25" x14ac:dyDescent="0.2"/>
    <row r="324" s="418" customFormat="1" ht="14.25" x14ac:dyDescent="0.2"/>
    <row r="325" s="418" customFormat="1" ht="14.25" x14ac:dyDescent="0.2"/>
    <row r="326" s="418" customFormat="1" ht="14.25" x14ac:dyDescent="0.2"/>
    <row r="327" s="418" customFormat="1" ht="14.25" x14ac:dyDescent="0.2"/>
    <row r="328" s="418" customFormat="1" ht="14.25" x14ac:dyDescent="0.2"/>
    <row r="329" s="418" customFormat="1" ht="14.25" x14ac:dyDescent="0.2"/>
    <row r="330" s="418" customFormat="1" ht="14.25" x14ac:dyDescent="0.2"/>
    <row r="331" s="418" customFormat="1" ht="14.25" x14ac:dyDescent="0.2"/>
    <row r="332" s="418" customFormat="1" ht="14.25" x14ac:dyDescent="0.2"/>
    <row r="333" s="418" customFormat="1" ht="14.25" x14ac:dyDescent="0.2"/>
    <row r="334" s="418" customFormat="1" ht="14.25" x14ac:dyDescent="0.2"/>
    <row r="335" s="418" customFormat="1" ht="14.25" x14ac:dyDescent="0.2"/>
    <row r="336" s="418" customFormat="1" ht="14.25" x14ac:dyDescent="0.2"/>
    <row r="337" s="418" customFormat="1" ht="14.25" x14ac:dyDescent="0.2"/>
    <row r="338" s="418" customFormat="1" ht="14.25" x14ac:dyDescent="0.2"/>
    <row r="339" s="418" customFormat="1" ht="14.25" x14ac:dyDescent="0.2"/>
    <row r="340" s="418" customFormat="1" ht="14.25" x14ac:dyDescent="0.2"/>
    <row r="341" s="418" customFormat="1" ht="14.25" x14ac:dyDescent="0.2"/>
    <row r="342" s="418" customFormat="1" ht="14.25" x14ac:dyDescent="0.2"/>
    <row r="343" s="418" customFormat="1" ht="14.25" x14ac:dyDescent="0.2"/>
    <row r="344" s="418" customFormat="1" ht="14.25" x14ac:dyDescent="0.2"/>
    <row r="345" s="418" customFormat="1" ht="14.25" x14ac:dyDescent="0.2"/>
    <row r="346" s="418" customFormat="1" ht="14.25" x14ac:dyDescent="0.2"/>
    <row r="347" s="418" customFormat="1" ht="14.25" x14ac:dyDescent="0.2"/>
    <row r="348" s="418" customFormat="1" ht="14.25" x14ac:dyDescent="0.2"/>
    <row r="349" s="418" customFormat="1" ht="14.25" x14ac:dyDescent="0.2"/>
    <row r="350" s="418" customFormat="1" ht="14.25" x14ac:dyDescent="0.2"/>
    <row r="351" s="418" customFormat="1" ht="14.25" x14ac:dyDescent="0.2"/>
    <row r="352" s="418" customFormat="1" ht="14.25" x14ac:dyDescent="0.2"/>
    <row r="353" s="418" customFormat="1" ht="14.25" x14ac:dyDescent="0.2"/>
    <row r="354" s="418" customFormat="1" ht="14.25" x14ac:dyDescent="0.2"/>
    <row r="355" s="418" customFormat="1" ht="14.25" x14ac:dyDescent="0.2"/>
    <row r="356" s="418" customFormat="1" ht="14.25" x14ac:dyDescent="0.2"/>
    <row r="357" s="418" customFormat="1" ht="14.25" x14ac:dyDescent="0.2"/>
    <row r="358" s="418" customFormat="1" ht="14.25" x14ac:dyDescent="0.2"/>
    <row r="359" s="418" customFormat="1" ht="14.25" x14ac:dyDescent="0.2"/>
    <row r="360" s="418" customFormat="1" ht="14.25" x14ac:dyDescent="0.2"/>
    <row r="361" s="418" customFormat="1" ht="14.25" x14ac:dyDescent="0.2"/>
    <row r="362" s="418" customFormat="1" ht="14.25" x14ac:dyDescent="0.2"/>
    <row r="363" s="418" customFormat="1" ht="14.25" x14ac:dyDescent="0.2"/>
    <row r="364" s="418" customFormat="1" ht="14.25" x14ac:dyDescent="0.2"/>
    <row r="365" s="418" customFormat="1" ht="14.25" x14ac:dyDescent="0.2"/>
    <row r="366" s="418" customFormat="1" ht="14.25" x14ac:dyDescent="0.2"/>
    <row r="367" s="418" customFormat="1" ht="14.25" x14ac:dyDescent="0.2"/>
    <row r="368" s="418" customFormat="1" ht="14.25" x14ac:dyDescent="0.2"/>
    <row r="369" s="418" customFormat="1" ht="14.25" x14ac:dyDescent="0.2"/>
    <row r="370" s="418" customFormat="1" ht="14.25" x14ac:dyDescent="0.2"/>
    <row r="371" s="418" customFormat="1" ht="14.25" x14ac:dyDescent="0.2"/>
    <row r="372" s="418" customFormat="1" ht="14.25" x14ac:dyDescent="0.2"/>
    <row r="373" s="418" customFormat="1" ht="14.25" x14ac:dyDescent="0.2"/>
    <row r="374" s="418" customFormat="1" ht="14.25" x14ac:dyDescent="0.2"/>
    <row r="375" s="418" customFormat="1" ht="14.25" x14ac:dyDescent="0.2"/>
    <row r="376" s="418" customFormat="1" ht="14.25" x14ac:dyDescent="0.2"/>
    <row r="377" s="418" customFormat="1" ht="14.25" x14ac:dyDescent="0.2"/>
    <row r="378" s="418" customFormat="1" ht="14.25" x14ac:dyDescent="0.2"/>
    <row r="379" s="418" customFormat="1" ht="14.25" x14ac:dyDescent="0.2"/>
    <row r="380" s="418" customFormat="1" ht="14.25" x14ac:dyDescent="0.2"/>
    <row r="381" s="418" customFormat="1" ht="14.25" x14ac:dyDescent="0.2"/>
    <row r="382" s="418" customFormat="1" ht="14.25" x14ac:dyDescent="0.2"/>
    <row r="383" s="418" customFormat="1" ht="14.25" x14ac:dyDescent="0.2"/>
    <row r="384" s="418" customFormat="1" ht="14.25" x14ac:dyDescent="0.2"/>
    <row r="385" s="418" customFormat="1" ht="14.25" x14ac:dyDescent="0.2"/>
    <row r="386" s="418" customFormat="1" ht="14.25" x14ac:dyDescent="0.2"/>
    <row r="387" s="418" customFormat="1" ht="14.25" x14ac:dyDescent="0.2"/>
    <row r="388" s="418" customFormat="1" ht="14.25" x14ac:dyDescent="0.2"/>
    <row r="389" s="418" customFormat="1" ht="14.25" x14ac:dyDescent="0.2"/>
    <row r="390" s="418" customFormat="1" ht="14.25" x14ac:dyDescent="0.2"/>
    <row r="391" s="418" customFormat="1" ht="14.25" x14ac:dyDescent="0.2"/>
    <row r="392" s="418" customFormat="1" ht="14.25" x14ac:dyDescent="0.2"/>
    <row r="393" s="418" customFormat="1" ht="14.25" x14ac:dyDescent="0.2"/>
    <row r="394" s="418" customFormat="1" ht="14.25" x14ac:dyDescent="0.2"/>
    <row r="395" s="418" customFormat="1" ht="14.25" x14ac:dyDescent="0.2"/>
    <row r="396" s="418" customFormat="1" ht="14.25" x14ac:dyDescent="0.2"/>
    <row r="397" s="418" customFormat="1" ht="14.25" x14ac:dyDescent="0.2"/>
    <row r="398" s="418" customFormat="1" ht="14.25" x14ac:dyDescent="0.2"/>
    <row r="399" s="418" customFormat="1" ht="14.25" x14ac:dyDescent="0.2"/>
    <row r="400" s="418" customFormat="1" ht="14.25" x14ac:dyDescent="0.2"/>
    <row r="401" s="418" customFormat="1" ht="14.25" x14ac:dyDescent="0.2"/>
    <row r="402" s="418" customFormat="1" ht="14.25" x14ac:dyDescent="0.2"/>
    <row r="403" s="418" customFormat="1" ht="14.25" x14ac:dyDescent="0.2"/>
    <row r="404" s="418" customFormat="1" ht="14.25" x14ac:dyDescent="0.2"/>
    <row r="405" s="418" customFormat="1" ht="14.25" x14ac:dyDescent="0.2"/>
    <row r="406" s="418" customFormat="1" ht="14.25" x14ac:dyDescent="0.2"/>
    <row r="407" s="418" customFormat="1" ht="14.25" x14ac:dyDescent="0.2"/>
    <row r="408" s="418" customFormat="1" ht="14.25" x14ac:dyDescent="0.2"/>
    <row r="409" s="418" customFormat="1" ht="14.25" x14ac:dyDescent="0.2"/>
    <row r="410" s="418" customFormat="1" ht="14.25" x14ac:dyDescent="0.2"/>
    <row r="411" s="418" customFormat="1" ht="14.25" x14ac:dyDescent="0.2"/>
    <row r="412" s="418" customFormat="1" ht="14.25" x14ac:dyDescent="0.2"/>
    <row r="413" s="418" customFormat="1" ht="14.25" x14ac:dyDescent="0.2"/>
    <row r="414" s="418" customFormat="1" ht="14.25" x14ac:dyDescent="0.2"/>
    <row r="415" s="418" customFormat="1" ht="14.25" x14ac:dyDescent="0.2"/>
    <row r="416" s="418" customFormat="1" ht="14.25" x14ac:dyDescent="0.2"/>
    <row r="417" s="418" customFormat="1" ht="14.25" x14ac:dyDescent="0.2"/>
    <row r="418" s="418" customFormat="1" ht="14.25" x14ac:dyDescent="0.2"/>
    <row r="419" s="418" customFormat="1" ht="14.25" x14ac:dyDescent="0.2"/>
    <row r="420" s="418" customFormat="1" ht="14.25" x14ac:dyDescent="0.2"/>
    <row r="421" s="418" customFormat="1" ht="14.25" x14ac:dyDescent="0.2"/>
    <row r="422" s="418" customFormat="1" ht="14.25" x14ac:dyDescent="0.2"/>
    <row r="423" s="418" customFormat="1" ht="14.25" x14ac:dyDescent="0.2"/>
    <row r="424" s="418" customFormat="1" ht="14.25" x14ac:dyDescent="0.2"/>
    <row r="425" s="418" customFormat="1" ht="14.25" x14ac:dyDescent="0.2"/>
    <row r="426" s="418" customFormat="1" ht="14.25" x14ac:dyDescent="0.2"/>
    <row r="427" s="418" customFormat="1" ht="14.25" x14ac:dyDescent="0.2"/>
    <row r="428" s="418" customFormat="1" ht="14.25" x14ac:dyDescent="0.2"/>
    <row r="429" s="418" customFormat="1" ht="14.25" x14ac:dyDescent="0.2"/>
    <row r="430" s="418" customFormat="1" ht="14.25" x14ac:dyDescent="0.2"/>
    <row r="431" s="418" customFormat="1" ht="14.25" x14ac:dyDescent="0.2"/>
    <row r="432" s="418" customFormat="1" ht="14.25" x14ac:dyDescent="0.2"/>
    <row r="433" s="418" customFormat="1" ht="14.25" x14ac:dyDescent="0.2"/>
    <row r="434" s="418" customFormat="1" ht="14.25" x14ac:dyDescent="0.2"/>
    <row r="435" s="418" customFormat="1" ht="14.25" x14ac:dyDescent="0.2"/>
    <row r="436" s="418" customFormat="1" ht="14.25" x14ac:dyDescent="0.2"/>
    <row r="437" s="418" customFormat="1" ht="14.25" x14ac:dyDescent="0.2"/>
    <row r="438" s="418" customFormat="1" ht="14.25" x14ac:dyDescent="0.2"/>
    <row r="439" s="418" customFormat="1" ht="14.25" x14ac:dyDescent="0.2"/>
    <row r="440" s="418" customFormat="1" ht="14.25" x14ac:dyDescent="0.2"/>
    <row r="441" s="418" customFormat="1" ht="14.25" x14ac:dyDescent="0.2"/>
    <row r="442" s="418" customFormat="1" ht="14.25" x14ac:dyDescent="0.2"/>
    <row r="443" s="418" customFormat="1" ht="14.25" x14ac:dyDescent="0.2"/>
    <row r="444" s="418" customFormat="1" ht="14.25" x14ac:dyDescent="0.2"/>
    <row r="445" s="418" customFormat="1" ht="14.25" x14ac:dyDescent="0.2"/>
    <row r="446" s="418" customFormat="1" ht="14.25" x14ac:dyDescent="0.2"/>
    <row r="447" s="418" customFormat="1" ht="14.25" x14ac:dyDescent="0.2"/>
    <row r="448" s="418" customFormat="1" ht="14.25" x14ac:dyDescent="0.2"/>
    <row r="449" s="418" customFormat="1" ht="14.25" x14ac:dyDescent="0.2"/>
    <row r="450" s="418" customFormat="1" ht="14.25" x14ac:dyDescent="0.2"/>
    <row r="451" s="418" customFormat="1" ht="14.25" x14ac:dyDescent="0.2"/>
    <row r="452" s="418" customFormat="1" ht="14.25" x14ac:dyDescent="0.2"/>
    <row r="453" s="418" customFormat="1" ht="14.25" x14ac:dyDescent="0.2"/>
    <row r="454" s="418" customFormat="1" ht="14.25" x14ac:dyDescent="0.2"/>
    <row r="455" s="418" customFormat="1" ht="14.25" x14ac:dyDescent="0.2"/>
    <row r="456" s="418" customFormat="1" ht="14.25" x14ac:dyDescent="0.2"/>
    <row r="457" s="418" customFormat="1" ht="14.25" x14ac:dyDescent="0.2"/>
    <row r="458" s="418" customFormat="1" ht="14.25" x14ac:dyDescent="0.2"/>
    <row r="459" s="418" customFormat="1" ht="14.25" x14ac:dyDescent="0.2"/>
    <row r="460" s="418" customFormat="1" ht="14.25" x14ac:dyDescent="0.2"/>
    <row r="461" s="418" customFormat="1" ht="14.25" x14ac:dyDescent="0.2"/>
    <row r="462" s="418" customFormat="1" ht="14.25" x14ac:dyDescent="0.2"/>
    <row r="463" s="418" customFormat="1" ht="14.25" x14ac:dyDescent="0.2"/>
    <row r="464" s="418" customFormat="1" ht="14.25" x14ac:dyDescent="0.2"/>
    <row r="465" s="418" customFormat="1" ht="14.25" x14ac:dyDescent="0.2"/>
    <row r="466" s="418" customFormat="1" ht="14.25" x14ac:dyDescent="0.2"/>
    <row r="467" s="418" customFormat="1" ht="14.25" x14ac:dyDescent="0.2"/>
    <row r="468" s="418" customFormat="1" ht="14.25" x14ac:dyDescent="0.2"/>
    <row r="469" s="418" customFormat="1" ht="14.25" x14ac:dyDescent="0.2"/>
    <row r="470" s="418" customFormat="1" ht="14.25" x14ac:dyDescent="0.2"/>
    <row r="471" s="418" customFormat="1" ht="14.25" x14ac:dyDescent="0.2"/>
    <row r="472" s="418" customFormat="1" ht="14.25" x14ac:dyDescent="0.2"/>
    <row r="473" s="418" customFormat="1" ht="14.25" x14ac:dyDescent="0.2"/>
    <row r="474" s="418" customFormat="1" ht="14.25" x14ac:dyDescent="0.2"/>
    <row r="475" s="418" customFormat="1" ht="14.25" x14ac:dyDescent="0.2"/>
    <row r="476" s="418" customFormat="1" ht="14.25" x14ac:dyDescent="0.2"/>
    <row r="477" s="418" customFormat="1" ht="14.25" x14ac:dyDescent="0.2"/>
    <row r="478" s="418" customFormat="1" ht="14.25" x14ac:dyDescent="0.2"/>
    <row r="479" s="418" customFormat="1" ht="14.25" x14ac:dyDescent="0.2"/>
    <row r="480" s="418" customFormat="1" ht="14.25" x14ac:dyDescent="0.2"/>
    <row r="481" s="418" customFormat="1" ht="14.25" x14ac:dyDescent="0.2"/>
    <row r="482" s="418" customFormat="1" ht="14.25" x14ac:dyDescent="0.2"/>
    <row r="483" s="418" customFormat="1" ht="14.25" x14ac:dyDescent="0.2"/>
    <row r="484" s="418" customFormat="1" ht="14.25" x14ac:dyDescent="0.2"/>
    <row r="485" s="418" customFormat="1" ht="14.25" x14ac:dyDescent="0.2"/>
    <row r="486" s="418" customFormat="1" ht="14.25" x14ac:dyDescent="0.2"/>
    <row r="487" s="418" customFormat="1" ht="14.25" x14ac:dyDescent="0.2"/>
    <row r="488" s="418" customFormat="1" ht="14.25" x14ac:dyDescent="0.2"/>
    <row r="489" s="418" customFormat="1" ht="14.25" x14ac:dyDescent="0.2"/>
    <row r="490" s="418" customFormat="1" ht="14.25" x14ac:dyDescent="0.2"/>
    <row r="491" s="418" customFormat="1" ht="14.25" x14ac:dyDescent="0.2"/>
    <row r="492" s="418" customFormat="1" ht="14.25" x14ac:dyDescent="0.2"/>
    <row r="493" s="418" customFormat="1" ht="14.25" x14ac:dyDescent="0.2"/>
    <row r="494" s="418" customFormat="1" ht="14.25" x14ac:dyDescent="0.2"/>
    <row r="495" s="418" customFormat="1" ht="14.25" x14ac:dyDescent="0.2"/>
    <row r="496" s="418" customFormat="1" ht="14.25" x14ac:dyDescent="0.2"/>
    <row r="497" s="418" customFormat="1" ht="14.25" x14ac:dyDescent="0.2"/>
    <row r="498" s="418" customFormat="1" ht="14.25" x14ac:dyDescent="0.2"/>
    <row r="499" s="418" customFormat="1" ht="14.25" x14ac:dyDescent="0.2"/>
    <row r="500" s="418" customFormat="1" ht="14.25" x14ac:dyDescent="0.2"/>
    <row r="501" s="418" customFormat="1" ht="14.25" x14ac:dyDescent="0.2"/>
    <row r="502" s="418" customFormat="1" ht="14.25" x14ac:dyDescent="0.2"/>
    <row r="503" s="418" customFormat="1" ht="14.25" x14ac:dyDescent="0.2"/>
    <row r="504" s="418" customFormat="1" ht="14.25" x14ac:dyDescent="0.2"/>
    <row r="505" s="418" customFormat="1" ht="14.25" x14ac:dyDescent="0.2"/>
    <row r="506" s="418" customFormat="1" ht="14.25" x14ac:dyDescent="0.2"/>
    <row r="507" s="418" customFormat="1" ht="14.25" x14ac:dyDescent="0.2"/>
    <row r="508" s="418" customFormat="1" ht="14.25" x14ac:dyDescent="0.2"/>
    <row r="509" s="418" customFormat="1" ht="14.25" x14ac:dyDescent="0.2"/>
    <row r="510" s="418" customFormat="1" ht="14.25" x14ac:dyDescent="0.2"/>
    <row r="511" s="418" customFormat="1" ht="14.25" x14ac:dyDescent="0.2"/>
    <row r="512" s="418" customFormat="1" ht="14.25" x14ac:dyDescent="0.2"/>
    <row r="513" s="418" customFormat="1" ht="14.25" x14ac:dyDescent="0.2"/>
    <row r="514" s="418" customFormat="1" ht="14.25" x14ac:dyDescent="0.2"/>
    <row r="515" s="418" customFormat="1" ht="14.25" x14ac:dyDescent="0.2"/>
    <row r="516" s="418" customFormat="1" ht="14.25" x14ac:dyDescent="0.2"/>
    <row r="517" s="418" customFormat="1" ht="14.25" x14ac:dyDescent="0.2"/>
    <row r="518" s="418" customFormat="1" ht="14.25" x14ac:dyDescent="0.2"/>
    <row r="519" s="418" customFormat="1" ht="14.25" x14ac:dyDescent="0.2"/>
    <row r="520" s="418" customFormat="1" ht="14.25" x14ac:dyDescent="0.2"/>
    <row r="521" s="418" customFormat="1" ht="14.25" x14ac:dyDescent="0.2"/>
    <row r="522" s="418" customFormat="1" ht="14.25" x14ac:dyDescent="0.2"/>
    <row r="523" s="418" customFormat="1" ht="14.25" x14ac:dyDescent="0.2"/>
    <row r="524" s="418" customFormat="1" ht="14.25" x14ac:dyDescent="0.2"/>
    <row r="525" s="418" customFormat="1" ht="14.25" x14ac:dyDescent="0.2"/>
    <row r="526" s="418" customFormat="1" ht="14.25" x14ac:dyDescent="0.2"/>
    <row r="527" s="418" customFormat="1" ht="14.25" x14ac:dyDescent="0.2"/>
    <row r="528" s="418" customFormat="1" ht="14.25" x14ac:dyDescent="0.2"/>
    <row r="529" s="418" customFormat="1" ht="14.25" x14ac:dyDescent="0.2"/>
    <row r="530" s="418" customFormat="1" ht="14.25" x14ac:dyDescent="0.2"/>
    <row r="531" s="418" customFormat="1" ht="14.25" x14ac:dyDescent="0.2"/>
    <row r="532" s="418" customFormat="1" ht="14.25" x14ac:dyDescent="0.2"/>
    <row r="533" s="418" customFormat="1" ht="14.25" x14ac:dyDescent="0.2"/>
    <row r="534" s="418" customFormat="1" ht="14.25" x14ac:dyDescent="0.2"/>
    <row r="535" s="418" customFormat="1" ht="14.25" x14ac:dyDescent="0.2"/>
    <row r="536" s="418" customFormat="1" ht="14.25" x14ac:dyDescent="0.2"/>
    <row r="537" s="418" customFormat="1" ht="14.25" x14ac:dyDescent="0.2"/>
    <row r="538" s="418" customFormat="1" ht="14.25" x14ac:dyDescent="0.2"/>
    <row r="539" s="418" customFormat="1" ht="14.25" x14ac:dyDescent="0.2"/>
    <row r="540" s="418" customFormat="1" ht="14.25" x14ac:dyDescent="0.2"/>
    <row r="541" s="418" customFormat="1" ht="14.25" x14ac:dyDescent="0.2"/>
    <row r="542" s="418" customFormat="1" ht="14.25" x14ac:dyDescent="0.2"/>
    <row r="543" s="418" customFormat="1" ht="14.25" x14ac:dyDescent="0.2"/>
    <row r="544" s="418" customFormat="1" ht="14.25" x14ac:dyDescent="0.2"/>
    <row r="545" s="418" customFormat="1" ht="14.25" x14ac:dyDescent="0.2"/>
    <row r="546" s="418" customFormat="1" ht="14.25" x14ac:dyDescent="0.2"/>
    <row r="547" s="418" customFormat="1" ht="14.25" x14ac:dyDescent="0.2"/>
    <row r="548" s="418" customFormat="1" ht="14.25" x14ac:dyDescent="0.2"/>
    <row r="549" s="418" customFormat="1" ht="14.25" x14ac:dyDescent="0.2"/>
    <row r="550" s="418" customFormat="1" ht="14.25" x14ac:dyDescent="0.2"/>
    <row r="551" s="418" customFormat="1" ht="14.25" x14ac:dyDescent="0.2"/>
    <row r="552" s="418" customFormat="1" ht="14.25" x14ac:dyDescent="0.2"/>
    <row r="553" s="418" customFormat="1" ht="14.25" x14ac:dyDescent="0.2"/>
    <row r="554" s="418" customFormat="1" ht="14.25" x14ac:dyDescent="0.2"/>
    <row r="555" s="418" customFormat="1" ht="14.25" x14ac:dyDescent="0.2"/>
    <row r="556" s="418" customFormat="1" ht="14.25" x14ac:dyDescent="0.2"/>
    <row r="557" s="418" customFormat="1" ht="14.25" x14ac:dyDescent="0.2"/>
    <row r="558" s="418" customFormat="1" ht="14.25" x14ac:dyDescent="0.2"/>
    <row r="559" s="418" customFormat="1" ht="14.25" x14ac:dyDescent="0.2"/>
    <row r="560" s="418" customFormat="1" ht="14.25" x14ac:dyDescent="0.2"/>
    <row r="561" s="418" customFormat="1" ht="14.25" x14ac:dyDescent="0.2"/>
    <row r="562" s="418" customFormat="1" ht="14.25" x14ac:dyDescent="0.2"/>
    <row r="563" s="418" customFormat="1" ht="14.25" x14ac:dyDescent="0.2"/>
    <row r="564" s="418" customFormat="1" ht="14.25" x14ac:dyDescent="0.2"/>
    <row r="565" s="418" customFormat="1" ht="14.25" x14ac:dyDescent="0.2"/>
    <row r="566" s="418" customFormat="1" ht="14.25" x14ac:dyDescent="0.2"/>
    <row r="567" s="418" customFormat="1" ht="14.25" x14ac:dyDescent="0.2"/>
    <row r="568" s="418" customFormat="1" ht="14.25" x14ac:dyDescent="0.2"/>
    <row r="569" s="418" customFormat="1" ht="14.25" x14ac:dyDescent="0.2"/>
    <row r="570" s="418" customFormat="1" ht="14.25" x14ac:dyDescent="0.2"/>
    <row r="571" s="418" customFormat="1" ht="14.25" x14ac:dyDescent="0.2"/>
    <row r="572" s="418" customFormat="1" ht="14.25" x14ac:dyDescent="0.2"/>
    <row r="573" s="418" customFormat="1" ht="14.25" x14ac:dyDescent="0.2"/>
    <row r="574" s="418" customFormat="1" ht="14.25" x14ac:dyDescent="0.2"/>
    <row r="575" s="418" customFormat="1" ht="14.25" x14ac:dyDescent="0.2"/>
    <row r="576" s="418" customFormat="1" ht="14.25" x14ac:dyDescent="0.2"/>
    <row r="577" s="418" customFormat="1" ht="14.25" x14ac:dyDescent="0.2"/>
    <row r="578" s="418" customFormat="1" ht="14.25" x14ac:dyDescent="0.2"/>
    <row r="579" s="418" customFormat="1" ht="14.25" x14ac:dyDescent="0.2"/>
    <row r="580" s="418" customFormat="1" ht="14.25" x14ac:dyDescent="0.2"/>
    <row r="581" s="418" customFormat="1" ht="14.25" x14ac:dyDescent="0.2"/>
    <row r="582" s="418" customFormat="1" ht="14.25" x14ac:dyDescent="0.2"/>
    <row r="583" s="418" customFormat="1" ht="14.25" x14ac:dyDescent="0.2"/>
    <row r="584" s="418" customFormat="1" ht="14.25" x14ac:dyDescent="0.2"/>
    <row r="585" s="418" customFormat="1" ht="14.25" x14ac:dyDescent="0.2"/>
    <row r="586" s="418" customFormat="1" ht="14.25" x14ac:dyDescent="0.2"/>
    <row r="587" s="418" customFormat="1" ht="14.25" x14ac:dyDescent="0.2"/>
    <row r="588" s="418" customFormat="1" ht="14.25" x14ac:dyDescent="0.2"/>
    <row r="589" s="418" customFormat="1" ht="14.25" x14ac:dyDescent="0.2"/>
    <row r="590" s="418" customFormat="1" ht="14.25" x14ac:dyDescent="0.2"/>
    <row r="591" s="418" customFormat="1" ht="14.25" x14ac:dyDescent="0.2"/>
    <row r="592" s="418" customFormat="1" ht="14.25" x14ac:dyDescent="0.2"/>
    <row r="593" s="418" customFormat="1" ht="14.25" x14ac:dyDescent="0.2"/>
    <row r="594" s="418" customFormat="1" ht="14.25" x14ac:dyDescent="0.2"/>
    <row r="595" s="418" customFormat="1" ht="14.25" x14ac:dyDescent="0.2"/>
    <row r="596" s="418" customFormat="1" ht="14.25" x14ac:dyDescent="0.2"/>
    <row r="597" s="418" customFormat="1" ht="14.25" x14ac:dyDescent="0.2"/>
    <row r="598" s="418" customFormat="1" ht="14.25" x14ac:dyDescent="0.2"/>
    <row r="599" s="418" customFormat="1" ht="14.25" x14ac:dyDescent="0.2"/>
    <row r="600" s="418" customFormat="1" ht="14.25" x14ac:dyDescent="0.2"/>
    <row r="601" s="418" customFormat="1" ht="14.25" x14ac:dyDescent="0.2"/>
    <row r="602" s="418" customFormat="1" ht="14.25" x14ac:dyDescent="0.2"/>
    <row r="603" s="418" customFormat="1" ht="14.25" x14ac:dyDescent="0.2"/>
    <row r="604" s="418" customFormat="1" ht="14.25" x14ac:dyDescent="0.2"/>
    <row r="605" s="418" customFormat="1" ht="14.25" x14ac:dyDescent="0.2"/>
    <row r="606" s="418" customFormat="1" ht="14.25" x14ac:dyDescent="0.2"/>
    <row r="607" s="418" customFormat="1" ht="14.25" x14ac:dyDescent="0.2"/>
    <row r="608" s="418" customFormat="1" ht="14.25" x14ac:dyDescent="0.2"/>
    <row r="609" s="418" customFormat="1" ht="14.25" x14ac:dyDescent="0.2"/>
    <row r="610" s="418" customFormat="1" ht="14.25" x14ac:dyDescent="0.2"/>
    <row r="611" s="418" customFormat="1" ht="14.25" x14ac:dyDescent="0.2"/>
    <row r="612" s="418" customFormat="1" ht="14.25" x14ac:dyDescent="0.2"/>
    <row r="613" s="418" customFormat="1" ht="14.25" x14ac:dyDescent="0.2"/>
    <row r="614" s="418" customFormat="1" ht="14.25" x14ac:dyDescent="0.2"/>
    <row r="615" s="418" customFormat="1" ht="14.25" x14ac:dyDescent="0.2"/>
    <row r="616" s="418" customFormat="1" ht="14.25" x14ac:dyDescent="0.2"/>
    <row r="617" s="418" customFormat="1" ht="14.25" x14ac:dyDescent="0.2"/>
    <row r="618" s="418" customFormat="1" ht="14.25" x14ac:dyDescent="0.2"/>
    <row r="619" s="418" customFormat="1" ht="14.25" x14ac:dyDescent="0.2"/>
    <row r="620" s="418" customFormat="1" ht="14.25" x14ac:dyDescent="0.2"/>
    <row r="621" s="418" customFormat="1" ht="14.25" x14ac:dyDescent="0.2"/>
    <row r="622" s="418" customFormat="1" ht="14.25" x14ac:dyDescent="0.2"/>
    <row r="623" s="418" customFormat="1" ht="14.25" x14ac:dyDescent="0.2"/>
    <row r="624" s="418" customFormat="1" ht="14.25" x14ac:dyDescent="0.2"/>
    <row r="625" s="418" customFormat="1" ht="14.25" x14ac:dyDescent="0.2"/>
    <row r="626" s="418" customFormat="1" ht="14.25" x14ac:dyDescent="0.2"/>
    <row r="627" s="418" customFormat="1" ht="14.25" x14ac:dyDescent="0.2"/>
    <row r="628" s="418" customFormat="1" ht="14.25" x14ac:dyDescent="0.2"/>
    <row r="629" s="418" customFormat="1" ht="14.25" x14ac:dyDescent="0.2"/>
    <row r="630" s="418" customFormat="1" ht="14.25" x14ac:dyDescent="0.2"/>
    <row r="631" s="418" customFormat="1" ht="14.25" x14ac:dyDescent="0.2"/>
    <row r="632" s="418" customFormat="1" ht="14.25" x14ac:dyDescent="0.2"/>
    <row r="633" s="418" customFormat="1" ht="14.25" x14ac:dyDescent="0.2"/>
    <row r="634" s="418" customFormat="1" ht="14.25" x14ac:dyDescent="0.2"/>
    <row r="635" s="418" customFormat="1" ht="14.25" x14ac:dyDescent="0.2"/>
    <row r="636" s="418" customFormat="1" ht="14.25" x14ac:dyDescent="0.2"/>
    <row r="637" s="418" customFormat="1" ht="14.25" x14ac:dyDescent="0.2"/>
    <row r="638" s="418" customFormat="1" ht="14.25" x14ac:dyDescent="0.2"/>
    <row r="639" s="418" customFormat="1" ht="14.25" x14ac:dyDescent="0.2"/>
    <row r="640" s="418" customFormat="1" ht="14.25" x14ac:dyDescent="0.2"/>
    <row r="641" s="418" customFormat="1" ht="14.25" x14ac:dyDescent="0.2"/>
    <row r="642" s="418" customFormat="1" ht="14.25" x14ac:dyDescent="0.2"/>
    <row r="643" s="418" customFormat="1" ht="14.25" x14ac:dyDescent="0.2"/>
    <row r="644" s="418" customFormat="1" ht="14.25" x14ac:dyDescent="0.2"/>
    <row r="645" s="418" customFormat="1" ht="14.25" x14ac:dyDescent="0.2"/>
    <row r="646" s="418" customFormat="1" ht="14.25" x14ac:dyDescent="0.2"/>
    <row r="647" s="418" customFormat="1" ht="14.25" x14ac:dyDescent="0.2"/>
    <row r="648" s="418" customFormat="1" ht="14.25" x14ac:dyDescent="0.2"/>
    <row r="649" s="418" customFormat="1" ht="14.25" x14ac:dyDescent="0.2"/>
    <row r="650" s="418" customFormat="1" ht="14.25" x14ac:dyDescent="0.2"/>
    <row r="651" s="418" customFormat="1" ht="14.25" x14ac:dyDescent="0.2"/>
    <row r="652" s="418" customFormat="1" ht="14.25" x14ac:dyDescent="0.2"/>
    <row r="653" s="418" customFormat="1" ht="14.25" x14ac:dyDescent="0.2"/>
    <row r="654" s="418" customFormat="1" ht="14.25" x14ac:dyDescent="0.2"/>
    <row r="655" s="418" customFormat="1" ht="14.25" x14ac:dyDescent="0.2"/>
    <row r="656" s="418" customFormat="1" ht="14.25" x14ac:dyDescent="0.2"/>
    <row r="657" s="418" customFormat="1" ht="14.25" x14ac:dyDescent="0.2"/>
    <row r="658" s="418" customFormat="1" ht="14.25" x14ac:dyDescent="0.2"/>
    <row r="659" s="418" customFormat="1" ht="14.25" x14ac:dyDescent="0.2"/>
    <row r="660" s="418" customFormat="1" ht="14.25" x14ac:dyDescent="0.2"/>
    <row r="661" s="418" customFormat="1" ht="14.25" x14ac:dyDescent="0.2"/>
    <row r="662" s="418" customFormat="1" ht="14.25" x14ac:dyDescent="0.2"/>
    <row r="663" s="418" customFormat="1" ht="14.25" x14ac:dyDescent="0.2"/>
    <row r="664" s="418" customFormat="1" ht="14.25" x14ac:dyDescent="0.2"/>
    <row r="665" s="418" customFormat="1" ht="14.25" x14ac:dyDescent="0.2"/>
    <row r="666" s="418" customFormat="1" ht="14.25" x14ac:dyDescent="0.2"/>
    <row r="667" s="418" customFormat="1" ht="14.25" x14ac:dyDescent="0.2"/>
    <row r="668" s="418" customFormat="1" ht="14.25" x14ac:dyDescent="0.2"/>
    <row r="669" s="418" customFormat="1" ht="14.25" x14ac:dyDescent="0.2"/>
    <row r="670" s="418" customFormat="1" ht="14.25" x14ac:dyDescent="0.2"/>
    <row r="671" s="418" customFormat="1" ht="14.25" x14ac:dyDescent="0.2"/>
    <row r="672" s="418" customFormat="1" ht="14.25" x14ac:dyDescent="0.2"/>
    <row r="673" s="418" customFormat="1" ht="14.25" x14ac:dyDescent="0.2"/>
    <row r="674" s="418" customFormat="1" ht="14.25" x14ac:dyDescent="0.2"/>
    <row r="675" s="418" customFormat="1" ht="14.25" x14ac:dyDescent="0.2"/>
    <row r="676" s="418" customFormat="1" ht="14.25" x14ac:dyDescent="0.2"/>
    <row r="677" s="418" customFormat="1" ht="14.25" x14ac:dyDescent="0.2"/>
    <row r="678" s="418" customFormat="1" ht="14.25" x14ac:dyDescent="0.2"/>
    <row r="679" s="418" customFormat="1" ht="14.25" x14ac:dyDescent="0.2"/>
    <row r="680" s="418" customFormat="1" ht="14.25" x14ac:dyDescent="0.2"/>
    <row r="681" s="418" customFormat="1" ht="14.25" x14ac:dyDescent="0.2"/>
    <row r="682" s="418" customFormat="1" ht="14.25" x14ac:dyDescent="0.2"/>
    <row r="683" s="418" customFormat="1" ht="14.25" x14ac:dyDescent="0.2"/>
    <row r="684" s="418" customFormat="1" ht="14.25" x14ac:dyDescent="0.2"/>
    <row r="685" s="418" customFormat="1" ht="14.25" x14ac:dyDescent="0.2"/>
    <row r="686" s="418" customFormat="1" ht="14.25" x14ac:dyDescent="0.2"/>
    <row r="687" s="418" customFormat="1" ht="14.25" x14ac:dyDescent="0.2"/>
    <row r="688" s="418" customFormat="1" ht="14.25" x14ac:dyDescent="0.2"/>
    <row r="689" s="418" customFormat="1" ht="14.25" x14ac:dyDescent="0.2"/>
    <row r="690" s="418" customFormat="1" ht="14.25" x14ac:dyDescent="0.2"/>
    <row r="691" s="418" customFormat="1" ht="14.25" x14ac:dyDescent="0.2"/>
    <row r="692" s="418" customFormat="1" ht="14.25" x14ac:dyDescent="0.2"/>
    <row r="693" s="418" customFormat="1" ht="14.25" x14ac:dyDescent="0.2"/>
    <row r="694" s="418" customFormat="1" ht="14.25" x14ac:dyDescent="0.2"/>
    <row r="695" s="418" customFormat="1" ht="14.25" x14ac:dyDescent="0.2"/>
    <row r="696" s="418" customFormat="1" ht="14.25" x14ac:dyDescent="0.2"/>
    <row r="697" s="418" customFormat="1" ht="14.25" x14ac:dyDescent="0.2"/>
    <row r="698" s="418" customFormat="1" ht="14.25" x14ac:dyDescent="0.2"/>
    <row r="699" s="418" customFormat="1" ht="14.25" x14ac:dyDescent="0.2"/>
    <row r="700" s="418" customFormat="1" ht="14.25" x14ac:dyDescent="0.2"/>
    <row r="701" s="418" customFormat="1" ht="14.25" x14ac:dyDescent="0.2"/>
    <row r="702" s="418" customFormat="1" ht="14.25" x14ac:dyDescent="0.2"/>
    <row r="703" s="418" customFormat="1" ht="14.25" x14ac:dyDescent="0.2"/>
    <row r="704" s="418" customFormat="1" ht="14.25" x14ac:dyDescent="0.2"/>
    <row r="705" s="418" customFormat="1" ht="14.25" x14ac:dyDescent="0.2"/>
    <row r="706" s="418" customFormat="1" ht="14.25" x14ac:dyDescent="0.2"/>
    <row r="707" s="418" customFormat="1" ht="14.25" x14ac:dyDescent="0.2"/>
    <row r="708" s="418" customFormat="1" ht="14.25" x14ac:dyDescent="0.2"/>
    <row r="709" s="418" customFormat="1" ht="14.25" x14ac:dyDescent="0.2"/>
    <row r="710" s="418" customFormat="1" ht="14.25" x14ac:dyDescent="0.2"/>
    <row r="711" s="418" customFormat="1" ht="14.25" x14ac:dyDescent="0.2"/>
    <row r="712" s="418" customFormat="1" ht="14.25" x14ac:dyDescent="0.2"/>
    <row r="713" s="418" customFormat="1" ht="14.25" x14ac:dyDescent="0.2"/>
    <row r="714" s="418" customFormat="1" ht="14.25" x14ac:dyDescent="0.2"/>
    <row r="715" s="418" customFormat="1" ht="14.25" x14ac:dyDescent="0.2"/>
    <row r="716" s="418" customFormat="1" ht="14.25" x14ac:dyDescent="0.2"/>
    <row r="717" s="418" customFormat="1" ht="14.25" x14ac:dyDescent="0.2"/>
    <row r="718" s="418" customFormat="1" ht="14.25" x14ac:dyDescent="0.2"/>
    <row r="719" s="418" customFormat="1" ht="14.25" x14ac:dyDescent="0.2"/>
    <row r="720" s="418" customFormat="1" ht="14.25" x14ac:dyDescent="0.2"/>
    <row r="721" s="418" customFormat="1" ht="14.25" x14ac:dyDescent="0.2"/>
    <row r="722" s="418" customFormat="1" ht="14.25" x14ac:dyDescent="0.2"/>
    <row r="723" s="418" customFormat="1" ht="14.25" x14ac:dyDescent="0.2"/>
    <row r="724" s="418" customFormat="1" ht="14.25" x14ac:dyDescent="0.2"/>
    <row r="725" s="418" customFormat="1" ht="14.25" x14ac:dyDescent="0.2"/>
    <row r="726" s="418" customFormat="1" ht="14.25" x14ac:dyDescent="0.2"/>
    <row r="727" s="418" customFormat="1" ht="14.25" x14ac:dyDescent="0.2"/>
    <row r="728" s="418" customFormat="1" ht="14.25" x14ac:dyDescent="0.2"/>
    <row r="729" s="418" customFormat="1" ht="14.25" x14ac:dyDescent="0.2"/>
    <row r="730" s="418" customFormat="1" ht="14.25" x14ac:dyDescent="0.2"/>
    <row r="731" s="418" customFormat="1" ht="14.25" x14ac:dyDescent="0.2"/>
    <row r="732" s="418" customFormat="1" ht="14.25" x14ac:dyDescent="0.2"/>
    <row r="733" s="418" customFormat="1" ht="14.25" x14ac:dyDescent="0.2"/>
    <row r="734" s="418" customFormat="1" ht="14.25" x14ac:dyDescent="0.2"/>
    <row r="735" s="418" customFormat="1" ht="14.25" x14ac:dyDescent="0.2"/>
    <row r="736" s="418" customFormat="1" ht="14.25" x14ac:dyDescent="0.2"/>
    <row r="737" s="418" customFormat="1" ht="14.25" x14ac:dyDescent="0.2"/>
    <row r="738" s="418" customFormat="1" ht="14.25" x14ac:dyDescent="0.2"/>
    <row r="739" s="418" customFormat="1" ht="14.25" x14ac:dyDescent="0.2"/>
    <row r="740" s="418" customFormat="1" ht="14.25" x14ac:dyDescent="0.2"/>
    <row r="741" s="418" customFormat="1" ht="14.25" x14ac:dyDescent="0.2"/>
    <row r="742" s="418" customFormat="1" ht="14.25" x14ac:dyDescent="0.2"/>
    <row r="743" s="418" customFormat="1" ht="14.25" x14ac:dyDescent="0.2"/>
    <row r="744" s="418" customFormat="1" ht="14.25" x14ac:dyDescent="0.2"/>
    <row r="745" s="418" customFormat="1" ht="14.25" x14ac:dyDescent="0.2"/>
    <row r="746" s="418" customFormat="1" ht="14.25" x14ac:dyDescent="0.2"/>
    <row r="747" s="418" customFormat="1" ht="14.25" x14ac:dyDescent="0.2"/>
    <row r="748" s="418" customFormat="1" ht="14.25" x14ac:dyDescent="0.2"/>
    <row r="749" s="418" customFormat="1" ht="14.25" x14ac:dyDescent="0.2"/>
    <row r="750" s="418" customFormat="1" ht="14.25" x14ac:dyDescent="0.2"/>
    <row r="751" s="418" customFormat="1" ht="14.25" x14ac:dyDescent="0.2"/>
    <row r="752" s="418" customFormat="1" ht="14.25" x14ac:dyDescent="0.2"/>
    <row r="753" s="418" customFormat="1" ht="14.25" x14ac:dyDescent="0.2"/>
    <row r="754" s="418" customFormat="1" ht="14.25" x14ac:dyDescent="0.2"/>
    <row r="755" s="418" customFormat="1" ht="14.25" x14ac:dyDescent="0.2"/>
    <row r="756" s="418" customFormat="1" ht="14.25" x14ac:dyDescent="0.2"/>
    <row r="757" s="418" customFormat="1" ht="14.25" x14ac:dyDescent="0.2"/>
    <row r="758" s="418" customFormat="1" ht="14.25" x14ac:dyDescent="0.2"/>
    <row r="759" s="418" customFormat="1" ht="14.25" x14ac:dyDescent="0.2"/>
    <row r="760" s="418" customFormat="1" ht="14.25" x14ac:dyDescent="0.2"/>
    <row r="761" s="418" customFormat="1" ht="14.25" x14ac:dyDescent="0.2"/>
    <row r="762" s="418" customFormat="1" ht="14.25" x14ac:dyDescent="0.2"/>
    <row r="763" s="418" customFormat="1" ht="14.25" x14ac:dyDescent="0.2"/>
    <row r="764" s="418" customFormat="1" ht="14.25" x14ac:dyDescent="0.2"/>
    <row r="765" s="418" customFormat="1" ht="14.25" x14ac:dyDescent="0.2"/>
    <row r="766" s="418" customFormat="1" ht="14.25" x14ac:dyDescent="0.2"/>
    <row r="767" s="418" customFormat="1" ht="14.25" x14ac:dyDescent="0.2"/>
    <row r="768" s="418" customFormat="1" ht="14.25" x14ac:dyDescent="0.2"/>
    <row r="769" s="418" customFormat="1" ht="14.25" x14ac:dyDescent="0.2"/>
    <row r="770" s="418" customFormat="1" ht="14.25" x14ac:dyDescent="0.2"/>
    <row r="771" s="418" customFormat="1" ht="14.25" x14ac:dyDescent="0.2"/>
    <row r="772" s="418" customFormat="1" ht="14.25" x14ac:dyDescent="0.2"/>
    <row r="773" s="418" customFormat="1" ht="14.25" x14ac:dyDescent="0.2"/>
    <row r="774" s="418" customFormat="1" ht="14.25" x14ac:dyDescent="0.2"/>
    <row r="775" s="418" customFormat="1" ht="14.25" x14ac:dyDescent="0.2"/>
    <row r="776" s="418" customFormat="1" ht="14.25" x14ac:dyDescent="0.2"/>
    <row r="777" s="418" customFormat="1" ht="14.25" x14ac:dyDescent="0.2"/>
    <row r="778" s="418" customFormat="1" ht="14.25" x14ac:dyDescent="0.2"/>
    <row r="779" s="418" customFormat="1" ht="14.25" x14ac:dyDescent="0.2"/>
    <row r="780" s="418" customFormat="1" ht="14.25" x14ac:dyDescent="0.2"/>
    <row r="781" s="418" customFormat="1" ht="14.25" x14ac:dyDescent="0.2"/>
    <row r="782" s="418" customFormat="1" ht="14.25" x14ac:dyDescent="0.2"/>
    <row r="783" s="418" customFormat="1" ht="14.25" x14ac:dyDescent="0.2"/>
    <row r="784" s="418" customFormat="1" ht="14.25" x14ac:dyDescent="0.2"/>
    <row r="785" s="418" customFormat="1" ht="14.25" x14ac:dyDescent="0.2"/>
    <row r="786" s="418" customFormat="1" ht="14.25" x14ac:dyDescent="0.2"/>
    <row r="787" s="418" customFormat="1" ht="14.25" x14ac:dyDescent="0.2"/>
    <row r="788" s="418" customFormat="1" ht="14.25" x14ac:dyDescent="0.2"/>
    <row r="789" s="418" customFormat="1" ht="14.25" x14ac:dyDescent="0.2"/>
    <row r="790" s="418" customFormat="1" ht="14.25" x14ac:dyDescent="0.2"/>
    <row r="791" s="418" customFormat="1" ht="14.25" x14ac:dyDescent="0.2"/>
    <row r="792" s="418" customFormat="1" ht="14.25" x14ac:dyDescent="0.2"/>
    <row r="793" s="418" customFormat="1" ht="14.25" x14ac:dyDescent="0.2"/>
    <row r="794" s="418" customFormat="1" ht="14.25" x14ac:dyDescent="0.2"/>
    <row r="795" s="418" customFormat="1" ht="14.25" x14ac:dyDescent="0.2"/>
    <row r="796" s="418" customFormat="1" ht="14.25" x14ac:dyDescent="0.2"/>
    <row r="797" s="418" customFormat="1" ht="14.25" x14ac:dyDescent="0.2"/>
    <row r="798" s="418" customFormat="1" ht="14.25" x14ac:dyDescent="0.2"/>
    <row r="799" s="418" customFormat="1" ht="14.25" x14ac:dyDescent="0.2"/>
    <row r="800" s="418" customFormat="1" ht="14.25" x14ac:dyDescent="0.2"/>
    <row r="801" s="418" customFormat="1" ht="14.25" x14ac:dyDescent="0.2"/>
    <row r="802" s="418" customFormat="1" ht="14.25" x14ac:dyDescent="0.2"/>
    <row r="803" s="418" customFormat="1" ht="14.25" x14ac:dyDescent="0.2"/>
    <row r="804" s="418" customFormat="1" ht="14.25" x14ac:dyDescent="0.2"/>
    <row r="805" s="418" customFormat="1" ht="14.25" x14ac:dyDescent="0.2"/>
    <row r="806" s="418" customFormat="1" ht="14.25" x14ac:dyDescent="0.2"/>
    <row r="807" s="418" customFormat="1" ht="14.25" x14ac:dyDescent="0.2"/>
    <row r="808" s="418" customFormat="1" ht="14.25" x14ac:dyDescent="0.2"/>
    <row r="809" s="418" customFormat="1" ht="14.25" x14ac:dyDescent="0.2"/>
    <row r="810" s="418" customFormat="1" ht="14.25" x14ac:dyDescent="0.2"/>
    <row r="811" s="418" customFormat="1" ht="14.25" x14ac:dyDescent="0.2"/>
    <row r="812" s="418" customFormat="1" ht="14.25" x14ac:dyDescent="0.2"/>
    <row r="813" s="418" customFormat="1" ht="14.25" x14ac:dyDescent="0.2"/>
    <row r="814" s="418" customFormat="1" ht="14.25" x14ac:dyDescent="0.2"/>
    <row r="815" s="418" customFormat="1" ht="14.25" x14ac:dyDescent="0.2"/>
    <row r="816" s="418" customFormat="1" ht="14.25" x14ac:dyDescent="0.2"/>
    <row r="817" s="418" customFormat="1" ht="14.25" x14ac:dyDescent="0.2"/>
    <row r="818" s="418" customFormat="1" ht="14.25" x14ac:dyDescent="0.2"/>
    <row r="819" s="418" customFormat="1" ht="14.25" x14ac:dyDescent="0.2"/>
    <row r="820" s="418" customFormat="1" ht="14.25" x14ac:dyDescent="0.2"/>
    <row r="821" s="418" customFormat="1" ht="14.25" x14ac:dyDescent="0.2"/>
    <row r="822" s="418" customFormat="1" ht="14.25" x14ac:dyDescent="0.2"/>
    <row r="823" s="418" customFormat="1" ht="14.25" x14ac:dyDescent="0.2"/>
    <row r="824" s="418" customFormat="1" ht="14.25" x14ac:dyDescent="0.2"/>
    <row r="825" s="418" customFormat="1" ht="14.25" x14ac:dyDescent="0.2"/>
    <row r="826" s="418" customFormat="1" ht="14.25" x14ac:dyDescent="0.2"/>
    <row r="827" s="418" customFormat="1" ht="14.25" x14ac:dyDescent="0.2"/>
    <row r="828" s="418" customFormat="1" ht="14.25" x14ac:dyDescent="0.2"/>
    <row r="829" s="418" customFormat="1" ht="14.25" x14ac:dyDescent="0.2"/>
    <row r="830" s="418" customFormat="1" ht="14.25" x14ac:dyDescent="0.2"/>
    <row r="831" s="418" customFormat="1" ht="14.25" x14ac:dyDescent="0.2"/>
    <row r="832" s="418" customFormat="1" ht="14.25" x14ac:dyDescent="0.2"/>
    <row r="833" s="418" customFormat="1" ht="14.25" x14ac:dyDescent="0.2"/>
    <row r="834" s="418" customFormat="1" ht="14.25" x14ac:dyDescent="0.2"/>
    <row r="835" s="418" customFormat="1" ht="14.25" x14ac:dyDescent="0.2"/>
    <row r="836" s="418" customFormat="1" ht="14.25" x14ac:dyDescent="0.2"/>
    <row r="837" s="418" customFormat="1" ht="14.25" x14ac:dyDescent="0.2"/>
    <row r="838" s="418" customFormat="1" ht="14.25" x14ac:dyDescent="0.2"/>
    <row r="839" s="418" customFormat="1" ht="14.25" x14ac:dyDescent="0.2"/>
    <row r="840" s="418" customFormat="1" ht="14.25" x14ac:dyDescent="0.2"/>
    <row r="841" s="418" customFormat="1" ht="14.25" x14ac:dyDescent="0.2"/>
    <row r="842" s="418" customFormat="1" ht="14.25" x14ac:dyDescent="0.2"/>
    <row r="843" s="418" customFormat="1" ht="14.25" x14ac:dyDescent="0.2"/>
    <row r="844" s="418" customFormat="1" ht="14.25" x14ac:dyDescent="0.2"/>
    <row r="845" s="418" customFormat="1" ht="14.25" x14ac:dyDescent="0.2"/>
    <row r="846" s="418" customFormat="1" ht="14.25" x14ac:dyDescent="0.2"/>
    <row r="847" s="418" customFormat="1" ht="14.25" x14ac:dyDescent="0.2"/>
    <row r="848" s="418" customFormat="1" ht="14.25" x14ac:dyDescent="0.2"/>
    <row r="849" s="418" customFormat="1" ht="14.25" x14ac:dyDescent="0.2"/>
    <row r="850" s="418" customFormat="1" ht="14.25" x14ac:dyDescent="0.2"/>
    <row r="851" s="418" customFormat="1" ht="14.25" x14ac:dyDescent="0.2"/>
    <row r="852" s="418" customFormat="1" ht="14.25" x14ac:dyDescent="0.2"/>
    <row r="853" s="418" customFormat="1" ht="14.25" x14ac:dyDescent="0.2"/>
    <row r="854" s="418" customFormat="1" ht="14.25" x14ac:dyDescent="0.2"/>
    <row r="855" s="418" customFormat="1" ht="14.25" x14ac:dyDescent="0.2"/>
    <row r="856" s="418" customFormat="1" ht="14.25" x14ac:dyDescent="0.2"/>
    <row r="857" s="418" customFormat="1" ht="14.25" x14ac:dyDescent="0.2"/>
    <row r="858" s="418" customFormat="1" ht="14.25" x14ac:dyDescent="0.2"/>
    <row r="859" s="418" customFormat="1" ht="14.25" x14ac:dyDescent="0.2"/>
    <row r="860" s="418" customFormat="1" ht="14.25" x14ac:dyDescent="0.2"/>
    <row r="861" s="418" customFormat="1" ht="14.25" x14ac:dyDescent="0.2"/>
    <row r="862" s="418" customFormat="1" ht="14.25" x14ac:dyDescent="0.2"/>
    <row r="863" s="418" customFormat="1" ht="14.25" x14ac:dyDescent="0.2"/>
    <row r="864" s="418" customFormat="1" ht="14.25" x14ac:dyDescent="0.2"/>
    <row r="865" s="418" customFormat="1" ht="14.25" x14ac:dyDescent="0.2"/>
    <row r="866" s="418" customFormat="1" ht="14.25" x14ac:dyDescent="0.2"/>
    <row r="867" s="418" customFormat="1" ht="14.25" x14ac:dyDescent="0.2"/>
    <row r="868" s="418" customFormat="1" ht="14.25" x14ac:dyDescent="0.2"/>
    <row r="869" s="418" customFormat="1" ht="14.25" x14ac:dyDescent="0.2"/>
    <row r="870" s="418" customFormat="1" ht="14.25" x14ac:dyDescent="0.2"/>
    <row r="871" s="418" customFormat="1" ht="14.25" x14ac:dyDescent="0.2"/>
    <row r="872" s="418" customFormat="1" ht="14.25" x14ac:dyDescent="0.2"/>
    <row r="873" s="418" customFormat="1" ht="14.25" x14ac:dyDescent="0.2"/>
    <row r="874" s="418" customFormat="1" ht="14.25" x14ac:dyDescent="0.2"/>
    <row r="875" s="418" customFormat="1" ht="14.25" x14ac:dyDescent="0.2"/>
    <row r="876" s="418" customFormat="1" ht="14.25" x14ac:dyDescent="0.2"/>
    <row r="877" s="418" customFormat="1" ht="14.25" x14ac:dyDescent="0.2"/>
    <row r="878" s="418" customFormat="1" ht="14.25" x14ac:dyDescent="0.2"/>
    <row r="879" s="418" customFormat="1" ht="14.25" x14ac:dyDescent="0.2"/>
    <row r="880" s="418" customFormat="1" ht="14.25" x14ac:dyDescent="0.2"/>
    <row r="881" s="418" customFormat="1" ht="14.25" x14ac:dyDescent="0.2"/>
    <row r="882" s="418" customFormat="1" ht="14.25" x14ac:dyDescent="0.2"/>
    <row r="883" s="418" customFormat="1" ht="14.25" x14ac:dyDescent="0.2"/>
    <row r="884" s="418" customFormat="1" ht="14.25" x14ac:dyDescent="0.2"/>
    <row r="885" s="418" customFormat="1" ht="14.25" x14ac:dyDescent="0.2"/>
    <row r="886" s="418" customFormat="1" ht="14.25" x14ac:dyDescent="0.2"/>
    <row r="887" s="418" customFormat="1" ht="14.25" x14ac:dyDescent="0.2"/>
    <row r="888" s="418" customFormat="1" ht="14.25" x14ac:dyDescent="0.2"/>
    <row r="889" s="418" customFormat="1" ht="14.25" x14ac:dyDescent="0.2"/>
    <row r="890" s="418" customFormat="1" ht="14.25" x14ac:dyDescent="0.2"/>
    <row r="891" s="418" customFormat="1" ht="14.25" x14ac:dyDescent="0.2"/>
    <row r="892" s="418" customFormat="1" ht="14.25" x14ac:dyDescent="0.2"/>
    <row r="893" s="418" customFormat="1" ht="14.25" x14ac:dyDescent="0.2"/>
    <row r="894" s="418" customFormat="1" ht="14.25" x14ac:dyDescent="0.2"/>
    <row r="895" s="418" customFormat="1" ht="14.25" x14ac:dyDescent="0.2"/>
    <row r="896" s="418" customFormat="1" ht="14.25" x14ac:dyDescent="0.2"/>
    <row r="897" s="418" customFormat="1" ht="14.25" x14ac:dyDescent="0.2"/>
    <row r="898" s="418" customFormat="1" ht="14.25" x14ac:dyDescent="0.2"/>
    <row r="899" s="418" customFormat="1" ht="14.25" x14ac:dyDescent="0.2"/>
    <row r="900" s="418" customFormat="1" ht="14.25" x14ac:dyDescent="0.2"/>
    <row r="901" s="418" customFormat="1" ht="14.25" x14ac:dyDescent="0.2"/>
    <row r="902" s="418" customFormat="1" ht="14.25" x14ac:dyDescent="0.2"/>
    <row r="903" s="418" customFormat="1" ht="14.25" x14ac:dyDescent="0.2"/>
    <row r="904" s="418" customFormat="1" ht="14.25" x14ac:dyDescent="0.2"/>
    <row r="905" s="418" customFormat="1" ht="14.25" x14ac:dyDescent="0.2"/>
    <row r="906" s="418" customFormat="1" ht="14.25" x14ac:dyDescent="0.2"/>
    <row r="907" s="418" customFormat="1" ht="14.25" x14ac:dyDescent="0.2"/>
    <row r="908" s="418" customFormat="1" ht="14.25" x14ac:dyDescent="0.2"/>
    <row r="909" s="418" customFormat="1" ht="14.25" x14ac:dyDescent="0.2"/>
    <row r="910" s="418" customFormat="1" ht="14.25" x14ac:dyDescent="0.2"/>
    <row r="911" s="418" customFormat="1" ht="14.25" x14ac:dyDescent="0.2"/>
    <row r="912" s="418" customFormat="1" ht="14.25" x14ac:dyDescent="0.2"/>
    <row r="913" s="418" customFormat="1" ht="14.25" x14ac:dyDescent="0.2"/>
    <row r="914" s="418" customFormat="1" ht="14.25" x14ac:dyDescent="0.2"/>
    <row r="915" s="418" customFormat="1" ht="14.25" x14ac:dyDescent="0.2"/>
    <row r="916" s="418" customFormat="1" ht="14.25" x14ac:dyDescent="0.2"/>
    <row r="917" s="418" customFormat="1" ht="14.25" x14ac:dyDescent="0.2"/>
    <row r="918" s="418" customFormat="1" ht="14.25" x14ac:dyDescent="0.2"/>
    <row r="919" s="418" customFormat="1" ht="14.25" x14ac:dyDescent="0.2"/>
    <row r="920" s="418" customFormat="1" ht="14.25" x14ac:dyDescent="0.2"/>
    <row r="921" s="418" customFormat="1" ht="14.25" x14ac:dyDescent="0.2"/>
    <row r="922" s="418" customFormat="1" ht="14.25" x14ac:dyDescent="0.2"/>
    <row r="923" s="418" customFormat="1" ht="14.25" x14ac:dyDescent="0.2"/>
    <row r="924" s="418" customFormat="1" ht="14.25" x14ac:dyDescent="0.2"/>
    <row r="925" s="418" customFormat="1" ht="14.25" x14ac:dyDescent="0.2"/>
    <row r="926" s="418" customFormat="1" ht="14.25" x14ac:dyDescent="0.2"/>
    <row r="927" s="418" customFormat="1" ht="14.25" x14ac:dyDescent="0.2"/>
    <row r="928" s="418" customFormat="1" ht="14.25" x14ac:dyDescent="0.2"/>
    <row r="929" s="418" customFormat="1" ht="14.25" x14ac:dyDescent="0.2"/>
    <row r="930" s="418" customFormat="1" ht="14.25" x14ac:dyDescent="0.2"/>
    <row r="931" s="418" customFormat="1" ht="14.25" x14ac:dyDescent="0.2"/>
    <row r="932" s="418" customFormat="1" ht="14.25" x14ac:dyDescent="0.2"/>
    <row r="933" s="418" customFormat="1" ht="14.25" x14ac:dyDescent="0.2"/>
    <row r="934" s="418" customFormat="1" ht="14.25" x14ac:dyDescent="0.2"/>
    <row r="935" s="418" customFormat="1" ht="14.25" x14ac:dyDescent="0.2"/>
    <row r="936" s="418" customFormat="1" ht="14.25" x14ac:dyDescent="0.2"/>
    <row r="937" s="418" customFormat="1" ht="14.25" x14ac:dyDescent="0.2"/>
    <row r="938" s="418" customFormat="1" ht="14.25" x14ac:dyDescent="0.2"/>
    <row r="939" s="418" customFormat="1" ht="14.25" x14ac:dyDescent="0.2"/>
    <row r="940" s="418" customFormat="1" ht="14.25" x14ac:dyDescent="0.2"/>
    <row r="941" s="418" customFormat="1" ht="14.25" x14ac:dyDescent="0.2"/>
    <row r="942" s="418" customFormat="1" ht="14.25" x14ac:dyDescent="0.2"/>
    <row r="943" s="418" customFormat="1" ht="14.25" x14ac:dyDescent="0.2"/>
    <row r="944" s="418" customFormat="1" ht="14.25" x14ac:dyDescent="0.2"/>
    <row r="945" s="418" customFormat="1" ht="14.25" x14ac:dyDescent="0.2"/>
    <row r="946" s="418" customFormat="1" ht="14.25" x14ac:dyDescent="0.2"/>
    <row r="947" s="418" customFormat="1" ht="14.25" x14ac:dyDescent="0.2"/>
    <row r="948" s="418" customFormat="1" ht="14.25" x14ac:dyDescent="0.2"/>
    <row r="949" s="418" customFormat="1" ht="14.25" x14ac:dyDescent="0.2"/>
    <row r="950" s="418" customFormat="1" ht="14.25" x14ac:dyDescent="0.2"/>
    <row r="951" s="418" customFormat="1" ht="14.25" x14ac:dyDescent="0.2"/>
    <row r="952" s="418" customFormat="1" ht="14.25" x14ac:dyDescent="0.2"/>
    <row r="953" s="418" customFormat="1" ht="14.25" x14ac:dyDescent="0.2"/>
    <row r="954" s="418" customFormat="1" ht="14.25" x14ac:dyDescent="0.2"/>
    <row r="955" s="418" customFormat="1" ht="14.25" x14ac:dyDescent="0.2"/>
    <row r="956" s="418" customFormat="1" ht="14.25" x14ac:dyDescent="0.2"/>
    <row r="957" s="418" customFormat="1" ht="14.25" x14ac:dyDescent="0.2"/>
    <row r="958" s="418" customFormat="1" ht="14.25" x14ac:dyDescent="0.2"/>
    <row r="959" s="418" customFormat="1" ht="14.25" x14ac:dyDescent="0.2"/>
    <row r="960" s="418" customFormat="1" ht="14.25" x14ac:dyDescent="0.2"/>
    <row r="961" s="418" customFormat="1" ht="14.25" x14ac:dyDescent="0.2"/>
    <row r="962" s="418" customFormat="1" ht="14.25" x14ac:dyDescent="0.2"/>
    <row r="963" s="418" customFormat="1" ht="14.25" x14ac:dyDescent="0.2"/>
    <row r="964" s="418" customFormat="1" ht="14.25" x14ac:dyDescent="0.2"/>
    <row r="965" s="418" customFormat="1" ht="14.25" x14ac:dyDescent="0.2"/>
    <row r="966" s="418" customFormat="1" ht="14.25" x14ac:dyDescent="0.2"/>
    <row r="967" s="418" customFormat="1" ht="14.25" x14ac:dyDescent="0.2"/>
    <row r="968" s="418" customFormat="1" ht="14.25" x14ac:dyDescent="0.2"/>
    <row r="969" s="418" customFormat="1" ht="14.25" x14ac:dyDescent="0.2"/>
    <row r="970" s="418" customFormat="1" ht="14.25" x14ac:dyDescent="0.2"/>
    <row r="971" s="418" customFormat="1" ht="14.25" x14ac:dyDescent="0.2"/>
    <row r="972" s="418" customFormat="1" ht="14.25" x14ac:dyDescent="0.2"/>
    <row r="973" s="418" customFormat="1" ht="14.25" x14ac:dyDescent="0.2"/>
    <row r="974" s="418" customFormat="1" ht="14.25" x14ac:dyDescent="0.2"/>
    <row r="975" s="418" customFormat="1" ht="14.25" x14ac:dyDescent="0.2"/>
    <row r="976" s="418" customFormat="1" ht="14.25" x14ac:dyDescent="0.2"/>
    <row r="977" s="418" customFormat="1" ht="14.25" x14ac:dyDescent="0.2"/>
    <row r="978" s="418" customFormat="1" ht="14.25" x14ac:dyDescent="0.2"/>
    <row r="979" s="418" customFormat="1" ht="14.25" x14ac:dyDescent="0.2"/>
    <row r="980" s="418" customFormat="1" ht="14.25" x14ac:dyDescent="0.2"/>
    <row r="981" s="418" customFormat="1" ht="14.25" x14ac:dyDescent="0.2"/>
    <row r="982" s="418" customFormat="1" ht="14.25" x14ac:dyDescent="0.2"/>
    <row r="983" s="418" customFormat="1" ht="14.25" x14ac:dyDescent="0.2"/>
    <row r="984" s="418" customFormat="1" ht="14.25" x14ac:dyDescent="0.2"/>
    <row r="985" s="418" customFormat="1" ht="14.25" x14ac:dyDescent="0.2"/>
    <row r="986" s="418" customFormat="1" ht="14.25" x14ac:dyDescent="0.2"/>
    <row r="987" s="418" customFormat="1" ht="14.25" x14ac:dyDescent="0.2"/>
    <row r="988" s="418" customFormat="1" ht="14.25" x14ac:dyDescent="0.2"/>
    <row r="989" s="418" customFormat="1" ht="14.25" x14ac:dyDescent="0.2"/>
    <row r="990" s="418" customFormat="1" ht="14.25" x14ac:dyDescent="0.2"/>
    <row r="991" s="418" customFormat="1" ht="14.25" x14ac:dyDescent="0.2"/>
    <row r="992" s="418" customFormat="1" ht="14.25" x14ac:dyDescent="0.2"/>
    <row r="993" s="418" customFormat="1" ht="14.25" x14ac:dyDescent="0.2"/>
    <row r="994" s="418" customFormat="1" ht="14.25" x14ac:dyDescent="0.2"/>
    <row r="995" s="418" customFormat="1" ht="14.25" x14ac:dyDescent="0.2"/>
    <row r="996" s="418" customFormat="1" ht="14.25" x14ac:dyDescent="0.2"/>
    <row r="997" s="418" customFormat="1" ht="14.25" x14ac:dyDescent="0.2"/>
    <row r="998" s="418" customFormat="1" ht="14.25" x14ac:dyDescent="0.2"/>
    <row r="999" s="418" customFormat="1" ht="14.25" x14ac:dyDescent="0.2"/>
    <row r="1000" s="418" customFormat="1" ht="14.25" x14ac:dyDescent="0.2"/>
    <row r="1001" s="418" customFormat="1" ht="14.25" x14ac:dyDescent="0.2"/>
    <row r="1002" s="418" customFormat="1" ht="14.25" x14ac:dyDescent="0.2"/>
    <row r="1003" s="418" customFormat="1" ht="14.25" x14ac:dyDescent="0.2"/>
    <row r="1004" s="418" customFormat="1" ht="14.25" x14ac:dyDescent="0.2"/>
    <row r="1005" s="418" customFormat="1" ht="14.25" x14ac:dyDescent="0.2"/>
    <row r="1006" s="418" customFormat="1" ht="14.25" x14ac:dyDescent="0.2"/>
    <row r="1007" s="418" customFormat="1" ht="14.25" x14ac:dyDescent="0.2"/>
    <row r="1008" s="418" customFormat="1" ht="14.25" x14ac:dyDescent="0.2"/>
    <row r="1009" s="418" customFormat="1" ht="14.25" x14ac:dyDescent="0.2"/>
    <row r="1010" s="418" customFormat="1" ht="14.25" x14ac:dyDescent="0.2"/>
    <row r="1011" s="418" customFormat="1" ht="14.25" x14ac:dyDescent="0.2"/>
    <row r="1012" s="418" customFormat="1" ht="14.25" x14ac:dyDescent="0.2"/>
    <row r="1013" s="418" customFormat="1" ht="14.25" x14ac:dyDescent="0.2"/>
    <row r="1014" s="418" customFormat="1" ht="14.25" x14ac:dyDescent="0.2"/>
    <row r="1015" s="418" customFormat="1" ht="14.25" x14ac:dyDescent="0.2"/>
    <row r="1016" s="418" customFormat="1" ht="14.25" x14ac:dyDescent="0.2"/>
    <row r="1017" s="418" customFormat="1" ht="14.25" x14ac:dyDescent="0.2"/>
    <row r="1018" s="418" customFormat="1" ht="14.25" x14ac:dyDescent="0.2"/>
    <row r="1019" s="418" customFormat="1" ht="14.25" x14ac:dyDescent="0.2"/>
    <row r="1020" s="418" customFormat="1" ht="14.25" x14ac:dyDescent="0.2"/>
    <row r="1021" s="418" customFormat="1" ht="14.25" x14ac:dyDescent="0.2"/>
    <row r="1022" s="418" customFormat="1" ht="14.25" x14ac:dyDescent="0.2"/>
    <row r="1023" s="418" customFormat="1" ht="14.25" x14ac:dyDescent="0.2"/>
    <row r="1024" s="418" customFormat="1" ht="14.25" x14ac:dyDescent="0.2"/>
    <row r="1025" s="418" customFormat="1" ht="14.25" x14ac:dyDescent="0.2"/>
    <row r="1026" s="418" customFormat="1" ht="14.25" x14ac:dyDescent="0.2"/>
    <row r="1027" s="418" customFormat="1" ht="14.25" x14ac:dyDescent="0.2"/>
    <row r="1028" s="418" customFormat="1" ht="14.25" x14ac:dyDescent="0.2"/>
    <row r="1029" s="418" customFormat="1" ht="14.25" x14ac:dyDescent="0.2"/>
    <row r="1030" s="418" customFormat="1" ht="14.25" x14ac:dyDescent="0.2"/>
    <row r="1031" s="418" customFormat="1" ht="14.25" x14ac:dyDescent="0.2"/>
    <row r="1032" s="418" customFormat="1" ht="14.25" x14ac:dyDescent="0.2"/>
    <row r="1033" s="418" customFormat="1" ht="14.25" x14ac:dyDescent="0.2"/>
    <row r="1034" s="418" customFormat="1" ht="14.25" x14ac:dyDescent="0.2"/>
    <row r="1035" s="418" customFormat="1" ht="14.25" x14ac:dyDescent="0.2"/>
    <row r="1036" s="418" customFormat="1" ht="14.25" x14ac:dyDescent="0.2"/>
    <row r="1037" s="418" customFormat="1" ht="14.25" x14ac:dyDescent="0.2"/>
    <row r="1038" s="418" customFormat="1" ht="14.25" x14ac:dyDescent="0.2"/>
    <row r="1039" s="418" customFormat="1" ht="14.25" x14ac:dyDescent="0.2"/>
    <row r="1040" s="418" customFormat="1" ht="14.25" x14ac:dyDescent="0.2"/>
    <row r="1041" s="418" customFormat="1" ht="14.25" x14ac:dyDescent="0.2"/>
    <row r="1042" s="418" customFormat="1" ht="14.25" x14ac:dyDescent="0.2"/>
    <row r="1043" s="418" customFormat="1" ht="14.25" x14ac:dyDescent="0.2"/>
    <row r="1044" s="418" customFormat="1" ht="14.25" x14ac:dyDescent="0.2"/>
    <row r="1045" s="418" customFormat="1" ht="14.25" x14ac:dyDescent="0.2"/>
    <row r="1046" s="418" customFormat="1" ht="14.25" x14ac:dyDescent="0.2"/>
    <row r="1047" s="418" customFormat="1" ht="14.25" x14ac:dyDescent="0.2"/>
    <row r="1048" s="418" customFormat="1" ht="14.25" x14ac:dyDescent="0.2"/>
    <row r="1049" s="418" customFormat="1" ht="14.25" x14ac:dyDescent="0.2"/>
    <row r="1050" s="418" customFormat="1" ht="14.25" x14ac:dyDescent="0.2"/>
    <row r="1051" s="418" customFormat="1" ht="14.25" x14ac:dyDescent="0.2"/>
    <row r="1052" s="418" customFormat="1" ht="14.25" x14ac:dyDescent="0.2"/>
    <row r="1053" s="418" customFormat="1" ht="14.25" x14ac:dyDescent="0.2"/>
    <row r="1054" s="418" customFormat="1" ht="14.25" x14ac:dyDescent="0.2"/>
    <row r="1055" s="418" customFormat="1" ht="14.25" x14ac:dyDescent="0.2"/>
    <row r="1056" s="418" customFormat="1" ht="14.25" x14ac:dyDescent="0.2"/>
    <row r="1057" s="418" customFormat="1" ht="14.25" x14ac:dyDescent="0.2"/>
    <row r="1058" s="418" customFormat="1" ht="14.25" x14ac:dyDescent="0.2"/>
    <row r="1059" s="418" customFormat="1" ht="14.25" x14ac:dyDescent="0.2"/>
    <row r="1060" s="418" customFormat="1" ht="14.25" x14ac:dyDescent="0.2"/>
    <row r="1061" s="418" customFormat="1" ht="14.25" x14ac:dyDescent="0.2"/>
    <row r="1062" s="418" customFormat="1" ht="14.25" x14ac:dyDescent="0.2"/>
    <row r="1063" s="418" customFormat="1" ht="14.25" x14ac:dyDescent="0.2"/>
    <row r="1064" s="418" customFormat="1" ht="14.25" x14ac:dyDescent="0.2"/>
    <row r="1065" s="418" customFormat="1" ht="14.25" x14ac:dyDescent="0.2"/>
    <row r="1066" s="418" customFormat="1" ht="14.25" x14ac:dyDescent="0.2"/>
    <row r="1067" s="418" customFormat="1" ht="14.25" x14ac:dyDescent="0.2"/>
    <row r="1068" s="418" customFormat="1" ht="14.25" x14ac:dyDescent="0.2"/>
    <row r="1069" s="418" customFormat="1" ht="14.25" x14ac:dyDescent="0.2"/>
    <row r="1070" s="418" customFormat="1" ht="14.25" x14ac:dyDescent="0.2"/>
    <row r="1071" s="418" customFormat="1" ht="14.25" x14ac:dyDescent="0.2"/>
    <row r="1072" s="418" customFormat="1" ht="14.25" x14ac:dyDescent="0.2"/>
    <row r="1073" s="418" customFormat="1" ht="14.25" x14ac:dyDescent="0.2"/>
    <row r="1074" s="418" customFormat="1" ht="14.25" x14ac:dyDescent="0.2"/>
    <row r="1075" s="418" customFormat="1" ht="14.25" x14ac:dyDescent="0.2"/>
    <row r="1076" s="418" customFormat="1" ht="14.25" x14ac:dyDescent="0.2"/>
    <row r="1077" s="418" customFormat="1" ht="14.25" x14ac:dyDescent="0.2"/>
    <row r="1078" s="418" customFormat="1" ht="14.25" x14ac:dyDescent="0.2"/>
    <row r="1079" s="418" customFormat="1" ht="14.25" x14ac:dyDescent="0.2"/>
    <row r="1080" s="418" customFormat="1" ht="14.25" x14ac:dyDescent="0.2"/>
    <row r="1081" s="418" customFormat="1" ht="14.25" x14ac:dyDescent="0.2"/>
    <row r="1082" s="418" customFormat="1" ht="14.25" x14ac:dyDescent="0.2"/>
    <row r="1083" s="418" customFormat="1" ht="14.25" x14ac:dyDescent="0.2"/>
    <row r="1084" s="418" customFormat="1" ht="14.25" x14ac:dyDescent="0.2"/>
    <row r="1085" s="418" customFormat="1" ht="14.25" x14ac:dyDescent="0.2"/>
    <row r="1086" s="418" customFormat="1" ht="14.25" x14ac:dyDescent="0.2"/>
    <row r="1087" s="418" customFormat="1" ht="14.25" x14ac:dyDescent="0.2"/>
    <row r="1088" s="418" customFormat="1" ht="14.25" x14ac:dyDescent="0.2"/>
    <row r="1089" s="418" customFormat="1" ht="14.25" x14ac:dyDescent="0.2"/>
    <row r="1090" s="418" customFormat="1" ht="14.25" x14ac:dyDescent="0.2"/>
    <row r="1091" s="418" customFormat="1" ht="14.25" x14ac:dyDescent="0.2"/>
    <row r="1092" s="418" customFormat="1" ht="14.25" x14ac:dyDescent="0.2"/>
    <row r="1093" s="418" customFormat="1" ht="14.25" x14ac:dyDescent="0.2"/>
    <row r="1094" s="418" customFormat="1" ht="14.25" x14ac:dyDescent="0.2"/>
    <row r="1095" s="418" customFormat="1" ht="14.25" x14ac:dyDescent="0.2"/>
    <row r="1096" s="418" customFormat="1" ht="14.25" x14ac:dyDescent="0.2"/>
    <row r="1097" s="418" customFormat="1" ht="14.25" x14ac:dyDescent="0.2"/>
    <row r="1098" s="418" customFormat="1" ht="14.25" x14ac:dyDescent="0.2"/>
    <row r="1099" s="418" customFormat="1" ht="14.25" x14ac:dyDescent="0.2"/>
    <row r="1100" s="418" customFormat="1" ht="14.25" x14ac:dyDescent="0.2"/>
    <row r="1101" s="418" customFormat="1" ht="14.25" x14ac:dyDescent="0.2"/>
    <row r="1102" s="418" customFormat="1" ht="14.25" x14ac:dyDescent="0.2"/>
    <row r="1103" s="418" customFormat="1" ht="14.25" x14ac:dyDescent="0.2"/>
    <row r="1104" s="418" customFormat="1" ht="14.25" x14ac:dyDescent="0.2"/>
    <row r="1105" s="418" customFormat="1" ht="14.25" x14ac:dyDescent="0.2"/>
    <row r="1106" s="418" customFormat="1" ht="14.25" x14ac:dyDescent="0.2"/>
    <row r="1107" s="418" customFormat="1" ht="14.25" x14ac:dyDescent="0.2"/>
    <row r="1108" s="418" customFormat="1" ht="14.25" x14ac:dyDescent="0.2"/>
    <row r="1109" s="418" customFormat="1" ht="14.25" x14ac:dyDescent="0.2"/>
    <row r="1110" s="418" customFormat="1" ht="14.25" x14ac:dyDescent="0.2"/>
    <row r="1111" s="418" customFormat="1" ht="14.25" x14ac:dyDescent="0.2"/>
    <row r="1112" s="418" customFormat="1" ht="14.25" x14ac:dyDescent="0.2"/>
    <row r="1113" s="418" customFormat="1" ht="14.25" x14ac:dyDescent="0.2"/>
    <row r="1114" s="418" customFormat="1" ht="14.25" x14ac:dyDescent="0.2"/>
    <row r="1115" s="418" customFormat="1" ht="14.25" x14ac:dyDescent="0.2"/>
    <row r="1116" s="418" customFormat="1" ht="14.25" x14ac:dyDescent="0.2"/>
    <row r="1117" s="418" customFormat="1" ht="14.25" x14ac:dyDescent="0.2"/>
    <row r="1118" s="418" customFormat="1" ht="14.25" x14ac:dyDescent="0.2"/>
    <row r="1119" s="418" customFormat="1" ht="14.25" x14ac:dyDescent="0.2"/>
    <row r="1120" s="418" customFormat="1" ht="14.25" x14ac:dyDescent="0.2"/>
    <row r="1121" s="418" customFormat="1" ht="14.25" x14ac:dyDescent="0.2"/>
    <row r="1122" s="418" customFormat="1" ht="14.25" x14ac:dyDescent="0.2"/>
    <row r="1123" s="418" customFormat="1" ht="14.25" x14ac:dyDescent="0.2"/>
    <row r="1124" s="418" customFormat="1" ht="14.25" x14ac:dyDescent="0.2"/>
    <row r="1125" s="418" customFormat="1" ht="14.25" x14ac:dyDescent="0.2"/>
    <row r="1126" s="418" customFormat="1" ht="14.25" x14ac:dyDescent="0.2"/>
    <row r="1127" s="418" customFormat="1" ht="14.25" x14ac:dyDescent="0.2"/>
    <row r="1128" s="418" customFormat="1" ht="14.25" x14ac:dyDescent="0.2"/>
    <row r="1129" s="418" customFormat="1" ht="14.25" x14ac:dyDescent="0.2"/>
    <row r="1130" s="418" customFormat="1" ht="14.25" x14ac:dyDescent="0.2"/>
    <row r="1131" s="418" customFormat="1" ht="14.25" x14ac:dyDescent="0.2"/>
    <row r="1132" s="418" customFormat="1" ht="14.25" x14ac:dyDescent="0.2"/>
    <row r="1133" s="418" customFormat="1" ht="14.25" x14ac:dyDescent="0.2"/>
    <row r="1134" s="418" customFormat="1" ht="14.25" x14ac:dyDescent="0.2"/>
    <row r="1135" s="418" customFormat="1" ht="14.25" x14ac:dyDescent="0.2"/>
    <row r="1136" s="418" customFormat="1" ht="14.25" x14ac:dyDescent="0.2"/>
    <row r="1137" s="418" customFormat="1" ht="14.25" x14ac:dyDescent="0.2"/>
    <row r="1138" s="418" customFormat="1" ht="14.25" x14ac:dyDescent="0.2"/>
    <row r="1139" s="418" customFormat="1" ht="14.25" x14ac:dyDescent="0.2"/>
    <row r="1140" s="418" customFormat="1" ht="14.25" x14ac:dyDescent="0.2"/>
    <row r="1141" s="418" customFormat="1" ht="14.25" x14ac:dyDescent="0.2"/>
    <row r="1142" s="418" customFormat="1" ht="14.25" x14ac:dyDescent="0.2"/>
    <row r="1143" s="418" customFormat="1" ht="14.25" x14ac:dyDescent="0.2"/>
    <row r="1144" s="418" customFormat="1" ht="14.25" x14ac:dyDescent="0.2"/>
    <row r="1145" s="418" customFormat="1" ht="14.25" x14ac:dyDescent="0.2"/>
    <row r="1146" s="418" customFormat="1" ht="14.25" x14ac:dyDescent="0.2"/>
    <row r="1147" s="418" customFormat="1" ht="14.25" x14ac:dyDescent="0.2"/>
    <row r="1148" s="418" customFormat="1" ht="14.25" x14ac:dyDescent="0.2"/>
    <row r="1149" s="418" customFormat="1" ht="14.25" x14ac:dyDescent="0.2"/>
    <row r="1150" s="418" customFormat="1" ht="14.25" x14ac:dyDescent="0.2"/>
    <row r="1151" s="418" customFormat="1" ht="14.25" x14ac:dyDescent="0.2"/>
    <row r="1152" s="418" customFormat="1" ht="14.25" x14ac:dyDescent="0.2"/>
    <row r="1153" s="418" customFormat="1" ht="14.25" x14ac:dyDescent="0.2"/>
    <row r="1154" s="418" customFormat="1" ht="14.25" x14ac:dyDescent="0.2"/>
    <row r="1155" s="418" customFormat="1" ht="14.25" x14ac:dyDescent="0.2"/>
    <row r="1156" s="418" customFormat="1" ht="14.25" x14ac:dyDescent="0.2"/>
    <row r="1157" s="418" customFormat="1" ht="14.25" x14ac:dyDescent="0.2"/>
    <row r="1158" s="418" customFormat="1" ht="14.25" x14ac:dyDescent="0.2"/>
    <row r="1159" s="418" customFormat="1" ht="14.25" x14ac:dyDescent="0.2"/>
    <row r="1160" s="418" customFormat="1" ht="14.25" x14ac:dyDescent="0.2"/>
    <row r="1161" s="418" customFormat="1" ht="14.25" x14ac:dyDescent="0.2"/>
    <row r="1162" s="418" customFormat="1" ht="14.25" x14ac:dyDescent="0.2"/>
    <row r="1163" s="418" customFormat="1" ht="14.25" x14ac:dyDescent="0.2"/>
    <row r="1164" s="418" customFormat="1" ht="14.25" x14ac:dyDescent="0.2"/>
    <row r="1165" s="418" customFormat="1" ht="14.25" x14ac:dyDescent="0.2"/>
    <row r="1166" s="418" customFormat="1" ht="14.25" x14ac:dyDescent="0.2"/>
    <row r="1167" s="418" customFormat="1" ht="14.25" x14ac:dyDescent="0.2"/>
    <row r="1168" s="418" customFormat="1" ht="14.25" x14ac:dyDescent="0.2"/>
    <row r="1169" s="418" customFormat="1" ht="14.25" x14ac:dyDescent="0.2"/>
    <row r="1170" s="418" customFormat="1" ht="14.25" x14ac:dyDescent="0.2"/>
    <row r="1171" s="418" customFormat="1" ht="14.25" x14ac:dyDescent="0.2"/>
    <row r="1172" s="418" customFormat="1" ht="14.25" x14ac:dyDescent="0.2"/>
    <row r="1173" s="418" customFormat="1" ht="14.25" x14ac:dyDescent="0.2"/>
    <row r="1174" s="418" customFormat="1" ht="14.25" x14ac:dyDescent="0.2"/>
    <row r="1175" s="418" customFormat="1" ht="14.25" x14ac:dyDescent="0.2"/>
    <row r="1176" s="418" customFormat="1" ht="14.25" x14ac:dyDescent="0.2"/>
    <row r="1177" s="418" customFormat="1" ht="14.25" x14ac:dyDescent="0.2"/>
    <row r="1178" s="418" customFormat="1" ht="14.25" x14ac:dyDescent="0.2"/>
    <row r="1179" s="418" customFormat="1" ht="14.25" x14ac:dyDescent="0.2"/>
    <row r="1180" s="418" customFormat="1" ht="14.25" x14ac:dyDescent="0.2"/>
    <row r="1181" s="418" customFormat="1" ht="14.25" x14ac:dyDescent="0.2"/>
    <row r="1182" s="418" customFormat="1" ht="14.25" x14ac:dyDescent="0.2"/>
    <row r="1183" s="418" customFormat="1" ht="14.25" x14ac:dyDescent="0.2"/>
    <row r="1184" s="418" customFormat="1" ht="14.25" x14ac:dyDescent="0.2"/>
    <row r="1185" s="418" customFormat="1" ht="14.25" x14ac:dyDescent="0.2"/>
    <row r="1186" s="418" customFormat="1" ht="14.25" x14ac:dyDescent="0.2"/>
    <row r="1187" s="418" customFormat="1" ht="14.25" x14ac:dyDescent="0.2"/>
    <row r="1188" s="418" customFormat="1" ht="14.25" x14ac:dyDescent="0.2"/>
    <row r="1189" s="418" customFormat="1" ht="14.25" x14ac:dyDescent="0.2"/>
    <row r="1190" s="418" customFormat="1" ht="14.25" x14ac:dyDescent="0.2"/>
    <row r="1191" s="418" customFormat="1" ht="14.25" x14ac:dyDescent="0.2"/>
    <row r="1192" s="418" customFormat="1" ht="14.25" x14ac:dyDescent="0.2"/>
    <row r="1193" s="418" customFormat="1" ht="14.25" x14ac:dyDescent="0.2"/>
    <row r="1194" s="418" customFormat="1" ht="14.25" x14ac:dyDescent="0.2"/>
    <row r="1195" s="418" customFormat="1" ht="14.25" x14ac:dyDescent="0.2"/>
    <row r="1196" s="418" customFormat="1" ht="14.25" x14ac:dyDescent="0.2"/>
    <row r="1197" s="418" customFormat="1" ht="14.25" x14ac:dyDescent="0.2"/>
    <row r="1198" s="418" customFormat="1" ht="14.25" x14ac:dyDescent="0.2"/>
    <row r="1199" s="418" customFormat="1" ht="14.25" x14ac:dyDescent="0.2"/>
    <row r="1200" s="418" customFormat="1" ht="14.25" x14ac:dyDescent="0.2"/>
    <row r="1201" s="418" customFormat="1" ht="14.25" x14ac:dyDescent="0.2"/>
    <row r="1202" s="418" customFormat="1" ht="14.25" x14ac:dyDescent="0.2"/>
    <row r="1203" s="418" customFormat="1" ht="14.25" x14ac:dyDescent="0.2"/>
    <row r="1204" s="418" customFormat="1" ht="14.25" x14ac:dyDescent="0.2"/>
    <row r="1205" s="418" customFormat="1" ht="14.25" x14ac:dyDescent="0.2"/>
    <row r="1206" s="418" customFormat="1" ht="14.25" x14ac:dyDescent="0.2"/>
    <row r="1207" s="418" customFormat="1" ht="14.25" x14ac:dyDescent="0.2"/>
    <row r="1208" s="418" customFormat="1" ht="14.25" x14ac:dyDescent="0.2"/>
    <row r="1209" s="418" customFormat="1" ht="14.25" x14ac:dyDescent="0.2"/>
    <row r="1210" s="418" customFormat="1" ht="14.25" x14ac:dyDescent="0.2"/>
    <row r="1211" s="418" customFormat="1" ht="14.25" x14ac:dyDescent="0.2"/>
    <row r="1212" s="418" customFormat="1" ht="14.25" x14ac:dyDescent="0.2"/>
    <row r="1213" s="418" customFormat="1" ht="14.25" x14ac:dyDescent="0.2"/>
    <row r="1214" s="418" customFormat="1" ht="14.25" x14ac:dyDescent="0.2"/>
    <row r="1215" s="418" customFormat="1" ht="14.25" x14ac:dyDescent="0.2"/>
    <row r="1216" s="418" customFormat="1" ht="14.25" x14ac:dyDescent="0.2"/>
    <row r="1217" s="418" customFormat="1" ht="14.25" x14ac:dyDescent="0.2"/>
    <row r="1218" s="418" customFormat="1" ht="14.25" x14ac:dyDescent="0.2"/>
    <row r="1219" s="418" customFormat="1" ht="14.25" x14ac:dyDescent="0.2"/>
    <row r="1220" s="418" customFormat="1" ht="14.25" x14ac:dyDescent="0.2"/>
    <row r="1221" s="418" customFormat="1" ht="14.25" x14ac:dyDescent="0.2"/>
    <row r="1222" s="418" customFormat="1" ht="14.25" x14ac:dyDescent="0.2"/>
    <row r="1223" s="418" customFormat="1" ht="14.25" x14ac:dyDescent="0.2"/>
    <row r="1224" s="418" customFormat="1" ht="14.25" x14ac:dyDescent="0.2"/>
    <row r="1225" s="418" customFormat="1" ht="14.25" x14ac:dyDescent="0.2"/>
    <row r="1226" s="418" customFormat="1" ht="14.25" x14ac:dyDescent="0.2"/>
    <row r="1227" s="418" customFormat="1" ht="14.25" x14ac:dyDescent="0.2"/>
    <row r="1228" s="418" customFormat="1" ht="14.25" x14ac:dyDescent="0.2"/>
    <row r="1229" s="418" customFormat="1" ht="14.25" x14ac:dyDescent="0.2"/>
    <row r="1230" s="418" customFormat="1" ht="14.25" x14ac:dyDescent="0.2"/>
    <row r="1231" s="418" customFormat="1" ht="14.25" x14ac:dyDescent="0.2"/>
    <row r="1232" s="418" customFormat="1" ht="14.25" x14ac:dyDescent="0.2"/>
    <row r="1233" s="418" customFormat="1" ht="14.25" x14ac:dyDescent="0.2"/>
    <row r="1234" s="418" customFormat="1" ht="14.25" x14ac:dyDescent="0.2"/>
    <row r="1235" s="418" customFormat="1" ht="14.25" x14ac:dyDescent="0.2"/>
    <row r="1236" s="418" customFormat="1" ht="14.25" x14ac:dyDescent="0.2"/>
    <row r="1237" s="418" customFormat="1" ht="14.25" x14ac:dyDescent="0.2"/>
    <row r="1238" s="418" customFormat="1" ht="14.25" x14ac:dyDescent="0.2"/>
    <row r="1239" s="418" customFormat="1" ht="14.25" x14ac:dyDescent="0.2"/>
    <row r="1240" s="418" customFormat="1" ht="14.25" x14ac:dyDescent="0.2"/>
    <row r="1241" s="418" customFormat="1" ht="14.25" x14ac:dyDescent="0.2"/>
    <row r="1242" s="418" customFormat="1" ht="14.25" x14ac:dyDescent="0.2"/>
    <row r="1243" s="418" customFormat="1" ht="14.25" x14ac:dyDescent="0.2"/>
    <row r="1244" s="418" customFormat="1" ht="14.25" x14ac:dyDescent="0.2"/>
    <row r="1245" s="418" customFormat="1" ht="14.25" x14ac:dyDescent="0.2"/>
    <row r="1246" s="418" customFormat="1" ht="14.25" x14ac:dyDescent="0.2"/>
    <row r="1247" s="418" customFormat="1" ht="14.25" x14ac:dyDescent="0.2"/>
    <row r="1248" s="418" customFormat="1" ht="14.25" x14ac:dyDescent="0.2"/>
    <row r="1249" s="418" customFormat="1" ht="14.25" x14ac:dyDescent="0.2"/>
    <row r="1250" s="418" customFormat="1" ht="14.25" x14ac:dyDescent="0.2"/>
    <row r="1251" s="418" customFormat="1" ht="14.25" x14ac:dyDescent="0.2"/>
    <row r="1252" s="418" customFormat="1" ht="14.25" x14ac:dyDescent="0.2"/>
    <row r="1253" s="418" customFormat="1" ht="14.25" x14ac:dyDescent="0.2"/>
    <row r="1254" s="418" customFormat="1" ht="14.25" x14ac:dyDescent="0.2"/>
    <row r="1255" s="418" customFormat="1" ht="14.25" x14ac:dyDescent="0.2"/>
    <row r="1256" s="418" customFormat="1" ht="14.25" x14ac:dyDescent="0.2"/>
    <row r="1257" s="418" customFormat="1" ht="14.25" x14ac:dyDescent="0.2"/>
    <row r="1258" s="418" customFormat="1" ht="14.25" x14ac:dyDescent="0.2"/>
    <row r="1259" s="418" customFormat="1" ht="14.25" x14ac:dyDescent="0.2"/>
    <row r="1260" s="418" customFormat="1" ht="14.25" x14ac:dyDescent="0.2"/>
    <row r="1261" s="418" customFormat="1" ht="14.25" x14ac:dyDescent="0.2"/>
    <row r="1262" s="418" customFormat="1" ht="14.25" x14ac:dyDescent="0.2"/>
    <row r="1263" s="418" customFormat="1" ht="14.25" x14ac:dyDescent="0.2"/>
    <row r="1264" s="418" customFormat="1" ht="14.25" x14ac:dyDescent="0.2"/>
    <row r="1265" s="418" customFormat="1" ht="14.25" x14ac:dyDescent="0.2"/>
    <row r="1266" s="418" customFormat="1" ht="14.25" x14ac:dyDescent="0.2"/>
    <row r="1267" s="418" customFormat="1" ht="14.25" x14ac:dyDescent="0.2"/>
    <row r="1268" s="418" customFormat="1" ht="14.25" x14ac:dyDescent="0.2"/>
    <row r="1269" s="418" customFormat="1" ht="14.25" x14ac:dyDescent="0.2"/>
    <row r="1270" s="418" customFormat="1" ht="14.25" x14ac:dyDescent="0.2"/>
    <row r="1271" s="418" customFormat="1" ht="14.25" x14ac:dyDescent="0.2"/>
    <row r="1272" s="418" customFormat="1" ht="14.25" x14ac:dyDescent="0.2"/>
    <row r="1273" s="418" customFormat="1" ht="14.25" x14ac:dyDescent="0.2"/>
    <row r="1274" s="418" customFormat="1" ht="14.25" x14ac:dyDescent="0.2"/>
    <row r="1275" s="418" customFormat="1" ht="14.25" x14ac:dyDescent="0.2"/>
    <row r="1276" s="418" customFormat="1" ht="14.25" x14ac:dyDescent="0.2"/>
    <row r="1277" s="418" customFormat="1" ht="14.25" x14ac:dyDescent="0.2"/>
    <row r="1278" s="418" customFormat="1" ht="14.25" x14ac:dyDescent="0.2"/>
    <row r="1279" s="418" customFormat="1" ht="14.25" x14ac:dyDescent="0.2"/>
    <row r="1280" s="418" customFormat="1" ht="14.25" x14ac:dyDescent="0.2"/>
    <row r="1281" s="418" customFormat="1" ht="14.25" x14ac:dyDescent="0.2"/>
    <row r="1282" s="418" customFormat="1" ht="14.25" x14ac:dyDescent="0.2"/>
    <row r="1283" s="418" customFormat="1" ht="14.25" x14ac:dyDescent="0.2"/>
    <row r="1284" s="418" customFormat="1" ht="14.25" x14ac:dyDescent="0.2"/>
    <row r="1285" s="418" customFormat="1" ht="14.25" x14ac:dyDescent="0.2"/>
    <row r="1286" s="418" customFormat="1" ht="14.25" x14ac:dyDescent="0.2"/>
    <row r="1287" s="418" customFormat="1" ht="14.25" x14ac:dyDescent="0.2"/>
    <row r="1288" s="418" customFormat="1" ht="14.25" x14ac:dyDescent="0.2"/>
    <row r="1289" s="418" customFormat="1" ht="14.25" x14ac:dyDescent="0.2"/>
    <row r="1290" s="418" customFormat="1" ht="14.25" x14ac:dyDescent="0.2"/>
    <row r="1291" s="418" customFormat="1" ht="14.25" x14ac:dyDescent="0.2"/>
    <row r="1292" s="418" customFormat="1" ht="14.25" x14ac:dyDescent="0.2"/>
    <row r="1293" s="418" customFormat="1" ht="14.25" x14ac:dyDescent="0.2"/>
    <row r="1294" s="418" customFormat="1" ht="14.25" x14ac:dyDescent="0.2"/>
    <row r="1295" s="418" customFormat="1" ht="14.25" x14ac:dyDescent="0.2"/>
    <row r="1296" s="418" customFormat="1" ht="14.25" x14ac:dyDescent="0.2"/>
    <row r="1297" s="418" customFormat="1" ht="14.25" x14ac:dyDescent="0.2"/>
    <row r="1298" s="418" customFormat="1" ht="14.25" x14ac:dyDescent="0.2"/>
    <row r="1299" s="418" customFormat="1" ht="14.25" x14ac:dyDescent="0.2"/>
    <row r="1300" s="418" customFormat="1" ht="14.25" x14ac:dyDescent="0.2"/>
    <row r="1301" s="418" customFormat="1" ht="14.25" x14ac:dyDescent="0.2"/>
    <row r="1302" s="418" customFormat="1" ht="14.25" x14ac:dyDescent="0.2"/>
    <row r="1303" s="418" customFormat="1" ht="14.25" x14ac:dyDescent="0.2"/>
    <row r="1304" s="418" customFormat="1" ht="14.25" x14ac:dyDescent="0.2"/>
    <row r="1305" s="418" customFormat="1" ht="14.25" x14ac:dyDescent="0.2"/>
    <row r="1306" s="418" customFormat="1" ht="14.25" x14ac:dyDescent="0.2"/>
    <row r="1307" s="418" customFormat="1" ht="14.25" x14ac:dyDescent="0.2"/>
    <row r="1308" s="418" customFormat="1" ht="14.25" x14ac:dyDescent="0.2"/>
    <row r="1309" s="418" customFormat="1" ht="14.25" x14ac:dyDescent="0.2"/>
    <row r="1310" s="418" customFormat="1" ht="14.25" x14ac:dyDescent="0.2"/>
    <row r="1311" s="418" customFormat="1" ht="14.25" x14ac:dyDescent="0.2"/>
    <row r="1312" s="418" customFormat="1" ht="14.25" x14ac:dyDescent="0.2"/>
    <row r="1313" s="418" customFormat="1" ht="14.25" x14ac:dyDescent="0.2"/>
    <row r="1314" s="418" customFormat="1" ht="14.25" x14ac:dyDescent="0.2"/>
    <row r="1315" s="418" customFormat="1" ht="14.25" x14ac:dyDescent="0.2"/>
    <row r="1316" s="418" customFormat="1" ht="14.25" x14ac:dyDescent="0.2"/>
    <row r="1317" s="418" customFormat="1" ht="14.25" x14ac:dyDescent="0.2"/>
    <row r="1318" s="418" customFormat="1" ht="14.25" x14ac:dyDescent="0.2"/>
    <row r="1319" s="418" customFormat="1" ht="14.25" x14ac:dyDescent="0.2"/>
    <row r="1320" s="418" customFormat="1" ht="14.25" x14ac:dyDescent="0.2"/>
    <row r="1321" s="418" customFormat="1" ht="14.25" x14ac:dyDescent="0.2"/>
    <row r="1322" s="418" customFormat="1" ht="14.25" x14ac:dyDescent="0.2"/>
    <row r="1323" s="418" customFormat="1" ht="14.25" x14ac:dyDescent="0.2"/>
    <row r="1324" s="418" customFormat="1" ht="14.25" x14ac:dyDescent="0.2"/>
    <row r="1325" s="418" customFormat="1" ht="14.25" x14ac:dyDescent="0.2"/>
    <row r="1326" s="418" customFormat="1" ht="14.25" x14ac:dyDescent="0.2"/>
    <row r="1327" s="418" customFormat="1" ht="14.25" x14ac:dyDescent="0.2"/>
    <row r="1328" s="418" customFormat="1" ht="14.25" x14ac:dyDescent="0.2"/>
    <row r="1329" s="418" customFormat="1" ht="14.25" x14ac:dyDescent="0.2"/>
    <row r="1330" s="418" customFormat="1" ht="14.25" x14ac:dyDescent="0.2"/>
    <row r="1331" s="418" customFormat="1" ht="14.25" x14ac:dyDescent="0.2"/>
    <row r="1332" s="418" customFormat="1" ht="14.25" x14ac:dyDescent="0.2"/>
    <row r="1333" s="418" customFormat="1" ht="14.25" x14ac:dyDescent="0.2"/>
    <row r="1334" s="418" customFormat="1" ht="14.25" x14ac:dyDescent="0.2"/>
    <row r="1335" s="418" customFormat="1" ht="14.25" x14ac:dyDescent="0.2"/>
    <row r="1336" s="418" customFormat="1" ht="14.25" x14ac:dyDescent="0.2"/>
    <row r="1337" s="418" customFormat="1" ht="14.25" x14ac:dyDescent="0.2"/>
    <row r="1338" s="418" customFormat="1" ht="14.25" x14ac:dyDescent="0.2"/>
    <row r="1339" s="418" customFormat="1" ht="14.25" x14ac:dyDescent="0.2"/>
    <row r="1340" s="418" customFormat="1" ht="14.25" x14ac:dyDescent="0.2"/>
    <row r="1341" s="418" customFormat="1" ht="14.25" x14ac:dyDescent="0.2"/>
    <row r="1342" s="418" customFormat="1" ht="14.25" x14ac:dyDescent="0.2"/>
    <row r="1343" s="418" customFormat="1" ht="14.25" x14ac:dyDescent="0.2"/>
    <row r="1344" s="418" customFormat="1" ht="14.25" x14ac:dyDescent="0.2"/>
    <row r="1345" s="418" customFormat="1" ht="14.25" x14ac:dyDescent="0.2"/>
    <row r="1346" s="418" customFormat="1" ht="14.25" x14ac:dyDescent="0.2"/>
    <row r="1347" s="418" customFormat="1" ht="14.25" x14ac:dyDescent="0.2"/>
    <row r="1348" s="418" customFormat="1" ht="14.25" x14ac:dyDescent="0.2"/>
    <row r="1349" s="418" customFormat="1" ht="14.25" x14ac:dyDescent="0.2"/>
    <row r="1350" s="418" customFormat="1" ht="14.25" x14ac:dyDescent="0.2"/>
    <row r="1351" s="418" customFormat="1" ht="14.25" x14ac:dyDescent="0.2"/>
    <row r="1352" s="418" customFormat="1" ht="14.25" x14ac:dyDescent="0.2"/>
    <row r="1353" s="418" customFormat="1" ht="14.25" x14ac:dyDescent="0.2"/>
    <row r="1354" s="418" customFormat="1" ht="14.25" x14ac:dyDescent="0.2"/>
    <row r="1355" s="418" customFormat="1" ht="14.25" x14ac:dyDescent="0.2"/>
    <row r="1356" s="418" customFormat="1" ht="14.25" x14ac:dyDescent="0.2"/>
    <row r="1357" s="418" customFormat="1" ht="14.25" x14ac:dyDescent="0.2"/>
    <row r="1358" s="418" customFormat="1" ht="14.25" x14ac:dyDescent="0.2"/>
    <row r="1359" s="418" customFormat="1" ht="14.25" x14ac:dyDescent="0.2"/>
    <row r="1360" s="418" customFormat="1" ht="14.25" x14ac:dyDescent="0.2"/>
    <row r="1361" s="418" customFormat="1" ht="14.25" x14ac:dyDescent="0.2"/>
    <row r="1362" s="418" customFormat="1" ht="14.25" x14ac:dyDescent="0.2"/>
    <row r="1363" s="418" customFormat="1" ht="14.25" x14ac:dyDescent="0.2"/>
    <row r="1364" s="418" customFormat="1" ht="14.25" x14ac:dyDescent="0.2"/>
    <row r="1365" s="418" customFormat="1" ht="14.25" x14ac:dyDescent="0.2"/>
    <row r="1366" s="418" customFormat="1" ht="14.25" x14ac:dyDescent="0.2"/>
    <row r="1367" s="418" customFormat="1" ht="14.25" x14ac:dyDescent="0.2"/>
    <row r="1368" s="418" customFormat="1" ht="14.25" x14ac:dyDescent="0.2"/>
    <row r="1369" s="418" customFormat="1" ht="14.25" x14ac:dyDescent="0.2"/>
    <row r="1370" s="418" customFormat="1" ht="14.25" x14ac:dyDescent="0.2"/>
    <row r="1371" s="418" customFormat="1" ht="14.25" x14ac:dyDescent="0.2"/>
    <row r="1372" s="418" customFormat="1" ht="14.25" x14ac:dyDescent="0.2"/>
    <row r="1373" s="418" customFormat="1" ht="14.25" x14ac:dyDescent="0.2"/>
    <row r="1374" s="418" customFormat="1" ht="14.25" x14ac:dyDescent="0.2"/>
    <row r="1375" s="418" customFormat="1" ht="14.25" x14ac:dyDescent="0.2"/>
    <row r="1376" s="418" customFormat="1" ht="14.25" x14ac:dyDescent="0.2"/>
    <row r="1377" s="418" customFormat="1" ht="14.25" x14ac:dyDescent="0.2"/>
    <row r="1378" s="418" customFormat="1" ht="14.25" x14ac:dyDescent="0.2"/>
    <row r="1379" s="418" customFormat="1" ht="14.25" x14ac:dyDescent="0.2"/>
    <row r="1380" s="418" customFormat="1" ht="14.25" x14ac:dyDescent="0.2"/>
    <row r="1381" s="418" customFormat="1" ht="14.25" x14ac:dyDescent="0.2"/>
    <row r="1382" s="418" customFormat="1" ht="14.25" x14ac:dyDescent="0.2"/>
    <row r="1383" s="418" customFormat="1" ht="14.25" x14ac:dyDescent="0.2"/>
    <row r="1384" s="418" customFormat="1" ht="14.25" x14ac:dyDescent="0.2"/>
    <row r="1385" s="418" customFormat="1" ht="14.25" x14ac:dyDescent="0.2"/>
    <row r="1386" s="418" customFormat="1" ht="14.25" x14ac:dyDescent="0.2"/>
    <row r="1387" s="418" customFormat="1" ht="14.25" x14ac:dyDescent="0.2"/>
    <row r="1388" s="418" customFormat="1" ht="14.25" x14ac:dyDescent="0.2"/>
    <row r="1389" s="418" customFormat="1" ht="14.25" x14ac:dyDescent="0.2"/>
    <row r="1390" s="418" customFormat="1" ht="14.25" x14ac:dyDescent="0.2"/>
    <row r="1391" s="418" customFormat="1" ht="14.25" x14ac:dyDescent="0.2"/>
    <row r="1392" s="418" customFormat="1" ht="14.25" x14ac:dyDescent="0.2"/>
    <row r="1393" s="418" customFormat="1" ht="14.25" x14ac:dyDescent="0.2"/>
    <row r="1394" s="418" customFormat="1" ht="14.25" x14ac:dyDescent="0.2"/>
    <row r="1395" s="418" customFormat="1" ht="14.25" x14ac:dyDescent="0.2"/>
    <row r="1396" s="418" customFormat="1" ht="14.25" x14ac:dyDescent="0.2"/>
    <row r="1397" s="418" customFormat="1" ht="14.25" x14ac:dyDescent="0.2"/>
    <row r="1398" s="418" customFormat="1" ht="14.25" x14ac:dyDescent="0.2"/>
    <row r="1399" s="418" customFormat="1" ht="14.25" x14ac:dyDescent="0.2"/>
    <row r="1400" s="418" customFormat="1" ht="14.25" x14ac:dyDescent="0.2"/>
    <row r="1401" s="418" customFormat="1" ht="14.25" x14ac:dyDescent="0.2"/>
    <row r="1402" s="418" customFormat="1" ht="14.25" x14ac:dyDescent="0.2"/>
    <row r="1403" s="418" customFormat="1" ht="14.25" x14ac:dyDescent="0.2"/>
    <row r="1404" s="418" customFormat="1" ht="14.25" x14ac:dyDescent="0.2"/>
    <row r="1405" s="418" customFormat="1" ht="14.25" x14ac:dyDescent="0.2"/>
    <row r="1406" s="418" customFormat="1" ht="14.25" x14ac:dyDescent="0.2"/>
    <row r="1407" s="418" customFormat="1" ht="14.25" x14ac:dyDescent="0.2"/>
    <row r="1408" s="418" customFormat="1" ht="14.25" x14ac:dyDescent="0.2"/>
    <row r="1409" s="418" customFormat="1" ht="14.25" x14ac:dyDescent="0.2"/>
    <row r="1410" s="418" customFormat="1" ht="14.25" x14ac:dyDescent="0.2"/>
    <row r="1411" s="418" customFormat="1" ht="14.25" x14ac:dyDescent="0.2"/>
    <row r="1412" s="418" customFormat="1" ht="14.25" x14ac:dyDescent="0.2"/>
    <row r="1413" s="418" customFormat="1" ht="14.25" x14ac:dyDescent="0.2"/>
    <row r="1414" s="418" customFormat="1" ht="14.25" x14ac:dyDescent="0.2"/>
    <row r="1415" s="418" customFormat="1" ht="14.25" x14ac:dyDescent="0.2"/>
    <row r="1416" s="418" customFormat="1" ht="14.25" x14ac:dyDescent="0.2"/>
    <row r="1417" s="418" customFormat="1" ht="14.25" x14ac:dyDescent="0.2"/>
    <row r="1418" s="418" customFormat="1" ht="14.25" x14ac:dyDescent="0.2"/>
    <row r="1419" s="418" customFormat="1" ht="14.25" x14ac:dyDescent="0.2"/>
    <row r="1420" s="418" customFormat="1" ht="14.25" x14ac:dyDescent="0.2"/>
    <row r="1421" s="418" customFormat="1" ht="14.25" x14ac:dyDescent="0.2"/>
    <row r="1422" s="418" customFormat="1" ht="14.25" x14ac:dyDescent="0.2"/>
    <row r="1423" s="418" customFormat="1" ht="14.25" x14ac:dyDescent="0.2"/>
    <row r="1424" s="418" customFormat="1" ht="14.25" x14ac:dyDescent="0.2"/>
    <row r="1425" s="418" customFormat="1" ht="14.25" x14ac:dyDescent="0.2"/>
    <row r="1426" s="418" customFormat="1" ht="14.25" x14ac:dyDescent="0.2"/>
    <row r="1427" s="418" customFormat="1" ht="14.25" x14ac:dyDescent="0.2"/>
    <row r="1428" s="418" customFormat="1" ht="14.25" x14ac:dyDescent="0.2"/>
    <row r="1429" s="418" customFormat="1" ht="14.25" x14ac:dyDescent="0.2"/>
    <row r="1430" s="418" customFormat="1" ht="14.25" x14ac:dyDescent="0.2"/>
    <row r="1431" s="418" customFormat="1" ht="14.25" x14ac:dyDescent="0.2"/>
    <row r="1432" s="418" customFormat="1" ht="14.25" x14ac:dyDescent="0.2"/>
    <row r="1433" s="418" customFormat="1" ht="14.25" x14ac:dyDescent="0.2"/>
    <row r="1434" s="418" customFormat="1" ht="14.25" x14ac:dyDescent="0.2"/>
    <row r="1435" s="418" customFormat="1" ht="14.25" x14ac:dyDescent="0.2"/>
    <row r="1436" s="418" customFormat="1" ht="14.25" x14ac:dyDescent="0.2"/>
    <row r="1437" s="418" customFormat="1" ht="14.25" x14ac:dyDescent="0.2"/>
    <row r="1438" s="418" customFormat="1" ht="14.25" x14ac:dyDescent="0.2"/>
    <row r="1439" s="418" customFormat="1" ht="14.25" x14ac:dyDescent="0.2"/>
    <row r="1440" s="418" customFormat="1" ht="14.25" x14ac:dyDescent="0.2"/>
    <row r="1441" s="418" customFormat="1" ht="14.25" x14ac:dyDescent="0.2"/>
    <row r="1442" s="418" customFormat="1" ht="14.25" x14ac:dyDescent="0.2"/>
    <row r="1443" s="418" customFormat="1" ht="14.25" x14ac:dyDescent="0.2"/>
    <row r="1444" s="418" customFormat="1" ht="14.25" x14ac:dyDescent="0.2"/>
    <row r="1445" s="418" customFormat="1" ht="14.25" x14ac:dyDescent="0.2"/>
    <row r="1446" s="418" customFormat="1" ht="14.25" x14ac:dyDescent="0.2"/>
    <row r="1447" s="418" customFormat="1" ht="14.25" x14ac:dyDescent="0.2"/>
    <row r="1448" s="418" customFormat="1" ht="14.25" x14ac:dyDescent="0.2"/>
    <row r="1449" s="418" customFormat="1" ht="14.25" x14ac:dyDescent="0.2"/>
    <row r="1450" s="418" customFormat="1" ht="14.25" x14ac:dyDescent="0.2"/>
    <row r="1451" s="418" customFormat="1" ht="14.25" x14ac:dyDescent="0.2"/>
    <row r="1452" s="418" customFormat="1" ht="14.25" x14ac:dyDescent="0.2"/>
    <row r="1453" s="418" customFormat="1" ht="14.25" x14ac:dyDescent="0.2"/>
    <row r="1454" s="418" customFormat="1" ht="14.25" x14ac:dyDescent="0.2"/>
    <row r="1455" s="418" customFormat="1" ht="14.25" x14ac:dyDescent="0.2"/>
    <row r="1456" s="418" customFormat="1" ht="14.25" x14ac:dyDescent="0.2"/>
    <row r="1457" s="418" customFormat="1" ht="14.25" x14ac:dyDescent="0.2"/>
    <row r="1458" s="418" customFormat="1" ht="14.25" x14ac:dyDescent="0.2"/>
    <row r="1459" s="418" customFormat="1" ht="14.25" x14ac:dyDescent="0.2"/>
    <row r="1460" s="418" customFormat="1" ht="14.25" x14ac:dyDescent="0.2"/>
    <row r="1461" s="418" customFormat="1" ht="14.25" x14ac:dyDescent="0.2"/>
    <row r="1462" s="418" customFormat="1" ht="14.25" x14ac:dyDescent="0.2"/>
    <row r="1463" s="418" customFormat="1" ht="14.25" x14ac:dyDescent="0.2"/>
    <row r="1464" s="418" customFormat="1" ht="14.25" x14ac:dyDescent="0.2"/>
    <row r="1465" s="418" customFormat="1" ht="14.25" x14ac:dyDescent="0.2"/>
    <row r="1466" s="418" customFormat="1" ht="14.25" x14ac:dyDescent="0.2"/>
    <row r="1467" s="418" customFormat="1" ht="14.25" x14ac:dyDescent="0.2"/>
    <row r="1468" s="418" customFormat="1" ht="14.25" x14ac:dyDescent="0.2"/>
    <row r="1469" s="418" customFormat="1" ht="14.25" x14ac:dyDescent="0.2"/>
    <row r="1470" s="418" customFormat="1" ht="14.25" x14ac:dyDescent="0.2"/>
    <row r="1471" s="418" customFormat="1" ht="14.25" x14ac:dyDescent="0.2"/>
    <row r="1472" s="418" customFormat="1" ht="14.25" x14ac:dyDescent="0.2"/>
    <row r="1473" s="418" customFormat="1" ht="14.25" x14ac:dyDescent="0.2"/>
    <row r="1474" s="418" customFormat="1" ht="14.25" x14ac:dyDescent="0.2"/>
    <row r="1475" s="418" customFormat="1" ht="14.25" x14ac:dyDescent="0.2"/>
    <row r="1476" s="418" customFormat="1" ht="14.25" x14ac:dyDescent="0.2"/>
    <row r="1477" s="418" customFormat="1" ht="14.25" x14ac:dyDescent="0.2"/>
    <row r="1478" s="418" customFormat="1" ht="14.25" x14ac:dyDescent="0.2"/>
    <row r="1479" s="418" customFormat="1" ht="14.25" x14ac:dyDescent="0.2"/>
    <row r="1480" s="418" customFormat="1" ht="14.25" x14ac:dyDescent="0.2"/>
    <row r="1481" s="418" customFormat="1" ht="14.25" x14ac:dyDescent="0.2"/>
    <row r="1482" s="418" customFormat="1" ht="14.25" x14ac:dyDescent="0.2"/>
    <row r="1483" s="418" customFormat="1" ht="14.25" x14ac:dyDescent="0.2"/>
    <row r="1484" s="418" customFormat="1" ht="14.25" x14ac:dyDescent="0.2"/>
    <row r="1485" s="418" customFormat="1" ht="14.25" x14ac:dyDescent="0.2"/>
    <row r="1486" s="418" customFormat="1" ht="14.25" x14ac:dyDescent="0.2"/>
    <row r="1487" s="418" customFormat="1" ht="14.25" x14ac:dyDescent="0.2"/>
    <row r="1488" s="418" customFormat="1" ht="14.25" x14ac:dyDescent="0.2"/>
    <row r="1489" s="418" customFormat="1" ht="14.25" x14ac:dyDescent="0.2"/>
    <row r="1490" s="418" customFormat="1" ht="14.25" x14ac:dyDescent="0.2"/>
    <row r="1491" s="418" customFormat="1" ht="14.25" x14ac:dyDescent="0.2"/>
    <row r="1492" s="418" customFormat="1" ht="14.25" x14ac:dyDescent="0.2"/>
    <row r="1493" s="418" customFormat="1" ht="14.25" x14ac:dyDescent="0.2"/>
    <row r="1494" s="418" customFormat="1" ht="14.25" x14ac:dyDescent="0.2"/>
    <row r="1495" s="418" customFormat="1" ht="14.25" x14ac:dyDescent="0.2"/>
    <row r="1496" s="418" customFormat="1" ht="14.25" x14ac:dyDescent="0.2"/>
    <row r="1497" s="418" customFormat="1" ht="14.25" x14ac:dyDescent="0.2"/>
    <row r="1498" s="418" customFormat="1" ht="14.25" x14ac:dyDescent="0.2"/>
    <row r="1499" s="418" customFormat="1" ht="14.25" x14ac:dyDescent="0.2"/>
    <row r="1500" s="418" customFormat="1" ht="14.25" x14ac:dyDescent="0.2"/>
    <row r="1501" s="418" customFormat="1" ht="14.25" x14ac:dyDescent="0.2"/>
    <row r="1502" s="418" customFormat="1" ht="14.25" x14ac:dyDescent="0.2"/>
    <row r="1503" s="418" customFormat="1" ht="14.25" x14ac:dyDescent="0.2"/>
    <row r="1504" s="418" customFormat="1" ht="14.25" x14ac:dyDescent="0.2"/>
    <row r="1505" s="418" customFormat="1" ht="14.25" x14ac:dyDescent="0.2"/>
    <row r="1506" s="418" customFormat="1" ht="14.25" x14ac:dyDescent="0.2"/>
    <row r="1507" s="418" customFormat="1" ht="14.25" x14ac:dyDescent="0.2"/>
    <row r="1508" s="418" customFormat="1" ht="14.25" x14ac:dyDescent="0.2"/>
    <row r="1509" s="418" customFormat="1" ht="14.25" x14ac:dyDescent="0.2"/>
    <row r="1510" s="418" customFormat="1" ht="14.25" x14ac:dyDescent="0.2"/>
    <row r="1511" s="418" customFormat="1" ht="14.25" x14ac:dyDescent="0.2"/>
    <row r="1512" s="418" customFormat="1" ht="14.25" x14ac:dyDescent="0.2"/>
    <row r="1513" s="418" customFormat="1" ht="14.25" x14ac:dyDescent="0.2"/>
    <row r="1514" s="418" customFormat="1" ht="14.25" x14ac:dyDescent="0.2"/>
    <row r="1515" s="418" customFormat="1" ht="14.25" x14ac:dyDescent="0.2"/>
    <row r="1516" s="418" customFormat="1" ht="14.25" x14ac:dyDescent="0.2"/>
    <row r="1517" s="418" customFormat="1" ht="14.25" x14ac:dyDescent="0.2"/>
    <row r="1518" s="418" customFormat="1" ht="14.25" x14ac:dyDescent="0.2"/>
    <row r="1519" s="418" customFormat="1" ht="14.25" x14ac:dyDescent="0.2"/>
    <row r="1520" s="418" customFormat="1" ht="14.25" x14ac:dyDescent="0.2"/>
    <row r="1521" s="418" customFormat="1" ht="14.25" x14ac:dyDescent="0.2"/>
    <row r="1522" s="418" customFormat="1" ht="14.25" x14ac:dyDescent="0.2"/>
    <row r="1523" s="418" customFormat="1" ht="14.25" x14ac:dyDescent="0.2"/>
    <row r="1524" s="418" customFormat="1" ht="14.25" x14ac:dyDescent="0.2"/>
    <row r="1525" s="418" customFormat="1" ht="14.25" x14ac:dyDescent="0.2"/>
    <row r="1526" s="418" customFormat="1" ht="14.25" x14ac:dyDescent="0.2"/>
    <row r="1527" s="418" customFormat="1" ht="14.25" x14ac:dyDescent="0.2"/>
    <row r="1528" s="418" customFormat="1" ht="14.25" x14ac:dyDescent="0.2"/>
    <row r="1529" s="418" customFormat="1" ht="14.25" x14ac:dyDescent="0.2"/>
    <row r="1530" s="418" customFormat="1" ht="14.25" x14ac:dyDescent="0.2"/>
    <row r="1531" s="418" customFormat="1" ht="14.25" x14ac:dyDescent="0.2"/>
    <row r="1532" s="418" customFormat="1" ht="14.25" x14ac:dyDescent="0.2"/>
    <row r="1533" s="418" customFormat="1" ht="14.25" x14ac:dyDescent="0.2"/>
    <row r="1534" s="418" customFormat="1" ht="14.25" x14ac:dyDescent="0.2"/>
    <row r="1535" s="418" customFormat="1" ht="14.25" x14ac:dyDescent="0.2"/>
    <row r="1536" s="418" customFormat="1" ht="14.25" x14ac:dyDescent="0.2"/>
    <row r="1537" s="418" customFormat="1" ht="14.25" x14ac:dyDescent="0.2"/>
    <row r="1538" s="418" customFormat="1" ht="14.25" x14ac:dyDescent="0.2"/>
    <row r="1539" s="418" customFormat="1" ht="14.25" x14ac:dyDescent="0.2"/>
    <row r="1540" s="418" customFormat="1" ht="14.25" x14ac:dyDescent="0.2"/>
    <row r="1541" s="418" customFormat="1" ht="14.25" x14ac:dyDescent="0.2"/>
    <row r="1542" s="418" customFormat="1" ht="14.25" x14ac:dyDescent="0.2"/>
    <row r="1543" s="418" customFormat="1" ht="14.25" x14ac:dyDescent="0.2"/>
    <row r="1544" s="418" customFormat="1" ht="14.25" x14ac:dyDescent="0.2"/>
    <row r="1545" s="418" customFormat="1" ht="14.25" x14ac:dyDescent="0.2"/>
    <row r="1546" s="418" customFormat="1" ht="14.25" x14ac:dyDescent="0.2"/>
    <row r="1547" s="418" customFormat="1" ht="14.25" x14ac:dyDescent="0.2"/>
    <row r="1548" s="418" customFormat="1" ht="14.25" x14ac:dyDescent="0.2"/>
    <row r="1549" s="418" customFormat="1" ht="14.25" x14ac:dyDescent="0.2"/>
    <row r="1550" s="418" customFormat="1" ht="14.25" x14ac:dyDescent="0.2"/>
    <row r="1551" s="418" customFormat="1" ht="14.25" x14ac:dyDescent="0.2"/>
    <row r="1552" s="418" customFormat="1" ht="14.25" x14ac:dyDescent="0.2"/>
    <row r="1553" s="418" customFormat="1" ht="14.25" x14ac:dyDescent="0.2"/>
    <row r="1554" s="418" customFormat="1" ht="14.25" x14ac:dyDescent="0.2"/>
    <row r="1555" s="418" customFormat="1" ht="14.25" x14ac:dyDescent="0.2"/>
    <row r="1556" s="418" customFormat="1" ht="14.25" x14ac:dyDescent="0.2"/>
    <row r="1557" s="418" customFormat="1" ht="14.25" x14ac:dyDescent="0.2"/>
    <row r="1558" s="418" customFormat="1" ht="14.25" x14ac:dyDescent="0.2"/>
    <row r="1559" s="418" customFormat="1" ht="14.25" x14ac:dyDescent="0.2"/>
    <row r="1560" s="418" customFormat="1" ht="14.25" x14ac:dyDescent="0.2"/>
    <row r="1561" s="418" customFormat="1" ht="14.25" x14ac:dyDescent="0.2"/>
    <row r="1562" s="418" customFormat="1" ht="14.25" x14ac:dyDescent="0.2"/>
    <row r="1563" s="418" customFormat="1" ht="14.25" x14ac:dyDescent="0.2"/>
    <row r="1564" s="418" customFormat="1" ht="14.25" x14ac:dyDescent="0.2"/>
    <row r="1565" s="418" customFormat="1" ht="14.25" x14ac:dyDescent="0.2"/>
    <row r="1566" s="418" customFormat="1" ht="14.25" x14ac:dyDescent="0.2"/>
    <row r="1567" s="418" customFormat="1" ht="14.25" x14ac:dyDescent="0.2"/>
    <row r="1568" s="418" customFormat="1" ht="14.25" x14ac:dyDescent="0.2"/>
    <row r="1569" s="418" customFormat="1" ht="14.25" x14ac:dyDescent="0.2"/>
    <row r="1570" s="418" customFormat="1" ht="14.25" x14ac:dyDescent="0.2"/>
    <row r="1571" s="418" customFormat="1" ht="14.25" x14ac:dyDescent="0.2"/>
    <row r="1572" s="418" customFormat="1" ht="14.25" x14ac:dyDescent="0.2"/>
    <row r="1573" s="418" customFormat="1" ht="14.25" x14ac:dyDescent="0.2"/>
    <row r="1574" s="418" customFormat="1" ht="14.25" x14ac:dyDescent="0.2"/>
    <row r="1575" s="418" customFormat="1" ht="14.25" x14ac:dyDescent="0.2"/>
    <row r="1576" s="418" customFormat="1" ht="14.25" x14ac:dyDescent="0.2"/>
    <row r="1577" s="418" customFormat="1" ht="14.25" x14ac:dyDescent="0.2"/>
    <row r="1578" s="418" customFormat="1" ht="14.25" x14ac:dyDescent="0.2"/>
    <row r="1579" s="418" customFormat="1" ht="14.25" x14ac:dyDescent="0.2"/>
    <row r="1580" s="418" customFormat="1" ht="14.25" x14ac:dyDescent="0.2"/>
    <row r="1581" s="418" customFormat="1" ht="14.25" x14ac:dyDescent="0.2"/>
    <row r="1582" s="418" customFormat="1" ht="14.25" x14ac:dyDescent="0.2"/>
    <row r="1583" s="418" customFormat="1" ht="14.25" x14ac:dyDescent="0.2"/>
    <row r="1584" s="418" customFormat="1" ht="14.25" x14ac:dyDescent="0.2"/>
    <row r="1585" s="418" customFormat="1" ht="14.25" x14ac:dyDescent="0.2"/>
    <row r="1586" s="418" customFormat="1" ht="14.25" x14ac:dyDescent="0.2"/>
    <row r="1587" s="418" customFormat="1" ht="14.25" x14ac:dyDescent="0.2"/>
    <row r="1588" s="418" customFormat="1" ht="14.25" x14ac:dyDescent="0.2"/>
    <row r="1589" s="418" customFormat="1" ht="14.25" x14ac:dyDescent="0.2"/>
    <row r="1590" s="418" customFormat="1" ht="14.25" x14ac:dyDescent="0.2"/>
    <row r="1591" s="418" customFormat="1" ht="14.25" x14ac:dyDescent="0.2"/>
    <row r="1592" s="418" customFormat="1" ht="14.25" x14ac:dyDescent="0.2"/>
    <row r="1593" s="418" customFormat="1" ht="14.25" x14ac:dyDescent="0.2"/>
    <row r="1594" s="418" customFormat="1" ht="14.25" x14ac:dyDescent="0.2"/>
    <row r="1595" s="418" customFormat="1" ht="14.25" x14ac:dyDescent="0.2"/>
    <row r="1596" s="418" customFormat="1" ht="14.25" x14ac:dyDescent="0.2"/>
    <row r="1597" s="418" customFormat="1" ht="14.25" x14ac:dyDescent="0.2"/>
    <row r="1598" s="418" customFormat="1" ht="14.25" x14ac:dyDescent="0.2"/>
    <row r="1599" s="418" customFormat="1" ht="14.25" x14ac:dyDescent="0.2"/>
    <row r="1600" s="418" customFormat="1" ht="14.25" x14ac:dyDescent="0.2"/>
    <row r="1601" s="418" customFormat="1" ht="14.25" x14ac:dyDescent="0.2"/>
    <row r="1602" s="418" customFormat="1" ht="14.25" x14ac:dyDescent="0.2"/>
    <row r="1603" s="418" customFormat="1" ht="14.25" x14ac:dyDescent="0.2"/>
    <row r="1604" s="418" customFormat="1" ht="14.25" x14ac:dyDescent="0.2"/>
    <row r="1605" s="418" customFormat="1" ht="14.25" x14ac:dyDescent="0.2"/>
    <row r="1606" s="418" customFormat="1" ht="14.25" x14ac:dyDescent="0.2"/>
    <row r="1607" s="418" customFormat="1" ht="14.25" x14ac:dyDescent="0.2"/>
    <row r="1608" s="418" customFormat="1" ht="14.25" x14ac:dyDescent="0.2"/>
    <row r="1609" s="418" customFormat="1" ht="14.25" x14ac:dyDescent="0.2"/>
    <row r="1610" s="418" customFormat="1" ht="14.25" x14ac:dyDescent="0.2"/>
    <row r="1611" s="418" customFormat="1" ht="14.25" x14ac:dyDescent="0.2"/>
    <row r="1612" s="418" customFormat="1" ht="14.25" x14ac:dyDescent="0.2"/>
    <row r="1613" s="418" customFormat="1" ht="14.25" x14ac:dyDescent="0.2"/>
    <row r="1614" s="418" customFormat="1" ht="14.25" x14ac:dyDescent="0.2"/>
    <row r="1615" s="418" customFormat="1" ht="14.25" x14ac:dyDescent="0.2"/>
    <row r="1616" s="418" customFormat="1" ht="14.25" x14ac:dyDescent="0.2"/>
    <row r="1617" s="418" customFormat="1" ht="14.25" x14ac:dyDescent="0.2"/>
    <row r="1618" s="418" customFormat="1" ht="14.25" x14ac:dyDescent="0.2"/>
    <row r="1619" s="418" customFormat="1" ht="14.25" x14ac:dyDescent="0.2"/>
    <row r="1620" s="418" customFormat="1" ht="14.25" x14ac:dyDescent="0.2"/>
    <row r="1621" s="418" customFormat="1" ht="14.25" x14ac:dyDescent="0.2"/>
    <row r="1622" s="418" customFormat="1" ht="14.25" x14ac:dyDescent="0.2"/>
    <row r="1623" s="418" customFormat="1" ht="14.25" x14ac:dyDescent="0.2"/>
    <row r="1624" s="418" customFormat="1" ht="14.25" x14ac:dyDescent="0.2"/>
    <row r="1625" s="418" customFormat="1" ht="14.25" x14ac:dyDescent="0.2"/>
    <row r="1626" s="418" customFormat="1" ht="14.25" x14ac:dyDescent="0.2"/>
    <row r="1627" s="418" customFormat="1" ht="14.25" x14ac:dyDescent="0.2"/>
    <row r="1628" s="418" customFormat="1" ht="14.25" x14ac:dyDescent="0.2"/>
    <row r="1629" s="418" customFormat="1" ht="14.25" x14ac:dyDescent="0.2"/>
    <row r="1630" s="418" customFormat="1" ht="14.25" x14ac:dyDescent="0.2"/>
    <row r="1631" s="418" customFormat="1" ht="14.25" x14ac:dyDescent="0.2"/>
    <row r="1632" s="418" customFormat="1" ht="14.25" x14ac:dyDescent="0.2"/>
    <row r="1633" s="418" customFormat="1" ht="14.25" x14ac:dyDescent="0.2"/>
    <row r="1634" s="418" customFormat="1" ht="14.25" x14ac:dyDescent="0.2"/>
    <row r="1635" s="418" customFormat="1" ht="14.25" x14ac:dyDescent="0.2"/>
    <row r="1636" s="418" customFormat="1" ht="14.25" x14ac:dyDescent="0.2"/>
    <row r="1637" s="418" customFormat="1" ht="14.25" x14ac:dyDescent="0.2"/>
    <row r="1638" s="418" customFormat="1" ht="14.25" x14ac:dyDescent="0.2"/>
    <row r="1639" s="418" customFormat="1" ht="14.25" x14ac:dyDescent="0.2"/>
    <row r="1640" s="418" customFormat="1" ht="14.25" x14ac:dyDescent="0.2"/>
    <row r="1641" s="418" customFormat="1" ht="14.25" x14ac:dyDescent="0.2"/>
    <row r="1642" s="418" customFormat="1" ht="14.25" x14ac:dyDescent="0.2"/>
    <row r="1643" s="418" customFormat="1" ht="14.25" x14ac:dyDescent="0.2"/>
    <row r="1644" s="418" customFormat="1" ht="14.25" x14ac:dyDescent="0.2"/>
    <row r="1645" s="418" customFormat="1" ht="14.25" x14ac:dyDescent="0.2"/>
    <row r="1646" s="418" customFormat="1" ht="14.25" x14ac:dyDescent="0.2"/>
    <row r="1647" s="418" customFormat="1" ht="14.25" x14ac:dyDescent="0.2"/>
    <row r="1648" s="418" customFormat="1" ht="14.25" x14ac:dyDescent="0.2"/>
    <row r="1649" s="418" customFormat="1" ht="14.25" x14ac:dyDescent="0.2"/>
    <row r="1650" s="418" customFormat="1" ht="14.25" x14ac:dyDescent="0.2"/>
    <row r="1651" s="418" customFormat="1" ht="14.25" x14ac:dyDescent="0.2"/>
    <row r="1652" s="418" customFormat="1" ht="14.25" x14ac:dyDescent="0.2"/>
    <row r="1653" s="418" customFormat="1" ht="14.25" x14ac:dyDescent="0.2"/>
    <row r="1654" s="418" customFormat="1" ht="14.25" x14ac:dyDescent="0.2"/>
    <row r="1655" s="418" customFormat="1" ht="14.25" x14ac:dyDescent="0.2"/>
    <row r="1656" s="418" customFormat="1" ht="14.25" x14ac:dyDescent="0.2"/>
    <row r="1657" s="418" customFormat="1" ht="14.25" x14ac:dyDescent="0.2"/>
    <row r="1658" s="418" customFormat="1" ht="14.25" x14ac:dyDescent="0.2"/>
    <row r="1659" s="418" customFormat="1" ht="14.25" x14ac:dyDescent="0.2"/>
    <row r="1660" s="418" customFormat="1" ht="14.25" x14ac:dyDescent="0.2"/>
    <row r="1661" s="418" customFormat="1" ht="14.25" x14ac:dyDescent="0.2"/>
    <row r="1662" s="418" customFormat="1" ht="14.25" x14ac:dyDescent="0.2"/>
    <row r="1663" s="418" customFormat="1" ht="14.25" x14ac:dyDescent="0.2"/>
    <row r="1664" s="418" customFormat="1" ht="14.25" x14ac:dyDescent="0.2"/>
    <row r="1665" s="418" customFormat="1" ht="14.25" x14ac:dyDescent="0.2"/>
    <row r="1666" s="418" customFormat="1" ht="14.25" x14ac:dyDescent="0.2"/>
    <row r="1667" s="418" customFormat="1" ht="14.25" x14ac:dyDescent="0.2"/>
    <row r="1668" s="418" customFormat="1" ht="14.25" x14ac:dyDescent="0.2"/>
    <row r="1669" s="418" customFormat="1" ht="14.25" x14ac:dyDescent="0.2"/>
    <row r="1670" s="418" customFormat="1" ht="14.25" x14ac:dyDescent="0.2"/>
    <row r="1671" s="418" customFormat="1" ht="14.25" x14ac:dyDescent="0.2"/>
    <row r="1672" s="418" customFormat="1" ht="14.25" x14ac:dyDescent="0.2"/>
    <row r="1673" s="418" customFormat="1" ht="14.25" x14ac:dyDescent="0.2"/>
    <row r="1674" s="418" customFormat="1" ht="14.25" x14ac:dyDescent="0.2"/>
    <row r="1675" s="418" customFormat="1" ht="14.25" x14ac:dyDescent="0.2"/>
    <row r="1676" s="418" customFormat="1" ht="14.25" x14ac:dyDescent="0.2"/>
    <row r="1677" s="418" customFormat="1" ht="14.25" x14ac:dyDescent="0.2"/>
    <row r="1678" s="418" customFormat="1" ht="14.25" x14ac:dyDescent="0.2"/>
    <row r="1679" s="418" customFormat="1" ht="14.25" x14ac:dyDescent="0.2"/>
    <row r="1680" s="418" customFormat="1" ht="14.25" x14ac:dyDescent="0.2"/>
    <row r="1681" s="418" customFormat="1" ht="14.25" x14ac:dyDescent="0.2"/>
    <row r="1682" s="418" customFormat="1" ht="14.25" x14ac:dyDescent="0.2"/>
    <row r="1683" s="418" customFormat="1" ht="14.25" x14ac:dyDescent="0.2"/>
    <row r="1684" s="418" customFormat="1" ht="14.25" x14ac:dyDescent="0.2"/>
    <row r="1685" s="418" customFormat="1" ht="14.25" x14ac:dyDescent="0.2"/>
    <row r="1686" s="418" customFormat="1" ht="14.25" x14ac:dyDescent="0.2"/>
    <row r="1687" s="418" customFormat="1" ht="14.25" x14ac:dyDescent="0.2"/>
    <row r="1688" s="418" customFormat="1" ht="14.25" x14ac:dyDescent="0.2"/>
    <row r="1689" s="418" customFormat="1" ht="14.25" x14ac:dyDescent="0.2"/>
    <row r="1690" s="418" customFormat="1" ht="14.25" x14ac:dyDescent="0.2"/>
    <row r="1691" s="418" customFormat="1" ht="14.25" x14ac:dyDescent="0.2"/>
    <row r="1692" s="418" customFormat="1" ht="14.25" x14ac:dyDescent="0.2"/>
    <row r="1693" s="418" customFormat="1" ht="14.25" x14ac:dyDescent="0.2"/>
    <row r="1694" s="418" customFormat="1" ht="14.25" x14ac:dyDescent="0.2"/>
    <row r="1695" s="418" customFormat="1" ht="14.25" x14ac:dyDescent="0.2"/>
    <row r="1696" s="418" customFormat="1" ht="14.25" x14ac:dyDescent="0.2"/>
    <row r="1697" s="418" customFormat="1" ht="14.25" x14ac:dyDescent="0.2"/>
    <row r="1698" s="418" customFormat="1" ht="14.25" x14ac:dyDescent="0.2"/>
    <row r="1699" s="418" customFormat="1" ht="14.25" x14ac:dyDescent="0.2"/>
    <row r="1700" s="418" customFormat="1" ht="14.25" x14ac:dyDescent="0.2"/>
    <row r="1701" s="418" customFormat="1" ht="14.25" x14ac:dyDescent="0.2"/>
    <row r="1702" s="418" customFormat="1" ht="14.25" x14ac:dyDescent="0.2"/>
    <row r="1703" s="418" customFormat="1" ht="14.25" x14ac:dyDescent="0.2"/>
    <row r="1704" s="418" customFormat="1" ht="14.25" x14ac:dyDescent="0.2"/>
    <row r="1705" s="418" customFormat="1" ht="14.25" x14ac:dyDescent="0.2"/>
    <row r="1706" s="418" customFormat="1" ht="14.25" x14ac:dyDescent="0.2"/>
    <row r="1707" s="418" customFormat="1" ht="14.25" x14ac:dyDescent="0.2"/>
    <row r="1708" s="418" customFormat="1" ht="14.25" x14ac:dyDescent="0.2"/>
    <row r="1709" s="418" customFormat="1" ht="14.25" x14ac:dyDescent="0.2"/>
    <row r="1710" s="418" customFormat="1" ht="14.25" x14ac:dyDescent="0.2"/>
    <row r="1711" s="418" customFormat="1" ht="14.25" x14ac:dyDescent="0.2"/>
    <row r="1712" s="418" customFormat="1" ht="14.25" x14ac:dyDescent="0.2"/>
    <row r="1713" s="418" customFormat="1" ht="14.25" x14ac:dyDescent="0.2"/>
    <row r="1714" s="418" customFormat="1" ht="14.25" x14ac:dyDescent="0.2"/>
    <row r="1715" s="418" customFormat="1" ht="14.25" x14ac:dyDescent="0.2"/>
    <row r="1716" s="418" customFormat="1" ht="14.25" x14ac:dyDescent="0.2"/>
    <row r="1717" s="418" customFormat="1" ht="14.25" x14ac:dyDescent="0.2"/>
    <row r="1718" s="418" customFormat="1" ht="14.25" x14ac:dyDescent="0.2"/>
    <row r="1719" s="418" customFormat="1" ht="14.25" x14ac:dyDescent="0.2"/>
    <row r="1720" s="418" customFormat="1" ht="14.25" x14ac:dyDescent="0.2"/>
    <row r="1721" s="418" customFormat="1" ht="14.25" x14ac:dyDescent="0.2"/>
    <row r="1722" s="418" customFormat="1" ht="14.25" x14ac:dyDescent="0.2"/>
    <row r="1723" s="418" customFormat="1" ht="14.25" x14ac:dyDescent="0.2"/>
    <row r="1724" s="418" customFormat="1" ht="14.25" x14ac:dyDescent="0.2"/>
    <row r="1725" s="418" customFormat="1" ht="14.25" x14ac:dyDescent="0.2"/>
    <row r="1726" s="418" customFormat="1" ht="14.25" x14ac:dyDescent="0.2"/>
    <row r="1727" s="418" customFormat="1" ht="14.25" x14ac:dyDescent="0.2"/>
    <row r="1728" s="418" customFormat="1" ht="14.25" x14ac:dyDescent="0.2"/>
    <row r="1729" s="418" customFormat="1" ht="14.25" x14ac:dyDescent="0.2"/>
    <row r="1730" s="418" customFormat="1" ht="14.25" x14ac:dyDescent="0.2"/>
    <row r="1731" s="418" customFormat="1" ht="14.25" x14ac:dyDescent="0.2"/>
    <row r="1732" s="418" customFormat="1" ht="14.25" x14ac:dyDescent="0.2"/>
    <row r="1733" s="418" customFormat="1" ht="14.25" x14ac:dyDescent="0.2"/>
    <row r="1734" s="418" customFormat="1" ht="14.25" x14ac:dyDescent="0.2"/>
    <row r="1735" s="418" customFormat="1" ht="14.25" x14ac:dyDescent="0.2"/>
    <row r="1736" s="418" customFormat="1" ht="14.25" x14ac:dyDescent="0.2"/>
    <row r="1737" s="418" customFormat="1" ht="14.25" x14ac:dyDescent="0.2"/>
    <row r="1738" s="418" customFormat="1" ht="14.25" x14ac:dyDescent="0.2"/>
    <row r="1739" s="418" customFormat="1" ht="14.25" x14ac:dyDescent="0.2"/>
    <row r="1740" s="418" customFormat="1" ht="14.25" x14ac:dyDescent="0.2"/>
    <row r="1741" s="418" customFormat="1" ht="14.25" x14ac:dyDescent="0.2"/>
    <row r="1742" s="418" customFormat="1" ht="14.25" x14ac:dyDescent="0.2"/>
    <row r="1743" s="418" customFormat="1" ht="14.25" x14ac:dyDescent="0.2"/>
    <row r="1744" s="418" customFormat="1" ht="14.25" x14ac:dyDescent="0.2"/>
    <row r="1745" s="418" customFormat="1" ht="14.25" x14ac:dyDescent="0.2"/>
    <row r="1746" s="418" customFormat="1" ht="14.25" x14ac:dyDescent="0.2"/>
    <row r="1747" s="418" customFormat="1" ht="14.25" x14ac:dyDescent="0.2"/>
    <row r="1748" s="418" customFormat="1" ht="14.25" x14ac:dyDescent="0.2"/>
    <row r="1749" s="418" customFormat="1" ht="14.25" x14ac:dyDescent="0.2"/>
    <row r="1750" s="418" customFormat="1" ht="14.25" x14ac:dyDescent="0.2"/>
    <row r="1751" s="418" customFormat="1" ht="14.25" x14ac:dyDescent="0.2"/>
    <row r="1752" s="418" customFormat="1" ht="14.25" x14ac:dyDescent="0.2"/>
    <row r="1753" s="418" customFormat="1" ht="14.25" x14ac:dyDescent="0.2"/>
    <row r="1754" s="418" customFormat="1" ht="14.25" x14ac:dyDescent="0.2"/>
    <row r="1755" s="418" customFormat="1" ht="14.25" x14ac:dyDescent="0.2"/>
    <row r="1756" s="418" customFormat="1" ht="14.25" x14ac:dyDescent="0.2"/>
    <row r="1757" s="418" customFormat="1" ht="14.25" x14ac:dyDescent="0.2"/>
    <row r="1758" s="418" customFormat="1" ht="14.25" x14ac:dyDescent="0.2"/>
    <row r="1759" s="418" customFormat="1" ht="14.25" x14ac:dyDescent="0.2"/>
    <row r="1760" s="418" customFormat="1" ht="14.25" x14ac:dyDescent="0.2"/>
    <row r="1761" s="418" customFormat="1" ht="14.25" x14ac:dyDescent="0.2"/>
    <row r="1762" s="418" customFormat="1" ht="14.25" x14ac:dyDescent="0.2"/>
    <row r="1763" s="418" customFormat="1" ht="14.25" x14ac:dyDescent="0.2"/>
    <row r="1764" s="418" customFormat="1" ht="14.25" x14ac:dyDescent="0.2"/>
    <row r="1765" s="418" customFormat="1" ht="14.25" x14ac:dyDescent="0.2"/>
    <row r="1766" s="418" customFormat="1" ht="14.25" x14ac:dyDescent="0.2"/>
    <row r="1767" s="418" customFormat="1" ht="14.25" x14ac:dyDescent="0.2"/>
    <row r="1768" s="418" customFormat="1" ht="14.25" x14ac:dyDescent="0.2"/>
    <row r="1769" s="418" customFormat="1" ht="14.25" x14ac:dyDescent="0.2"/>
    <row r="1770" s="418" customFormat="1" ht="14.25" x14ac:dyDescent="0.2"/>
    <row r="1771" s="418" customFormat="1" ht="14.25" x14ac:dyDescent="0.2"/>
    <row r="1772" s="418" customFormat="1" ht="14.25" x14ac:dyDescent="0.2"/>
  </sheetData>
  <mergeCells count="41">
    <mergeCell ref="H26:H27"/>
    <mergeCell ref="B19:G19"/>
    <mergeCell ref="B20:H20"/>
    <mergeCell ref="B22:G22"/>
    <mergeCell ref="B23:G23"/>
    <mergeCell ref="B25:H25"/>
    <mergeCell ref="B26:B27"/>
    <mergeCell ref="C26:C27"/>
    <mergeCell ref="E26:E27"/>
    <mergeCell ref="F26:F27"/>
    <mergeCell ref="G26:G27"/>
    <mergeCell ref="E21:G21"/>
    <mergeCell ref="B39:H39"/>
    <mergeCell ref="C29:H29"/>
    <mergeCell ref="C30:H30"/>
    <mergeCell ref="C31:H31"/>
    <mergeCell ref="C32:H32"/>
    <mergeCell ref="C33:H33"/>
    <mergeCell ref="C34:H34"/>
    <mergeCell ref="C35:H35"/>
    <mergeCell ref="C36:H36"/>
    <mergeCell ref="B38:H38"/>
    <mergeCell ref="B14:H14"/>
    <mergeCell ref="B15:B18"/>
    <mergeCell ref="E18:G18"/>
    <mergeCell ref="E17:G17"/>
    <mergeCell ref="E16:G16"/>
    <mergeCell ref="E15:G15"/>
    <mergeCell ref="B13:G13"/>
    <mergeCell ref="B2:H2"/>
    <mergeCell ref="B3:H3"/>
    <mergeCell ref="B4:H4"/>
    <mergeCell ref="B5:H5"/>
    <mergeCell ref="B8:H8"/>
    <mergeCell ref="B9:B12"/>
    <mergeCell ref="E12:G12"/>
    <mergeCell ref="E11:G11"/>
    <mergeCell ref="E10:G10"/>
    <mergeCell ref="E9:G9"/>
    <mergeCell ref="C7:D7"/>
    <mergeCell ref="E7:G7"/>
  </mergeCells>
  <dataValidations disablePrompts="1" count="3">
    <dataValidation type="list" allowBlank="1" showInputMessage="1" showErrorMessage="1" sqref="B4:H4" xr:uid="{9EB63B7D-25BB-48C7-8BD5-151E6A5847F8}">
      <formula1>$B$44:$B$50</formula1>
    </dataValidation>
    <dataValidation type="list" allowBlank="1" showInputMessage="1" showErrorMessage="1" sqref="B5:H5" xr:uid="{DBBF8155-407A-4676-A5C7-A92F9F75560F}">
      <formula1>$B$52:$B$53</formula1>
    </dataValidation>
    <dataValidation type="list" allowBlank="1" showInputMessage="1" showErrorMessage="1" sqref="H6" xr:uid="{75D08E11-6D10-4481-8469-C04B9CDE9A22}">
      <formula1>$B$55:$B$57</formula1>
    </dataValidation>
  </dataValidations>
  <pageMargins left="0.511811024" right="0.511811024" top="0.78740157499999996" bottom="0.78740157499999996" header="0.31496062000000002" footer="0.31496062000000002"/>
  <pageSetup paperSize="9"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1546C-D201-4A63-8D69-0042A1648202}">
  <sheetPr>
    <tabColor rgb="FF002060"/>
    <pageSetUpPr fitToPage="1"/>
  </sheetPr>
  <dimension ref="A1:K1772"/>
  <sheetViews>
    <sheetView workbookViewId="0">
      <selection activeCell="V27" sqref="V27"/>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s="418" customFormat="1" ht="60.75" customHeight="1" x14ac:dyDescent="0.2">
      <c r="A1" s="417"/>
      <c r="B1" s="417"/>
      <c r="C1" s="417"/>
      <c r="D1" s="417"/>
      <c r="E1" s="417"/>
      <c r="F1" s="417"/>
      <c r="G1" s="417"/>
      <c r="H1" s="417"/>
      <c r="I1" s="417"/>
    </row>
    <row r="2" spans="1:11" s="418" customFormat="1" x14ac:dyDescent="0.2">
      <c r="A2" s="417"/>
      <c r="B2" s="2050" t="s">
        <v>1213</v>
      </c>
      <c r="C2" s="2050"/>
      <c r="D2" s="2050"/>
      <c r="E2" s="2050"/>
      <c r="F2" s="2050"/>
      <c r="G2" s="2050"/>
      <c r="H2" s="2050"/>
      <c r="I2" s="417"/>
      <c r="K2" s="419"/>
    </row>
    <row r="3" spans="1:11" s="418" customFormat="1" x14ac:dyDescent="0.2">
      <c r="A3" s="417"/>
      <c r="B3" s="2050" t="s">
        <v>1214</v>
      </c>
      <c r="C3" s="2050"/>
      <c r="D3" s="2050"/>
      <c r="E3" s="2050"/>
      <c r="F3" s="2050"/>
      <c r="G3" s="2050"/>
      <c r="H3" s="2050"/>
      <c r="I3" s="417"/>
      <c r="K3" s="419"/>
    </row>
    <row r="4" spans="1:11" s="418" customFormat="1" ht="14.25" x14ac:dyDescent="0.2">
      <c r="A4" s="417"/>
      <c r="B4" s="2051"/>
      <c r="C4" s="2051"/>
      <c r="D4" s="2051"/>
      <c r="E4" s="2051"/>
      <c r="F4" s="2051"/>
      <c r="G4" s="2051"/>
      <c r="H4" s="2051"/>
      <c r="I4" s="417"/>
    </row>
    <row r="5" spans="1:11" s="418" customFormat="1" ht="14.25" x14ac:dyDescent="0.2">
      <c r="A5" s="417"/>
      <c r="B5" s="2051" t="s">
        <v>1263</v>
      </c>
      <c r="C5" s="2051"/>
      <c r="D5" s="2051"/>
      <c r="E5" s="2051"/>
      <c r="F5" s="2051"/>
      <c r="G5" s="2051"/>
      <c r="H5" s="2051"/>
      <c r="I5" s="417"/>
    </row>
    <row r="6" spans="1:11" s="418" customFormat="1" ht="15" customHeight="1" thickBot="1" x14ac:dyDescent="0.25">
      <c r="A6" s="417"/>
      <c r="B6" s="420"/>
      <c r="C6" s="420"/>
      <c r="D6" s="420"/>
      <c r="E6" s="420"/>
      <c r="F6" s="420"/>
      <c r="G6" s="420"/>
      <c r="H6" s="421" t="s">
        <v>1217</v>
      </c>
      <c r="I6" s="417"/>
    </row>
    <row r="7" spans="1:11" s="418" customFormat="1" ht="15.75" customHeight="1" thickBot="1" x14ac:dyDescent="0.25">
      <c r="A7" s="417"/>
      <c r="B7" s="422" t="s">
        <v>1218</v>
      </c>
      <c r="C7" s="2067" t="s">
        <v>1315</v>
      </c>
      <c r="D7" s="2068"/>
      <c r="E7" s="2067" t="s">
        <v>1316</v>
      </c>
      <c r="F7" s="2069"/>
      <c r="G7" s="2068"/>
      <c r="H7" s="423" t="s">
        <v>1220</v>
      </c>
      <c r="I7" s="417"/>
    </row>
    <row r="8" spans="1:11" s="418" customFormat="1" thickTop="1" x14ac:dyDescent="0.2">
      <c r="A8" s="417"/>
      <c r="B8" s="2052" t="s">
        <v>1221</v>
      </c>
      <c r="C8" s="2053"/>
      <c r="D8" s="2053"/>
      <c r="E8" s="2053"/>
      <c r="F8" s="2053"/>
      <c r="G8" s="2053"/>
      <c r="H8" s="2054"/>
      <c r="I8" s="417"/>
    </row>
    <row r="9" spans="1:11" s="418" customFormat="1" ht="14.25" x14ac:dyDescent="0.2">
      <c r="A9" s="417"/>
      <c r="B9" s="2055" t="s">
        <v>1222</v>
      </c>
      <c r="C9" s="477" t="s">
        <v>1223</v>
      </c>
      <c r="D9" s="478"/>
      <c r="E9" s="2088" t="s">
        <v>1247</v>
      </c>
      <c r="F9" s="2065"/>
      <c r="G9" s="2066"/>
      <c r="H9" s="424">
        <v>4.2999999999999997E-2</v>
      </c>
      <c r="I9" s="417"/>
    </row>
    <row r="10" spans="1:11" s="418" customFormat="1" ht="14.25" x14ac:dyDescent="0.2">
      <c r="A10" s="417"/>
      <c r="B10" s="2056"/>
      <c r="C10" s="479" t="s">
        <v>1224</v>
      </c>
      <c r="D10" s="480"/>
      <c r="E10" s="2087" t="s">
        <v>1317</v>
      </c>
      <c r="F10" s="2062"/>
      <c r="G10" s="2063"/>
      <c r="H10" s="424">
        <v>5.8999999999999999E-3</v>
      </c>
      <c r="I10" s="417"/>
    </row>
    <row r="11" spans="1:11" s="418" customFormat="1" ht="14.25" x14ac:dyDescent="0.2">
      <c r="A11" s="417"/>
      <c r="B11" s="2056"/>
      <c r="C11" s="479" t="s">
        <v>1225</v>
      </c>
      <c r="D11" s="480"/>
      <c r="E11" s="2087" t="s">
        <v>1250</v>
      </c>
      <c r="F11" s="2062"/>
      <c r="G11" s="2063"/>
      <c r="H11" s="424">
        <v>6.4999999999999997E-3</v>
      </c>
      <c r="I11" s="417"/>
    </row>
    <row r="12" spans="1:11" s="418" customFormat="1" ht="14.25" x14ac:dyDescent="0.2">
      <c r="A12" s="417"/>
      <c r="B12" s="2057"/>
      <c r="C12" s="481" t="s">
        <v>1226</v>
      </c>
      <c r="D12" s="482"/>
      <c r="E12" s="2086" t="s">
        <v>1254</v>
      </c>
      <c r="F12" s="2059"/>
      <c r="G12" s="2060"/>
      <c r="H12" s="424">
        <v>1.1599999999999999E-2</v>
      </c>
      <c r="I12" s="417"/>
    </row>
    <row r="13" spans="1:11" s="418" customFormat="1" thickBot="1" x14ac:dyDescent="0.25">
      <c r="A13" s="417"/>
      <c r="B13" s="2047" t="s">
        <v>1227</v>
      </c>
      <c r="C13" s="2048"/>
      <c r="D13" s="2048"/>
      <c r="E13" s="2048"/>
      <c r="F13" s="2048"/>
      <c r="G13" s="2049"/>
      <c r="H13" s="425">
        <v>6.7000000000000004E-2</v>
      </c>
      <c r="I13" s="417"/>
    </row>
    <row r="14" spans="1:11" s="418" customFormat="1" thickTop="1" x14ac:dyDescent="0.2">
      <c r="A14" s="417"/>
      <c r="B14" s="2089" t="s">
        <v>1318</v>
      </c>
      <c r="C14" s="2053"/>
      <c r="D14" s="2053"/>
      <c r="E14" s="2053"/>
      <c r="F14" s="2053"/>
      <c r="G14" s="2053"/>
      <c r="H14" s="2054"/>
      <c r="I14" s="417"/>
    </row>
    <row r="15" spans="1:11" s="418" customFormat="1" ht="14.25" x14ac:dyDescent="0.2">
      <c r="A15" s="417"/>
      <c r="B15" s="2055" t="s">
        <v>1229</v>
      </c>
      <c r="C15" s="477" t="s">
        <v>1230</v>
      </c>
      <c r="D15" s="478"/>
      <c r="E15" s="2088" t="s">
        <v>1236</v>
      </c>
      <c r="F15" s="2065"/>
      <c r="G15" s="2066"/>
      <c r="H15" s="426">
        <v>0.03</v>
      </c>
      <c r="I15" s="417"/>
    </row>
    <row r="16" spans="1:11" s="418" customFormat="1" ht="14.25" x14ac:dyDescent="0.2">
      <c r="A16" s="417"/>
      <c r="B16" s="2056"/>
      <c r="C16" s="479" t="s">
        <v>1231</v>
      </c>
      <c r="D16" s="480"/>
      <c r="E16" s="2087" t="s">
        <v>16</v>
      </c>
      <c r="F16" s="2062"/>
      <c r="G16" s="2063"/>
      <c r="H16" s="424">
        <v>6.4999999999999997E-3</v>
      </c>
      <c r="I16" s="417"/>
    </row>
    <row r="17" spans="1:9" s="418" customFormat="1" ht="14.25" x14ac:dyDescent="0.2">
      <c r="A17" s="417"/>
      <c r="B17" s="2056"/>
      <c r="C17" s="479" t="s">
        <v>1232</v>
      </c>
      <c r="D17" s="480"/>
      <c r="E17" s="2087" t="s">
        <v>1319</v>
      </c>
      <c r="F17" s="2062"/>
      <c r="G17" s="2063"/>
      <c r="H17" s="424">
        <v>0.01</v>
      </c>
      <c r="I17" s="417"/>
    </row>
    <row r="18" spans="1:9" s="418" customFormat="1" ht="14.25" x14ac:dyDescent="0.2">
      <c r="A18" s="417"/>
      <c r="B18" s="2057"/>
      <c r="C18" s="481" t="s">
        <v>1233</v>
      </c>
      <c r="D18" s="482"/>
      <c r="E18" s="2086" t="s">
        <v>1320</v>
      </c>
      <c r="F18" s="2059"/>
      <c r="G18" s="2060"/>
      <c r="H18" s="427">
        <v>4.4999999999999998E-2</v>
      </c>
      <c r="I18" s="417"/>
    </row>
    <row r="19" spans="1:9" s="418" customFormat="1" thickBot="1" x14ac:dyDescent="0.25">
      <c r="A19" s="417"/>
      <c r="B19" s="2047" t="s">
        <v>1234</v>
      </c>
      <c r="C19" s="2048"/>
      <c r="D19" s="2048"/>
      <c r="E19" s="2048"/>
      <c r="F19" s="2048"/>
      <c r="G19" s="2049"/>
      <c r="H19" s="425">
        <v>9.1499999999999998E-2</v>
      </c>
      <c r="I19" s="417"/>
    </row>
    <row r="20" spans="1:9" s="418" customFormat="1" thickTop="1" x14ac:dyDescent="0.2">
      <c r="A20" s="417"/>
      <c r="B20" s="2052" t="s">
        <v>1235</v>
      </c>
      <c r="C20" s="2053"/>
      <c r="D20" s="2053"/>
      <c r="E20" s="2053"/>
      <c r="F20" s="2053"/>
      <c r="G20" s="2053"/>
      <c r="H20" s="2054"/>
      <c r="I20" s="417"/>
    </row>
    <row r="21" spans="1:9" s="418" customFormat="1" ht="14.25" x14ac:dyDescent="0.2">
      <c r="A21" s="417"/>
      <c r="B21" s="428" t="s">
        <v>1236</v>
      </c>
      <c r="C21" s="475" t="s">
        <v>1237</v>
      </c>
      <c r="D21" s="476"/>
      <c r="E21" s="2090" t="s">
        <v>56</v>
      </c>
      <c r="F21" s="2084"/>
      <c r="G21" s="2085"/>
      <c r="H21" s="424">
        <v>7.4700000000000003E-2</v>
      </c>
      <c r="I21" s="417"/>
    </row>
    <row r="22" spans="1:9" s="418" customFormat="1" thickBot="1" x14ac:dyDescent="0.25">
      <c r="A22" s="417"/>
      <c r="B22" s="2047" t="s">
        <v>1238</v>
      </c>
      <c r="C22" s="2048"/>
      <c r="D22" s="2048"/>
      <c r="E22" s="2048"/>
      <c r="F22" s="2048"/>
      <c r="G22" s="2049"/>
      <c r="H22" s="425">
        <v>7.4700000000000003E-2</v>
      </c>
      <c r="I22" s="417"/>
    </row>
    <row r="23" spans="1:9" s="418" customFormat="1" ht="15.75" thickTop="1" thickBot="1" x14ac:dyDescent="0.25">
      <c r="A23" s="417"/>
      <c r="B23" s="2074" t="s">
        <v>1239</v>
      </c>
      <c r="C23" s="2075"/>
      <c r="D23" s="2075"/>
      <c r="E23" s="2075"/>
      <c r="F23" s="2075"/>
      <c r="G23" s="2076"/>
      <c r="H23" s="429">
        <v>0.26295602114254257</v>
      </c>
      <c r="I23" s="417"/>
    </row>
    <row r="24" spans="1:9" s="418" customFormat="1" ht="20.100000000000001" customHeight="1" x14ac:dyDescent="0.2">
      <c r="A24" s="417"/>
      <c r="B24" s="430"/>
      <c r="C24" s="430"/>
      <c r="D24" s="430"/>
      <c r="E24" s="430"/>
      <c r="F24" s="430"/>
      <c r="G24" s="430"/>
      <c r="H24" s="430"/>
      <c r="I24" s="417"/>
    </row>
    <row r="25" spans="1:9" s="418" customFormat="1" ht="15.75" customHeight="1" x14ac:dyDescent="0.2">
      <c r="A25" s="417"/>
      <c r="B25" s="2077" t="s">
        <v>1240</v>
      </c>
      <c r="C25" s="2077"/>
      <c r="D25" s="2077"/>
      <c r="E25" s="2077"/>
      <c r="F25" s="2077"/>
      <c r="G25" s="2077"/>
      <c r="H25" s="2077"/>
      <c r="I25" s="417"/>
    </row>
    <row r="26" spans="1:9" s="418" customFormat="1" ht="21" customHeight="1" x14ac:dyDescent="0.2">
      <c r="A26" s="417"/>
      <c r="B26" s="2078" t="s">
        <v>1241</v>
      </c>
      <c r="C26" s="2079" t="s">
        <v>1242</v>
      </c>
      <c r="D26" s="431" t="s">
        <v>1243</v>
      </c>
      <c r="E26" s="2080" t="s">
        <v>1244</v>
      </c>
      <c r="F26" s="2081">
        <v>-1</v>
      </c>
      <c r="G26" s="2082" t="s">
        <v>1245</v>
      </c>
      <c r="H26" s="2073" t="s">
        <v>1246</v>
      </c>
      <c r="I26" s="417"/>
    </row>
    <row r="27" spans="1:9" s="418" customFormat="1" ht="21" customHeight="1" x14ac:dyDescent="0.2">
      <c r="A27" s="417"/>
      <c r="B27" s="2078"/>
      <c r="C27" s="2079"/>
      <c r="D27" s="432" t="s">
        <v>1321</v>
      </c>
      <c r="E27" s="2080"/>
      <c r="F27" s="2081"/>
      <c r="G27" s="2082"/>
      <c r="H27" s="2073"/>
      <c r="I27" s="417"/>
    </row>
    <row r="28" spans="1:9" s="418" customFormat="1" ht="3" customHeight="1" x14ac:dyDescent="0.2">
      <c r="A28" s="417"/>
      <c r="B28" s="430"/>
      <c r="C28" s="430"/>
      <c r="D28" s="430"/>
      <c r="E28" s="430"/>
      <c r="F28" s="430"/>
      <c r="G28" s="430"/>
      <c r="H28" s="430"/>
      <c r="I28" s="417"/>
    </row>
    <row r="29" spans="1:9" s="418" customFormat="1" ht="14.25" x14ac:dyDescent="0.2">
      <c r="A29" s="417"/>
      <c r="B29" s="433" t="s">
        <v>1247</v>
      </c>
      <c r="C29" s="2071" t="s">
        <v>1248</v>
      </c>
      <c r="D29" s="2071"/>
      <c r="E29" s="2071"/>
      <c r="F29" s="2071"/>
      <c r="G29" s="2071"/>
      <c r="H29" s="2071"/>
      <c r="I29" s="417"/>
    </row>
    <row r="30" spans="1:9" s="418" customFormat="1" ht="14.25" x14ac:dyDescent="0.2">
      <c r="A30" s="417"/>
      <c r="B30" s="433" t="s">
        <v>1150</v>
      </c>
      <c r="C30" s="2071" t="s">
        <v>1249</v>
      </c>
      <c r="D30" s="2071"/>
      <c r="E30" s="2071"/>
      <c r="F30" s="2071"/>
      <c r="G30" s="2071"/>
      <c r="H30" s="2071"/>
      <c r="I30" s="417"/>
    </row>
    <row r="31" spans="1:9" s="418" customFormat="1" ht="14.25" x14ac:dyDescent="0.2">
      <c r="A31" s="417"/>
      <c r="B31" s="433" t="s">
        <v>1250</v>
      </c>
      <c r="C31" s="2071" t="s">
        <v>1251</v>
      </c>
      <c r="D31" s="2071"/>
      <c r="E31" s="2071"/>
      <c r="F31" s="2071"/>
      <c r="G31" s="2071"/>
      <c r="H31" s="2071"/>
      <c r="I31" s="417"/>
    </row>
    <row r="32" spans="1:9" s="418" customFormat="1" ht="14.25" x14ac:dyDescent="0.2">
      <c r="A32" s="417"/>
      <c r="B32" s="433" t="s">
        <v>1252</v>
      </c>
      <c r="C32" s="2071" t="s">
        <v>1253</v>
      </c>
      <c r="D32" s="2071"/>
      <c r="E32" s="2071"/>
      <c r="F32" s="2071"/>
      <c r="G32" s="2071"/>
      <c r="H32" s="2071"/>
      <c r="I32" s="417"/>
    </row>
    <row r="33" spans="1:9" s="418" customFormat="1" ht="14.25" x14ac:dyDescent="0.2">
      <c r="A33" s="417"/>
      <c r="B33" s="433" t="s">
        <v>1254</v>
      </c>
      <c r="C33" s="2071" t="s">
        <v>1255</v>
      </c>
      <c r="D33" s="2071"/>
      <c r="E33" s="2071"/>
      <c r="F33" s="2071"/>
      <c r="G33" s="2071"/>
      <c r="H33" s="2071"/>
      <c r="I33" s="417"/>
    </row>
    <row r="34" spans="1:9" s="418" customFormat="1" ht="14.25" x14ac:dyDescent="0.2">
      <c r="A34" s="417"/>
      <c r="B34" s="433" t="s">
        <v>56</v>
      </c>
      <c r="C34" s="2071" t="s">
        <v>1256</v>
      </c>
      <c r="D34" s="2071"/>
      <c r="E34" s="2071"/>
      <c r="F34" s="2071"/>
      <c r="G34" s="2071"/>
      <c r="H34" s="2071"/>
      <c r="I34" s="417"/>
    </row>
    <row r="35" spans="1:9" s="418" customFormat="1" ht="14.25" x14ac:dyDescent="0.2">
      <c r="A35" s="417"/>
      <c r="B35" s="433" t="s">
        <v>1257</v>
      </c>
      <c r="C35" s="2071" t="s">
        <v>1258</v>
      </c>
      <c r="D35" s="2071"/>
      <c r="E35" s="2071"/>
      <c r="F35" s="2071"/>
      <c r="G35" s="2071"/>
      <c r="H35" s="2071"/>
      <c r="I35" s="417"/>
    </row>
    <row r="36" spans="1:9" s="436" customFormat="1" ht="44.25" customHeight="1" x14ac:dyDescent="0.2">
      <c r="A36" s="434"/>
      <c r="B36" s="474"/>
      <c r="C36" s="2072" t="s">
        <v>1259</v>
      </c>
      <c r="D36" s="2072"/>
      <c r="E36" s="2072"/>
      <c r="F36" s="2072"/>
      <c r="G36" s="2072"/>
      <c r="H36" s="2072"/>
      <c r="I36" s="434"/>
    </row>
    <row r="37" spans="1:9" s="418" customFormat="1" ht="15" customHeight="1" x14ac:dyDescent="0.2">
      <c r="A37" s="417"/>
      <c r="B37" s="430"/>
      <c r="C37" s="430"/>
      <c r="D37" s="430"/>
      <c r="E37" s="430"/>
      <c r="F37" s="430"/>
      <c r="G37" s="430"/>
      <c r="H37" s="430"/>
      <c r="I37" s="417"/>
    </row>
    <row r="38" spans="1:9" s="418" customFormat="1" ht="14.25" x14ac:dyDescent="0.2">
      <c r="A38" s="417"/>
      <c r="B38" s="2070" t="s">
        <v>1260</v>
      </c>
      <c r="C38" s="2070"/>
      <c r="D38" s="2070"/>
      <c r="E38" s="2070"/>
      <c r="F38" s="2070"/>
      <c r="G38" s="2070"/>
      <c r="H38" s="2070"/>
      <c r="I38" s="417"/>
    </row>
    <row r="39" spans="1:9" s="418" customFormat="1" ht="14.25" x14ac:dyDescent="0.2">
      <c r="A39" s="417"/>
      <c r="B39" s="2070" t="s">
        <v>1261</v>
      </c>
      <c r="C39" s="2070"/>
      <c r="D39" s="2070"/>
      <c r="E39" s="2070"/>
      <c r="F39" s="2070"/>
      <c r="G39" s="2070"/>
      <c r="H39" s="2070"/>
      <c r="I39" s="417"/>
    </row>
    <row r="40" spans="1:9" s="418" customFormat="1" ht="5.0999999999999996" customHeight="1" x14ac:dyDescent="0.2">
      <c r="A40" s="417"/>
      <c r="B40" s="417"/>
      <c r="C40" s="417"/>
      <c r="D40" s="417"/>
      <c r="E40" s="417"/>
      <c r="F40" s="417"/>
      <c r="G40" s="417"/>
      <c r="H40" s="417"/>
      <c r="I40" s="417"/>
    </row>
    <row r="41" spans="1:9" s="418" customFormat="1" ht="14.25" x14ac:dyDescent="0.2"/>
    <row r="42" spans="1:9" s="418" customFormat="1" ht="14.25" x14ac:dyDescent="0.2"/>
    <row r="43" spans="1:9" s="418" customFormat="1" ht="14.25" x14ac:dyDescent="0.2"/>
    <row r="44" spans="1:9" s="418" customFormat="1" ht="14.25" hidden="1" x14ac:dyDescent="0.2">
      <c r="B44" s="437" t="s">
        <v>1215</v>
      </c>
    </row>
    <row r="45" spans="1:9" s="418" customFormat="1" ht="14.25" hidden="1" x14ac:dyDescent="0.2">
      <c r="B45" s="437" t="s">
        <v>1262</v>
      </c>
    </row>
    <row r="46" spans="1:9" s="418" customFormat="1" ht="14.25" hidden="1" x14ac:dyDescent="0.2">
      <c r="B46" s="437" t="s">
        <v>1269</v>
      </c>
    </row>
    <row r="47" spans="1:9" s="418" customFormat="1" ht="14.25" hidden="1" x14ac:dyDescent="0.2">
      <c r="B47" s="437" t="s">
        <v>1270</v>
      </c>
    </row>
    <row r="48" spans="1:9" s="418" customFormat="1" ht="14.25" hidden="1" x14ac:dyDescent="0.2">
      <c r="B48" s="437" t="s">
        <v>1271</v>
      </c>
    </row>
    <row r="49" spans="2:10" s="418" customFormat="1" ht="14.25" hidden="1" x14ac:dyDescent="0.2">
      <c r="B49" s="437" t="s">
        <v>1272</v>
      </c>
    </row>
    <row r="50" spans="2:10" s="418" customFormat="1" ht="14.25" hidden="1" x14ac:dyDescent="0.2">
      <c r="B50" s="437" t="s">
        <v>1266</v>
      </c>
    </row>
    <row r="51" spans="2:10" s="418" customFormat="1" ht="14.25" hidden="1" x14ac:dyDescent="0.2"/>
    <row r="52" spans="2:10" s="418" customFormat="1" ht="14.25" hidden="1" x14ac:dyDescent="0.2">
      <c r="B52" s="437" t="s">
        <v>1263</v>
      </c>
    </row>
    <row r="53" spans="2:10" s="418" customFormat="1" ht="14.25" hidden="1" x14ac:dyDescent="0.2">
      <c r="B53" s="437" t="s">
        <v>1216</v>
      </c>
    </row>
    <row r="54" spans="2:10" s="418" customFormat="1" ht="14.25" hidden="1" x14ac:dyDescent="0.2"/>
    <row r="55" spans="2:10" s="418" customFormat="1" ht="14.25" hidden="1" x14ac:dyDescent="0.2">
      <c r="B55" s="437" t="s">
        <v>1264</v>
      </c>
    </row>
    <row r="56" spans="2:10" s="418" customFormat="1" ht="14.25" hidden="1" x14ac:dyDescent="0.2">
      <c r="B56" s="437" t="s">
        <v>1217</v>
      </c>
      <c r="H56" s="438"/>
      <c r="I56" s="438"/>
      <c r="J56" s="438"/>
    </row>
    <row r="57" spans="2:10" s="418" customFormat="1" ht="14.25" hidden="1" x14ac:dyDescent="0.2">
      <c r="B57" s="437" t="s">
        <v>1265</v>
      </c>
    </row>
    <row r="58" spans="2:10" s="418" customFormat="1" ht="14.25" x14ac:dyDescent="0.2"/>
    <row r="59" spans="2:10" s="418" customFormat="1" ht="14.25" x14ac:dyDescent="0.2"/>
    <row r="60" spans="2:10" s="418" customFormat="1" ht="14.25" x14ac:dyDescent="0.2"/>
    <row r="61" spans="2:10" s="418" customFormat="1" ht="14.25" x14ac:dyDescent="0.2"/>
    <row r="62" spans="2:10" s="418" customFormat="1" ht="14.25" x14ac:dyDescent="0.2"/>
    <row r="63" spans="2:10" s="418" customFormat="1" ht="14.25" x14ac:dyDescent="0.2"/>
    <row r="64" spans="2:10" s="418" customFormat="1" ht="14.25" x14ac:dyDescent="0.2"/>
    <row r="65" s="418" customFormat="1" ht="14.25" x14ac:dyDescent="0.2"/>
    <row r="66" s="418" customFormat="1" ht="14.25" x14ac:dyDescent="0.2"/>
    <row r="67" s="418" customFormat="1" ht="14.25" x14ac:dyDescent="0.2"/>
    <row r="68" s="418" customFormat="1" ht="14.25" x14ac:dyDescent="0.2"/>
    <row r="69" s="418" customFormat="1" ht="14.25" x14ac:dyDescent="0.2"/>
    <row r="70" s="418" customFormat="1" ht="14.25" x14ac:dyDescent="0.2"/>
    <row r="71" s="418" customFormat="1" ht="14.25" x14ac:dyDescent="0.2"/>
    <row r="72" s="418" customFormat="1" ht="14.25" x14ac:dyDescent="0.2"/>
    <row r="73" s="418" customFormat="1" ht="14.25" x14ac:dyDescent="0.2"/>
    <row r="74" s="418" customFormat="1" ht="14.25" x14ac:dyDescent="0.2"/>
    <row r="75" s="418" customFormat="1" ht="14.25" x14ac:dyDescent="0.2"/>
    <row r="76" s="418" customFormat="1" ht="14.25" x14ac:dyDescent="0.2"/>
    <row r="77" s="418" customFormat="1" ht="14.25" x14ac:dyDescent="0.2"/>
    <row r="78" s="418" customFormat="1" ht="14.25" x14ac:dyDescent="0.2"/>
    <row r="79" s="418" customFormat="1" ht="14.25" x14ac:dyDescent="0.2"/>
    <row r="80" s="418" customFormat="1" ht="14.25" x14ac:dyDescent="0.2"/>
    <row r="81" s="418" customFormat="1" ht="14.25" x14ac:dyDescent="0.2"/>
    <row r="82" s="418" customFormat="1" ht="14.25" x14ac:dyDescent="0.2"/>
    <row r="83" s="418" customFormat="1" ht="14.25" x14ac:dyDescent="0.2"/>
    <row r="84" s="418" customFormat="1" ht="14.25" x14ac:dyDescent="0.2"/>
    <row r="85" s="418" customFormat="1" ht="14.25" x14ac:dyDescent="0.2"/>
    <row r="86" s="418" customFormat="1" ht="14.25" x14ac:dyDescent="0.2"/>
    <row r="87" s="418" customFormat="1" ht="14.25" x14ac:dyDescent="0.2"/>
    <row r="88" s="418" customFormat="1" ht="14.25" x14ac:dyDescent="0.2"/>
    <row r="89" s="418" customFormat="1" ht="14.25" x14ac:dyDescent="0.2"/>
    <row r="90" s="418" customFormat="1" ht="14.25" x14ac:dyDescent="0.2"/>
    <row r="91" s="418" customFormat="1" ht="14.25" x14ac:dyDescent="0.2"/>
    <row r="92" s="418" customFormat="1" ht="14.25" x14ac:dyDescent="0.2"/>
    <row r="93" s="418" customFormat="1" ht="14.25" x14ac:dyDescent="0.2"/>
    <row r="94" s="418" customFormat="1" ht="14.25" x14ac:dyDescent="0.2"/>
    <row r="95" s="418" customFormat="1" ht="14.25" x14ac:dyDescent="0.2"/>
    <row r="96" s="418" customFormat="1" ht="14.25" x14ac:dyDescent="0.2"/>
    <row r="97" s="418" customFormat="1" ht="14.25" x14ac:dyDescent="0.2"/>
    <row r="98" s="418" customFormat="1" ht="14.25" x14ac:dyDescent="0.2"/>
    <row r="99" s="418" customFormat="1" ht="14.25" x14ac:dyDescent="0.2"/>
    <row r="100" s="418" customFormat="1" ht="14.25" x14ac:dyDescent="0.2"/>
    <row r="101" s="418" customFormat="1" ht="14.25" x14ac:dyDescent="0.2"/>
    <row r="102" s="418" customFormat="1" ht="14.25" x14ac:dyDescent="0.2"/>
    <row r="103" s="418" customFormat="1" ht="14.25" x14ac:dyDescent="0.2"/>
    <row r="104" s="418" customFormat="1" ht="14.25" x14ac:dyDescent="0.2"/>
    <row r="105" s="418" customFormat="1" ht="14.25" x14ac:dyDescent="0.2"/>
    <row r="106" s="418" customFormat="1" ht="14.25" x14ac:dyDescent="0.2"/>
    <row r="107" s="418" customFormat="1" ht="14.25" x14ac:dyDescent="0.2"/>
    <row r="108" s="418" customFormat="1" ht="14.25" x14ac:dyDescent="0.2"/>
    <row r="109" s="418" customFormat="1" ht="14.25" x14ac:dyDescent="0.2"/>
    <row r="110" s="418" customFormat="1" ht="14.25" x14ac:dyDescent="0.2"/>
    <row r="111" s="418" customFormat="1" ht="14.25" x14ac:dyDescent="0.2"/>
    <row r="112" s="418" customFormat="1" ht="14.25" x14ac:dyDescent="0.2"/>
    <row r="113" s="418" customFormat="1" ht="14.25" x14ac:dyDescent="0.2"/>
    <row r="114" s="418" customFormat="1" ht="14.25" x14ac:dyDescent="0.2"/>
    <row r="115" s="418" customFormat="1" ht="14.25" x14ac:dyDescent="0.2"/>
    <row r="116" s="418" customFormat="1" ht="14.25" x14ac:dyDescent="0.2"/>
    <row r="117" s="418" customFormat="1" ht="14.25" x14ac:dyDescent="0.2"/>
    <row r="118" s="418" customFormat="1" ht="14.25" x14ac:dyDescent="0.2"/>
    <row r="119" s="418" customFormat="1" ht="14.25" x14ac:dyDescent="0.2"/>
    <row r="120" s="418" customFormat="1" ht="14.25" x14ac:dyDescent="0.2"/>
    <row r="121" s="418" customFormat="1" ht="14.25" x14ac:dyDescent="0.2"/>
    <row r="122" s="418" customFormat="1" ht="14.25" x14ac:dyDescent="0.2"/>
    <row r="123" s="418" customFormat="1" ht="14.25" x14ac:dyDescent="0.2"/>
    <row r="124" s="418" customFormat="1" ht="14.25" x14ac:dyDescent="0.2"/>
    <row r="125" s="418" customFormat="1" ht="14.25" x14ac:dyDescent="0.2"/>
    <row r="126" s="418" customFormat="1" ht="14.25" x14ac:dyDescent="0.2"/>
    <row r="127" s="418" customFormat="1" ht="14.25" x14ac:dyDescent="0.2"/>
    <row r="128" s="418" customFormat="1" ht="14.25" x14ac:dyDescent="0.2"/>
    <row r="129" s="418" customFormat="1" ht="14.25" x14ac:dyDescent="0.2"/>
    <row r="130" s="418" customFormat="1" ht="14.25" x14ac:dyDescent="0.2"/>
    <row r="131" s="418" customFormat="1" ht="14.25" x14ac:dyDescent="0.2"/>
    <row r="132" s="418" customFormat="1" ht="14.25" x14ac:dyDescent="0.2"/>
    <row r="133" s="418" customFormat="1" ht="14.25" x14ac:dyDescent="0.2"/>
    <row r="134" s="418" customFormat="1" ht="14.25" x14ac:dyDescent="0.2"/>
    <row r="135" s="418" customFormat="1" ht="14.25" x14ac:dyDescent="0.2"/>
    <row r="136" s="418" customFormat="1" ht="14.25" x14ac:dyDescent="0.2"/>
    <row r="137" s="418" customFormat="1" ht="14.25" x14ac:dyDescent="0.2"/>
    <row r="138" s="418" customFormat="1" ht="14.25" x14ac:dyDescent="0.2"/>
    <row r="139" s="418" customFormat="1" ht="14.25" x14ac:dyDescent="0.2"/>
    <row r="140" s="418" customFormat="1" ht="14.25" x14ac:dyDescent="0.2"/>
    <row r="141" s="418" customFormat="1" ht="14.25" x14ac:dyDescent="0.2"/>
    <row r="142" s="418" customFormat="1" ht="14.25" x14ac:dyDescent="0.2"/>
    <row r="143" s="418" customFormat="1" ht="14.25" x14ac:dyDescent="0.2"/>
    <row r="144" s="418" customFormat="1" ht="14.25" x14ac:dyDescent="0.2"/>
    <row r="145" s="418" customFormat="1" ht="14.25" x14ac:dyDescent="0.2"/>
    <row r="146" s="418" customFormat="1" ht="14.25" x14ac:dyDescent="0.2"/>
    <row r="147" s="418" customFormat="1" ht="14.25" x14ac:dyDescent="0.2"/>
    <row r="148" s="418" customFormat="1" ht="14.25" x14ac:dyDescent="0.2"/>
    <row r="149" s="418" customFormat="1" ht="14.25" x14ac:dyDescent="0.2"/>
    <row r="150" s="418" customFormat="1" ht="14.25" x14ac:dyDescent="0.2"/>
    <row r="151" s="418" customFormat="1" ht="14.25" x14ac:dyDescent="0.2"/>
    <row r="152" s="418" customFormat="1" ht="14.25" x14ac:dyDescent="0.2"/>
    <row r="153" s="418" customFormat="1" ht="14.25" x14ac:dyDescent="0.2"/>
    <row r="154" s="418" customFormat="1" ht="14.25" x14ac:dyDescent="0.2"/>
    <row r="155" s="418" customFormat="1" ht="14.25" x14ac:dyDescent="0.2"/>
    <row r="156" s="418" customFormat="1" ht="14.25" x14ac:dyDescent="0.2"/>
    <row r="157" s="418" customFormat="1" ht="14.25" x14ac:dyDescent="0.2"/>
    <row r="158" s="418" customFormat="1" ht="14.25" x14ac:dyDescent="0.2"/>
    <row r="159" s="418" customFormat="1" ht="14.25" x14ac:dyDescent="0.2"/>
    <row r="160" s="418" customFormat="1" ht="14.25" x14ac:dyDescent="0.2"/>
    <row r="161" s="418" customFormat="1" ht="14.25" x14ac:dyDescent="0.2"/>
    <row r="162" s="418" customFormat="1" ht="14.25" x14ac:dyDescent="0.2"/>
    <row r="163" s="418" customFormat="1" ht="14.25" x14ac:dyDescent="0.2"/>
    <row r="164" s="418" customFormat="1" ht="14.25" x14ac:dyDescent="0.2"/>
    <row r="165" s="418" customFormat="1" ht="14.25" x14ac:dyDescent="0.2"/>
    <row r="166" s="418" customFormat="1" ht="14.25" x14ac:dyDescent="0.2"/>
    <row r="167" s="418" customFormat="1" ht="14.25" x14ac:dyDescent="0.2"/>
    <row r="168" s="418" customFormat="1" ht="14.25" x14ac:dyDescent="0.2"/>
    <row r="169" s="418" customFormat="1" ht="14.25" x14ac:dyDescent="0.2"/>
    <row r="170" s="418" customFormat="1" ht="14.25" x14ac:dyDescent="0.2"/>
    <row r="171" s="418" customFormat="1" ht="14.25" x14ac:dyDescent="0.2"/>
    <row r="172" s="418" customFormat="1" ht="14.25" x14ac:dyDescent="0.2"/>
    <row r="173" s="418" customFormat="1" ht="14.25" x14ac:dyDescent="0.2"/>
    <row r="174" s="418" customFormat="1" ht="14.25" x14ac:dyDescent="0.2"/>
    <row r="175" s="418" customFormat="1" ht="14.25" x14ac:dyDescent="0.2"/>
    <row r="176" s="418" customFormat="1" ht="14.25" x14ac:dyDescent="0.2"/>
    <row r="177" s="418" customFormat="1" ht="14.25" x14ac:dyDescent="0.2"/>
    <row r="178" s="418" customFormat="1" ht="14.25" x14ac:dyDescent="0.2"/>
    <row r="179" s="418" customFormat="1" ht="14.25" x14ac:dyDescent="0.2"/>
    <row r="180" s="418" customFormat="1" ht="14.25" x14ac:dyDescent="0.2"/>
    <row r="181" s="418" customFormat="1" ht="14.25" x14ac:dyDescent="0.2"/>
    <row r="182" s="418" customFormat="1" ht="14.25" x14ac:dyDescent="0.2"/>
    <row r="183" s="418" customFormat="1" ht="14.25" x14ac:dyDescent="0.2"/>
    <row r="184" s="418" customFormat="1" ht="14.25" x14ac:dyDescent="0.2"/>
    <row r="185" s="418" customFormat="1" ht="14.25" x14ac:dyDescent="0.2"/>
    <row r="186" s="418" customFormat="1" ht="14.25" x14ac:dyDescent="0.2"/>
    <row r="187" s="418" customFormat="1" ht="14.25" x14ac:dyDescent="0.2"/>
    <row r="188" s="418" customFormat="1" ht="14.25" x14ac:dyDescent="0.2"/>
    <row r="189" s="418" customFormat="1" ht="14.25" x14ac:dyDescent="0.2"/>
    <row r="190" s="418" customFormat="1" ht="14.25" x14ac:dyDescent="0.2"/>
    <row r="191" s="418" customFormat="1" ht="14.25" x14ac:dyDescent="0.2"/>
    <row r="192" s="418" customFormat="1" ht="14.25" x14ac:dyDescent="0.2"/>
    <row r="193" s="418" customFormat="1" ht="14.25" x14ac:dyDescent="0.2"/>
    <row r="194" s="418" customFormat="1" ht="14.25" x14ac:dyDescent="0.2"/>
    <row r="195" s="418" customFormat="1" ht="14.25" x14ac:dyDescent="0.2"/>
    <row r="196" s="418" customFormat="1" ht="14.25" x14ac:dyDescent="0.2"/>
    <row r="197" s="418" customFormat="1" ht="14.25" x14ac:dyDescent="0.2"/>
    <row r="198" s="418" customFormat="1" ht="14.25" x14ac:dyDescent="0.2"/>
    <row r="199" s="418" customFormat="1" ht="14.25" x14ac:dyDescent="0.2"/>
    <row r="200" s="418" customFormat="1" ht="14.25" x14ac:dyDescent="0.2"/>
    <row r="201" s="418" customFormat="1" ht="14.25" x14ac:dyDescent="0.2"/>
    <row r="202" s="418" customFormat="1" ht="14.25" x14ac:dyDescent="0.2"/>
    <row r="203" s="418" customFormat="1" ht="14.25" x14ac:dyDescent="0.2"/>
    <row r="204" s="418" customFormat="1" ht="14.25" x14ac:dyDescent="0.2"/>
    <row r="205" s="418" customFormat="1" ht="14.25" x14ac:dyDescent="0.2"/>
    <row r="206" s="418" customFormat="1" ht="14.25" x14ac:dyDescent="0.2"/>
    <row r="207" s="418" customFormat="1" ht="14.25" x14ac:dyDescent="0.2"/>
    <row r="208" s="418" customFormat="1" ht="14.25" x14ac:dyDescent="0.2"/>
    <row r="209" s="418" customFormat="1" ht="14.25" x14ac:dyDescent="0.2"/>
    <row r="210" s="418" customFormat="1" ht="14.25" x14ac:dyDescent="0.2"/>
    <row r="211" s="418" customFormat="1" ht="14.25" x14ac:dyDescent="0.2"/>
    <row r="212" s="418" customFormat="1" ht="14.25" x14ac:dyDescent="0.2"/>
    <row r="213" s="418" customFormat="1" ht="14.25" x14ac:dyDescent="0.2"/>
    <row r="214" s="418" customFormat="1" ht="14.25" x14ac:dyDescent="0.2"/>
    <row r="215" s="418" customFormat="1" ht="14.25" x14ac:dyDescent="0.2"/>
    <row r="216" s="418" customFormat="1" ht="14.25" x14ac:dyDescent="0.2"/>
    <row r="217" s="418" customFormat="1" ht="14.25" x14ac:dyDescent="0.2"/>
    <row r="218" s="418" customFormat="1" ht="14.25" x14ac:dyDescent="0.2"/>
    <row r="219" s="418" customFormat="1" ht="14.25" x14ac:dyDescent="0.2"/>
    <row r="220" s="418" customFormat="1" ht="14.25" x14ac:dyDescent="0.2"/>
    <row r="221" s="418" customFormat="1" ht="14.25" x14ac:dyDescent="0.2"/>
    <row r="222" s="418" customFormat="1" ht="14.25" x14ac:dyDescent="0.2"/>
    <row r="223" s="418" customFormat="1" ht="14.25" x14ac:dyDescent="0.2"/>
    <row r="224" s="418" customFormat="1" ht="14.25" x14ac:dyDescent="0.2"/>
    <row r="225" s="418" customFormat="1" ht="14.25" x14ac:dyDescent="0.2"/>
    <row r="226" s="418" customFormat="1" ht="14.25" x14ac:dyDescent="0.2"/>
    <row r="227" s="418" customFormat="1" ht="14.25" x14ac:dyDescent="0.2"/>
    <row r="228" s="418" customFormat="1" ht="14.25" x14ac:dyDescent="0.2"/>
    <row r="229" s="418" customFormat="1" ht="14.25" x14ac:dyDescent="0.2"/>
    <row r="230" s="418" customFormat="1" ht="14.25" x14ac:dyDescent="0.2"/>
    <row r="231" s="418" customFormat="1" ht="14.25" x14ac:dyDescent="0.2"/>
    <row r="232" s="418" customFormat="1" ht="14.25" x14ac:dyDescent="0.2"/>
    <row r="233" s="418" customFormat="1" ht="14.25" x14ac:dyDescent="0.2"/>
    <row r="234" s="418" customFormat="1" ht="14.25" x14ac:dyDescent="0.2"/>
    <row r="235" s="418" customFormat="1" ht="14.25" x14ac:dyDescent="0.2"/>
    <row r="236" s="418" customFormat="1" ht="14.25" x14ac:dyDescent="0.2"/>
    <row r="237" s="418" customFormat="1" ht="14.25" x14ac:dyDescent="0.2"/>
    <row r="238" s="418" customFormat="1" ht="14.25" x14ac:dyDescent="0.2"/>
    <row r="239" s="418" customFormat="1" ht="14.25" x14ac:dyDescent="0.2"/>
    <row r="240" s="418" customFormat="1" ht="14.25" x14ac:dyDescent="0.2"/>
    <row r="241" s="418" customFormat="1" ht="14.25" x14ac:dyDescent="0.2"/>
    <row r="242" s="418" customFormat="1" ht="14.25" x14ac:dyDescent="0.2"/>
    <row r="243" s="418" customFormat="1" ht="14.25" x14ac:dyDescent="0.2"/>
    <row r="244" s="418" customFormat="1" ht="14.25" x14ac:dyDescent="0.2"/>
    <row r="245" s="418" customFormat="1" ht="14.25" x14ac:dyDescent="0.2"/>
    <row r="246" s="418" customFormat="1" ht="14.25" x14ac:dyDescent="0.2"/>
    <row r="247" s="418" customFormat="1" ht="14.25" x14ac:dyDescent="0.2"/>
    <row r="248" s="418" customFormat="1" ht="14.25" x14ac:dyDescent="0.2"/>
    <row r="249" s="418" customFormat="1" ht="14.25" x14ac:dyDescent="0.2"/>
    <row r="250" s="418" customFormat="1" ht="14.25" x14ac:dyDescent="0.2"/>
    <row r="251" s="418" customFormat="1" ht="14.25" x14ac:dyDescent="0.2"/>
    <row r="252" s="418" customFormat="1" ht="14.25" x14ac:dyDescent="0.2"/>
    <row r="253" s="418" customFormat="1" ht="14.25" x14ac:dyDescent="0.2"/>
    <row r="254" s="418" customFormat="1" ht="14.25" x14ac:dyDescent="0.2"/>
    <row r="255" s="418" customFormat="1" ht="14.25" x14ac:dyDescent="0.2"/>
    <row r="256" s="418" customFormat="1" ht="14.25" x14ac:dyDescent="0.2"/>
    <row r="257" s="418" customFormat="1" ht="14.25" x14ac:dyDescent="0.2"/>
    <row r="258" s="418" customFormat="1" ht="14.25" x14ac:dyDescent="0.2"/>
    <row r="259" s="418" customFormat="1" ht="14.25" x14ac:dyDescent="0.2"/>
    <row r="260" s="418" customFormat="1" ht="14.25" x14ac:dyDescent="0.2"/>
    <row r="261" s="418" customFormat="1" ht="14.25" x14ac:dyDescent="0.2"/>
    <row r="262" s="418" customFormat="1" ht="14.25" x14ac:dyDescent="0.2"/>
    <row r="263" s="418" customFormat="1" ht="14.25" x14ac:dyDescent="0.2"/>
    <row r="264" s="418" customFormat="1" ht="14.25" x14ac:dyDescent="0.2"/>
    <row r="265" s="418" customFormat="1" ht="14.25" x14ac:dyDescent="0.2"/>
    <row r="266" s="418" customFormat="1" ht="14.25" x14ac:dyDescent="0.2"/>
    <row r="267" s="418" customFormat="1" ht="14.25" x14ac:dyDescent="0.2"/>
    <row r="268" s="418" customFormat="1" ht="14.25" x14ac:dyDescent="0.2"/>
    <row r="269" s="418" customFormat="1" ht="14.25" x14ac:dyDescent="0.2"/>
    <row r="270" s="418" customFormat="1" ht="14.25" x14ac:dyDescent="0.2"/>
    <row r="271" s="418" customFormat="1" ht="14.25" x14ac:dyDescent="0.2"/>
    <row r="272" s="418" customFormat="1" ht="14.25" x14ac:dyDescent="0.2"/>
    <row r="273" s="418" customFormat="1" ht="14.25" x14ac:dyDescent="0.2"/>
    <row r="274" s="418" customFormat="1" ht="14.25" x14ac:dyDescent="0.2"/>
    <row r="275" s="418" customFormat="1" ht="14.25" x14ac:dyDescent="0.2"/>
    <row r="276" s="418" customFormat="1" ht="14.25" x14ac:dyDescent="0.2"/>
    <row r="277" s="418" customFormat="1" ht="14.25" x14ac:dyDescent="0.2"/>
    <row r="278" s="418" customFormat="1" ht="14.25" x14ac:dyDescent="0.2"/>
    <row r="279" s="418" customFormat="1" ht="14.25" x14ac:dyDescent="0.2"/>
    <row r="280" s="418" customFormat="1" ht="14.25" x14ac:dyDescent="0.2"/>
    <row r="281" s="418" customFormat="1" ht="14.25" x14ac:dyDescent="0.2"/>
    <row r="282" s="418" customFormat="1" ht="14.25" x14ac:dyDescent="0.2"/>
    <row r="283" s="418" customFormat="1" ht="14.25" x14ac:dyDescent="0.2"/>
    <row r="284" s="418" customFormat="1" ht="14.25" x14ac:dyDescent="0.2"/>
    <row r="285" s="418" customFormat="1" ht="14.25" x14ac:dyDescent="0.2"/>
    <row r="286" s="418" customFormat="1" ht="14.25" x14ac:dyDescent="0.2"/>
    <row r="287" s="418" customFormat="1" ht="14.25" x14ac:dyDescent="0.2"/>
    <row r="288" s="418" customFormat="1" ht="14.25" x14ac:dyDescent="0.2"/>
    <row r="289" s="418" customFormat="1" ht="14.25" x14ac:dyDescent="0.2"/>
    <row r="290" s="418" customFormat="1" ht="14.25" x14ac:dyDescent="0.2"/>
    <row r="291" s="418" customFormat="1" ht="14.25" x14ac:dyDescent="0.2"/>
    <row r="292" s="418" customFormat="1" ht="14.25" x14ac:dyDescent="0.2"/>
    <row r="293" s="418" customFormat="1" ht="14.25" x14ac:dyDescent="0.2"/>
    <row r="294" s="418" customFormat="1" ht="14.25" x14ac:dyDescent="0.2"/>
    <row r="295" s="418" customFormat="1" ht="14.25" x14ac:dyDescent="0.2"/>
    <row r="296" s="418" customFormat="1" ht="14.25" x14ac:dyDescent="0.2"/>
    <row r="297" s="418" customFormat="1" ht="14.25" x14ac:dyDescent="0.2"/>
    <row r="298" s="418" customFormat="1" ht="14.25" x14ac:dyDescent="0.2"/>
    <row r="299" s="418" customFormat="1" ht="14.25" x14ac:dyDescent="0.2"/>
    <row r="300" s="418" customFormat="1" ht="14.25" x14ac:dyDescent="0.2"/>
    <row r="301" s="418" customFormat="1" ht="14.25" x14ac:dyDescent="0.2"/>
    <row r="302" s="418" customFormat="1" ht="14.25" x14ac:dyDescent="0.2"/>
    <row r="303" s="418" customFormat="1" ht="14.25" x14ac:dyDescent="0.2"/>
    <row r="304" s="418" customFormat="1" ht="14.25" x14ac:dyDescent="0.2"/>
    <row r="305" s="418" customFormat="1" ht="14.25" x14ac:dyDescent="0.2"/>
    <row r="306" s="418" customFormat="1" ht="14.25" x14ac:dyDescent="0.2"/>
    <row r="307" s="418" customFormat="1" ht="14.25" x14ac:dyDescent="0.2"/>
    <row r="308" s="418" customFormat="1" ht="14.25" x14ac:dyDescent="0.2"/>
    <row r="309" s="418" customFormat="1" ht="14.25" x14ac:dyDescent="0.2"/>
    <row r="310" s="418" customFormat="1" ht="14.25" x14ac:dyDescent="0.2"/>
    <row r="311" s="418" customFormat="1" ht="14.25" x14ac:dyDescent="0.2"/>
    <row r="312" s="418" customFormat="1" ht="14.25" x14ac:dyDescent="0.2"/>
    <row r="313" s="418" customFormat="1" ht="14.25" x14ac:dyDescent="0.2"/>
    <row r="314" s="418" customFormat="1" ht="14.25" x14ac:dyDescent="0.2"/>
    <row r="315" s="418" customFormat="1" ht="14.25" x14ac:dyDescent="0.2"/>
    <row r="316" s="418" customFormat="1" ht="14.25" x14ac:dyDescent="0.2"/>
    <row r="317" s="418" customFormat="1" ht="14.25" x14ac:dyDescent="0.2"/>
    <row r="318" s="418" customFormat="1" ht="14.25" x14ac:dyDescent="0.2"/>
    <row r="319" s="418" customFormat="1" ht="14.25" x14ac:dyDescent="0.2"/>
    <row r="320" s="418" customFormat="1" ht="14.25" x14ac:dyDescent="0.2"/>
    <row r="321" s="418" customFormat="1" ht="14.25" x14ac:dyDescent="0.2"/>
    <row r="322" s="418" customFormat="1" ht="14.25" x14ac:dyDescent="0.2"/>
    <row r="323" s="418" customFormat="1" ht="14.25" x14ac:dyDescent="0.2"/>
    <row r="324" s="418" customFormat="1" ht="14.25" x14ac:dyDescent="0.2"/>
    <row r="325" s="418" customFormat="1" ht="14.25" x14ac:dyDescent="0.2"/>
    <row r="326" s="418" customFormat="1" ht="14.25" x14ac:dyDescent="0.2"/>
    <row r="327" s="418" customFormat="1" ht="14.25" x14ac:dyDescent="0.2"/>
    <row r="328" s="418" customFormat="1" ht="14.25" x14ac:dyDescent="0.2"/>
    <row r="329" s="418" customFormat="1" ht="14.25" x14ac:dyDescent="0.2"/>
    <row r="330" s="418" customFormat="1" ht="14.25" x14ac:dyDescent="0.2"/>
    <row r="331" s="418" customFormat="1" ht="14.25" x14ac:dyDescent="0.2"/>
    <row r="332" s="418" customFormat="1" ht="14.25" x14ac:dyDescent="0.2"/>
    <row r="333" s="418" customFormat="1" ht="14.25" x14ac:dyDescent="0.2"/>
    <row r="334" s="418" customFormat="1" ht="14.25" x14ac:dyDescent="0.2"/>
    <row r="335" s="418" customFormat="1" ht="14.25" x14ac:dyDescent="0.2"/>
    <row r="336" s="418" customFormat="1" ht="14.25" x14ac:dyDescent="0.2"/>
    <row r="337" s="418" customFormat="1" ht="14.25" x14ac:dyDescent="0.2"/>
    <row r="338" s="418" customFormat="1" ht="14.25" x14ac:dyDescent="0.2"/>
    <row r="339" s="418" customFormat="1" ht="14.25" x14ac:dyDescent="0.2"/>
    <row r="340" s="418" customFormat="1" ht="14.25" x14ac:dyDescent="0.2"/>
    <row r="341" s="418" customFormat="1" ht="14.25" x14ac:dyDescent="0.2"/>
    <row r="342" s="418" customFormat="1" ht="14.25" x14ac:dyDescent="0.2"/>
    <row r="343" s="418" customFormat="1" ht="14.25" x14ac:dyDescent="0.2"/>
    <row r="344" s="418" customFormat="1" ht="14.25" x14ac:dyDescent="0.2"/>
    <row r="345" s="418" customFormat="1" ht="14.25" x14ac:dyDescent="0.2"/>
    <row r="346" s="418" customFormat="1" ht="14.25" x14ac:dyDescent="0.2"/>
    <row r="347" s="418" customFormat="1" ht="14.25" x14ac:dyDescent="0.2"/>
    <row r="348" s="418" customFormat="1" ht="14.25" x14ac:dyDescent="0.2"/>
    <row r="349" s="418" customFormat="1" ht="14.25" x14ac:dyDescent="0.2"/>
    <row r="350" s="418" customFormat="1" ht="14.25" x14ac:dyDescent="0.2"/>
    <row r="351" s="418" customFormat="1" ht="14.25" x14ac:dyDescent="0.2"/>
    <row r="352" s="418" customFormat="1" ht="14.25" x14ac:dyDescent="0.2"/>
    <row r="353" s="418" customFormat="1" ht="14.25" x14ac:dyDescent="0.2"/>
    <row r="354" s="418" customFormat="1" ht="14.25" x14ac:dyDescent="0.2"/>
    <row r="355" s="418" customFormat="1" ht="14.25" x14ac:dyDescent="0.2"/>
    <row r="356" s="418" customFormat="1" ht="14.25" x14ac:dyDescent="0.2"/>
    <row r="357" s="418" customFormat="1" ht="14.25" x14ac:dyDescent="0.2"/>
    <row r="358" s="418" customFormat="1" ht="14.25" x14ac:dyDescent="0.2"/>
    <row r="359" s="418" customFormat="1" ht="14.25" x14ac:dyDescent="0.2"/>
    <row r="360" s="418" customFormat="1" ht="14.25" x14ac:dyDescent="0.2"/>
    <row r="361" s="418" customFormat="1" ht="14.25" x14ac:dyDescent="0.2"/>
    <row r="362" s="418" customFormat="1" ht="14.25" x14ac:dyDescent="0.2"/>
    <row r="363" s="418" customFormat="1" ht="14.25" x14ac:dyDescent="0.2"/>
    <row r="364" s="418" customFormat="1" ht="14.25" x14ac:dyDescent="0.2"/>
    <row r="365" s="418" customFormat="1" ht="14.25" x14ac:dyDescent="0.2"/>
    <row r="366" s="418" customFormat="1" ht="14.25" x14ac:dyDescent="0.2"/>
    <row r="367" s="418" customFormat="1" ht="14.25" x14ac:dyDescent="0.2"/>
    <row r="368" s="418" customFormat="1" ht="14.25" x14ac:dyDescent="0.2"/>
    <row r="369" s="418" customFormat="1" ht="14.25" x14ac:dyDescent="0.2"/>
    <row r="370" s="418" customFormat="1" ht="14.25" x14ac:dyDescent="0.2"/>
    <row r="371" s="418" customFormat="1" ht="14.25" x14ac:dyDescent="0.2"/>
    <row r="372" s="418" customFormat="1" ht="14.25" x14ac:dyDescent="0.2"/>
    <row r="373" s="418" customFormat="1" ht="14.25" x14ac:dyDescent="0.2"/>
    <row r="374" s="418" customFormat="1" ht="14.25" x14ac:dyDescent="0.2"/>
    <row r="375" s="418" customFormat="1" ht="14.25" x14ac:dyDescent="0.2"/>
    <row r="376" s="418" customFormat="1" ht="14.25" x14ac:dyDescent="0.2"/>
    <row r="377" s="418" customFormat="1" ht="14.25" x14ac:dyDescent="0.2"/>
    <row r="378" s="418" customFormat="1" ht="14.25" x14ac:dyDescent="0.2"/>
    <row r="379" s="418" customFormat="1" ht="14.25" x14ac:dyDescent="0.2"/>
    <row r="380" s="418" customFormat="1" ht="14.25" x14ac:dyDescent="0.2"/>
    <row r="381" s="418" customFormat="1" ht="14.25" x14ac:dyDescent="0.2"/>
    <row r="382" s="418" customFormat="1" ht="14.25" x14ac:dyDescent="0.2"/>
    <row r="383" s="418" customFormat="1" ht="14.25" x14ac:dyDescent="0.2"/>
    <row r="384" s="418" customFormat="1" ht="14.25" x14ac:dyDescent="0.2"/>
    <row r="385" s="418" customFormat="1" ht="14.25" x14ac:dyDescent="0.2"/>
    <row r="386" s="418" customFormat="1" ht="14.25" x14ac:dyDescent="0.2"/>
    <row r="387" s="418" customFormat="1" ht="14.25" x14ac:dyDescent="0.2"/>
    <row r="388" s="418" customFormat="1" ht="14.25" x14ac:dyDescent="0.2"/>
    <row r="389" s="418" customFormat="1" ht="14.25" x14ac:dyDescent="0.2"/>
    <row r="390" s="418" customFormat="1" ht="14.25" x14ac:dyDescent="0.2"/>
    <row r="391" s="418" customFormat="1" ht="14.25" x14ac:dyDescent="0.2"/>
    <row r="392" s="418" customFormat="1" ht="14.25" x14ac:dyDescent="0.2"/>
    <row r="393" s="418" customFormat="1" ht="14.25" x14ac:dyDescent="0.2"/>
    <row r="394" s="418" customFormat="1" ht="14.25" x14ac:dyDescent="0.2"/>
    <row r="395" s="418" customFormat="1" ht="14.25" x14ac:dyDescent="0.2"/>
    <row r="396" s="418" customFormat="1" ht="14.25" x14ac:dyDescent="0.2"/>
    <row r="397" s="418" customFormat="1" ht="14.25" x14ac:dyDescent="0.2"/>
    <row r="398" s="418" customFormat="1" ht="14.25" x14ac:dyDescent="0.2"/>
    <row r="399" s="418" customFormat="1" ht="14.25" x14ac:dyDescent="0.2"/>
    <row r="400" s="418" customFormat="1" ht="14.25" x14ac:dyDescent="0.2"/>
    <row r="401" s="418" customFormat="1" ht="14.25" x14ac:dyDescent="0.2"/>
    <row r="402" s="418" customFormat="1" ht="14.25" x14ac:dyDescent="0.2"/>
    <row r="403" s="418" customFormat="1" ht="14.25" x14ac:dyDescent="0.2"/>
    <row r="404" s="418" customFormat="1" ht="14.25" x14ac:dyDescent="0.2"/>
    <row r="405" s="418" customFormat="1" ht="14.25" x14ac:dyDescent="0.2"/>
    <row r="406" s="418" customFormat="1" ht="14.25" x14ac:dyDescent="0.2"/>
    <row r="407" s="418" customFormat="1" ht="14.25" x14ac:dyDescent="0.2"/>
    <row r="408" s="418" customFormat="1" ht="14.25" x14ac:dyDescent="0.2"/>
    <row r="409" s="418" customFormat="1" ht="14.25" x14ac:dyDescent="0.2"/>
    <row r="410" s="418" customFormat="1" ht="14.25" x14ac:dyDescent="0.2"/>
    <row r="411" s="418" customFormat="1" ht="14.25" x14ac:dyDescent="0.2"/>
    <row r="412" s="418" customFormat="1" ht="14.25" x14ac:dyDescent="0.2"/>
    <row r="413" s="418" customFormat="1" ht="14.25" x14ac:dyDescent="0.2"/>
    <row r="414" s="418" customFormat="1" ht="14.25" x14ac:dyDescent="0.2"/>
    <row r="415" s="418" customFormat="1" ht="14.25" x14ac:dyDescent="0.2"/>
    <row r="416" s="418" customFormat="1" ht="14.25" x14ac:dyDescent="0.2"/>
    <row r="417" s="418" customFormat="1" ht="14.25" x14ac:dyDescent="0.2"/>
    <row r="418" s="418" customFormat="1" ht="14.25" x14ac:dyDescent="0.2"/>
    <row r="419" s="418" customFormat="1" ht="14.25" x14ac:dyDescent="0.2"/>
    <row r="420" s="418" customFormat="1" ht="14.25" x14ac:dyDescent="0.2"/>
    <row r="421" s="418" customFormat="1" ht="14.25" x14ac:dyDescent="0.2"/>
    <row r="422" s="418" customFormat="1" ht="14.25" x14ac:dyDescent="0.2"/>
    <row r="423" s="418" customFormat="1" ht="14.25" x14ac:dyDescent="0.2"/>
    <row r="424" s="418" customFormat="1" ht="14.25" x14ac:dyDescent="0.2"/>
    <row r="425" s="418" customFormat="1" ht="14.25" x14ac:dyDescent="0.2"/>
    <row r="426" s="418" customFormat="1" ht="14.25" x14ac:dyDescent="0.2"/>
    <row r="427" s="418" customFormat="1" ht="14.25" x14ac:dyDescent="0.2"/>
    <row r="428" s="418" customFormat="1" ht="14.25" x14ac:dyDescent="0.2"/>
    <row r="429" s="418" customFormat="1" ht="14.25" x14ac:dyDescent="0.2"/>
    <row r="430" s="418" customFormat="1" ht="14.25" x14ac:dyDescent="0.2"/>
    <row r="431" s="418" customFormat="1" ht="14.25" x14ac:dyDescent="0.2"/>
    <row r="432" s="418" customFormat="1" ht="14.25" x14ac:dyDescent="0.2"/>
    <row r="433" s="418" customFormat="1" ht="14.25" x14ac:dyDescent="0.2"/>
    <row r="434" s="418" customFormat="1" ht="14.25" x14ac:dyDescent="0.2"/>
    <row r="435" s="418" customFormat="1" ht="14.25" x14ac:dyDescent="0.2"/>
    <row r="436" s="418" customFormat="1" ht="14.25" x14ac:dyDescent="0.2"/>
    <row r="437" s="418" customFormat="1" ht="14.25" x14ac:dyDescent="0.2"/>
    <row r="438" s="418" customFormat="1" ht="14.25" x14ac:dyDescent="0.2"/>
    <row r="439" s="418" customFormat="1" ht="14.25" x14ac:dyDescent="0.2"/>
    <row r="440" s="418" customFormat="1" ht="14.25" x14ac:dyDescent="0.2"/>
    <row r="441" s="418" customFormat="1" ht="14.25" x14ac:dyDescent="0.2"/>
    <row r="442" s="418" customFormat="1" ht="14.25" x14ac:dyDescent="0.2"/>
    <row r="443" s="418" customFormat="1" ht="14.25" x14ac:dyDescent="0.2"/>
    <row r="444" s="418" customFormat="1" ht="14.25" x14ac:dyDescent="0.2"/>
    <row r="445" s="418" customFormat="1" ht="14.25" x14ac:dyDescent="0.2"/>
    <row r="446" s="418" customFormat="1" ht="14.25" x14ac:dyDescent="0.2"/>
    <row r="447" s="418" customFormat="1" ht="14.25" x14ac:dyDescent="0.2"/>
    <row r="448" s="418" customFormat="1" ht="14.25" x14ac:dyDescent="0.2"/>
    <row r="449" s="418" customFormat="1" ht="14.25" x14ac:dyDescent="0.2"/>
    <row r="450" s="418" customFormat="1" ht="14.25" x14ac:dyDescent="0.2"/>
    <row r="451" s="418" customFormat="1" ht="14.25" x14ac:dyDescent="0.2"/>
    <row r="452" s="418" customFormat="1" ht="14.25" x14ac:dyDescent="0.2"/>
    <row r="453" s="418" customFormat="1" ht="14.25" x14ac:dyDescent="0.2"/>
    <row r="454" s="418" customFormat="1" ht="14.25" x14ac:dyDescent="0.2"/>
    <row r="455" s="418" customFormat="1" ht="14.25" x14ac:dyDescent="0.2"/>
    <row r="456" s="418" customFormat="1" ht="14.25" x14ac:dyDescent="0.2"/>
    <row r="457" s="418" customFormat="1" ht="14.25" x14ac:dyDescent="0.2"/>
    <row r="458" s="418" customFormat="1" ht="14.25" x14ac:dyDescent="0.2"/>
    <row r="459" s="418" customFormat="1" ht="14.25" x14ac:dyDescent="0.2"/>
    <row r="460" s="418" customFormat="1" ht="14.25" x14ac:dyDescent="0.2"/>
    <row r="461" s="418" customFormat="1" ht="14.25" x14ac:dyDescent="0.2"/>
    <row r="462" s="418" customFormat="1" ht="14.25" x14ac:dyDescent="0.2"/>
    <row r="463" s="418" customFormat="1" ht="14.25" x14ac:dyDescent="0.2"/>
    <row r="464" s="418" customFormat="1" ht="14.25" x14ac:dyDescent="0.2"/>
    <row r="465" s="418" customFormat="1" ht="14.25" x14ac:dyDescent="0.2"/>
    <row r="466" s="418" customFormat="1" ht="14.25" x14ac:dyDescent="0.2"/>
    <row r="467" s="418" customFormat="1" ht="14.25" x14ac:dyDescent="0.2"/>
    <row r="468" s="418" customFormat="1" ht="14.25" x14ac:dyDescent="0.2"/>
    <row r="469" s="418" customFormat="1" ht="14.25" x14ac:dyDescent="0.2"/>
    <row r="470" s="418" customFormat="1" ht="14.25" x14ac:dyDescent="0.2"/>
    <row r="471" s="418" customFormat="1" ht="14.25" x14ac:dyDescent="0.2"/>
    <row r="472" s="418" customFormat="1" ht="14.25" x14ac:dyDescent="0.2"/>
    <row r="473" s="418" customFormat="1" ht="14.25" x14ac:dyDescent="0.2"/>
    <row r="474" s="418" customFormat="1" ht="14.25" x14ac:dyDescent="0.2"/>
    <row r="475" s="418" customFormat="1" ht="14.25" x14ac:dyDescent="0.2"/>
    <row r="476" s="418" customFormat="1" ht="14.25" x14ac:dyDescent="0.2"/>
    <row r="477" s="418" customFormat="1" ht="14.25" x14ac:dyDescent="0.2"/>
    <row r="478" s="418" customFormat="1" ht="14.25" x14ac:dyDescent="0.2"/>
    <row r="479" s="418" customFormat="1" ht="14.25" x14ac:dyDescent="0.2"/>
    <row r="480" s="418" customFormat="1" ht="14.25" x14ac:dyDescent="0.2"/>
    <row r="481" s="418" customFormat="1" ht="14.25" x14ac:dyDescent="0.2"/>
    <row r="482" s="418" customFormat="1" ht="14.25" x14ac:dyDescent="0.2"/>
    <row r="483" s="418" customFormat="1" ht="14.25" x14ac:dyDescent="0.2"/>
    <row r="484" s="418" customFormat="1" ht="14.25" x14ac:dyDescent="0.2"/>
    <row r="485" s="418" customFormat="1" ht="14.25" x14ac:dyDescent="0.2"/>
    <row r="486" s="418" customFormat="1" ht="14.25" x14ac:dyDescent="0.2"/>
    <row r="487" s="418" customFormat="1" ht="14.25" x14ac:dyDescent="0.2"/>
    <row r="488" s="418" customFormat="1" ht="14.25" x14ac:dyDescent="0.2"/>
    <row r="489" s="418" customFormat="1" ht="14.25" x14ac:dyDescent="0.2"/>
    <row r="490" s="418" customFormat="1" ht="14.25" x14ac:dyDescent="0.2"/>
    <row r="491" s="418" customFormat="1" ht="14.25" x14ac:dyDescent="0.2"/>
    <row r="492" s="418" customFormat="1" ht="14.25" x14ac:dyDescent="0.2"/>
    <row r="493" s="418" customFormat="1" ht="14.25" x14ac:dyDescent="0.2"/>
    <row r="494" s="418" customFormat="1" ht="14.25" x14ac:dyDescent="0.2"/>
    <row r="495" s="418" customFormat="1" ht="14.25" x14ac:dyDescent="0.2"/>
    <row r="496" s="418" customFormat="1" ht="14.25" x14ac:dyDescent="0.2"/>
    <row r="497" s="418" customFormat="1" ht="14.25" x14ac:dyDescent="0.2"/>
    <row r="498" s="418" customFormat="1" ht="14.25" x14ac:dyDescent="0.2"/>
    <row r="499" s="418" customFormat="1" ht="14.25" x14ac:dyDescent="0.2"/>
    <row r="500" s="418" customFormat="1" ht="14.25" x14ac:dyDescent="0.2"/>
    <row r="501" s="418" customFormat="1" ht="14.25" x14ac:dyDescent="0.2"/>
    <row r="502" s="418" customFormat="1" ht="14.25" x14ac:dyDescent="0.2"/>
    <row r="503" s="418" customFormat="1" ht="14.25" x14ac:dyDescent="0.2"/>
    <row r="504" s="418" customFormat="1" ht="14.25" x14ac:dyDescent="0.2"/>
    <row r="505" s="418" customFormat="1" ht="14.25" x14ac:dyDescent="0.2"/>
    <row r="506" s="418" customFormat="1" ht="14.25" x14ac:dyDescent="0.2"/>
    <row r="507" s="418" customFormat="1" ht="14.25" x14ac:dyDescent="0.2"/>
    <row r="508" s="418" customFormat="1" ht="14.25" x14ac:dyDescent="0.2"/>
    <row r="509" s="418" customFormat="1" ht="14.25" x14ac:dyDescent="0.2"/>
    <row r="510" s="418" customFormat="1" ht="14.25" x14ac:dyDescent="0.2"/>
    <row r="511" s="418" customFormat="1" ht="14.25" x14ac:dyDescent="0.2"/>
    <row r="512" s="418" customFormat="1" ht="14.25" x14ac:dyDescent="0.2"/>
    <row r="513" s="418" customFormat="1" ht="14.25" x14ac:dyDescent="0.2"/>
    <row r="514" s="418" customFormat="1" ht="14.25" x14ac:dyDescent="0.2"/>
    <row r="515" s="418" customFormat="1" ht="14.25" x14ac:dyDescent="0.2"/>
    <row r="516" s="418" customFormat="1" ht="14.25" x14ac:dyDescent="0.2"/>
    <row r="517" s="418" customFormat="1" ht="14.25" x14ac:dyDescent="0.2"/>
    <row r="518" s="418" customFormat="1" ht="14.25" x14ac:dyDescent="0.2"/>
    <row r="519" s="418" customFormat="1" ht="14.25" x14ac:dyDescent="0.2"/>
    <row r="520" s="418" customFormat="1" ht="14.25" x14ac:dyDescent="0.2"/>
    <row r="521" s="418" customFormat="1" ht="14.25" x14ac:dyDescent="0.2"/>
    <row r="522" s="418" customFormat="1" ht="14.25" x14ac:dyDescent="0.2"/>
    <row r="523" s="418" customFormat="1" ht="14.25" x14ac:dyDescent="0.2"/>
    <row r="524" s="418" customFormat="1" ht="14.25" x14ac:dyDescent="0.2"/>
    <row r="525" s="418" customFormat="1" ht="14.25" x14ac:dyDescent="0.2"/>
    <row r="526" s="418" customFormat="1" ht="14.25" x14ac:dyDescent="0.2"/>
    <row r="527" s="418" customFormat="1" ht="14.25" x14ac:dyDescent="0.2"/>
    <row r="528" s="418" customFormat="1" ht="14.25" x14ac:dyDescent="0.2"/>
    <row r="529" s="418" customFormat="1" ht="14.25" x14ac:dyDescent="0.2"/>
    <row r="530" s="418" customFormat="1" ht="14.25" x14ac:dyDescent="0.2"/>
    <row r="531" s="418" customFormat="1" ht="14.25" x14ac:dyDescent="0.2"/>
    <row r="532" s="418" customFormat="1" ht="14.25" x14ac:dyDescent="0.2"/>
    <row r="533" s="418" customFormat="1" ht="14.25" x14ac:dyDescent="0.2"/>
    <row r="534" s="418" customFormat="1" ht="14.25" x14ac:dyDescent="0.2"/>
    <row r="535" s="418" customFormat="1" ht="14.25" x14ac:dyDescent="0.2"/>
    <row r="536" s="418" customFormat="1" ht="14.25" x14ac:dyDescent="0.2"/>
    <row r="537" s="418" customFormat="1" ht="14.25" x14ac:dyDescent="0.2"/>
    <row r="538" s="418" customFormat="1" ht="14.25" x14ac:dyDescent="0.2"/>
    <row r="539" s="418" customFormat="1" ht="14.25" x14ac:dyDescent="0.2"/>
    <row r="540" s="418" customFormat="1" ht="14.25" x14ac:dyDescent="0.2"/>
    <row r="541" s="418" customFormat="1" ht="14.25" x14ac:dyDescent="0.2"/>
    <row r="542" s="418" customFormat="1" ht="14.25" x14ac:dyDescent="0.2"/>
    <row r="543" s="418" customFormat="1" ht="14.25" x14ac:dyDescent="0.2"/>
    <row r="544" s="418" customFormat="1" ht="14.25" x14ac:dyDescent="0.2"/>
    <row r="545" s="418" customFormat="1" ht="14.25" x14ac:dyDescent="0.2"/>
    <row r="546" s="418" customFormat="1" ht="14.25" x14ac:dyDescent="0.2"/>
    <row r="547" s="418" customFormat="1" ht="14.25" x14ac:dyDescent="0.2"/>
    <row r="548" s="418" customFormat="1" ht="14.25" x14ac:dyDescent="0.2"/>
    <row r="549" s="418" customFormat="1" ht="14.25" x14ac:dyDescent="0.2"/>
    <row r="550" s="418" customFormat="1" ht="14.25" x14ac:dyDescent="0.2"/>
    <row r="551" s="418" customFormat="1" ht="14.25" x14ac:dyDescent="0.2"/>
    <row r="552" s="418" customFormat="1" ht="14.25" x14ac:dyDescent="0.2"/>
    <row r="553" s="418" customFormat="1" ht="14.25" x14ac:dyDescent="0.2"/>
    <row r="554" s="418" customFormat="1" ht="14.25" x14ac:dyDescent="0.2"/>
    <row r="555" s="418" customFormat="1" ht="14.25" x14ac:dyDescent="0.2"/>
    <row r="556" s="418" customFormat="1" ht="14.25" x14ac:dyDescent="0.2"/>
    <row r="557" s="418" customFormat="1" ht="14.25" x14ac:dyDescent="0.2"/>
    <row r="558" s="418" customFormat="1" ht="14.25" x14ac:dyDescent="0.2"/>
    <row r="559" s="418" customFormat="1" ht="14.25" x14ac:dyDescent="0.2"/>
    <row r="560" s="418" customFormat="1" ht="14.25" x14ac:dyDescent="0.2"/>
    <row r="561" s="418" customFormat="1" ht="14.25" x14ac:dyDescent="0.2"/>
    <row r="562" s="418" customFormat="1" ht="14.25" x14ac:dyDescent="0.2"/>
    <row r="563" s="418" customFormat="1" ht="14.25" x14ac:dyDescent="0.2"/>
    <row r="564" s="418" customFormat="1" ht="14.25" x14ac:dyDescent="0.2"/>
    <row r="565" s="418" customFormat="1" ht="14.25" x14ac:dyDescent="0.2"/>
    <row r="566" s="418" customFormat="1" ht="14.25" x14ac:dyDescent="0.2"/>
    <row r="567" s="418" customFormat="1" ht="14.25" x14ac:dyDescent="0.2"/>
    <row r="568" s="418" customFormat="1" ht="14.25" x14ac:dyDescent="0.2"/>
    <row r="569" s="418" customFormat="1" ht="14.25" x14ac:dyDescent="0.2"/>
    <row r="570" s="418" customFormat="1" ht="14.25" x14ac:dyDescent="0.2"/>
    <row r="571" s="418" customFormat="1" ht="14.25" x14ac:dyDescent="0.2"/>
    <row r="572" s="418" customFormat="1" ht="14.25" x14ac:dyDescent="0.2"/>
    <row r="573" s="418" customFormat="1" ht="14.25" x14ac:dyDescent="0.2"/>
    <row r="574" s="418" customFormat="1" ht="14.25" x14ac:dyDescent="0.2"/>
    <row r="575" s="418" customFormat="1" ht="14.25" x14ac:dyDescent="0.2"/>
    <row r="576" s="418" customFormat="1" ht="14.25" x14ac:dyDescent="0.2"/>
    <row r="577" s="418" customFormat="1" ht="14.25" x14ac:dyDescent="0.2"/>
    <row r="578" s="418" customFormat="1" ht="14.25" x14ac:dyDescent="0.2"/>
    <row r="579" s="418" customFormat="1" ht="14.25" x14ac:dyDescent="0.2"/>
    <row r="580" s="418" customFormat="1" ht="14.25" x14ac:dyDescent="0.2"/>
    <row r="581" s="418" customFormat="1" ht="14.25" x14ac:dyDescent="0.2"/>
    <row r="582" s="418" customFormat="1" ht="14.25" x14ac:dyDescent="0.2"/>
    <row r="583" s="418" customFormat="1" ht="14.25" x14ac:dyDescent="0.2"/>
    <row r="584" s="418" customFormat="1" ht="14.25" x14ac:dyDescent="0.2"/>
    <row r="585" s="418" customFormat="1" ht="14.25" x14ac:dyDescent="0.2"/>
    <row r="586" s="418" customFormat="1" ht="14.25" x14ac:dyDescent="0.2"/>
    <row r="587" s="418" customFormat="1" ht="14.25" x14ac:dyDescent="0.2"/>
    <row r="588" s="418" customFormat="1" ht="14.25" x14ac:dyDescent="0.2"/>
    <row r="589" s="418" customFormat="1" ht="14.25" x14ac:dyDescent="0.2"/>
    <row r="590" s="418" customFormat="1" ht="14.25" x14ac:dyDescent="0.2"/>
    <row r="591" s="418" customFormat="1" ht="14.25" x14ac:dyDescent="0.2"/>
    <row r="592" s="418" customFormat="1" ht="14.25" x14ac:dyDescent="0.2"/>
    <row r="593" s="418" customFormat="1" ht="14.25" x14ac:dyDescent="0.2"/>
    <row r="594" s="418" customFormat="1" ht="14.25" x14ac:dyDescent="0.2"/>
    <row r="595" s="418" customFormat="1" ht="14.25" x14ac:dyDescent="0.2"/>
    <row r="596" s="418" customFormat="1" ht="14.25" x14ac:dyDescent="0.2"/>
    <row r="597" s="418" customFormat="1" ht="14.25" x14ac:dyDescent="0.2"/>
    <row r="598" s="418" customFormat="1" ht="14.25" x14ac:dyDescent="0.2"/>
    <row r="599" s="418" customFormat="1" ht="14.25" x14ac:dyDescent="0.2"/>
    <row r="600" s="418" customFormat="1" ht="14.25" x14ac:dyDescent="0.2"/>
    <row r="601" s="418" customFormat="1" ht="14.25" x14ac:dyDescent="0.2"/>
    <row r="602" s="418" customFormat="1" ht="14.25" x14ac:dyDescent="0.2"/>
    <row r="603" s="418" customFormat="1" ht="14.25" x14ac:dyDescent="0.2"/>
    <row r="604" s="418" customFormat="1" ht="14.25" x14ac:dyDescent="0.2"/>
    <row r="605" s="418" customFormat="1" ht="14.25" x14ac:dyDescent="0.2"/>
    <row r="606" s="418" customFormat="1" ht="14.25" x14ac:dyDescent="0.2"/>
    <row r="607" s="418" customFormat="1" ht="14.25" x14ac:dyDescent="0.2"/>
    <row r="608" s="418" customFormat="1" ht="14.25" x14ac:dyDescent="0.2"/>
    <row r="609" s="418" customFormat="1" ht="14.25" x14ac:dyDescent="0.2"/>
    <row r="610" s="418" customFormat="1" ht="14.25" x14ac:dyDescent="0.2"/>
    <row r="611" s="418" customFormat="1" ht="14.25" x14ac:dyDescent="0.2"/>
    <row r="612" s="418" customFormat="1" ht="14.25" x14ac:dyDescent="0.2"/>
    <row r="613" s="418" customFormat="1" ht="14.25" x14ac:dyDescent="0.2"/>
    <row r="614" s="418" customFormat="1" ht="14.25" x14ac:dyDescent="0.2"/>
    <row r="615" s="418" customFormat="1" ht="14.25" x14ac:dyDescent="0.2"/>
    <row r="616" s="418" customFormat="1" ht="14.25" x14ac:dyDescent="0.2"/>
    <row r="617" s="418" customFormat="1" ht="14.25" x14ac:dyDescent="0.2"/>
    <row r="618" s="418" customFormat="1" ht="14.25" x14ac:dyDescent="0.2"/>
    <row r="619" s="418" customFormat="1" ht="14.25" x14ac:dyDescent="0.2"/>
    <row r="620" s="418" customFormat="1" ht="14.25" x14ac:dyDescent="0.2"/>
    <row r="621" s="418" customFormat="1" ht="14.25" x14ac:dyDescent="0.2"/>
    <row r="622" s="418" customFormat="1" ht="14.25" x14ac:dyDescent="0.2"/>
    <row r="623" s="418" customFormat="1" ht="14.25" x14ac:dyDescent="0.2"/>
    <row r="624" s="418" customFormat="1" ht="14.25" x14ac:dyDescent="0.2"/>
    <row r="625" s="418" customFormat="1" ht="14.25" x14ac:dyDescent="0.2"/>
    <row r="626" s="418" customFormat="1" ht="14.25" x14ac:dyDescent="0.2"/>
    <row r="627" s="418" customFormat="1" ht="14.25" x14ac:dyDescent="0.2"/>
    <row r="628" s="418" customFormat="1" ht="14.25" x14ac:dyDescent="0.2"/>
    <row r="629" s="418" customFormat="1" ht="14.25" x14ac:dyDescent="0.2"/>
    <row r="630" s="418" customFormat="1" ht="14.25" x14ac:dyDescent="0.2"/>
    <row r="631" s="418" customFormat="1" ht="14.25" x14ac:dyDescent="0.2"/>
    <row r="632" s="418" customFormat="1" ht="14.25" x14ac:dyDescent="0.2"/>
    <row r="633" s="418" customFormat="1" ht="14.25" x14ac:dyDescent="0.2"/>
    <row r="634" s="418" customFormat="1" ht="14.25" x14ac:dyDescent="0.2"/>
    <row r="635" s="418" customFormat="1" ht="14.25" x14ac:dyDescent="0.2"/>
    <row r="636" s="418" customFormat="1" ht="14.25" x14ac:dyDescent="0.2"/>
    <row r="637" s="418" customFormat="1" ht="14.25" x14ac:dyDescent="0.2"/>
    <row r="638" s="418" customFormat="1" ht="14.25" x14ac:dyDescent="0.2"/>
    <row r="639" s="418" customFormat="1" ht="14.25" x14ac:dyDescent="0.2"/>
    <row r="640" s="418" customFormat="1" ht="14.25" x14ac:dyDescent="0.2"/>
    <row r="641" s="418" customFormat="1" ht="14.25" x14ac:dyDescent="0.2"/>
    <row r="642" s="418" customFormat="1" ht="14.25" x14ac:dyDescent="0.2"/>
    <row r="643" s="418" customFormat="1" ht="14.25" x14ac:dyDescent="0.2"/>
    <row r="644" s="418" customFormat="1" ht="14.25" x14ac:dyDescent="0.2"/>
    <row r="645" s="418" customFormat="1" ht="14.25" x14ac:dyDescent="0.2"/>
    <row r="646" s="418" customFormat="1" ht="14.25" x14ac:dyDescent="0.2"/>
    <row r="647" s="418" customFormat="1" ht="14.25" x14ac:dyDescent="0.2"/>
    <row r="648" s="418" customFormat="1" ht="14.25" x14ac:dyDescent="0.2"/>
    <row r="649" s="418" customFormat="1" ht="14.25" x14ac:dyDescent="0.2"/>
    <row r="650" s="418" customFormat="1" ht="14.25" x14ac:dyDescent="0.2"/>
    <row r="651" s="418" customFormat="1" ht="14.25" x14ac:dyDescent="0.2"/>
    <row r="652" s="418" customFormat="1" ht="14.25" x14ac:dyDescent="0.2"/>
    <row r="653" s="418" customFormat="1" ht="14.25" x14ac:dyDescent="0.2"/>
    <row r="654" s="418" customFormat="1" ht="14.25" x14ac:dyDescent="0.2"/>
    <row r="655" s="418" customFormat="1" ht="14.25" x14ac:dyDescent="0.2"/>
    <row r="656" s="418" customFormat="1" ht="14.25" x14ac:dyDescent="0.2"/>
    <row r="657" s="418" customFormat="1" ht="14.25" x14ac:dyDescent="0.2"/>
    <row r="658" s="418" customFormat="1" ht="14.25" x14ac:dyDescent="0.2"/>
    <row r="659" s="418" customFormat="1" ht="14.25" x14ac:dyDescent="0.2"/>
    <row r="660" s="418" customFormat="1" ht="14.25" x14ac:dyDescent="0.2"/>
    <row r="661" s="418" customFormat="1" ht="14.25" x14ac:dyDescent="0.2"/>
    <row r="662" s="418" customFormat="1" ht="14.25" x14ac:dyDescent="0.2"/>
    <row r="663" s="418" customFormat="1" ht="14.25" x14ac:dyDescent="0.2"/>
    <row r="664" s="418" customFormat="1" ht="14.25" x14ac:dyDescent="0.2"/>
    <row r="665" s="418" customFormat="1" ht="14.25" x14ac:dyDescent="0.2"/>
    <row r="666" s="418" customFormat="1" ht="14.25" x14ac:dyDescent="0.2"/>
    <row r="667" s="418" customFormat="1" ht="14.25" x14ac:dyDescent="0.2"/>
    <row r="668" s="418" customFormat="1" ht="14.25" x14ac:dyDescent="0.2"/>
    <row r="669" s="418" customFormat="1" ht="14.25" x14ac:dyDescent="0.2"/>
    <row r="670" s="418" customFormat="1" ht="14.25" x14ac:dyDescent="0.2"/>
    <row r="671" s="418" customFormat="1" ht="14.25" x14ac:dyDescent="0.2"/>
    <row r="672" s="418" customFormat="1" ht="14.25" x14ac:dyDescent="0.2"/>
    <row r="673" s="418" customFormat="1" ht="14.25" x14ac:dyDescent="0.2"/>
    <row r="674" s="418" customFormat="1" ht="14.25" x14ac:dyDescent="0.2"/>
    <row r="675" s="418" customFormat="1" ht="14.25" x14ac:dyDescent="0.2"/>
    <row r="676" s="418" customFormat="1" ht="14.25" x14ac:dyDescent="0.2"/>
    <row r="677" s="418" customFormat="1" ht="14.25" x14ac:dyDescent="0.2"/>
    <row r="678" s="418" customFormat="1" ht="14.25" x14ac:dyDescent="0.2"/>
    <row r="679" s="418" customFormat="1" ht="14.25" x14ac:dyDescent="0.2"/>
    <row r="680" s="418" customFormat="1" ht="14.25" x14ac:dyDescent="0.2"/>
    <row r="681" s="418" customFormat="1" ht="14.25" x14ac:dyDescent="0.2"/>
    <row r="682" s="418" customFormat="1" ht="14.25" x14ac:dyDescent="0.2"/>
    <row r="683" s="418" customFormat="1" ht="14.25" x14ac:dyDescent="0.2"/>
    <row r="684" s="418" customFormat="1" ht="14.25" x14ac:dyDescent="0.2"/>
    <row r="685" s="418" customFormat="1" ht="14.25" x14ac:dyDescent="0.2"/>
    <row r="686" s="418" customFormat="1" ht="14.25" x14ac:dyDescent="0.2"/>
    <row r="687" s="418" customFormat="1" ht="14.25" x14ac:dyDescent="0.2"/>
    <row r="688" s="418" customFormat="1" ht="14.25" x14ac:dyDescent="0.2"/>
    <row r="689" s="418" customFormat="1" ht="14.25" x14ac:dyDescent="0.2"/>
    <row r="690" s="418" customFormat="1" ht="14.25" x14ac:dyDescent="0.2"/>
    <row r="691" s="418" customFormat="1" ht="14.25" x14ac:dyDescent="0.2"/>
    <row r="692" s="418" customFormat="1" ht="14.25" x14ac:dyDescent="0.2"/>
    <row r="693" s="418" customFormat="1" ht="14.25" x14ac:dyDescent="0.2"/>
    <row r="694" s="418" customFormat="1" ht="14.25" x14ac:dyDescent="0.2"/>
    <row r="695" s="418" customFormat="1" ht="14.25" x14ac:dyDescent="0.2"/>
    <row r="696" s="418" customFormat="1" ht="14.25" x14ac:dyDescent="0.2"/>
    <row r="697" s="418" customFormat="1" ht="14.25" x14ac:dyDescent="0.2"/>
    <row r="698" s="418" customFormat="1" ht="14.25" x14ac:dyDescent="0.2"/>
    <row r="699" s="418" customFormat="1" ht="14.25" x14ac:dyDescent="0.2"/>
    <row r="700" s="418" customFormat="1" ht="14.25" x14ac:dyDescent="0.2"/>
    <row r="701" s="418" customFormat="1" ht="14.25" x14ac:dyDescent="0.2"/>
    <row r="702" s="418" customFormat="1" ht="14.25" x14ac:dyDescent="0.2"/>
    <row r="703" s="418" customFormat="1" ht="14.25" x14ac:dyDescent="0.2"/>
    <row r="704" s="418" customFormat="1" ht="14.25" x14ac:dyDescent="0.2"/>
    <row r="705" s="418" customFormat="1" ht="14.25" x14ac:dyDescent="0.2"/>
    <row r="706" s="418" customFormat="1" ht="14.25" x14ac:dyDescent="0.2"/>
    <row r="707" s="418" customFormat="1" ht="14.25" x14ac:dyDescent="0.2"/>
    <row r="708" s="418" customFormat="1" ht="14.25" x14ac:dyDescent="0.2"/>
    <row r="709" s="418" customFormat="1" ht="14.25" x14ac:dyDescent="0.2"/>
    <row r="710" s="418" customFormat="1" ht="14.25" x14ac:dyDescent="0.2"/>
    <row r="711" s="418" customFormat="1" ht="14.25" x14ac:dyDescent="0.2"/>
    <row r="712" s="418" customFormat="1" ht="14.25" x14ac:dyDescent="0.2"/>
    <row r="713" s="418" customFormat="1" ht="14.25" x14ac:dyDescent="0.2"/>
    <row r="714" s="418" customFormat="1" ht="14.25" x14ac:dyDescent="0.2"/>
    <row r="715" s="418" customFormat="1" ht="14.25" x14ac:dyDescent="0.2"/>
    <row r="716" s="418" customFormat="1" ht="14.25" x14ac:dyDescent="0.2"/>
    <row r="717" s="418" customFormat="1" ht="14.25" x14ac:dyDescent="0.2"/>
    <row r="718" s="418" customFormat="1" ht="14.25" x14ac:dyDescent="0.2"/>
    <row r="719" s="418" customFormat="1" ht="14.25" x14ac:dyDescent="0.2"/>
    <row r="720" s="418" customFormat="1" ht="14.25" x14ac:dyDescent="0.2"/>
    <row r="721" s="418" customFormat="1" ht="14.25" x14ac:dyDescent="0.2"/>
    <row r="722" s="418" customFormat="1" ht="14.25" x14ac:dyDescent="0.2"/>
    <row r="723" s="418" customFormat="1" ht="14.25" x14ac:dyDescent="0.2"/>
    <row r="724" s="418" customFormat="1" ht="14.25" x14ac:dyDescent="0.2"/>
    <row r="725" s="418" customFormat="1" ht="14.25" x14ac:dyDescent="0.2"/>
    <row r="726" s="418" customFormat="1" ht="14.25" x14ac:dyDescent="0.2"/>
    <row r="727" s="418" customFormat="1" ht="14.25" x14ac:dyDescent="0.2"/>
    <row r="728" s="418" customFormat="1" ht="14.25" x14ac:dyDescent="0.2"/>
    <row r="729" s="418" customFormat="1" ht="14.25" x14ac:dyDescent="0.2"/>
    <row r="730" s="418" customFormat="1" ht="14.25" x14ac:dyDescent="0.2"/>
    <row r="731" s="418" customFormat="1" ht="14.25" x14ac:dyDescent="0.2"/>
    <row r="732" s="418" customFormat="1" ht="14.25" x14ac:dyDescent="0.2"/>
    <row r="733" s="418" customFormat="1" ht="14.25" x14ac:dyDescent="0.2"/>
    <row r="734" s="418" customFormat="1" ht="14.25" x14ac:dyDescent="0.2"/>
    <row r="735" s="418" customFormat="1" ht="14.25" x14ac:dyDescent="0.2"/>
    <row r="736" s="418" customFormat="1" ht="14.25" x14ac:dyDescent="0.2"/>
    <row r="737" s="418" customFormat="1" ht="14.25" x14ac:dyDescent="0.2"/>
    <row r="738" s="418" customFormat="1" ht="14.25" x14ac:dyDescent="0.2"/>
    <row r="739" s="418" customFormat="1" ht="14.25" x14ac:dyDescent="0.2"/>
    <row r="740" s="418" customFormat="1" ht="14.25" x14ac:dyDescent="0.2"/>
    <row r="741" s="418" customFormat="1" ht="14.25" x14ac:dyDescent="0.2"/>
    <row r="742" s="418" customFormat="1" ht="14.25" x14ac:dyDescent="0.2"/>
    <row r="743" s="418" customFormat="1" ht="14.25" x14ac:dyDescent="0.2"/>
    <row r="744" s="418" customFormat="1" ht="14.25" x14ac:dyDescent="0.2"/>
    <row r="745" s="418" customFormat="1" ht="14.25" x14ac:dyDescent="0.2"/>
    <row r="746" s="418" customFormat="1" ht="14.25" x14ac:dyDescent="0.2"/>
    <row r="747" s="418" customFormat="1" ht="14.25" x14ac:dyDescent="0.2"/>
    <row r="748" s="418" customFormat="1" ht="14.25" x14ac:dyDescent="0.2"/>
    <row r="749" s="418" customFormat="1" ht="14.25" x14ac:dyDescent="0.2"/>
    <row r="750" s="418" customFormat="1" ht="14.25" x14ac:dyDescent="0.2"/>
    <row r="751" s="418" customFormat="1" ht="14.25" x14ac:dyDescent="0.2"/>
    <row r="752" s="418" customFormat="1" ht="14.25" x14ac:dyDescent="0.2"/>
    <row r="753" s="418" customFormat="1" ht="14.25" x14ac:dyDescent="0.2"/>
    <row r="754" s="418" customFormat="1" ht="14.25" x14ac:dyDescent="0.2"/>
    <row r="755" s="418" customFormat="1" ht="14.25" x14ac:dyDescent="0.2"/>
    <row r="756" s="418" customFormat="1" ht="14.25" x14ac:dyDescent="0.2"/>
    <row r="757" s="418" customFormat="1" ht="14.25" x14ac:dyDescent="0.2"/>
    <row r="758" s="418" customFormat="1" ht="14.25" x14ac:dyDescent="0.2"/>
    <row r="759" s="418" customFormat="1" ht="14.25" x14ac:dyDescent="0.2"/>
    <row r="760" s="418" customFormat="1" ht="14.25" x14ac:dyDescent="0.2"/>
    <row r="761" s="418" customFormat="1" ht="14.25" x14ac:dyDescent="0.2"/>
    <row r="762" s="418" customFormat="1" ht="14.25" x14ac:dyDescent="0.2"/>
    <row r="763" s="418" customFormat="1" ht="14.25" x14ac:dyDescent="0.2"/>
    <row r="764" s="418" customFormat="1" ht="14.25" x14ac:dyDescent="0.2"/>
    <row r="765" s="418" customFormat="1" ht="14.25" x14ac:dyDescent="0.2"/>
    <row r="766" s="418" customFormat="1" ht="14.25" x14ac:dyDescent="0.2"/>
    <row r="767" s="418" customFormat="1" ht="14.25" x14ac:dyDescent="0.2"/>
    <row r="768" s="418" customFormat="1" ht="14.25" x14ac:dyDescent="0.2"/>
    <row r="769" s="418" customFormat="1" ht="14.25" x14ac:dyDescent="0.2"/>
    <row r="770" s="418" customFormat="1" ht="14.25" x14ac:dyDescent="0.2"/>
    <row r="771" s="418" customFormat="1" ht="14.25" x14ac:dyDescent="0.2"/>
    <row r="772" s="418" customFormat="1" ht="14.25" x14ac:dyDescent="0.2"/>
    <row r="773" s="418" customFormat="1" ht="14.25" x14ac:dyDescent="0.2"/>
    <row r="774" s="418" customFormat="1" ht="14.25" x14ac:dyDescent="0.2"/>
    <row r="775" s="418" customFormat="1" ht="14.25" x14ac:dyDescent="0.2"/>
    <row r="776" s="418" customFormat="1" ht="14.25" x14ac:dyDescent="0.2"/>
    <row r="777" s="418" customFormat="1" ht="14.25" x14ac:dyDescent="0.2"/>
    <row r="778" s="418" customFormat="1" ht="14.25" x14ac:dyDescent="0.2"/>
    <row r="779" s="418" customFormat="1" ht="14.25" x14ac:dyDescent="0.2"/>
    <row r="780" s="418" customFormat="1" ht="14.25" x14ac:dyDescent="0.2"/>
    <row r="781" s="418" customFormat="1" ht="14.25" x14ac:dyDescent="0.2"/>
    <row r="782" s="418" customFormat="1" ht="14.25" x14ac:dyDescent="0.2"/>
    <row r="783" s="418" customFormat="1" ht="14.25" x14ac:dyDescent="0.2"/>
    <row r="784" s="418" customFormat="1" ht="14.25" x14ac:dyDescent="0.2"/>
    <row r="785" s="418" customFormat="1" ht="14.25" x14ac:dyDescent="0.2"/>
    <row r="786" s="418" customFormat="1" ht="14.25" x14ac:dyDescent="0.2"/>
    <row r="787" s="418" customFormat="1" ht="14.25" x14ac:dyDescent="0.2"/>
    <row r="788" s="418" customFormat="1" ht="14.25" x14ac:dyDescent="0.2"/>
    <row r="789" s="418" customFormat="1" ht="14.25" x14ac:dyDescent="0.2"/>
    <row r="790" s="418" customFormat="1" ht="14.25" x14ac:dyDescent="0.2"/>
    <row r="791" s="418" customFormat="1" ht="14.25" x14ac:dyDescent="0.2"/>
    <row r="792" s="418" customFormat="1" ht="14.25" x14ac:dyDescent="0.2"/>
    <row r="793" s="418" customFormat="1" ht="14.25" x14ac:dyDescent="0.2"/>
    <row r="794" s="418" customFormat="1" ht="14.25" x14ac:dyDescent="0.2"/>
    <row r="795" s="418" customFormat="1" ht="14.25" x14ac:dyDescent="0.2"/>
    <row r="796" s="418" customFormat="1" ht="14.25" x14ac:dyDescent="0.2"/>
    <row r="797" s="418" customFormat="1" ht="14.25" x14ac:dyDescent="0.2"/>
    <row r="798" s="418" customFormat="1" ht="14.25" x14ac:dyDescent="0.2"/>
    <row r="799" s="418" customFormat="1" ht="14.25" x14ac:dyDescent="0.2"/>
    <row r="800" s="418" customFormat="1" ht="14.25" x14ac:dyDescent="0.2"/>
    <row r="801" s="418" customFormat="1" ht="14.25" x14ac:dyDescent="0.2"/>
    <row r="802" s="418" customFormat="1" ht="14.25" x14ac:dyDescent="0.2"/>
    <row r="803" s="418" customFormat="1" ht="14.25" x14ac:dyDescent="0.2"/>
    <row r="804" s="418" customFormat="1" ht="14.25" x14ac:dyDescent="0.2"/>
    <row r="805" s="418" customFormat="1" ht="14.25" x14ac:dyDescent="0.2"/>
    <row r="806" s="418" customFormat="1" ht="14.25" x14ac:dyDescent="0.2"/>
    <row r="807" s="418" customFormat="1" ht="14.25" x14ac:dyDescent="0.2"/>
    <row r="808" s="418" customFormat="1" ht="14.25" x14ac:dyDescent="0.2"/>
    <row r="809" s="418" customFormat="1" ht="14.25" x14ac:dyDescent="0.2"/>
    <row r="810" s="418" customFormat="1" ht="14.25" x14ac:dyDescent="0.2"/>
    <row r="811" s="418" customFormat="1" ht="14.25" x14ac:dyDescent="0.2"/>
    <row r="812" s="418" customFormat="1" ht="14.25" x14ac:dyDescent="0.2"/>
    <row r="813" s="418" customFormat="1" ht="14.25" x14ac:dyDescent="0.2"/>
    <row r="814" s="418" customFormat="1" ht="14.25" x14ac:dyDescent="0.2"/>
    <row r="815" s="418" customFormat="1" ht="14.25" x14ac:dyDescent="0.2"/>
    <row r="816" s="418" customFormat="1" ht="14.25" x14ac:dyDescent="0.2"/>
    <row r="817" s="418" customFormat="1" ht="14.25" x14ac:dyDescent="0.2"/>
    <row r="818" s="418" customFormat="1" ht="14.25" x14ac:dyDescent="0.2"/>
    <row r="819" s="418" customFormat="1" ht="14.25" x14ac:dyDescent="0.2"/>
    <row r="820" s="418" customFormat="1" ht="14.25" x14ac:dyDescent="0.2"/>
    <row r="821" s="418" customFormat="1" ht="14.25" x14ac:dyDescent="0.2"/>
    <row r="822" s="418" customFormat="1" ht="14.25" x14ac:dyDescent="0.2"/>
    <row r="823" s="418" customFormat="1" ht="14.25" x14ac:dyDescent="0.2"/>
    <row r="824" s="418" customFormat="1" ht="14.25" x14ac:dyDescent="0.2"/>
    <row r="825" s="418" customFormat="1" ht="14.25" x14ac:dyDescent="0.2"/>
    <row r="826" s="418" customFormat="1" ht="14.25" x14ac:dyDescent="0.2"/>
    <row r="827" s="418" customFormat="1" ht="14.25" x14ac:dyDescent="0.2"/>
    <row r="828" s="418" customFormat="1" ht="14.25" x14ac:dyDescent="0.2"/>
    <row r="829" s="418" customFormat="1" ht="14.25" x14ac:dyDescent="0.2"/>
    <row r="830" s="418" customFormat="1" ht="14.25" x14ac:dyDescent="0.2"/>
    <row r="831" s="418" customFormat="1" ht="14.25" x14ac:dyDescent="0.2"/>
    <row r="832" s="418" customFormat="1" ht="14.25" x14ac:dyDescent="0.2"/>
    <row r="833" s="418" customFormat="1" ht="14.25" x14ac:dyDescent="0.2"/>
    <row r="834" s="418" customFormat="1" ht="14.25" x14ac:dyDescent="0.2"/>
    <row r="835" s="418" customFormat="1" ht="14.25" x14ac:dyDescent="0.2"/>
    <row r="836" s="418" customFormat="1" ht="14.25" x14ac:dyDescent="0.2"/>
    <row r="837" s="418" customFormat="1" ht="14.25" x14ac:dyDescent="0.2"/>
    <row r="838" s="418" customFormat="1" ht="14.25" x14ac:dyDescent="0.2"/>
    <row r="839" s="418" customFormat="1" ht="14.25" x14ac:dyDescent="0.2"/>
    <row r="840" s="418" customFormat="1" ht="14.25" x14ac:dyDescent="0.2"/>
    <row r="841" s="418" customFormat="1" ht="14.25" x14ac:dyDescent="0.2"/>
    <row r="842" s="418" customFormat="1" ht="14.25" x14ac:dyDescent="0.2"/>
    <row r="843" s="418" customFormat="1" ht="14.25" x14ac:dyDescent="0.2"/>
    <row r="844" s="418" customFormat="1" ht="14.25" x14ac:dyDescent="0.2"/>
    <row r="845" s="418" customFormat="1" ht="14.25" x14ac:dyDescent="0.2"/>
    <row r="846" s="418" customFormat="1" ht="14.25" x14ac:dyDescent="0.2"/>
    <row r="847" s="418" customFormat="1" ht="14.25" x14ac:dyDescent="0.2"/>
    <row r="848" s="418" customFormat="1" ht="14.25" x14ac:dyDescent="0.2"/>
    <row r="849" s="418" customFormat="1" ht="14.25" x14ac:dyDescent="0.2"/>
    <row r="850" s="418" customFormat="1" ht="14.25" x14ac:dyDescent="0.2"/>
    <row r="851" s="418" customFormat="1" ht="14.25" x14ac:dyDescent="0.2"/>
    <row r="852" s="418" customFormat="1" ht="14.25" x14ac:dyDescent="0.2"/>
    <row r="853" s="418" customFormat="1" ht="14.25" x14ac:dyDescent="0.2"/>
    <row r="854" s="418" customFormat="1" ht="14.25" x14ac:dyDescent="0.2"/>
    <row r="855" s="418" customFormat="1" ht="14.25" x14ac:dyDescent="0.2"/>
    <row r="856" s="418" customFormat="1" ht="14.25" x14ac:dyDescent="0.2"/>
    <row r="857" s="418" customFormat="1" ht="14.25" x14ac:dyDescent="0.2"/>
    <row r="858" s="418" customFormat="1" ht="14.25" x14ac:dyDescent="0.2"/>
    <row r="859" s="418" customFormat="1" ht="14.25" x14ac:dyDescent="0.2"/>
    <row r="860" s="418" customFormat="1" ht="14.25" x14ac:dyDescent="0.2"/>
    <row r="861" s="418" customFormat="1" ht="14.25" x14ac:dyDescent="0.2"/>
    <row r="862" s="418" customFormat="1" ht="14.25" x14ac:dyDescent="0.2"/>
    <row r="863" s="418" customFormat="1" ht="14.25" x14ac:dyDescent="0.2"/>
    <row r="864" s="418" customFormat="1" ht="14.25" x14ac:dyDescent="0.2"/>
    <row r="865" s="418" customFormat="1" ht="14.25" x14ac:dyDescent="0.2"/>
    <row r="866" s="418" customFormat="1" ht="14.25" x14ac:dyDescent="0.2"/>
    <row r="867" s="418" customFormat="1" ht="14.25" x14ac:dyDescent="0.2"/>
    <row r="868" s="418" customFormat="1" ht="14.25" x14ac:dyDescent="0.2"/>
    <row r="869" s="418" customFormat="1" ht="14.25" x14ac:dyDescent="0.2"/>
    <row r="870" s="418" customFormat="1" ht="14.25" x14ac:dyDescent="0.2"/>
    <row r="871" s="418" customFormat="1" ht="14.25" x14ac:dyDescent="0.2"/>
    <row r="872" s="418" customFormat="1" ht="14.25" x14ac:dyDescent="0.2"/>
    <row r="873" s="418" customFormat="1" ht="14.25" x14ac:dyDescent="0.2"/>
    <row r="874" s="418" customFormat="1" ht="14.25" x14ac:dyDescent="0.2"/>
    <row r="875" s="418" customFormat="1" ht="14.25" x14ac:dyDescent="0.2"/>
    <row r="876" s="418" customFormat="1" ht="14.25" x14ac:dyDescent="0.2"/>
    <row r="877" s="418" customFormat="1" ht="14.25" x14ac:dyDescent="0.2"/>
    <row r="878" s="418" customFormat="1" ht="14.25" x14ac:dyDescent="0.2"/>
    <row r="879" s="418" customFormat="1" ht="14.25" x14ac:dyDescent="0.2"/>
    <row r="880" s="418" customFormat="1" ht="14.25" x14ac:dyDescent="0.2"/>
    <row r="881" s="418" customFormat="1" ht="14.25" x14ac:dyDescent="0.2"/>
    <row r="882" s="418" customFormat="1" ht="14.25" x14ac:dyDescent="0.2"/>
    <row r="883" s="418" customFormat="1" ht="14.25" x14ac:dyDescent="0.2"/>
    <row r="884" s="418" customFormat="1" ht="14.25" x14ac:dyDescent="0.2"/>
    <row r="885" s="418" customFormat="1" ht="14.25" x14ac:dyDescent="0.2"/>
    <row r="886" s="418" customFormat="1" ht="14.25" x14ac:dyDescent="0.2"/>
    <row r="887" s="418" customFormat="1" ht="14.25" x14ac:dyDescent="0.2"/>
    <row r="888" s="418" customFormat="1" ht="14.25" x14ac:dyDescent="0.2"/>
    <row r="889" s="418" customFormat="1" ht="14.25" x14ac:dyDescent="0.2"/>
    <row r="890" s="418" customFormat="1" ht="14.25" x14ac:dyDescent="0.2"/>
    <row r="891" s="418" customFormat="1" ht="14.25" x14ac:dyDescent="0.2"/>
    <row r="892" s="418" customFormat="1" ht="14.25" x14ac:dyDescent="0.2"/>
    <row r="893" s="418" customFormat="1" ht="14.25" x14ac:dyDescent="0.2"/>
    <row r="894" s="418" customFormat="1" ht="14.25" x14ac:dyDescent="0.2"/>
    <row r="895" s="418" customFormat="1" ht="14.25" x14ac:dyDescent="0.2"/>
    <row r="896" s="418" customFormat="1" ht="14.25" x14ac:dyDescent="0.2"/>
    <row r="897" s="418" customFormat="1" ht="14.25" x14ac:dyDescent="0.2"/>
    <row r="898" s="418" customFormat="1" ht="14.25" x14ac:dyDescent="0.2"/>
    <row r="899" s="418" customFormat="1" ht="14.25" x14ac:dyDescent="0.2"/>
    <row r="900" s="418" customFormat="1" ht="14.25" x14ac:dyDescent="0.2"/>
    <row r="901" s="418" customFormat="1" ht="14.25" x14ac:dyDescent="0.2"/>
    <row r="902" s="418" customFormat="1" ht="14.25" x14ac:dyDescent="0.2"/>
    <row r="903" s="418" customFormat="1" ht="14.25" x14ac:dyDescent="0.2"/>
    <row r="904" s="418" customFormat="1" ht="14.25" x14ac:dyDescent="0.2"/>
    <row r="905" s="418" customFormat="1" ht="14.25" x14ac:dyDescent="0.2"/>
    <row r="906" s="418" customFormat="1" ht="14.25" x14ac:dyDescent="0.2"/>
    <row r="907" s="418" customFormat="1" ht="14.25" x14ac:dyDescent="0.2"/>
    <row r="908" s="418" customFormat="1" ht="14.25" x14ac:dyDescent="0.2"/>
    <row r="909" s="418" customFormat="1" ht="14.25" x14ac:dyDescent="0.2"/>
    <row r="910" s="418" customFormat="1" ht="14.25" x14ac:dyDescent="0.2"/>
    <row r="911" s="418" customFormat="1" ht="14.25" x14ac:dyDescent="0.2"/>
    <row r="912" s="418" customFormat="1" ht="14.25" x14ac:dyDescent="0.2"/>
    <row r="913" s="418" customFormat="1" ht="14.25" x14ac:dyDescent="0.2"/>
    <row r="914" s="418" customFormat="1" ht="14.25" x14ac:dyDescent="0.2"/>
    <row r="915" s="418" customFormat="1" ht="14.25" x14ac:dyDescent="0.2"/>
    <row r="916" s="418" customFormat="1" ht="14.25" x14ac:dyDescent="0.2"/>
    <row r="917" s="418" customFormat="1" ht="14.25" x14ac:dyDescent="0.2"/>
    <row r="918" s="418" customFormat="1" ht="14.25" x14ac:dyDescent="0.2"/>
    <row r="919" s="418" customFormat="1" ht="14.25" x14ac:dyDescent="0.2"/>
    <row r="920" s="418" customFormat="1" ht="14.25" x14ac:dyDescent="0.2"/>
    <row r="921" s="418" customFormat="1" ht="14.25" x14ac:dyDescent="0.2"/>
    <row r="922" s="418" customFormat="1" ht="14.25" x14ac:dyDescent="0.2"/>
    <row r="923" s="418" customFormat="1" ht="14.25" x14ac:dyDescent="0.2"/>
    <row r="924" s="418" customFormat="1" ht="14.25" x14ac:dyDescent="0.2"/>
    <row r="925" s="418" customFormat="1" ht="14.25" x14ac:dyDescent="0.2"/>
    <row r="926" s="418" customFormat="1" ht="14.25" x14ac:dyDescent="0.2"/>
    <row r="927" s="418" customFormat="1" ht="14.25" x14ac:dyDescent="0.2"/>
    <row r="928" s="418" customFormat="1" ht="14.25" x14ac:dyDescent="0.2"/>
    <row r="929" s="418" customFormat="1" ht="14.25" x14ac:dyDescent="0.2"/>
    <row r="930" s="418" customFormat="1" ht="14.25" x14ac:dyDescent="0.2"/>
    <row r="931" s="418" customFormat="1" ht="14.25" x14ac:dyDescent="0.2"/>
    <row r="932" s="418" customFormat="1" ht="14.25" x14ac:dyDescent="0.2"/>
    <row r="933" s="418" customFormat="1" ht="14.25" x14ac:dyDescent="0.2"/>
    <row r="934" s="418" customFormat="1" ht="14.25" x14ac:dyDescent="0.2"/>
    <row r="935" s="418" customFormat="1" ht="14.25" x14ac:dyDescent="0.2"/>
    <row r="936" s="418" customFormat="1" ht="14.25" x14ac:dyDescent="0.2"/>
    <row r="937" s="418" customFormat="1" ht="14.25" x14ac:dyDescent="0.2"/>
    <row r="938" s="418" customFormat="1" ht="14.25" x14ac:dyDescent="0.2"/>
    <row r="939" s="418" customFormat="1" ht="14.25" x14ac:dyDescent="0.2"/>
    <row r="940" s="418" customFormat="1" ht="14.25" x14ac:dyDescent="0.2"/>
    <row r="941" s="418" customFormat="1" ht="14.25" x14ac:dyDescent="0.2"/>
    <row r="942" s="418" customFormat="1" ht="14.25" x14ac:dyDescent="0.2"/>
    <row r="943" s="418" customFormat="1" ht="14.25" x14ac:dyDescent="0.2"/>
    <row r="944" s="418" customFormat="1" ht="14.25" x14ac:dyDescent="0.2"/>
    <row r="945" s="418" customFormat="1" ht="14.25" x14ac:dyDescent="0.2"/>
    <row r="946" s="418" customFormat="1" ht="14.25" x14ac:dyDescent="0.2"/>
    <row r="947" s="418" customFormat="1" ht="14.25" x14ac:dyDescent="0.2"/>
    <row r="948" s="418" customFormat="1" ht="14.25" x14ac:dyDescent="0.2"/>
    <row r="949" s="418" customFormat="1" ht="14.25" x14ac:dyDescent="0.2"/>
    <row r="950" s="418" customFormat="1" ht="14.25" x14ac:dyDescent="0.2"/>
    <row r="951" s="418" customFormat="1" ht="14.25" x14ac:dyDescent="0.2"/>
    <row r="952" s="418" customFormat="1" ht="14.25" x14ac:dyDescent="0.2"/>
    <row r="953" s="418" customFormat="1" ht="14.25" x14ac:dyDescent="0.2"/>
    <row r="954" s="418" customFormat="1" ht="14.25" x14ac:dyDescent="0.2"/>
    <row r="955" s="418" customFormat="1" ht="14.25" x14ac:dyDescent="0.2"/>
    <row r="956" s="418" customFormat="1" ht="14.25" x14ac:dyDescent="0.2"/>
    <row r="957" s="418" customFormat="1" ht="14.25" x14ac:dyDescent="0.2"/>
    <row r="958" s="418" customFormat="1" ht="14.25" x14ac:dyDescent="0.2"/>
    <row r="959" s="418" customFormat="1" ht="14.25" x14ac:dyDescent="0.2"/>
    <row r="960" s="418" customFormat="1" ht="14.25" x14ac:dyDescent="0.2"/>
    <row r="961" s="418" customFormat="1" ht="14.25" x14ac:dyDescent="0.2"/>
    <row r="962" s="418" customFormat="1" ht="14.25" x14ac:dyDescent="0.2"/>
    <row r="963" s="418" customFormat="1" ht="14.25" x14ac:dyDescent="0.2"/>
    <row r="964" s="418" customFormat="1" ht="14.25" x14ac:dyDescent="0.2"/>
    <row r="965" s="418" customFormat="1" ht="14.25" x14ac:dyDescent="0.2"/>
    <row r="966" s="418" customFormat="1" ht="14.25" x14ac:dyDescent="0.2"/>
    <row r="967" s="418" customFormat="1" ht="14.25" x14ac:dyDescent="0.2"/>
    <row r="968" s="418" customFormat="1" ht="14.25" x14ac:dyDescent="0.2"/>
    <row r="969" s="418" customFormat="1" ht="14.25" x14ac:dyDescent="0.2"/>
    <row r="970" s="418" customFormat="1" ht="14.25" x14ac:dyDescent="0.2"/>
    <row r="971" s="418" customFormat="1" ht="14.25" x14ac:dyDescent="0.2"/>
    <row r="972" s="418" customFormat="1" ht="14.25" x14ac:dyDescent="0.2"/>
    <row r="973" s="418" customFormat="1" ht="14.25" x14ac:dyDescent="0.2"/>
    <row r="974" s="418" customFormat="1" ht="14.25" x14ac:dyDescent="0.2"/>
    <row r="975" s="418" customFormat="1" ht="14.25" x14ac:dyDescent="0.2"/>
    <row r="976" s="418" customFormat="1" ht="14.25" x14ac:dyDescent="0.2"/>
    <row r="977" s="418" customFormat="1" ht="14.25" x14ac:dyDescent="0.2"/>
    <row r="978" s="418" customFormat="1" ht="14.25" x14ac:dyDescent="0.2"/>
    <row r="979" s="418" customFormat="1" ht="14.25" x14ac:dyDescent="0.2"/>
    <row r="980" s="418" customFormat="1" ht="14.25" x14ac:dyDescent="0.2"/>
    <row r="981" s="418" customFormat="1" ht="14.25" x14ac:dyDescent="0.2"/>
    <row r="982" s="418" customFormat="1" ht="14.25" x14ac:dyDescent="0.2"/>
    <row r="983" s="418" customFormat="1" ht="14.25" x14ac:dyDescent="0.2"/>
    <row r="984" s="418" customFormat="1" ht="14.25" x14ac:dyDescent="0.2"/>
    <row r="985" s="418" customFormat="1" ht="14.25" x14ac:dyDescent="0.2"/>
    <row r="986" s="418" customFormat="1" ht="14.25" x14ac:dyDescent="0.2"/>
    <row r="987" s="418" customFormat="1" ht="14.25" x14ac:dyDescent="0.2"/>
    <row r="988" s="418" customFormat="1" ht="14.25" x14ac:dyDescent="0.2"/>
    <row r="989" s="418" customFormat="1" ht="14.25" x14ac:dyDescent="0.2"/>
    <row r="990" s="418" customFormat="1" ht="14.25" x14ac:dyDescent="0.2"/>
    <row r="991" s="418" customFormat="1" ht="14.25" x14ac:dyDescent="0.2"/>
    <row r="992" s="418" customFormat="1" ht="14.25" x14ac:dyDescent="0.2"/>
    <row r="993" s="418" customFormat="1" ht="14.25" x14ac:dyDescent="0.2"/>
    <row r="994" s="418" customFormat="1" ht="14.25" x14ac:dyDescent="0.2"/>
    <row r="995" s="418" customFormat="1" ht="14.25" x14ac:dyDescent="0.2"/>
    <row r="996" s="418" customFormat="1" ht="14.25" x14ac:dyDescent="0.2"/>
    <row r="997" s="418" customFormat="1" ht="14.25" x14ac:dyDescent="0.2"/>
    <row r="998" s="418" customFormat="1" ht="14.25" x14ac:dyDescent="0.2"/>
    <row r="999" s="418" customFormat="1" ht="14.25" x14ac:dyDescent="0.2"/>
    <row r="1000" s="418" customFormat="1" ht="14.25" x14ac:dyDescent="0.2"/>
    <row r="1001" s="418" customFormat="1" ht="14.25" x14ac:dyDescent="0.2"/>
    <row r="1002" s="418" customFormat="1" ht="14.25" x14ac:dyDescent="0.2"/>
    <row r="1003" s="418" customFormat="1" ht="14.25" x14ac:dyDescent="0.2"/>
    <row r="1004" s="418" customFormat="1" ht="14.25" x14ac:dyDescent="0.2"/>
    <row r="1005" s="418" customFormat="1" ht="14.25" x14ac:dyDescent="0.2"/>
    <row r="1006" s="418" customFormat="1" ht="14.25" x14ac:dyDescent="0.2"/>
    <row r="1007" s="418" customFormat="1" ht="14.25" x14ac:dyDescent="0.2"/>
    <row r="1008" s="418" customFormat="1" ht="14.25" x14ac:dyDescent="0.2"/>
    <row r="1009" s="418" customFormat="1" ht="14.25" x14ac:dyDescent="0.2"/>
    <row r="1010" s="418" customFormat="1" ht="14.25" x14ac:dyDescent="0.2"/>
    <row r="1011" s="418" customFormat="1" ht="14.25" x14ac:dyDescent="0.2"/>
    <row r="1012" s="418" customFormat="1" ht="14.25" x14ac:dyDescent="0.2"/>
    <row r="1013" s="418" customFormat="1" ht="14.25" x14ac:dyDescent="0.2"/>
    <row r="1014" s="418" customFormat="1" ht="14.25" x14ac:dyDescent="0.2"/>
    <row r="1015" s="418" customFormat="1" ht="14.25" x14ac:dyDescent="0.2"/>
    <row r="1016" s="418" customFormat="1" ht="14.25" x14ac:dyDescent="0.2"/>
    <row r="1017" s="418" customFormat="1" ht="14.25" x14ac:dyDescent="0.2"/>
    <row r="1018" s="418" customFormat="1" ht="14.25" x14ac:dyDescent="0.2"/>
    <row r="1019" s="418" customFormat="1" ht="14.25" x14ac:dyDescent="0.2"/>
    <row r="1020" s="418" customFormat="1" ht="14.25" x14ac:dyDescent="0.2"/>
    <row r="1021" s="418" customFormat="1" ht="14.25" x14ac:dyDescent="0.2"/>
    <row r="1022" s="418" customFormat="1" ht="14.25" x14ac:dyDescent="0.2"/>
    <row r="1023" s="418" customFormat="1" ht="14.25" x14ac:dyDescent="0.2"/>
    <row r="1024" s="418" customFormat="1" ht="14.25" x14ac:dyDescent="0.2"/>
    <row r="1025" s="418" customFormat="1" ht="14.25" x14ac:dyDescent="0.2"/>
    <row r="1026" s="418" customFormat="1" ht="14.25" x14ac:dyDescent="0.2"/>
    <row r="1027" s="418" customFormat="1" ht="14.25" x14ac:dyDescent="0.2"/>
    <row r="1028" s="418" customFormat="1" ht="14.25" x14ac:dyDescent="0.2"/>
    <row r="1029" s="418" customFormat="1" ht="14.25" x14ac:dyDescent="0.2"/>
    <row r="1030" s="418" customFormat="1" ht="14.25" x14ac:dyDescent="0.2"/>
    <row r="1031" s="418" customFormat="1" ht="14.25" x14ac:dyDescent="0.2"/>
    <row r="1032" s="418" customFormat="1" ht="14.25" x14ac:dyDescent="0.2"/>
    <row r="1033" s="418" customFormat="1" ht="14.25" x14ac:dyDescent="0.2"/>
    <row r="1034" s="418" customFormat="1" ht="14.25" x14ac:dyDescent="0.2"/>
    <row r="1035" s="418" customFormat="1" ht="14.25" x14ac:dyDescent="0.2"/>
    <row r="1036" s="418" customFormat="1" ht="14.25" x14ac:dyDescent="0.2"/>
    <row r="1037" s="418" customFormat="1" ht="14.25" x14ac:dyDescent="0.2"/>
    <row r="1038" s="418" customFormat="1" ht="14.25" x14ac:dyDescent="0.2"/>
    <row r="1039" s="418" customFormat="1" ht="14.25" x14ac:dyDescent="0.2"/>
    <row r="1040" s="418" customFormat="1" ht="14.25" x14ac:dyDescent="0.2"/>
    <row r="1041" s="418" customFormat="1" ht="14.25" x14ac:dyDescent="0.2"/>
    <row r="1042" s="418" customFormat="1" ht="14.25" x14ac:dyDescent="0.2"/>
    <row r="1043" s="418" customFormat="1" ht="14.25" x14ac:dyDescent="0.2"/>
    <row r="1044" s="418" customFormat="1" ht="14.25" x14ac:dyDescent="0.2"/>
    <row r="1045" s="418" customFormat="1" ht="14.25" x14ac:dyDescent="0.2"/>
    <row r="1046" s="418" customFormat="1" ht="14.25" x14ac:dyDescent="0.2"/>
    <row r="1047" s="418" customFormat="1" ht="14.25" x14ac:dyDescent="0.2"/>
    <row r="1048" s="418" customFormat="1" ht="14.25" x14ac:dyDescent="0.2"/>
    <row r="1049" s="418" customFormat="1" ht="14.25" x14ac:dyDescent="0.2"/>
    <row r="1050" s="418" customFormat="1" ht="14.25" x14ac:dyDescent="0.2"/>
    <row r="1051" s="418" customFormat="1" ht="14.25" x14ac:dyDescent="0.2"/>
    <row r="1052" s="418" customFormat="1" ht="14.25" x14ac:dyDescent="0.2"/>
    <row r="1053" s="418" customFormat="1" ht="14.25" x14ac:dyDescent="0.2"/>
    <row r="1054" s="418" customFormat="1" ht="14.25" x14ac:dyDescent="0.2"/>
    <row r="1055" s="418" customFormat="1" ht="14.25" x14ac:dyDescent="0.2"/>
    <row r="1056" s="418" customFormat="1" ht="14.25" x14ac:dyDescent="0.2"/>
    <row r="1057" s="418" customFormat="1" ht="14.25" x14ac:dyDescent="0.2"/>
    <row r="1058" s="418" customFormat="1" ht="14.25" x14ac:dyDescent="0.2"/>
    <row r="1059" s="418" customFormat="1" ht="14.25" x14ac:dyDescent="0.2"/>
    <row r="1060" s="418" customFormat="1" ht="14.25" x14ac:dyDescent="0.2"/>
    <row r="1061" s="418" customFormat="1" ht="14.25" x14ac:dyDescent="0.2"/>
    <row r="1062" s="418" customFormat="1" ht="14.25" x14ac:dyDescent="0.2"/>
    <row r="1063" s="418" customFormat="1" ht="14.25" x14ac:dyDescent="0.2"/>
    <row r="1064" s="418" customFormat="1" ht="14.25" x14ac:dyDescent="0.2"/>
    <row r="1065" s="418" customFormat="1" ht="14.25" x14ac:dyDescent="0.2"/>
    <row r="1066" s="418" customFormat="1" ht="14.25" x14ac:dyDescent="0.2"/>
    <row r="1067" s="418" customFormat="1" ht="14.25" x14ac:dyDescent="0.2"/>
    <row r="1068" s="418" customFormat="1" ht="14.25" x14ac:dyDescent="0.2"/>
    <row r="1069" s="418" customFormat="1" ht="14.25" x14ac:dyDescent="0.2"/>
    <row r="1070" s="418" customFormat="1" ht="14.25" x14ac:dyDescent="0.2"/>
    <row r="1071" s="418" customFormat="1" ht="14.25" x14ac:dyDescent="0.2"/>
    <row r="1072" s="418" customFormat="1" ht="14.25" x14ac:dyDescent="0.2"/>
    <row r="1073" s="418" customFormat="1" ht="14.25" x14ac:dyDescent="0.2"/>
    <row r="1074" s="418" customFormat="1" ht="14.25" x14ac:dyDescent="0.2"/>
    <row r="1075" s="418" customFormat="1" ht="14.25" x14ac:dyDescent="0.2"/>
    <row r="1076" s="418" customFormat="1" ht="14.25" x14ac:dyDescent="0.2"/>
    <row r="1077" s="418" customFormat="1" ht="14.25" x14ac:dyDescent="0.2"/>
    <row r="1078" s="418" customFormat="1" ht="14.25" x14ac:dyDescent="0.2"/>
    <row r="1079" s="418" customFormat="1" ht="14.25" x14ac:dyDescent="0.2"/>
    <row r="1080" s="418" customFormat="1" ht="14.25" x14ac:dyDescent="0.2"/>
    <row r="1081" s="418" customFormat="1" ht="14.25" x14ac:dyDescent="0.2"/>
    <row r="1082" s="418" customFormat="1" ht="14.25" x14ac:dyDescent="0.2"/>
    <row r="1083" s="418" customFormat="1" ht="14.25" x14ac:dyDescent="0.2"/>
    <row r="1084" s="418" customFormat="1" ht="14.25" x14ac:dyDescent="0.2"/>
    <row r="1085" s="418" customFormat="1" ht="14.25" x14ac:dyDescent="0.2"/>
    <row r="1086" s="418" customFormat="1" ht="14.25" x14ac:dyDescent="0.2"/>
    <row r="1087" s="418" customFormat="1" ht="14.25" x14ac:dyDescent="0.2"/>
    <row r="1088" s="418" customFormat="1" ht="14.25" x14ac:dyDescent="0.2"/>
    <row r="1089" s="418" customFormat="1" ht="14.25" x14ac:dyDescent="0.2"/>
    <row r="1090" s="418" customFormat="1" ht="14.25" x14ac:dyDescent="0.2"/>
    <row r="1091" s="418" customFormat="1" ht="14.25" x14ac:dyDescent="0.2"/>
    <row r="1092" s="418" customFormat="1" ht="14.25" x14ac:dyDescent="0.2"/>
    <row r="1093" s="418" customFormat="1" ht="14.25" x14ac:dyDescent="0.2"/>
    <row r="1094" s="418" customFormat="1" ht="14.25" x14ac:dyDescent="0.2"/>
    <row r="1095" s="418" customFormat="1" ht="14.25" x14ac:dyDescent="0.2"/>
    <row r="1096" s="418" customFormat="1" ht="14.25" x14ac:dyDescent="0.2"/>
    <row r="1097" s="418" customFormat="1" ht="14.25" x14ac:dyDescent="0.2"/>
    <row r="1098" s="418" customFormat="1" ht="14.25" x14ac:dyDescent="0.2"/>
    <row r="1099" s="418" customFormat="1" ht="14.25" x14ac:dyDescent="0.2"/>
    <row r="1100" s="418" customFormat="1" ht="14.25" x14ac:dyDescent="0.2"/>
    <row r="1101" s="418" customFormat="1" ht="14.25" x14ac:dyDescent="0.2"/>
    <row r="1102" s="418" customFormat="1" ht="14.25" x14ac:dyDescent="0.2"/>
    <row r="1103" s="418" customFormat="1" ht="14.25" x14ac:dyDescent="0.2"/>
    <row r="1104" s="418" customFormat="1" ht="14.25" x14ac:dyDescent="0.2"/>
    <row r="1105" s="418" customFormat="1" ht="14.25" x14ac:dyDescent="0.2"/>
    <row r="1106" s="418" customFormat="1" ht="14.25" x14ac:dyDescent="0.2"/>
    <row r="1107" s="418" customFormat="1" ht="14.25" x14ac:dyDescent="0.2"/>
    <row r="1108" s="418" customFormat="1" ht="14.25" x14ac:dyDescent="0.2"/>
    <row r="1109" s="418" customFormat="1" ht="14.25" x14ac:dyDescent="0.2"/>
    <row r="1110" s="418" customFormat="1" ht="14.25" x14ac:dyDescent="0.2"/>
    <row r="1111" s="418" customFormat="1" ht="14.25" x14ac:dyDescent="0.2"/>
    <row r="1112" s="418" customFormat="1" ht="14.25" x14ac:dyDescent="0.2"/>
    <row r="1113" s="418" customFormat="1" ht="14.25" x14ac:dyDescent="0.2"/>
    <row r="1114" s="418" customFormat="1" ht="14.25" x14ac:dyDescent="0.2"/>
    <row r="1115" s="418" customFormat="1" ht="14.25" x14ac:dyDescent="0.2"/>
    <row r="1116" s="418" customFormat="1" ht="14.25" x14ac:dyDescent="0.2"/>
    <row r="1117" s="418" customFormat="1" ht="14.25" x14ac:dyDescent="0.2"/>
    <row r="1118" s="418" customFormat="1" ht="14.25" x14ac:dyDescent="0.2"/>
    <row r="1119" s="418" customFormat="1" ht="14.25" x14ac:dyDescent="0.2"/>
    <row r="1120" s="418" customFormat="1" ht="14.25" x14ac:dyDescent="0.2"/>
    <row r="1121" s="418" customFormat="1" ht="14.25" x14ac:dyDescent="0.2"/>
    <row r="1122" s="418" customFormat="1" ht="14.25" x14ac:dyDescent="0.2"/>
    <row r="1123" s="418" customFormat="1" ht="14.25" x14ac:dyDescent="0.2"/>
    <row r="1124" s="418" customFormat="1" ht="14.25" x14ac:dyDescent="0.2"/>
    <row r="1125" s="418" customFormat="1" ht="14.25" x14ac:dyDescent="0.2"/>
    <row r="1126" s="418" customFormat="1" ht="14.25" x14ac:dyDescent="0.2"/>
    <row r="1127" s="418" customFormat="1" ht="14.25" x14ac:dyDescent="0.2"/>
    <row r="1128" s="418" customFormat="1" ht="14.25" x14ac:dyDescent="0.2"/>
    <row r="1129" s="418" customFormat="1" ht="14.25" x14ac:dyDescent="0.2"/>
    <row r="1130" s="418" customFormat="1" ht="14.25" x14ac:dyDescent="0.2"/>
    <row r="1131" s="418" customFormat="1" ht="14.25" x14ac:dyDescent="0.2"/>
    <row r="1132" s="418" customFormat="1" ht="14.25" x14ac:dyDescent="0.2"/>
    <row r="1133" s="418" customFormat="1" ht="14.25" x14ac:dyDescent="0.2"/>
    <row r="1134" s="418" customFormat="1" ht="14.25" x14ac:dyDescent="0.2"/>
    <row r="1135" s="418" customFormat="1" ht="14.25" x14ac:dyDescent="0.2"/>
    <row r="1136" s="418" customFormat="1" ht="14.25" x14ac:dyDescent="0.2"/>
    <row r="1137" s="418" customFormat="1" ht="14.25" x14ac:dyDescent="0.2"/>
    <row r="1138" s="418" customFormat="1" ht="14.25" x14ac:dyDescent="0.2"/>
    <row r="1139" s="418" customFormat="1" ht="14.25" x14ac:dyDescent="0.2"/>
    <row r="1140" s="418" customFormat="1" ht="14.25" x14ac:dyDescent="0.2"/>
    <row r="1141" s="418" customFormat="1" ht="14.25" x14ac:dyDescent="0.2"/>
    <row r="1142" s="418" customFormat="1" ht="14.25" x14ac:dyDescent="0.2"/>
    <row r="1143" s="418" customFormat="1" ht="14.25" x14ac:dyDescent="0.2"/>
    <row r="1144" s="418" customFormat="1" ht="14.25" x14ac:dyDescent="0.2"/>
    <row r="1145" s="418" customFormat="1" ht="14.25" x14ac:dyDescent="0.2"/>
    <row r="1146" s="418" customFormat="1" ht="14.25" x14ac:dyDescent="0.2"/>
    <row r="1147" s="418" customFormat="1" ht="14.25" x14ac:dyDescent="0.2"/>
    <row r="1148" s="418" customFormat="1" ht="14.25" x14ac:dyDescent="0.2"/>
    <row r="1149" s="418" customFormat="1" ht="14.25" x14ac:dyDescent="0.2"/>
    <row r="1150" s="418" customFormat="1" ht="14.25" x14ac:dyDescent="0.2"/>
    <row r="1151" s="418" customFormat="1" ht="14.25" x14ac:dyDescent="0.2"/>
    <row r="1152" s="418" customFormat="1" ht="14.25" x14ac:dyDescent="0.2"/>
    <row r="1153" s="418" customFormat="1" ht="14.25" x14ac:dyDescent="0.2"/>
    <row r="1154" s="418" customFormat="1" ht="14.25" x14ac:dyDescent="0.2"/>
    <row r="1155" s="418" customFormat="1" ht="14.25" x14ac:dyDescent="0.2"/>
    <row r="1156" s="418" customFormat="1" ht="14.25" x14ac:dyDescent="0.2"/>
    <row r="1157" s="418" customFormat="1" ht="14.25" x14ac:dyDescent="0.2"/>
    <row r="1158" s="418" customFormat="1" ht="14.25" x14ac:dyDescent="0.2"/>
    <row r="1159" s="418" customFormat="1" ht="14.25" x14ac:dyDescent="0.2"/>
    <row r="1160" s="418" customFormat="1" ht="14.25" x14ac:dyDescent="0.2"/>
    <row r="1161" s="418" customFormat="1" ht="14.25" x14ac:dyDescent="0.2"/>
    <row r="1162" s="418" customFormat="1" ht="14.25" x14ac:dyDescent="0.2"/>
    <row r="1163" s="418" customFormat="1" ht="14.25" x14ac:dyDescent="0.2"/>
    <row r="1164" s="418" customFormat="1" ht="14.25" x14ac:dyDescent="0.2"/>
    <row r="1165" s="418" customFormat="1" ht="14.25" x14ac:dyDescent="0.2"/>
    <row r="1166" s="418" customFormat="1" ht="14.25" x14ac:dyDescent="0.2"/>
    <row r="1167" s="418" customFormat="1" ht="14.25" x14ac:dyDescent="0.2"/>
    <row r="1168" s="418" customFormat="1" ht="14.25" x14ac:dyDescent="0.2"/>
    <row r="1169" s="418" customFormat="1" ht="14.25" x14ac:dyDescent="0.2"/>
    <row r="1170" s="418" customFormat="1" ht="14.25" x14ac:dyDescent="0.2"/>
    <row r="1171" s="418" customFormat="1" ht="14.25" x14ac:dyDescent="0.2"/>
    <row r="1172" s="418" customFormat="1" ht="14.25" x14ac:dyDescent="0.2"/>
    <row r="1173" s="418" customFormat="1" ht="14.25" x14ac:dyDescent="0.2"/>
    <row r="1174" s="418" customFormat="1" ht="14.25" x14ac:dyDescent="0.2"/>
    <row r="1175" s="418" customFormat="1" ht="14.25" x14ac:dyDescent="0.2"/>
    <row r="1176" s="418" customFormat="1" ht="14.25" x14ac:dyDescent="0.2"/>
    <row r="1177" s="418" customFormat="1" ht="14.25" x14ac:dyDescent="0.2"/>
    <row r="1178" s="418" customFormat="1" ht="14.25" x14ac:dyDescent="0.2"/>
    <row r="1179" s="418" customFormat="1" ht="14.25" x14ac:dyDescent="0.2"/>
    <row r="1180" s="418" customFormat="1" ht="14.25" x14ac:dyDescent="0.2"/>
    <row r="1181" s="418" customFormat="1" ht="14.25" x14ac:dyDescent="0.2"/>
    <row r="1182" s="418" customFormat="1" ht="14.25" x14ac:dyDescent="0.2"/>
    <row r="1183" s="418" customFormat="1" ht="14.25" x14ac:dyDescent="0.2"/>
    <row r="1184" s="418" customFormat="1" ht="14.25" x14ac:dyDescent="0.2"/>
    <row r="1185" s="418" customFormat="1" ht="14.25" x14ac:dyDescent="0.2"/>
    <row r="1186" s="418" customFormat="1" ht="14.25" x14ac:dyDescent="0.2"/>
    <row r="1187" s="418" customFormat="1" ht="14.25" x14ac:dyDescent="0.2"/>
    <row r="1188" s="418" customFormat="1" ht="14.25" x14ac:dyDescent="0.2"/>
    <row r="1189" s="418" customFormat="1" ht="14.25" x14ac:dyDescent="0.2"/>
    <row r="1190" s="418" customFormat="1" ht="14.25" x14ac:dyDescent="0.2"/>
    <row r="1191" s="418" customFormat="1" ht="14.25" x14ac:dyDescent="0.2"/>
    <row r="1192" s="418" customFormat="1" ht="14.25" x14ac:dyDescent="0.2"/>
    <row r="1193" s="418" customFormat="1" ht="14.25" x14ac:dyDescent="0.2"/>
    <row r="1194" s="418" customFormat="1" ht="14.25" x14ac:dyDescent="0.2"/>
    <row r="1195" s="418" customFormat="1" ht="14.25" x14ac:dyDescent="0.2"/>
    <row r="1196" s="418" customFormat="1" ht="14.25" x14ac:dyDescent="0.2"/>
    <row r="1197" s="418" customFormat="1" ht="14.25" x14ac:dyDescent="0.2"/>
    <row r="1198" s="418" customFormat="1" ht="14.25" x14ac:dyDescent="0.2"/>
    <row r="1199" s="418" customFormat="1" ht="14.25" x14ac:dyDescent="0.2"/>
    <row r="1200" s="418" customFormat="1" ht="14.25" x14ac:dyDescent="0.2"/>
    <row r="1201" s="418" customFormat="1" ht="14.25" x14ac:dyDescent="0.2"/>
    <row r="1202" s="418" customFormat="1" ht="14.25" x14ac:dyDescent="0.2"/>
    <row r="1203" s="418" customFormat="1" ht="14.25" x14ac:dyDescent="0.2"/>
    <row r="1204" s="418" customFormat="1" ht="14.25" x14ac:dyDescent="0.2"/>
    <row r="1205" s="418" customFormat="1" ht="14.25" x14ac:dyDescent="0.2"/>
    <row r="1206" s="418" customFormat="1" ht="14.25" x14ac:dyDescent="0.2"/>
    <row r="1207" s="418" customFormat="1" ht="14.25" x14ac:dyDescent="0.2"/>
    <row r="1208" s="418" customFormat="1" ht="14.25" x14ac:dyDescent="0.2"/>
    <row r="1209" s="418" customFormat="1" ht="14.25" x14ac:dyDescent="0.2"/>
    <row r="1210" s="418" customFormat="1" ht="14.25" x14ac:dyDescent="0.2"/>
    <row r="1211" s="418" customFormat="1" ht="14.25" x14ac:dyDescent="0.2"/>
    <row r="1212" s="418" customFormat="1" ht="14.25" x14ac:dyDescent="0.2"/>
    <row r="1213" s="418" customFormat="1" ht="14.25" x14ac:dyDescent="0.2"/>
    <row r="1214" s="418" customFormat="1" ht="14.25" x14ac:dyDescent="0.2"/>
    <row r="1215" s="418" customFormat="1" ht="14.25" x14ac:dyDescent="0.2"/>
    <row r="1216" s="418" customFormat="1" ht="14.25" x14ac:dyDescent="0.2"/>
    <row r="1217" s="418" customFormat="1" ht="14.25" x14ac:dyDescent="0.2"/>
    <row r="1218" s="418" customFormat="1" ht="14.25" x14ac:dyDescent="0.2"/>
    <row r="1219" s="418" customFormat="1" ht="14.25" x14ac:dyDescent="0.2"/>
    <row r="1220" s="418" customFormat="1" ht="14.25" x14ac:dyDescent="0.2"/>
    <row r="1221" s="418" customFormat="1" ht="14.25" x14ac:dyDescent="0.2"/>
    <row r="1222" s="418" customFormat="1" ht="14.25" x14ac:dyDescent="0.2"/>
    <row r="1223" s="418" customFormat="1" ht="14.25" x14ac:dyDescent="0.2"/>
    <row r="1224" s="418" customFormat="1" ht="14.25" x14ac:dyDescent="0.2"/>
    <row r="1225" s="418" customFormat="1" ht="14.25" x14ac:dyDescent="0.2"/>
    <row r="1226" s="418" customFormat="1" ht="14.25" x14ac:dyDescent="0.2"/>
    <row r="1227" s="418" customFormat="1" ht="14.25" x14ac:dyDescent="0.2"/>
    <row r="1228" s="418" customFormat="1" ht="14.25" x14ac:dyDescent="0.2"/>
    <row r="1229" s="418" customFormat="1" ht="14.25" x14ac:dyDescent="0.2"/>
    <row r="1230" s="418" customFormat="1" ht="14.25" x14ac:dyDescent="0.2"/>
    <row r="1231" s="418" customFormat="1" ht="14.25" x14ac:dyDescent="0.2"/>
    <row r="1232" s="418" customFormat="1" ht="14.25" x14ac:dyDescent="0.2"/>
    <row r="1233" s="418" customFormat="1" ht="14.25" x14ac:dyDescent="0.2"/>
    <row r="1234" s="418" customFormat="1" ht="14.25" x14ac:dyDescent="0.2"/>
    <row r="1235" s="418" customFormat="1" ht="14.25" x14ac:dyDescent="0.2"/>
    <row r="1236" s="418" customFormat="1" ht="14.25" x14ac:dyDescent="0.2"/>
    <row r="1237" s="418" customFormat="1" ht="14.25" x14ac:dyDescent="0.2"/>
    <row r="1238" s="418" customFormat="1" ht="14.25" x14ac:dyDescent="0.2"/>
    <row r="1239" s="418" customFormat="1" ht="14.25" x14ac:dyDescent="0.2"/>
    <row r="1240" s="418" customFormat="1" ht="14.25" x14ac:dyDescent="0.2"/>
    <row r="1241" s="418" customFormat="1" ht="14.25" x14ac:dyDescent="0.2"/>
    <row r="1242" s="418" customFormat="1" ht="14.25" x14ac:dyDescent="0.2"/>
    <row r="1243" s="418" customFormat="1" ht="14.25" x14ac:dyDescent="0.2"/>
    <row r="1244" s="418" customFormat="1" ht="14.25" x14ac:dyDescent="0.2"/>
    <row r="1245" s="418" customFormat="1" ht="14.25" x14ac:dyDescent="0.2"/>
    <row r="1246" s="418" customFormat="1" ht="14.25" x14ac:dyDescent="0.2"/>
    <row r="1247" s="418" customFormat="1" ht="14.25" x14ac:dyDescent="0.2"/>
    <row r="1248" s="418" customFormat="1" ht="14.25" x14ac:dyDescent="0.2"/>
    <row r="1249" s="418" customFormat="1" ht="14.25" x14ac:dyDescent="0.2"/>
    <row r="1250" s="418" customFormat="1" ht="14.25" x14ac:dyDescent="0.2"/>
    <row r="1251" s="418" customFormat="1" ht="14.25" x14ac:dyDescent="0.2"/>
    <row r="1252" s="418" customFormat="1" ht="14.25" x14ac:dyDescent="0.2"/>
    <row r="1253" s="418" customFormat="1" ht="14.25" x14ac:dyDescent="0.2"/>
    <row r="1254" s="418" customFormat="1" ht="14.25" x14ac:dyDescent="0.2"/>
    <row r="1255" s="418" customFormat="1" ht="14.25" x14ac:dyDescent="0.2"/>
    <row r="1256" s="418" customFormat="1" ht="14.25" x14ac:dyDescent="0.2"/>
    <row r="1257" s="418" customFormat="1" ht="14.25" x14ac:dyDescent="0.2"/>
    <row r="1258" s="418" customFormat="1" ht="14.25" x14ac:dyDescent="0.2"/>
    <row r="1259" s="418" customFormat="1" ht="14.25" x14ac:dyDescent="0.2"/>
    <row r="1260" s="418" customFormat="1" ht="14.25" x14ac:dyDescent="0.2"/>
    <row r="1261" s="418" customFormat="1" ht="14.25" x14ac:dyDescent="0.2"/>
    <row r="1262" s="418" customFormat="1" ht="14.25" x14ac:dyDescent="0.2"/>
    <row r="1263" s="418" customFormat="1" ht="14.25" x14ac:dyDescent="0.2"/>
    <row r="1264" s="418" customFormat="1" ht="14.25" x14ac:dyDescent="0.2"/>
    <row r="1265" s="418" customFormat="1" ht="14.25" x14ac:dyDescent="0.2"/>
    <row r="1266" s="418" customFormat="1" ht="14.25" x14ac:dyDescent="0.2"/>
    <row r="1267" s="418" customFormat="1" ht="14.25" x14ac:dyDescent="0.2"/>
    <row r="1268" s="418" customFormat="1" ht="14.25" x14ac:dyDescent="0.2"/>
    <row r="1269" s="418" customFormat="1" ht="14.25" x14ac:dyDescent="0.2"/>
    <row r="1270" s="418" customFormat="1" ht="14.25" x14ac:dyDescent="0.2"/>
    <row r="1271" s="418" customFormat="1" ht="14.25" x14ac:dyDescent="0.2"/>
    <row r="1272" s="418" customFormat="1" ht="14.25" x14ac:dyDescent="0.2"/>
    <row r="1273" s="418" customFormat="1" ht="14.25" x14ac:dyDescent="0.2"/>
    <row r="1274" s="418" customFormat="1" ht="14.25" x14ac:dyDescent="0.2"/>
    <row r="1275" s="418" customFormat="1" ht="14.25" x14ac:dyDescent="0.2"/>
    <row r="1276" s="418" customFormat="1" ht="14.25" x14ac:dyDescent="0.2"/>
    <row r="1277" s="418" customFormat="1" ht="14.25" x14ac:dyDescent="0.2"/>
    <row r="1278" s="418" customFormat="1" ht="14.25" x14ac:dyDescent="0.2"/>
    <row r="1279" s="418" customFormat="1" ht="14.25" x14ac:dyDescent="0.2"/>
    <row r="1280" s="418" customFormat="1" ht="14.25" x14ac:dyDescent="0.2"/>
    <row r="1281" s="418" customFormat="1" ht="14.25" x14ac:dyDescent="0.2"/>
    <row r="1282" s="418" customFormat="1" ht="14.25" x14ac:dyDescent="0.2"/>
    <row r="1283" s="418" customFormat="1" ht="14.25" x14ac:dyDescent="0.2"/>
    <row r="1284" s="418" customFormat="1" ht="14.25" x14ac:dyDescent="0.2"/>
    <row r="1285" s="418" customFormat="1" ht="14.25" x14ac:dyDescent="0.2"/>
    <row r="1286" s="418" customFormat="1" ht="14.25" x14ac:dyDescent="0.2"/>
    <row r="1287" s="418" customFormat="1" ht="14.25" x14ac:dyDescent="0.2"/>
    <row r="1288" s="418" customFormat="1" ht="14.25" x14ac:dyDescent="0.2"/>
    <row r="1289" s="418" customFormat="1" ht="14.25" x14ac:dyDescent="0.2"/>
    <row r="1290" s="418" customFormat="1" ht="14.25" x14ac:dyDescent="0.2"/>
    <row r="1291" s="418" customFormat="1" ht="14.25" x14ac:dyDescent="0.2"/>
    <row r="1292" s="418" customFormat="1" ht="14.25" x14ac:dyDescent="0.2"/>
    <row r="1293" s="418" customFormat="1" ht="14.25" x14ac:dyDescent="0.2"/>
    <row r="1294" s="418" customFormat="1" ht="14.25" x14ac:dyDescent="0.2"/>
    <row r="1295" s="418" customFormat="1" ht="14.25" x14ac:dyDescent="0.2"/>
    <row r="1296" s="418" customFormat="1" ht="14.25" x14ac:dyDescent="0.2"/>
    <row r="1297" s="418" customFormat="1" ht="14.25" x14ac:dyDescent="0.2"/>
    <row r="1298" s="418" customFormat="1" ht="14.25" x14ac:dyDescent="0.2"/>
    <row r="1299" s="418" customFormat="1" ht="14.25" x14ac:dyDescent="0.2"/>
    <row r="1300" s="418" customFormat="1" ht="14.25" x14ac:dyDescent="0.2"/>
    <row r="1301" s="418" customFormat="1" ht="14.25" x14ac:dyDescent="0.2"/>
    <row r="1302" s="418" customFormat="1" ht="14.25" x14ac:dyDescent="0.2"/>
    <row r="1303" s="418" customFormat="1" ht="14.25" x14ac:dyDescent="0.2"/>
    <row r="1304" s="418" customFormat="1" ht="14.25" x14ac:dyDescent="0.2"/>
    <row r="1305" s="418" customFormat="1" ht="14.25" x14ac:dyDescent="0.2"/>
    <row r="1306" s="418" customFormat="1" ht="14.25" x14ac:dyDescent="0.2"/>
    <row r="1307" s="418" customFormat="1" ht="14.25" x14ac:dyDescent="0.2"/>
    <row r="1308" s="418" customFormat="1" ht="14.25" x14ac:dyDescent="0.2"/>
    <row r="1309" s="418" customFormat="1" ht="14.25" x14ac:dyDescent="0.2"/>
    <row r="1310" s="418" customFormat="1" ht="14.25" x14ac:dyDescent="0.2"/>
    <row r="1311" s="418" customFormat="1" ht="14.25" x14ac:dyDescent="0.2"/>
    <row r="1312" s="418" customFormat="1" ht="14.25" x14ac:dyDescent="0.2"/>
    <row r="1313" s="418" customFormat="1" ht="14.25" x14ac:dyDescent="0.2"/>
    <row r="1314" s="418" customFormat="1" ht="14.25" x14ac:dyDescent="0.2"/>
    <row r="1315" s="418" customFormat="1" ht="14.25" x14ac:dyDescent="0.2"/>
    <row r="1316" s="418" customFormat="1" ht="14.25" x14ac:dyDescent="0.2"/>
    <row r="1317" s="418" customFormat="1" ht="14.25" x14ac:dyDescent="0.2"/>
    <row r="1318" s="418" customFormat="1" ht="14.25" x14ac:dyDescent="0.2"/>
    <row r="1319" s="418" customFormat="1" ht="14.25" x14ac:dyDescent="0.2"/>
    <row r="1320" s="418" customFormat="1" ht="14.25" x14ac:dyDescent="0.2"/>
    <row r="1321" s="418" customFormat="1" ht="14.25" x14ac:dyDescent="0.2"/>
    <row r="1322" s="418" customFormat="1" ht="14.25" x14ac:dyDescent="0.2"/>
    <row r="1323" s="418" customFormat="1" ht="14.25" x14ac:dyDescent="0.2"/>
    <row r="1324" s="418" customFormat="1" ht="14.25" x14ac:dyDescent="0.2"/>
    <row r="1325" s="418" customFormat="1" ht="14.25" x14ac:dyDescent="0.2"/>
    <row r="1326" s="418" customFormat="1" ht="14.25" x14ac:dyDescent="0.2"/>
    <row r="1327" s="418" customFormat="1" ht="14.25" x14ac:dyDescent="0.2"/>
    <row r="1328" s="418" customFormat="1" ht="14.25" x14ac:dyDescent="0.2"/>
    <row r="1329" s="418" customFormat="1" ht="14.25" x14ac:dyDescent="0.2"/>
    <row r="1330" s="418" customFormat="1" ht="14.25" x14ac:dyDescent="0.2"/>
    <row r="1331" s="418" customFormat="1" ht="14.25" x14ac:dyDescent="0.2"/>
    <row r="1332" s="418" customFormat="1" ht="14.25" x14ac:dyDescent="0.2"/>
    <row r="1333" s="418" customFormat="1" ht="14.25" x14ac:dyDescent="0.2"/>
    <row r="1334" s="418" customFormat="1" ht="14.25" x14ac:dyDescent="0.2"/>
    <row r="1335" s="418" customFormat="1" ht="14.25" x14ac:dyDescent="0.2"/>
    <row r="1336" s="418" customFormat="1" ht="14.25" x14ac:dyDescent="0.2"/>
    <row r="1337" s="418" customFormat="1" ht="14.25" x14ac:dyDescent="0.2"/>
    <row r="1338" s="418" customFormat="1" ht="14.25" x14ac:dyDescent="0.2"/>
    <row r="1339" s="418" customFormat="1" ht="14.25" x14ac:dyDescent="0.2"/>
    <row r="1340" s="418" customFormat="1" ht="14.25" x14ac:dyDescent="0.2"/>
    <row r="1341" s="418" customFormat="1" ht="14.25" x14ac:dyDescent="0.2"/>
    <row r="1342" s="418" customFormat="1" ht="14.25" x14ac:dyDescent="0.2"/>
    <row r="1343" s="418" customFormat="1" ht="14.25" x14ac:dyDescent="0.2"/>
    <row r="1344" s="418" customFormat="1" ht="14.25" x14ac:dyDescent="0.2"/>
    <row r="1345" s="418" customFormat="1" ht="14.25" x14ac:dyDescent="0.2"/>
    <row r="1346" s="418" customFormat="1" ht="14.25" x14ac:dyDescent="0.2"/>
    <row r="1347" s="418" customFormat="1" ht="14.25" x14ac:dyDescent="0.2"/>
    <row r="1348" s="418" customFormat="1" ht="14.25" x14ac:dyDescent="0.2"/>
    <row r="1349" s="418" customFormat="1" ht="14.25" x14ac:dyDescent="0.2"/>
    <row r="1350" s="418" customFormat="1" ht="14.25" x14ac:dyDescent="0.2"/>
    <row r="1351" s="418" customFormat="1" ht="14.25" x14ac:dyDescent="0.2"/>
    <row r="1352" s="418" customFormat="1" ht="14.25" x14ac:dyDescent="0.2"/>
    <row r="1353" s="418" customFormat="1" ht="14.25" x14ac:dyDescent="0.2"/>
    <row r="1354" s="418" customFormat="1" ht="14.25" x14ac:dyDescent="0.2"/>
    <row r="1355" s="418" customFormat="1" ht="14.25" x14ac:dyDescent="0.2"/>
    <row r="1356" s="418" customFormat="1" ht="14.25" x14ac:dyDescent="0.2"/>
    <row r="1357" s="418" customFormat="1" ht="14.25" x14ac:dyDescent="0.2"/>
    <row r="1358" s="418" customFormat="1" ht="14.25" x14ac:dyDescent="0.2"/>
    <row r="1359" s="418" customFormat="1" ht="14.25" x14ac:dyDescent="0.2"/>
    <row r="1360" s="418" customFormat="1" ht="14.25" x14ac:dyDescent="0.2"/>
    <row r="1361" s="418" customFormat="1" ht="14.25" x14ac:dyDescent="0.2"/>
    <row r="1362" s="418" customFormat="1" ht="14.25" x14ac:dyDescent="0.2"/>
    <row r="1363" s="418" customFormat="1" ht="14.25" x14ac:dyDescent="0.2"/>
    <row r="1364" s="418" customFormat="1" ht="14.25" x14ac:dyDescent="0.2"/>
    <row r="1365" s="418" customFormat="1" ht="14.25" x14ac:dyDescent="0.2"/>
    <row r="1366" s="418" customFormat="1" ht="14.25" x14ac:dyDescent="0.2"/>
    <row r="1367" s="418" customFormat="1" ht="14.25" x14ac:dyDescent="0.2"/>
    <row r="1368" s="418" customFormat="1" ht="14.25" x14ac:dyDescent="0.2"/>
    <row r="1369" s="418" customFormat="1" ht="14.25" x14ac:dyDescent="0.2"/>
    <row r="1370" s="418" customFormat="1" ht="14.25" x14ac:dyDescent="0.2"/>
    <row r="1371" s="418" customFormat="1" ht="14.25" x14ac:dyDescent="0.2"/>
    <row r="1372" s="418" customFormat="1" ht="14.25" x14ac:dyDescent="0.2"/>
    <row r="1373" s="418" customFormat="1" ht="14.25" x14ac:dyDescent="0.2"/>
    <row r="1374" s="418" customFormat="1" ht="14.25" x14ac:dyDescent="0.2"/>
    <row r="1375" s="418" customFormat="1" ht="14.25" x14ac:dyDescent="0.2"/>
    <row r="1376" s="418" customFormat="1" ht="14.25" x14ac:dyDescent="0.2"/>
    <row r="1377" s="418" customFormat="1" ht="14.25" x14ac:dyDescent="0.2"/>
    <row r="1378" s="418" customFormat="1" ht="14.25" x14ac:dyDescent="0.2"/>
    <row r="1379" s="418" customFormat="1" ht="14.25" x14ac:dyDescent="0.2"/>
    <row r="1380" s="418" customFormat="1" ht="14.25" x14ac:dyDescent="0.2"/>
    <row r="1381" s="418" customFormat="1" ht="14.25" x14ac:dyDescent="0.2"/>
    <row r="1382" s="418" customFormat="1" ht="14.25" x14ac:dyDescent="0.2"/>
    <row r="1383" s="418" customFormat="1" ht="14.25" x14ac:dyDescent="0.2"/>
    <row r="1384" s="418" customFormat="1" ht="14.25" x14ac:dyDescent="0.2"/>
    <row r="1385" s="418" customFormat="1" ht="14.25" x14ac:dyDescent="0.2"/>
    <row r="1386" s="418" customFormat="1" ht="14.25" x14ac:dyDescent="0.2"/>
    <row r="1387" s="418" customFormat="1" ht="14.25" x14ac:dyDescent="0.2"/>
    <row r="1388" s="418" customFormat="1" ht="14.25" x14ac:dyDescent="0.2"/>
    <row r="1389" s="418" customFormat="1" ht="14.25" x14ac:dyDescent="0.2"/>
    <row r="1390" s="418" customFormat="1" ht="14.25" x14ac:dyDescent="0.2"/>
    <row r="1391" s="418" customFormat="1" ht="14.25" x14ac:dyDescent="0.2"/>
    <row r="1392" s="418" customFormat="1" ht="14.25" x14ac:dyDescent="0.2"/>
    <row r="1393" s="418" customFormat="1" ht="14.25" x14ac:dyDescent="0.2"/>
    <row r="1394" s="418" customFormat="1" ht="14.25" x14ac:dyDescent="0.2"/>
    <row r="1395" s="418" customFormat="1" ht="14.25" x14ac:dyDescent="0.2"/>
    <row r="1396" s="418" customFormat="1" ht="14.25" x14ac:dyDescent="0.2"/>
    <row r="1397" s="418" customFormat="1" ht="14.25" x14ac:dyDescent="0.2"/>
    <row r="1398" s="418" customFormat="1" ht="14.25" x14ac:dyDescent="0.2"/>
    <row r="1399" s="418" customFormat="1" ht="14.25" x14ac:dyDescent="0.2"/>
    <row r="1400" s="418" customFormat="1" ht="14.25" x14ac:dyDescent="0.2"/>
    <row r="1401" s="418" customFormat="1" ht="14.25" x14ac:dyDescent="0.2"/>
    <row r="1402" s="418" customFormat="1" ht="14.25" x14ac:dyDescent="0.2"/>
    <row r="1403" s="418" customFormat="1" ht="14.25" x14ac:dyDescent="0.2"/>
    <row r="1404" s="418" customFormat="1" ht="14.25" x14ac:dyDescent="0.2"/>
    <row r="1405" s="418" customFormat="1" ht="14.25" x14ac:dyDescent="0.2"/>
    <row r="1406" s="418" customFormat="1" ht="14.25" x14ac:dyDescent="0.2"/>
    <row r="1407" s="418" customFormat="1" ht="14.25" x14ac:dyDescent="0.2"/>
    <row r="1408" s="418" customFormat="1" ht="14.25" x14ac:dyDescent="0.2"/>
    <row r="1409" s="418" customFormat="1" ht="14.25" x14ac:dyDescent="0.2"/>
    <row r="1410" s="418" customFormat="1" ht="14.25" x14ac:dyDescent="0.2"/>
    <row r="1411" s="418" customFormat="1" ht="14.25" x14ac:dyDescent="0.2"/>
    <row r="1412" s="418" customFormat="1" ht="14.25" x14ac:dyDescent="0.2"/>
    <row r="1413" s="418" customFormat="1" ht="14.25" x14ac:dyDescent="0.2"/>
    <row r="1414" s="418" customFormat="1" ht="14.25" x14ac:dyDescent="0.2"/>
    <row r="1415" s="418" customFormat="1" ht="14.25" x14ac:dyDescent="0.2"/>
    <row r="1416" s="418" customFormat="1" ht="14.25" x14ac:dyDescent="0.2"/>
    <row r="1417" s="418" customFormat="1" ht="14.25" x14ac:dyDescent="0.2"/>
    <row r="1418" s="418" customFormat="1" ht="14.25" x14ac:dyDescent="0.2"/>
    <row r="1419" s="418" customFormat="1" ht="14.25" x14ac:dyDescent="0.2"/>
    <row r="1420" s="418" customFormat="1" ht="14.25" x14ac:dyDescent="0.2"/>
    <row r="1421" s="418" customFormat="1" ht="14.25" x14ac:dyDescent="0.2"/>
    <row r="1422" s="418" customFormat="1" ht="14.25" x14ac:dyDescent="0.2"/>
    <row r="1423" s="418" customFormat="1" ht="14.25" x14ac:dyDescent="0.2"/>
    <row r="1424" s="418" customFormat="1" ht="14.25" x14ac:dyDescent="0.2"/>
    <row r="1425" s="418" customFormat="1" ht="14.25" x14ac:dyDescent="0.2"/>
    <row r="1426" s="418" customFormat="1" ht="14.25" x14ac:dyDescent="0.2"/>
    <row r="1427" s="418" customFormat="1" ht="14.25" x14ac:dyDescent="0.2"/>
    <row r="1428" s="418" customFormat="1" ht="14.25" x14ac:dyDescent="0.2"/>
    <row r="1429" s="418" customFormat="1" ht="14.25" x14ac:dyDescent="0.2"/>
    <row r="1430" s="418" customFormat="1" ht="14.25" x14ac:dyDescent="0.2"/>
    <row r="1431" s="418" customFormat="1" ht="14.25" x14ac:dyDescent="0.2"/>
    <row r="1432" s="418" customFormat="1" ht="14.25" x14ac:dyDescent="0.2"/>
    <row r="1433" s="418" customFormat="1" ht="14.25" x14ac:dyDescent="0.2"/>
    <row r="1434" s="418" customFormat="1" ht="14.25" x14ac:dyDescent="0.2"/>
    <row r="1435" s="418" customFormat="1" ht="14.25" x14ac:dyDescent="0.2"/>
    <row r="1436" s="418" customFormat="1" ht="14.25" x14ac:dyDescent="0.2"/>
    <row r="1437" s="418" customFormat="1" ht="14.25" x14ac:dyDescent="0.2"/>
    <row r="1438" s="418" customFormat="1" ht="14.25" x14ac:dyDescent="0.2"/>
    <row r="1439" s="418" customFormat="1" ht="14.25" x14ac:dyDescent="0.2"/>
    <row r="1440" s="418" customFormat="1" ht="14.25" x14ac:dyDescent="0.2"/>
    <row r="1441" s="418" customFormat="1" ht="14.25" x14ac:dyDescent="0.2"/>
    <row r="1442" s="418" customFormat="1" ht="14.25" x14ac:dyDescent="0.2"/>
    <row r="1443" s="418" customFormat="1" ht="14.25" x14ac:dyDescent="0.2"/>
    <row r="1444" s="418" customFormat="1" ht="14.25" x14ac:dyDescent="0.2"/>
    <row r="1445" s="418" customFormat="1" ht="14.25" x14ac:dyDescent="0.2"/>
    <row r="1446" s="418" customFormat="1" ht="14.25" x14ac:dyDescent="0.2"/>
    <row r="1447" s="418" customFormat="1" ht="14.25" x14ac:dyDescent="0.2"/>
    <row r="1448" s="418" customFormat="1" ht="14.25" x14ac:dyDescent="0.2"/>
    <row r="1449" s="418" customFormat="1" ht="14.25" x14ac:dyDescent="0.2"/>
    <row r="1450" s="418" customFormat="1" ht="14.25" x14ac:dyDescent="0.2"/>
    <row r="1451" s="418" customFormat="1" ht="14.25" x14ac:dyDescent="0.2"/>
    <row r="1452" s="418" customFormat="1" ht="14.25" x14ac:dyDescent="0.2"/>
    <row r="1453" s="418" customFormat="1" ht="14.25" x14ac:dyDescent="0.2"/>
    <row r="1454" s="418" customFormat="1" ht="14.25" x14ac:dyDescent="0.2"/>
    <row r="1455" s="418" customFormat="1" ht="14.25" x14ac:dyDescent="0.2"/>
    <row r="1456" s="418" customFormat="1" ht="14.25" x14ac:dyDescent="0.2"/>
    <row r="1457" s="418" customFormat="1" ht="14.25" x14ac:dyDescent="0.2"/>
    <row r="1458" s="418" customFormat="1" ht="14.25" x14ac:dyDescent="0.2"/>
    <row r="1459" s="418" customFormat="1" ht="14.25" x14ac:dyDescent="0.2"/>
    <row r="1460" s="418" customFormat="1" ht="14.25" x14ac:dyDescent="0.2"/>
    <row r="1461" s="418" customFormat="1" ht="14.25" x14ac:dyDescent="0.2"/>
    <row r="1462" s="418" customFormat="1" ht="14.25" x14ac:dyDescent="0.2"/>
    <row r="1463" s="418" customFormat="1" ht="14.25" x14ac:dyDescent="0.2"/>
    <row r="1464" s="418" customFormat="1" ht="14.25" x14ac:dyDescent="0.2"/>
    <row r="1465" s="418" customFormat="1" ht="14.25" x14ac:dyDescent="0.2"/>
    <row r="1466" s="418" customFormat="1" ht="14.25" x14ac:dyDescent="0.2"/>
    <row r="1467" s="418" customFormat="1" ht="14.25" x14ac:dyDescent="0.2"/>
    <row r="1468" s="418" customFormat="1" ht="14.25" x14ac:dyDescent="0.2"/>
    <row r="1469" s="418" customFormat="1" ht="14.25" x14ac:dyDescent="0.2"/>
    <row r="1470" s="418" customFormat="1" ht="14.25" x14ac:dyDescent="0.2"/>
    <row r="1471" s="418" customFormat="1" ht="14.25" x14ac:dyDescent="0.2"/>
    <row r="1472" s="418" customFormat="1" ht="14.25" x14ac:dyDescent="0.2"/>
    <row r="1473" s="418" customFormat="1" ht="14.25" x14ac:dyDescent="0.2"/>
    <row r="1474" s="418" customFormat="1" ht="14.25" x14ac:dyDescent="0.2"/>
    <row r="1475" s="418" customFormat="1" ht="14.25" x14ac:dyDescent="0.2"/>
    <row r="1476" s="418" customFormat="1" ht="14.25" x14ac:dyDescent="0.2"/>
    <row r="1477" s="418" customFormat="1" ht="14.25" x14ac:dyDescent="0.2"/>
    <row r="1478" s="418" customFormat="1" ht="14.25" x14ac:dyDescent="0.2"/>
    <row r="1479" s="418" customFormat="1" ht="14.25" x14ac:dyDescent="0.2"/>
    <row r="1480" s="418" customFormat="1" ht="14.25" x14ac:dyDescent="0.2"/>
    <row r="1481" s="418" customFormat="1" ht="14.25" x14ac:dyDescent="0.2"/>
    <row r="1482" s="418" customFormat="1" ht="14.25" x14ac:dyDescent="0.2"/>
    <row r="1483" s="418" customFormat="1" ht="14.25" x14ac:dyDescent="0.2"/>
    <row r="1484" s="418" customFormat="1" ht="14.25" x14ac:dyDescent="0.2"/>
    <row r="1485" s="418" customFormat="1" ht="14.25" x14ac:dyDescent="0.2"/>
    <row r="1486" s="418" customFormat="1" ht="14.25" x14ac:dyDescent="0.2"/>
    <row r="1487" s="418" customFormat="1" ht="14.25" x14ac:dyDescent="0.2"/>
    <row r="1488" s="418" customFormat="1" ht="14.25" x14ac:dyDescent="0.2"/>
    <row r="1489" s="418" customFormat="1" ht="14.25" x14ac:dyDescent="0.2"/>
    <row r="1490" s="418" customFormat="1" ht="14.25" x14ac:dyDescent="0.2"/>
    <row r="1491" s="418" customFormat="1" ht="14.25" x14ac:dyDescent="0.2"/>
    <row r="1492" s="418" customFormat="1" ht="14.25" x14ac:dyDescent="0.2"/>
    <row r="1493" s="418" customFormat="1" ht="14.25" x14ac:dyDescent="0.2"/>
    <row r="1494" s="418" customFormat="1" ht="14.25" x14ac:dyDescent="0.2"/>
    <row r="1495" s="418" customFormat="1" ht="14.25" x14ac:dyDescent="0.2"/>
    <row r="1496" s="418" customFormat="1" ht="14.25" x14ac:dyDescent="0.2"/>
    <row r="1497" s="418" customFormat="1" ht="14.25" x14ac:dyDescent="0.2"/>
    <row r="1498" s="418" customFormat="1" ht="14.25" x14ac:dyDescent="0.2"/>
    <row r="1499" s="418" customFormat="1" ht="14.25" x14ac:dyDescent="0.2"/>
    <row r="1500" s="418" customFormat="1" ht="14.25" x14ac:dyDescent="0.2"/>
    <row r="1501" s="418" customFormat="1" ht="14.25" x14ac:dyDescent="0.2"/>
    <row r="1502" s="418" customFormat="1" ht="14.25" x14ac:dyDescent="0.2"/>
    <row r="1503" s="418" customFormat="1" ht="14.25" x14ac:dyDescent="0.2"/>
    <row r="1504" s="418" customFormat="1" ht="14.25" x14ac:dyDescent="0.2"/>
    <row r="1505" s="418" customFormat="1" ht="14.25" x14ac:dyDescent="0.2"/>
    <row r="1506" s="418" customFormat="1" ht="14.25" x14ac:dyDescent="0.2"/>
    <row r="1507" s="418" customFormat="1" ht="14.25" x14ac:dyDescent="0.2"/>
    <row r="1508" s="418" customFormat="1" ht="14.25" x14ac:dyDescent="0.2"/>
    <row r="1509" s="418" customFormat="1" ht="14.25" x14ac:dyDescent="0.2"/>
    <row r="1510" s="418" customFormat="1" ht="14.25" x14ac:dyDescent="0.2"/>
    <row r="1511" s="418" customFormat="1" ht="14.25" x14ac:dyDescent="0.2"/>
    <row r="1512" s="418" customFormat="1" ht="14.25" x14ac:dyDescent="0.2"/>
    <row r="1513" s="418" customFormat="1" ht="14.25" x14ac:dyDescent="0.2"/>
    <row r="1514" s="418" customFormat="1" ht="14.25" x14ac:dyDescent="0.2"/>
    <row r="1515" s="418" customFormat="1" ht="14.25" x14ac:dyDescent="0.2"/>
    <row r="1516" s="418" customFormat="1" ht="14.25" x14ac:dyDescent="0.2"/>
    <row r="1517" s="418" customFormat="1" ht="14.25" x14ac:dyDescent="0.2"/>
    <row r="1518" s="418" customFormat="1" ht="14.25" x14ac:dyDescent="0.2"/>
    <row r="1519" s="418" customFormat="1" ht="14.25" x14ac:dyDescent="0.2"/>
    <row r="1520" s="418" customFormat="1" ht="14.25" x14ac:dyDescent="0.2"/>
    <row r="1521" s="418" customFormat="1" ht="14.25" x14ac:dyDescent="0.2"/>
    <row r="1522" s="418" customFormat="1" ht="14.25" x14ac:dyDescent="0.2"/>
    <row r="1523" s="418" customFormat="1" ht="14.25" x14ac:dyDescent="0.2"/>
    <row r="1524" s="418" customFormat="1" ht="14.25" x14ac:dyDescent="0.2"/>
    <row r="1525" s="418" customFormat="1" ht="14.25" x14ac:dyDescent="0.2"/>
    <row r="1526" s="418" customFormat="1" ht="14.25" x14ac:dyDescent="0.2"/>
    <row r="1527" s="418" customFormat="1" ht="14.25" x14ac:dyDescent="0.2"/>
    <row r="1528" s="418" customFormat="1" ht="14.25" x14ac:dyDescent="0.2"/>
    <row r="1529" s="418" customFormat="1" ht="14.25" x14ac:dyDescent="0.2"/>
    <row r="1530" s="418" customFormat="1" ht="14.25" x14ac:dyDescent="0.2"/>
    <row r="1531" s="418" customFormat="1" ht="14.25" x14ac:dyDescent="0.2"/>
    <row r="1532" s="418" customFormat="1" ht="14.25" x14ac:dyDescent="0.2"/>
    <row r="1533" s="418" customFormat="1" ht="14.25" x14ac:dyDescent="0.2"/>
    <row r="1534" s="418" customFormat="1" ht="14.25" x14ac:dyDescent="0.2"/>
    <row r="1535" s="418" customFormat="1" ht="14.25" x14ac:dyDescent="0.2"/>
    <row r="1536" s="418" customFormat="1" ht="14.25" x14ac:dyDescent="0.2"/>
    <row r="1537" s="418" customFormat="1" ht="14.25" x14ac:dyDescent="0.2"/>
    <row r="1538" s="418" customFormat="1" ht="14.25" x14ac:dyDescent="0.2"/>
    <row r="1539" s="418" customFormat="1" ht="14.25" x14ac:dyDescent="0.2"/>
    <row r="1540" s="418" customFormat="1" ht="14.25" x14ac:dyDescent="0.2"/>
    <row r="1541" s="418" customFormat="1" ht="14.25" x14ac:dyDescent="0.2"/>
    <row r="1542" s="418" customFormat="1" ht="14.25" x14ac:dyDescent="0.2"/>
    <row r="1543" s="418" customFormat="1" ht="14.25" x14ac:dyDescent="0.2"/>
    <row r="1544" s="418" customFormat="1" ht="14.25" x14ac:dyDescent="0.2"/>
    <row r="1545" s="418" customFormat="1" ht="14.25" x14ac:dyDescent="0.2"/>
    <row r="1546" s="418" customFormat="1" ht="14.25" x14ac:dyDescent="0.2"/>
    <row r="1547" s="418" customFormat="1" ht="14.25" x14ac:dyDescent="0.2"/>
    <row r="1548" s="418" customFormat="1" ht="14.25" x14ac:dyDescent="0.2"/>
    <row r="1549" s="418" customFormat="1" ht="14.25" x14ac:dyDescent="0.2"/>
    <row r="1550" s="418" customFormat="1" ht="14.25" x14ac:dyDescent="0.2"/>
    <row r="1551" s="418" customFormat="1" ht="14.25" x14ac:dyDescent="0.2"/>
    <row r="1552" s="418" customFormat="1" ht="14.25" x14ac:dyDescent="0.2"/>
    <row r="1553" s="418" customFormat="1" ht="14.25" x14ac:dyDescent="0.2"/>
    <row r="1554" s="418" customFormat="1" ht="14.25" x14ac:dyDescent="0.2"/>
    <row r="1555" s="418" customFormat="1" ht="14.25" x14ac:dyDescent="0.2"/>
    <row r="1556" s="418" customFormat="1" ht="14.25" x14ac:dyDescent="0.2"/>
    <row r="1557" s="418" customFormat="1" ht="14.25" x14ac:dyDescent="0.2"/>
    <row r="1558" s="418" customFormat="1" ht="14.25" x14ac:dyDescent="0.2"/>
    <row r="1559" s="418" customFormat="1" ht="14.25" x14ac:dyDescent="0.2"/>
    <row r="1560" s="418" customFormat="1" ht="14.25" x14ac:dyDescent="0.2"/>
    <row r="1561" s="418" customFormat="1" ht="14.25" x14ac:dyDescent="0.2"/>
    <row r="1562" s="418" customFormat="1" ht="14.25" x14ac:dyDescent="0.2"/>
    <row r="1563" s="418" customFormat="1" ht="14.25" x14ac:dyDescent="0.2"/>
    <row r="1564" s="418" customFormat="1" ht="14.25" x14ac:dyDescent="0.2"/>
    <row r="1565" s="418" customFormat="1" ht="14.25" x14ac:dyDescent="0.2"/>
    <row r="1566" s="418" customFormat="1" ht="14.25" x14ac:dyDescent="0.2"/>
    <row r="1567" s="418" customFormat="1" ht="14.25" x14ac:dyDescent="0.2"/>
    <row r="1568" s="418" customFormat="1" ht="14.25" x14ac:dyDescent="0.2"/>
    <row r="1569" s="418" customFormat="1" ht="14.25" x14ac:dyDescent="0.2"/>
    <row r="1570" s="418" customFormat="1" ht="14.25" x14ac:dyDescent="0.2"/>
    <row r="1571" s="418" customFormat="1" ht="14.25" x14ac:dyDescent="0.2"/>
    <row r="1572" s="418" customFormat="1" ht="14.25" x14ac:dyDescent="0.2"/>
    <row r="1573" s="418" customFormat="1" ht="14.25" x14ac:dyDescent="0.2"/>
    <row r="1574" s="418" customFormat="1" ht="14.25" x14ac:dyDescent="0.2"/>
    <row r="1575" s="418" customFormat="1" ht="14.25" x14ac:dyDescent="0.2"/>
    <row r="1576" s="418" customFormat="1" ht="14.25" x14ac:dyDescent="0.2"/>
    <row r="1577" s="418" customFormat="1" ht="14.25" x14ac:dyDescent="0.2"/>
    <row r="1578" s="418" customFormat="1" ht="14.25" x14ac:dyDescent="0.2"/>
    <row r="1579" s="418" customFormat="1" ht="14.25" x14ac:dyDescent="0.2"/>
    <row r="1580" s="418" customFormat="1" ht="14.25" x14ac:dyDescent="0.2"/>
    <row r="1581" s="418" customFormat="1" ht="14.25" x14ac:dyDescent="0.2"/>
    <row r="1582" s="418" customFormat="1" ht="14.25" x14ac:dyDescent="0.2"/>
    <row r="1583" s="418" customFormat="1" ht="14.25" x14ac:dyDescent="0.2"/>
    <row r="1584" s="418" customFormat="1" ht="14.25" x14ac:dyDescent="0.2"/>
    <row r="1585" s="418" customFormat="1" ht="14.25" x14ac:dyDescent="0.2"/>
    <row r="1586" s="418" customFormat="1" ht="14.25" x14ac:dyDescent="0.2"/>
    <row r="1587" s="418" customFormat="1" ht="14.25" x14ac:dyDescent="0.2"/>
    <row r="1588" s="418" customFormat="1" ht="14.25" x14ac:dyDescent="0.2"/>
    <row r="1589" s="418" customFormat="1" ht="14.25" x14ac:dyDescent="0.2"/>
    <row r="1590" s="418" customFormat="1" ht="14.25" x14ac:dyDescent="0.2"/>
    <row r="1591" s="418" customFormat="1" ht="14.25" x14ac:dyDescent="0.2"/>
    <row r="1592" s="418" customFormat="1" ht="14.25" x14ac:dyDescent="0.2"/>
    <row r="1593" s="418" customFormat="1" ht="14.25" x14ac:dyDescent="0.2"/>
    <row r="1594" s="418" customFormat="1" ht="14.25" x14ac:dyDescent="0.2"/>
    <row r="1595" s="418" customFormat="1" ht="14.25" x14ac:dyDescent="0.2"/>
    <row r="1596" s="418" customFormat="1" ht="14.25" x14ac:dyDescent="0.2"/>
    <row r="1597" s="418" customFormat="1" ht="14.25" x14ac:dyDescent="0.2"/>
    <row r="1598" s="418" customFormat="1" ht="14.25" x14ac:dyDescent="0.2"/>
    <row r="1599" s="418" customFormat="1" ht="14.25" x14ac:dyDescent="0.2"/>
    <row r="1600" s="418" customFormat="1" ht="14.25" x14ac:dyDescent="0.2"/>
    <row r="1601" s="418" customFormat="1" ht="14.25" x14ac:dyDescent="0.2"/>
    <row r="1602" s="418" customFormat="1" ht="14.25" x14ac:dyDescent="0.2"/>
    <row r="1603" s="418" customFormat="1" ht="14.25" x14ac:dyDescent="0.2"/>
    <row r="1604" s="418" customFormat="1" ht="14.25" x14ac:dyDescent="0.2"/>
    <row r="1605" s="418" customFormat="1" ht="14.25" x14ac:dyDescent="0.2"/>
    <row r="1606" s="418" customFormat="1" ht="14.25" x14ac:dyDescent="0.2"/>
    <row r="1607" s="418" customFormat="1" ht="14.25" x14ac:dyDescent="0.2"/>
    <row r="1608" s="418" customFormat="1" ht="14.25" x14ac:dyDescent="0.2"/>
    <row r="1609" s="418" customFormat="1" ht="14.25" x14ac:dyDescent="0.2"/>
    <row r="1610" s="418" customFormat="1" ht="14.25" x14ac:dyDescent="0.2"/>
    <row r="1611" s="418" customFormat="1" ht="14.25" x14ac:dyDescent="0.2"/>
    <row r="1612" s="418" customFormat="1" ht="14.25" x14ac:dyDescent="0.2"/>
    <row r="1613" s="418" customFormat="1" ht="14.25" x14ac:dyDescent="0.2"/>
    <row r="1614" s="418" customFormat="1" ht="14.25" x14ac:dyDescent="0.2"/>
    <row r="1615" s="418" customFormat="1" ht="14.25" x14ac:dyDescent="0.2"/>
    <row r="1616" s="418" customFormat="1" ht="14.25" x14ac:dyDescent="0.2"/>
    <row r="1617" s="418" customFormat="1" ht="14.25" x14ac:dyDescent="0.2"/>
    <row r="1618" s="418" customFormat="1" ht="14.25" x14ac:dyDescent="0.2"/>
    <row r="1619" s="418" customFormat="1" ht="14.25" x14ac:dyDescent="0.2"/>
    <row r="1620" s="418" customFormat="1" ht="14.25" x14ac:dyDescent="0.2"/>
    <row r="1621" s="418" customFormat="1" ht="14.25" x14ac:dyDescent="0.2"/>
    <row r="1622" s="418" customFormat="1" ht="14.25" x14ac:dyDescent="0.2"/>
    <row r="1623" s="418" customFormat="1" ht="14.25" x14ac:dyDescent="0.2"/>
    <row r="1624" s="418" customFormat="1" ht="14.25" x14ac:dyDescent="0.2"/>
    <row r="1625" s="418" customFormat="1" ht="14.25" x14ac:dyDescent="0.2"/>
    <row r="1626" s="418" customFormat="1" ht="14.25" x14ac:dyDescent="0.2"/>
    <row r="1627" s="418" customFormat="1" ht="14.25" x14ac:dyDescent="0.2"/>
    <row r="1628" s="418" customFormat="1" ht="14.25" x14ac:dyDescent="0.2"/>
    <row r="1629" s="418" customFormat="1" ht="14.25" x14ac:dyDescent="0.2"/>
    <row r="1630" s="418" customFormat="1" ht="14.25" x14ac:dyDescent="0.2"/>
    <row r="1631" s="418" customFormat="1" ht="14.25" x14ac:dyDescent="0.2"/>
    <row r="1632" s="418" customFormat="1" ht="14.25" x14ac:dyDescent="0.2"/>
    <row r="1633" s="418" customFormat="1" ht="14.25" x14ac:dyDescent="0.2"/>
    <row r="1634" s="418" customFormat="1" ht="14.25" x14ac:dyDescent="0.2"/>
    <row r="1635" s="418" customFormat="1" ht="14.25" x14ac:dyDescent="0.2"/>
    <row r="1636" s="418" customFormat="1" ht="14.25" x14ac:dyDescent="0.2"/>
    <row r="1637" s="418" customFormat="1" ht="14.25" x14ac:dyDescent="0.2"/>
    <row r="1638" s="418" customFormat="1" ht="14.25" x14ac:dyDescent="0.2"/>
    <row r="1639" s="418" customFormat="1" ht="14.25" x14ac:dyDescent="0.2"/>
    <row r="1640" s="418" customFormat="1" ht="14.25" x14ac:dyDescent="0.2"/>
    <row r="1641" s="418" customFormat="1" ht="14.25" x14ac:dyDescent="0.2"/>
    <row r="1642" s="418" customFormat="1" ht="14.25" x14ac:dyDescent="0.2"/>
    <row r="1643" s="418" customFormat="1" ht="14.25" x14ac:dyDescent="0.2"/>
    <row r="1644" s="418" customFormat="1" ht="14.25" x14ac:dyDescent="0.2"/>
    <row r="1645" s="418" customFormat="1" ht="14.25" x14ac:dyDescent="0.2"/>
    <row r="1646" s="418" customFormat="1" ht="14.25" x14ac:dyDescent="0.2"/>
    <row r="1647" s="418" customFormat="1" ht="14.25" x14ac:dyDescent="0.2"/>
    <row r="1648" s="418" customFormat="1" ht="14.25" x14ac:dyDescent="0.2"/>
    <row r="1649" s="418" customFormat="1" ht="14.25" x14ac:dyDescent="0.2"/>
    <row r="1650" s="418" customFormat="1" ht="14.25" x14ac:dyDescent="0.2"/>
    <row r="1651" s="418" customFormat="1" ht="14.25" x14ac:dyDescent="0.2"/>
    <row r="1652" s="418" customFormat="1" ht="14.25" x14ac:dyDescent="0.2"/>
    <row r="1653" s="418" customFormat="1" ht="14.25" x14ac:dyDescent="0.2"/>
    <row r="1654" s="418" customFormat="1" ht="14.25" x14ac:dyDescent="0.2"/>
    <row r="1655" s="418" customFormat="1" ht="14.25" x14ac:dyDescent="0.2"/>
    <row r="1656" s="418" customFormat="1" ht="14.25" x14ac:dyDescent="0.2"/>
    <row r="1657" s="418" customFormat="1" ht="14.25" x14ac:dyDescent="0.2"/>
    <row r="1658" s="418" customFormat="1" ht="14.25" x14ac:dyDescent="0.2"/>
    <row r="1659" s="418" customFormat="1" ht="14.25" x14ac:dyDescent="0.2"/>
    <row r="1660" s="418" customFormat="1" ht="14.25" x14ac:dyDescent="0.2"/>
    <row r="1661" s="418" customFormat="1" ht="14.25" x14ac:dyDescent="0.2"/>
    <row r="1662" s="418" customFormat="1" ht="14.25" x14ac:dyDescent="0.2"/>
    <row r="1663" s="418" customFormat="1" ht="14.25" x14ac:dyDescent="0.2"/>
    <row r="1664" s="418" customFormat="1" ht="14.25" x14ac:dyDescent="0.2"/>
    <row r="1665" s="418" customFormat="1" ht="14.25" x14ac:dyDescent="0.2"/>
    <row r="1666" s="418" customFormat="1" ht="14.25" x14ac:dyDescent="0.2"/>
    <row r="1667" s="418" customFormat="1" ht="14.25" x14ac:dyDescent="0.2"/>
    <row r="1668" s="418" customFormat="1" ht="14.25" x14ac:dyDescent="0.2"/>
    <row r="1669" s="418" customFormat="1" ht="14.25" x14ac:dyDescent="0.2"/>
    <row r="1670" s="418" customFormat="1" ht="14.25" x14ac:dyDescent="0.2"/>
    <row r="1671" s="418" customFormat="1" ht="14.25" x14ac:dyDescent="0.2"/>
    <row r="1672" s="418" customFormat="1" ht="14.25" x14ac:dyDescent="0.2"/>
    <row r="1673" s="418" customFormat="1" ht="14.25" x14ac:dyDescent="0.2"/>
    <row r="1674" s="418" customFormat="1" ht="14.25" x14ac:dyDescent="0.2"/>
    <row r="1675" s="418" customFormat="1" ht="14.25" x14ac:dyDescent="0.2"/>
    <row r="1676" s="418" customFormat="1" ht="14.25" x14ac:dyDescent="0.2"/>
    <row r="1677" s="418" customFormat="1" ht="14.25" x14ac:dyDescent="0.2"/>
    <row r="1678" s="418" customFormat="1" ht="14.25" x14ac:dyDescent="0.2"/>
    <row r="1679" s="418" customFormat="1" ht="14.25" x14ac:dyDescent="0.2"/>
    <row r="1680" s="418" customFormat="1" ht="14.25" x14ac:dyDescent="0.2"/>
    <row r="1681" s="418" customFormat="1" ht="14.25" x14ac:dyDescent="0.2"/>
    <row r="1682" s="418" customFormat="1" ht="14.25" x14ac:dyDescent="0.2"/>
    <row r="1683" s="418" customFormat="1" ht="14.25" x14ac:dyDescent="0.2"/>
    <row r="1684" s="418" customFormat="1" ht="14.25" x14ac:dyDescent="0.2"/>
    <row r="1685" s="418" customFormat="1" ht="14.25" x14ac:dyDescent="0.2"/>
    <row r="1686" s="418" customFormat="1" ht="14.25" x14ac:dyDescent="0.2"/>
    <row r="1687" s="418" customFormat="1" ht="14.25" x14ac:dyDescent="0.2"/>
    <row r="1688" s="418" customFormat="1" ht="14.25" x14ac:dyDescent="0.2"/>
    <row r="1689" s="418" customFormat="1" ht="14.25" x14ac:dyDescent="0.2"/>
    <row r="1690" s="418" customFormat="1" ht="14.25" x14ac:dyDescent="0.2"/>
    <row r="1691" s="418" customFormat="1" ht="14.25" x14ac:dyDescent="0.2"/>
    <row r="1692" s="418" customFormat="1" ht="14.25" x14ac:dyDescent="0.2"/>
    <row r="1693" s="418" customFormat="1" ht="14.25" x14ac:dyDescent="0.2"/>
    <row r="1694" s="418" customFormat="1" ht="14.25" x14ac:dyDescent="0.2"/>
    <row r="1695" s="418" customFormat="1" ht="14.25" x14ac:dyDescent="0.2"/>
    <row r="1696" s="418" customFormat="1" ht="14.25" x14ac:dyDescent="0.2"/>
    <row r="1697" s="418" customFormat="1" ht="14.25" x14ac:dyDescent="0.2"/>
    <row r="1698" s="418" customFormat="1" ht="14.25" x14ac:dyDescent="0.2"/>
    <row r="1699" s="418" customFormat="1" ht="14.25" x14ac:dyDescent="0.2"/>
    <row r="1700" s="418" customFormat="1" ht="14.25" x14ac:dyDescent="0.2"/>
    <row r="1701" s="418" customFormat="1" ht="14.25" x14ac:dyDescent="0.2"/>
    <row r="1702" s="418" customFormat="1" ht="14.25" x14ac:dyDescent="0.2"/>
    <row r="1703" s="418" customFormat="1" ht="14.25" x14ac:dyDescent="0.2"/>
    <row r="1704" s="418" customFormat="1" ht="14.25" x14ac:dyDescent="0.2"/>
    <row r="1705" s="418" customFormat="1" ht="14.25" x14ac:dyDescent="0.2"/>
    <row r="1706" s="418" customFormat="1" ht="14.25" x14ac:dyDescent="0.2"/>
    <row r="1707" s="418" customFormat="1" ht="14.25" x14ac:dyDescent="0.2"/>
    <row r="1708" s="418" customFormat="1" ht="14.25" x14ac:dyDescent="0.2"/>
    <row r="1709" s="418" customFormat="1" ht="14.25" x14ac:dyDescent="0.2"/>
    <row r="1710" s="418" customFormat="1" ht="14.25" x14ac:dyDescent="0.2"/>
    <row r="1711" s="418" customFormat="1" ht="14.25" x14ac:dyDescent="0.2"/>
    <row r="1712" s="418" customFormat="1" ht="14.25" x14ac:dyDescent="0.2"/>
    <row r="1713" s="418" customFormat="1" ht="14.25" x14ac:dyDescent="0.2"/>
    <row r="1714" s="418" customFormat="1" ht="14.25" x14ac:dyDescent="0.2"/>
    <row r="1715" s="418" customFormat="1" ht="14.25" x14ac:dyDescent="0.2"/>
    <row r="1716" s="418" customFormat="1" ht="14.25" x14ac:dyDescent="0.2"/>
    <row r="1717" s="418" customFormat="1" ht="14.25" x14ac:dyDescent="0.2"/>
    <row r="1718" s="418" customFormat="1" ht="14.25" x14ac:dyDescent="0.2"/>
    <row r="1719" s="418" customFormat="1" ht="14.25" x14ac:dyDescent="0.2"/>
    <row r="1720" s="418" customFormat="1" ht="14.25" x14ac:dyDescent="0.2"/>
    <row r="1721" s="418" customFormat="1" ht="14.25" x14ac:dyDescent="0.2"/>
    <row r="1722" s="418" customFormat="1" ht="14.25" x14ac:dyDescent="0.2"/>
    <row r="1723" s="418" customFormat="1" ht="14.25" x14ac:dyDescent="0.2"/>
    <row r="1724" s="418" customFormat="1" ht="14.25" x14ac:dyDescent="0.2"/>
    <row r="1725" s="418" customFormat="1" ht="14.25" x14ac:dyDescent="0.2"/>
    <row r="1726" s="418" customFormat="1" ht="14.25" x14ac:dyDescent="0.2"/>
    <row r="1727" s="418" customFormat="1" ht="14.25" x14ac:dyDescent="0.2"/>
    <row r="1728" s="418" customFormat="1" ht="14.25" x14ac:dyDescent="0.2"/>
    <row r="1729" s="418" customFormat="1" ht="14.25" x14ac:dyDescent="0.2"/>
    <row r="1730" s="418" customFormat="1" ht="14.25" x14ac:dyDescent="0.2"/>
    <row r="1731" s="418" customFormat="1" ht="14.25" x14ac:dyDescent="0.2"/>
    <row r="1732" s="418" customFormat="1" ht="14.25" x14ac:dyDescent="0.2"/>
    <row r="1733" s="418" customFormat="1" ht="14.25" x14ac:dyDescent="0.2"/>
    <row r="1734" s="418" customFormat="1" ht="14.25" x14ac:dyDescent="0.2"/>
    <row r="1735" s="418" customFormat="1" ht="14.25" x14ac:dyDescent="0.2"/>
    <row r="1736" s="418" customFormat="1" ht="14.25" x14ac:dyDescent="0.2"/>
    <row r="1737" s="418" customFormat="1" ht="14.25" x14ac:dyDescent="0.2"/>
    <row r="1738" s="418" customFormat="1" ht="14.25" x14ac:dyDescent="0.2"/>
    <row r="1739" s="418" customFormat="1" ht="14.25" x14ac:dyDescent="0.2"/>
    <row r="1740" s="418" customFormat="1" ht="14.25" x14ac:dyDescent="0.2"/>
    <row r="1741" s="418" customFormat="1" ht="14.25" x14ac:dyDescent="0.2"/>
    <row r="1742" s="418" customFormat="1" ht="14.25" x14ac:dyDescent="0.2"/>
    <row r="1743" s="418" customFormat="1" ht="14.25" x14ac:dyDescent="0.2"/>
    <row r="1744" s="418" customFormat="1" ht="14.25" x14ac:dyDescent="0.2"/>
    <row r="1745" s="418" customFormat="1" ht="14.25" x14ac:dyDescent="0.2"/>
    <row r="1746" s="418" customFormat="1" ht="14.25" x14ac:dyDescent="0.2"/>
    <row r="1747" s="418" customFormat="1" ht="14.25" x14ac:dyDescent="0.2"/>
    <row r="1748" s="418" customFormat="1" ht="14.25" x14ac:dyDescent="0.2"/>
    <row r="1749" s="418" customFormat="1" ht="14.25" x14ac:dyDescent="0.2"/>
    <row r="1750" s="418" customFormat="1" ht="14.25" x14ac:dyDescent="0.2"/>
    <row r="1751" s="418" customFormat="1" ht="14.25" x14ac:dyDescent="0.2"/>
    <row r="1752" s="418" customFormat="1" ht="14.25" x14ac:dyDescent="0.2"/>
    <row r="1753" s="418" customFormat="1" ht="14.25" x14ac:dyDescent="0.2"/>
    <row r="1754" s="418" customFormat="1" ht="14.25" x14ac:dyDescent="0.2"/>
    <row r="1755" s="418" customFormat="1" ht="14.25" x14ac:dyDescent="0.2"/>
    <row r="1756" s="418" customFormat="1" ht="14.25" x14ac:dyDescent="0.2"/>
    <row r="1757" s="418" customFormat="1" ht="14.25" x14ac:dyDescent="0.2"/>
    <row r="1758" s="418" customFormat="1" ht="14.25" x14ac:dyDescent="0.2"/>
    <row r="1759" s="418" customFormat="1" ht="14.25" x14ac:dyDescent="0.2"/>
    <row r="1760" s="418" customFormat="1" ht="14.25" x14ac:dyDescent="0.2"/>
    <row r="1761" s="418" customFormat="1" ht="14.25" x14ac:dyDescent="0.2"/>
    <row r="1762" s="418" customFormat="1" ht="14.25" x14ac:dyDescent="0.2"/>
    <row r="1763" s="418" customFormat="1" ht="14.25" x14ac:dyDescent="0.2"/>
    <row r="1764" s="418" customFormat="1" ht="14.25" x14ac:dyDescent="0.2"/>
    <row r="1765" s="418" customFormat="1" ht="14.25" x14ac:dyDescent="0.2"/>
    <row r="1766" s="418" customFormat="1" ht="14.25" x14ac:dyDescent="0.2"/>
    <row r="1767" s="418" customFormat="1" ht="14.25" x14ac:dyDescent="0.2"/>
    <row r="1768" s="418" customFormat="1" ht="14.25" x14ac:dyDescent="0.2"/>
    <row r="1769" s="418" customFormat="1" ht="14.25" x14ac:dyDescent="0.2"/>
    <row r="1770" s="418" customFormat="1" ht="14.25" x14ac:dyDescent="0.2"/>
    <row r="1771" s="418" customFormat="1" ht="14.25" x14ac:dyDescent="0.2"/>
    <row r="1772" s="418" customFormat="1" ht="14.25" x14ac:dyDescent="0.2"/>
  </sheetData>
  <mergeCells count="41">
    <mergeCell ref="C35:H35"/>
    <mergeCell ref="C36:H36"/>
    <mergeCell ref="B38:H38"/>
    <mergeCell ref="B39:H39"/>
    <mergeCell ref="E21:G21"/>
    <mergeCell ref="C33:H33"/>
    <mergeCell ref="C34:H34"/>
    <mergeCell ref="B26:B27"/>
    <mergeCell ref="C29:H29"/>
    <mergeCell ref="C30:H30"/>
    <mergeCell ref="C31:H31"/>
    <mergeCell ref="C32:H32"/>
    <mergeCell ref="C26:C27"/>
    <mergeCell ref="E26:E27"/>
    <mergeCell ref="F26:F27"/>
    <mergeCell ref="G26:G27"/>
    <mergeCell ref="H26:H27"/>
    <mergeCell ref="B14:H14"/>
    <mergeCell ref="B15:B18"/>
    <mergeCell ref="E17:G17"/>
    <mergeCell ref="E16:G16"/>
    <mergeCell ref="E15:G15"/>
    <mergeCell ref="E18:G18"/>
    <mergeCell ref="B19:G19"/>
    <mergeCell ref="B20:H20"/>
    <mergeCell ref="B22:G22"/>
    <mergeCell ref="B23:G23"/>
    <mergeCell ref="B25:H25"/>
    <mergeCell ref="B9:B12"/>
    <mergeCell ref="B13:G13"/>
    <mergeCell ref="E12:G12"/>
    <mergeCell ref="E11:G11"/>
    <mergeCell ref="E10:G10"/>
    <mergeCell ref="E9:G9"/>
    <mergeCell ref="B2:H2"/>
    <mergeCell ref="B3:H3"/>
    <mergeCell ref="B4:H4"/>
    <mergeCell ref="B5:H5"/>
    <mergeCell ref="B8:H8"/>
    <mergeCell ref="C7:D7"/>
    <mergeCell ref="E7:G7"/>
  </mergeCells>
  <dataValidations disablePrompts="1" count="3">
    <dataValidation type="list" allowBlank="1" showInputMessage="1" showErrorMessage="1" sqref="H6" xr:uid="{DA939651-9D6A-4D9B-9618-53B67F40B5B3}">
      <formula1>$B$55:$B$57</formula1>
    </dataValidation>
    <dataValidation type="list" allowBlank="1" showInputMessage="1" showErrorMessage="1" sqref="B5:H5" xr:uid="{A436F962-8B43-43AE-952E-3BE6EC8AA523}">
      <formula1>$B$52:$B$53</formula1>
    </dataValidation>
    <dataValidation type="list" allowBlank="1" showInputMessage="1" showErrorMessage="1" sqref="B4:H4" xr:uid="{718A1437-D7BA-4FB2-A1AA-FCC6B0D71626}">
      <formula1>$B$44:$B$50</formula1>
    </dataValidation>
  </dataValidations>
  <pageMargins left="0.511811024" right="0.511811024" top="0.78740157499999996" bottom="0.78740157499999996" header="0.31496062000000002" footer="0.31496062000000002"/>
  <pageSetup paperSize="9"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7CB57-C37F-423C-A8A3-62FFB4EF0919}">
  <sheetPr>
    <tabColor rgb="FF002060"/>
    <pageSetUpPr fitToPage="1"/>
  </sheetPr>
  <dimension ref="A1:K58"/>
  <sheetViews>
    <sheetView workbookViewId="0">
      <selection sqref="A1:XFD1048576"/>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ht="45" customHeight="1" x14ac:dyDescent="0.25">
      <c r="A1" s="417"/>
      <c r="B1" s="417"/>
      <c r="C1" s="417"/>
      <c r="D1" s="417"/>
      <c r="E1" s="417"/>
      <c r="F1" s="417"/>
      <c r="G1" s="417"/>
      <c r="H1" s="417"/>
      <c r="I1" s="417"/>
      <c r="J1" s="418"/>
      <c r="K1" s="418"/>
    </row>
    <row r="2" spans="1:11" x14ac:dyDescent="0.25">
      <c r="A2" s="417"/>
      <c r="B2" s="2050" t="s">
        <v>1213</v>
      </c>
      <c r="C2" s="2050"/>
      <c r="D2" s="2050"/>
      <c r="E2" s="2050"/>
      <c r="F2" s="2050"/>
      <c r="G2" s="2050"/>
      <c r="H2" s="2050"/>
      <c r="I2" s="417"/>
      <c r="J2" s="418"/>
      <c r="K2" s="419"/>
    </row>
    <row r="3" spans="1:11" x14ac:dyDescent="0.25">
      <c r="A3" s="417"/>
      <c r="B3" s="2050" t="s">
        <v>1214</v>
      </c>
      <c r="C3" s="2050"/>
      <c r="D3" s="2050"/>
      <c r="E3" s="2050"/>
      <c r="F3" s="2050"/>
      <c r="G3" s="2050"/>
      <c r="H3" s="2050"/>
      <c r="I3" s="417"/>
      <c r="J3" s="418"/>
      <c r="K3" s="437"/>
    </row>
    <row r="4" spans="1:11" ht="33" customHeight="1" x14ac:dyDescent="0.25">
      <c r="A4" s="417"/>
      <c r="B4" s="2091" t="s">
        <v>1266</v>
      </c>
      <c r="C4" s="2091"/>
      <c r="D4" s="2091"/>
      <c r="E4" s="2091"/>
      <c r="F4" s="2091"/>
      <c r="G4" s="2091"/>
      <c r="H4" s="2091"/>
      <c r="I4" s="417"/>
      <c r="J4" s="418"/>
      <c r="K4" s="418"/>
    </row>
    <row r="5" spans="1:11" x14ac:dyDescent="0.25">
      <c r="A5" s="417"/>
      <c r="B5" s="2051" t="s">
        <v>1216</v>
      </c>
      <c r="C5" s="2051"/>
      <c r="D5" s="2051"/>
      <c r="E5" s="2051"/>
      <c r="F5" s="2051"/>
      <c r="G5" s="2051"/>
      <c r="H5" s="2051"/>
      <c r="I5" s="417"/>
      <c r="J5" s="418"/>
      <c r="K5" s="418"/>
    </row>
    <row r="6" spans="1:11" ht="15" customHeight="1" thickBot="1" x14ac:dyDescent="0.3">
      <c r="A6" s="417"/>
      <c r="B6" s="420"/>
      <c r="C6" s="420"/>
      <c r="D6" s="420"/>
      <c r="E6" s="420"/>
      <c r="F6" s="420"/>
      <c r="G6" s="420"/>
      <c r="H6" s="421" t="s">
        <v>1264</v>
      </c>
      <c r="I6" s="417"/>
      <c r="J6" s="418"/>
      <c r="K6" s="418"/>
    </row>
    <row r="7" spans="1:11" ht="15.75" thickBot="1" x14ac:dyDescent="0.3">
      <c r="A7" s="417"/>
      <c r="B7" s="422" t="s">
        <v>1218</v>
      </c>
      <c r="C7" s="2092" t="s">
        <v>1219</v>
      </c>
      <c r="D7" s="2092"/>
      <c r="E7" s="2092"/>
      <c r="F7" s="2092"/>
      <c r="G7" s="2092"/>
      <c r="H7" s="423" t="s">
        <v>1220</v>
      </c>
      <c r="I7" s="417"/>
      <c r="J7" s="418"/>
      <c r="K7" s="418"/>
    </row>
    <row r="8" spans="1:11" ht="15.75" thickTop="1" x14ac:dyDescent="0.25">
      <c r="A8" s="417"/>
      <c r="B8" s="2052" t="s">
        <v>1221</v>
      </c>
      <c r="C8" s="2053"/>
      <c r="D8" s="2053"/>
      <c r="E8" s="2053"/>
      <c r="F8" s="2053"/>
      <c r="G8" s="2053"/>
      <c r="H8" s="2054"/>
      <c r="I8" s="417"/>
      <c r="J8" s="418"/>
      <c r="K8" s="418"/>
    </row>
    <row r="9" spans="1:11" x14ac:dyDescent="0.25">
      <c r="A9" s="417"/>
      <c r="B9" s="2055" t="s">
        <v>1222</v>
      </c>
      <c r="C9" s="2093" t="s">
        <v>1223</v>
      </c>
      <c r="D9" s="2094"/>
      <c r="E9" s="2094"/>
      <c r="F9" s="2094"/>
      <c r="G9" s="2095"/>
      <c r="H9" s="426">
        <v>1.66E-2</v>
      </c>
      <c r="I9" s="417"/>
      <c r="J9" s="418"/>
      <c r="K9" s="418"/>
    </row>
    <row r="10" spans="1:11" x14ac:dyDescent="0.25">
      <c r="A10" s="417"/>
      <c r="B10" s="2056"/>
      <c r="C10" s="2096" t="s">
        <v>1224</v>
      </c>
      <c r="D10" s="2097"/>
      <c r="E10" s="2097"/>
      <c r="F10" s="2097"/>
      <c r="G10" s="2098"/>
      <c r="H10" s="424">
        <v>3.0999999999999999E-3</v>
      </c>
      <c r="I10" s="417"/>
      <c r="J10" s="418"/>
      <c r="K10" s="418"/>
    </row>
    <row r="11" spans="1:11" x14ac:dyDescent="0.25">
      <c r="A11" s="417"/>
      <c r="B11" s="2056"/>
      <c r="C11" s="2096" t="s">
        <v>1225</v>
      </c>
      <c r="D11" s="2097"/>
      <c r="E11" s="2097"/>
      <c r="F11" s="2097"/>
      <c r="G11" s="2098"/>
      <c r="H11" s="424">
        <v>5.7000000000000002E-3</v>
      </c>
      <c r="I11" s="417"/>
      <c r="J11" s="418"/>
      <c r="K11" s="418"/>
    </row>
    <row r="12" spans="1:11" x14ac:dyDescent="0.25">
      <c r="A12" s="417"/>
      <c r="B12" s="2057"/>
      <c r="C12" s="2099" t="s">
        <v>1226</v>
      </c>
      <c r="D12" s="2100"/>
      <c r="E12" s="2100"/>
      <c r="F12" s="2100"/>
      <c r="G12" s="2101"/>
      <c r="H12" s="427">
        <v>8.6E-3</v>
      </c>
      <c r="I12" s="417"/>
      <c r="J12" s="418"/>
      <c r="K12" s="418"/>
    </row>
    <row r="13" spans="1:11" ht="15.75" thickBot="1" x14ac:dyDescent="0.3">
      <c r="A13" s="417"/>
      <c r="B13" s="2047" t="s">
        <v>1227</v>
      </c>
      <c r="C13" s="2048"/>
      <c r="D13" s="2048"/>
      <c r="E13" s="2048"/>
      <c r="F13" s="2048"/>
      <c r="G13" s="2049"/>
      <c r="H13" s="425">
        <v>3.4000000000000002E-2</v>
      </c>
      <c r="I13" s="417"/>
      <c r="J13" s="418"/>
      <c r="K13" s="418"/>
    </row>
    <row r="14" spans="1:11" ht="15.75" thickTop="1" x14ac:dyDescent="0.25">
      <c r="A14" s="417"/>
      <c r="B14" s="2052" t="s">
        <v>1228</v>
      </c>
      <c r="C14" s="2053"/>
      <c r="D14" s="2053"/>
      <c r="E14" s="2053"/>
      <c r="F14" s="2053"/>
      <c r="G14" s="2053"/>
      <c r="H14" s="2054"/>
      <c r="I14" s="417"/>
      <c r="J14" s="418"/>
      <c r="K14" s="418"/>
    </row>
    <row r="15" spans="1:11" x14ac:dyDescent="0.25">
      <c r="A15" s="417"/>
      <c r="B15" s="2055" t="s">
        <v>1229</v>
      </c>
      <c r="C15" s="2093" t="s">
        <v>1230</v>
      </c>
      <c r="D15" s="2094"/>
      <c r="E15" s="2094"/>
      <c r="F15" s="2094"/>
      <c r="G15" s="2095"/>
      <c r="H15" s="426">
        <v>0.03</v>
      </c>
      <c r="I15" s="417"/>
      <c r="J15" s="418"/>
      <c r="K15" s="418"/>
    </row>
    <row r="16" spans="1:11" x14ac:dyDescent="0.25">
      <c r="A16" s="417"/>
      <c r="B16" s="2056"/>
      <c r="C16" s="2096" t="s">
        <v>1231</v>
      </c>
      <c r="D16" s="2097"/>
      <c r="E16" s="2097"/>
      <c r="F16" s="2097"/>
      <c r="G16" s="2098"/>
      <c r="H16" s="424">
        <v>6.4999999999999997E-3</v>
      </c>
      <c r="I16" s="417"/>
      <c r="J16" s="418"/>
      <c r="K16" s="418"/>
    </row>
    <row r="17" spans="1:9" x14ac:dyDescent="0.25">
      <c r="A17" s="417"/>
      <c r="B17" s="2056"/>
      <c r="C17" s="2096" t="s">
        <v>1232</v>
      </c>
      <c r="D17" s="2097"/>
      <c r="E17" s="2097"/>
      <c r="F17" s="2097"/>
      <c r="G17" s="2098"/>
      <c r="H17" s="424">
        <v>0</v>
      </c>
      <c r="I17" s="417"/>
    </row>
    <row r="18" spans="1:9" x14ac:dyDescent="0.25">
      <c r="A18" s="417"/>
      <c r="B18" s="2057"/>
      <c r="C18" s="2099" t="s">
        <v>1233</v>
      </c>
      <c r="D18" s="2100"/>
      <c r="E18" s="2100"/>
      <c r="F18" s="2100"/>
      <c r="G18" s="2101"/>
      <c r="H18" s="427">
        <v>0</v>
      </c>
      <c r="I18" s="417"/>
    </row>
    <row r="19" spans="1:9" ht="15.75" thickBot="1" x14ac:dyDescent="0.3">
      <c r="A19" s="417"/>
      <c r="B19" s="2047" t="s">
        <v>1234</v>
      </c>
      <c r="C19" s="2048"/>
      <c r="D19" s="2048"/>
      <c r="E19" s="2048"/>
      <c r="F19" s="2048"/>
      <c r="G19" s="2049"/>
      <c r="H19" s="425">
        <v>3.6499999999999998E-2</v>
      </c>
      <c r="I19" s="417"/>
    </row>
    <row r="20" spans="1:9" ht="15.75" thickTop="1" x14ac:dyDescent="0.25">
      <c r="A20" s="417"/>
      <c r="B20" s="2052" t="s">
        <v>1235</v>
      </c>
      <c r="C20" s="2053"/>
      <c r="D20" s="2053"/>
      <c r="E20" s="2053"/>
      <c r="F20" s="2053"/>
      <c r="G20" s="2053"/>
      <c r="H20" s="2054"/>
      <c r="I20" s="417"/>
    </row>
    <row r="21" spans="1:9" x14ac:dyDescent="0.25">
      <c r="A21" s="417"/>
      <c r="B21" s="428" t="s">
        <v>1236</v>
      </c>
      <c r="C21" s="2102" t="s">
        <v>1237</v>
      </c>
      <c r="D21" s="2103"/>
      <c r="E21" s="2103"/>
      <c r="F21" s="2103"/>
      <c r="G21" s="2104"/>
      <c r="H21" s="426">
        <v>3.5000000000000003E-2</v>
      </c>
      <c r="I21" s="417"/>
    </row>
    <row r="22" spans="1:9" ht="15.75" thickBot="1" x14ac:dyDescent="0.3">
      <c r="A22" s="417"/>
      <c r="B22" s="2047" t="s">
        <v>1238</v>
      </c>
      <c r="C22" s="2048"/>
      <c r="D22" s="2048"/>
      <c r="E22" s="2048"/>
      <c r="F22" s="2048"/>
      <c r="G22" s="2049"/>
      <c r="H22" s="425">
        <v>3.5000000000000003E-2</v>
      </c>
      <c r="I22" s="417"/>
    </row>
    <row r="23" spans="1:9" ht="16.5" thickTop="1" thickBot="1" x14ac:dyDescent="0.3">
      <c r="A23" s="417"/>
      <c r="B23" s="2074" t="s">
        <v>1239</v>
      </c>
      <c r="C23" s="2075"/>
      <c r="D23" s="2075"/>
      <c r="E23" s="2075"/>
      <c r="F23" s="2075"/>
      <c r="G23" s="2076"/>
      <c r="H23" s="429">
        <v>0.11096635744680849</v>
      </c>
      <c r="I23" s="417"/>
    </row>
    <row r="24" spans="1:9" ht="20.100000000000001" customHeight="1" x14ac:dyDescent="0.25">
      <c r="A24" s="417"/>
      <c r="B24" s="430"/>
      <c r="C24" s="430"/>
      <c r="D24" s="430"/>
      <c r="E24" s="430"/>
      <c r="F24" s="430"/>
      <c r="G24" s="430"/>
      <c r="H24" s="430"/>
      <c r="I24" s="417"/>
    </row>
    <row r="25" spans="1:9" ht="15.75" customHeight="1" x14ac:dyDescent="0.25">
      <c r="A25" s="417"/>
      <c r="B25" s="2077" t="s">
        <v>1240</v>
      </c>
      <c r="C25" s="2077"/>
      <c r="D25" s="2077"/>
      <c r="E25" s="2077"/>
      <c r="F25" s="2077"/>
      <c r="G25" s="2077"/>
      <c r="H25" s="2077"/>
      <c r="I25" s="417"/>
    </row>
    <row r="26" spans="1:9" ht="21" customHeight="1" x14ac:dyDescent="0.25">
      <c r="A26" s="417"/>
      <c r="B26" s="2078" t="s">
        <v>1241</v>
      </c>
      <c r="C26" s="2079" t="s">
        <v>1242</v>
      </c>
      <c r="D26" s="431" t="s">
        <v>1243</v>
      </c>
      <c r="E26" s="2080" t="s">
        <v>1244</v>
      </c>
      <c r="F26" s="2081">
        <v>-1</v>
      </c>
      <c r="G26" s="2082" t="s">
        <v>1245</v>
      </c>
      <c r="H26" s="2073" t="s">
        <v>1246</v>
      </c>
      <c r="I26" s="417"/>
    </row>
    <row r="27" spans="1:9" ht="21" customHeight="1" x14ac:dyDescent="0.25">
      <c r="A27" s="417"/>
      <c r="B27" s="2078"/>
      <c r="C27" s="2079"/>
      <c r="D27" s="432" t="s">
        <v>1321</v>
      </c>
      <c r="E27" s="2080"/>
      <c r="F27" s="2081"/>
      <c r="G27" s="2082"/>
      <c r="H27" s="2073"/>
      <c r="I27" s="417"/>
    </row>
    <row r="28" spans="1:9" ht="3" customHeight="1" x14ac:dyDescent="0.25">
      <c r="A28" s="417"/>
      <c r="B28" s="430"/>
      <c r="C28" s="430"/>
      <c r="D28" s="430"/>
      <c r="E28" s="430"/>
      <c r="F28" s="430"/>
      <c r="G28" s="430"/>
      <c r="H28" s="430"/>
      <c r="I28" s="417"/>
    </row>
    <row r="29" spans="1:9" x14ac:dyDescent="0.25">
      <c r="A29" s="417"/>
      <c r="B29" s="433" t="s">
        <v>1247</v>
      </c>
      <c r="C29" s="2071" t="s">
        <v>1248</v>
      </c>
      <c r="D29" s="2071"/>
      <c r="E29" s="2071"/>
      <c r="F29" s="2071"/>
      <c r="G29" s="2071"/>
      <c r="H29" s="2071"/>
      <c r="I29" s="417"/>
    </row>
    <row r="30" spans="1:9" x14ac:dyDescent="0.25">
      <c r="A30" s="417"/>
      <c r="B30" s="433" t="s">
        <v>1150</v>
      </c>
      <c r="C30" s="2071" t="s">
        <v>1249</v>
      </c>
      <c r="D30" s="2071"/>
      <c r="E30" s="2071"/>
      <c r="F30" s="2071"/>
      <c r="G30" s="2071"/>
      <c r="H30" s="2071"/>
      <c r="I30" s="417"/>
    </row>
    <row r="31" spans="1:9" x14ac:dyDescent="0.25">
      <c r="A31" s="417"/>
      <c r="B31" s="433" t="s">
        <v>1250</v>
      </c>
      <c r="C31" s="2071" t="s">
        <v>1251</v>
      </c>
      <c r="D31" s="2071"/>
      <c r="E31" s="2071"/>
      <c r="F31" s="2071"/>
      <c r="G31" s="2071"/>
      <c r="H31" s="2071"/>
      <c r="I31" s="417"/>
    </row>
    <row r="32" spans="1:9" x14ac:dyDescent="0.25">
      <c r="A32" s="417"/>
      <c r="B32" s="433" t="s">
        <v>1252</v>
      </c>
      <c r="C32" s="2071" t="s">
        <v>1253</v>
      </c>
      <c r="D32" s="2071"/>
      <c r="E32" s="2071"/>
      <c r="F32" s="2071"/>
      <c r="G32" s="2071"/>
      <c r="H32" s="2071"/>
      <c r="I32" s="417"/>
    </row>
    <row r="33" spans="1:9" x14ac:dyDescent="0.25">
      <c r="A33" s="417"/>
      <c r="B33" s="433" t="s">
        <v>1254</v>
      </c>
      <c r="C33" s="2071" t="s">
        <v>1255</v>
      </c>
      <c r="D33" s="2071"/>
      <c r="E33" s="2071"/>
      <c r="F33" s="2071"/>
      <c r="G33" s="2071"/>
      <c r="H33" s="2071"/>
      <c r="I33" s="417"/>
    </row>
    <row r="34" spans="1:9" x14ac:dyDescent="0.25">
      <c r="A34" s="417"/>
      <c r="B34" s="433" t="s">
        <v>56</v>
      </c>
      <c r="C34" s="2071" t="s">
        <v>1256</v>
      </c>
      <c r="D34" s="2071"/>
      <c r="E34" s="2071"/>
      <c r="F34" s="2071"/>
      <c r="G34" s="2071"/>
      <c r="H34" s="2071"/>
      <c r="I34" s="417"/>
    </row>
    <row r="35" spans="1:9" x14ac:dyDescent="0.25">
      <c r="A35" s="417"/>
      <c r="B35" s="433" t="s">
        <v>1257</v>
      </c>
      <c r="C35" s="2071" t="s">
        <v>1258</v>
      </c>
      <c r="D35" s="2071"/>
      <c r="E35" s="2071"/>
      <c r="F35" s="2071"/>
      <c r="G35" s="2071"/>
      <c r="H35" s="2071"/>
      <c r="I35" s="417"/>
    </row>
    <row r="36" spans="1:9" s="436" customFormat="1" ht="44.25" customHeight="1" x14ac:dyDescent="0.2">
      <c r="A36" s="434"/>
      <c r="B36" s="435"/>
      <c r="C36" s="2072" t="s">
        <v>1267</v>
      </c>
      <c r="D36" s="2072"/>
      <c r="E36" s="2072"/>
      <c r="F36" s="2072"/>
      <c r="G36" s="2072"/>
      <c r="H36" s="2072"/>
      <c r="I36" s="434"/>
    </row>
    <row r="37" spans="1:9" ht="15" customHeight="1" x14ac:dyDescent="0.25">
      <c r="A37" s="417"/>
      <c r="B37" s="430"/>
      <c r="C37" s="430"/>
      <c r="D37" s="430"/>
      <c r="E37" s="430"/>
      <c r="F37" s="430"/>
      <c r="G37" s="430"/>
      <c r="H37" s="430"/>
      <c r="I37" s="417"/>
    </row>
    <row r="38" spans="1:9" x14ac:dyDescent="0.25">
      <c r="A38" s="417"/>
      <c r="B38" s="2070" t="s">
        <v>1260</v>
      </c>
      <c r="C38" s="2070"/>
      <c r="D38" s="2070"/>
      <c r="E38" s="2070"/>
      <c r="F38" s="2070"/>
      <c r="G38" s="2070"/>
      <c r="H38" s="2070"/>
      <c r="I38" s="417"/>
    </row>
    <row r="39" spans="1:9" x14ac:dyDescent="0.25">
      <c r="A39" s="417"/>
      <c r="B39" s="2070" t="s">
        <v>1261</v>
      </c>
      <c r="C39" s="2070"/>
      <c r="D39" s="2070"/>
      <c r="E39" s="2070"/>
      <c r="F39" s="2070"/>
      <c r="G39" s="2070"/>
      <c r="H39" s="2070"/>
      <c r="I39" s="417"/>
    </row>
    <row r="40" spans="1:9" ht="5.0999999999999996" customHeight="1" x14ac:dyDescent="0.25">
      <c r="A40" s="417"/>
      <c r="B40" s="417"/>
      <c r="C40" s="417"/>
      <c r="D40" s="417"/>
      <c r="E40" s="417"/>
      <c r="F40" s="417"/>
      <c r="G40" s="417"/>
      <c r="H40" s="417"/>
      <c r="I40" s="417"/>
    </row>
    <row r="44" spans="1:9" hidden="1" x14ac:dyDescent="0.25">
      <c r="A44" s="418"/>
      <c r="B44" s="437" t="s">
        <v>1215</v>
      </c>
      <c r="C44" s="418"/>
      <c r="D44" s="418"/>
      <c r="E44" s="418"/>
      <c r="F44" s="418"/>
      <c r="G44" s="418"/>
      <c r="H44" s="418"/>
      <c r="I44" s="418"/>
    </row>
    <row r="45" spans="1:9" hidden="1" x14ac:dyDescent="0.25">
      <c r="A45" s="418"/>
      <c r="B45" s="437" t="s">
        <v>1262</v>
      </c>
      <c r="C45" s="418"/>
      <c r="D45" s="418"/>
      <c r="E45" s="418"/>
      <c r="F45" s="418"/>
      <c r="G45" s="418"/>
      <c r="H45" s="418"/>
      <c r="I45" s="418"/>
    </row>
    <row r="46" spans="1:9" hidden="1" x14ac:dyDescent="0.25">
      <c r="A46" s="418"/>
      <c r="B46" s="437" t="s">
        <v>1269</v>
      </c>
      <c r="C46" s="418"/>
      <c r="D46" s="418"/>
      <c r="E46" s="418"/>
      <c r="F46" s="418"/>
      <c r="G46" s="418"/>
      <c r="H46" s="418"/>
      <c r="I46" s="418"/>
    </row>
    <row r="47" spans="1:9" hidden="1" x14ac:dyDescent="0.25">
      <c r="A47" s="418"/>
      <c r="B47" s="437" t="s">
        <v>1270</v>
      </c>
      <c r="C47" s="418"/>
      <c r="D47" s="418"/>
      <c r="E47" s="418"/>
      <c r="F47" s="418"/>
      <c r="G47" s="418"/>
      <c r="H47" s="418"/>
      <c r="I47" s="418"/>
    </row>
    <row r="48" spans="1:9" hidden="1" x14ac:dyDescent="0.25">
      <c r="A48" s="418"/>
      <c r="B48" s="437" t="s">
        <v>1271</v>
      </c>
      <c r="C48" s="418"/>
      <c r="D48" s="418"/>
      <c r="E48" s="418"/>
      <c r="F48" s="418"/>
      <c r="G48" s="418"/>
      <c r="H48" s="418"/>
      <c r="I48" s="418"/>
    </row>
    <row r="49" spans="2:10" hidden="1" x14ac:dyDescent="0.25">
      <c r="B49" s="437" t="s">
        <v>1272</v>
      </c>
      <c r="C49" s="418"/>
      <c r="D49" s="418"/>
      <c r="E49" s="418"/>
      <c r="F49" s="418"/>
      <c r="G49" s="418"/>
      <c r="H49" s="418"/>
      <c r="I49" s="418"/>
      <c r="J49" s="418"/>
    </row>
    <row r="50" spans="2:10" hidden="1" x14ac:dyDescent="0.25">
      <c r="B50" s="437" t="s">
        <v>1266</v>
      </c>
      <c r="C50" s="418"/>
      <c r="D50" s="418"/>
      <c r="E50" s="418"/>
      <c r="F50" s="418"/>
      <c r="G50" s="418"/>
      <c r="H50" s="418"/>
      <c r="I50" s="418"/>
      <c r="J50" s="418"/>
    </row>
    <row r="51" spans="2:10" hidden="1" x14ac:dyDescent="0.25">
      <c r="B51" s="418"/>
      <c r="C51" s="418"/>
      <c r="D51" s="418"/>
      <c r="E51" s="418"/>
      <c r="F51" s="418"/>
      <c r="G51" s="418"/>
      <c r="H51" s="418"/>
      <c r="I51" s="418"/>
      <c r="J51" s="418"/>
    </row>
    <row r="52" spans="2:10" hidden="1" x14ac:dyDescent="0.25">
      <c r="B52" s="437" t="s">
        <v>1263</v>
      </c>
      <c r="C52" s="418"/>
      <c r="D52" s="418"/>
      <c r="E52" s="418"/>
      <c r="F52" s="418"/>
      <c r="G52" s="418"/>
      <c r="H52" s="418"/>
      <c r="I52" s="418"/>
      <c r="J52" s="418"/>
    </row>
    <row r="53" spans="2:10" hidden="1" x14ac:dyDescent="0.25">
      <c r="B53" s="437" t="s">
        <v>1216</v>
      </c>
      <c r="C53" s="418"/>
      <c r="D53" s="418"/>
      <c r="E53" s="418"/>
      <c r="F53" s="418"/>
      <c r="G53" s="418"/>
      <c r="H53" s="418"/>
      <c r="I53" s="418"/>
      <c r="J53" s="418"/>
    </row>
    <row r="54" spans="2:10" hidden="1" x14ac:dyDescent="0.25">
      <c r="B54" s="418"/>
      <c r="C54" s="418"/>
      <c r="D54" s="418"/>
      <c r="E54" s="418"/>
      <c r="F54" s="418"/>
      <c r="G54" s="418"/>
      <c r="H54" s="418"/>
      <c r="I54" s="418"/>
      <c r="J54" s="418"/>
    </row>
    <row r="55" spans="2:10" hidden="1" x14ac:dyDescent="0.25">
      <c r="B55" s="437" t="s">
        <v>1264</v>
      </c>
      <c r="C55" s="418"/>
      <c r="D55" s="418"/>
      <c r="E55" s="418"/>
      <c r="F55" s="418"/>
      <c r="G55" s="418"/>
      <c r="H55" s="418"/>
      <c r="I55" s="418"/>
      <c r="J55" s="418"/>
    </row>
    <row r="56" spans="2:10" hidden="1" x14ac:dyDescent="0.25">
      <c r="B56" s="437" t="s">
        <v>1217</v>
      </c>
      <c r="C56" s="418"/>
      <c r="D56" s="418"/>
      <c r="E56" s="418"/>
      <c r="F56" s="418"/>
      <c r="G56" s="418"/>
      <c r="H56" s="438"/>
      <c r="I56" s="438"/>
      <c r="J56" s="438"/>
    </row>
    <row r="57" spans="2:10" hidden="1" x14ac:dyDescent="0.25">
      <c r="B57" s="437" t="s">
        <v>1265</v>
      </c>
      <c r="C57" s="418"/>
      <c r="D57" s="418"/>
      <c r="E57" s="418"/>
      <c r="F57" s="418"/>
      <c r="G57" s="418"/>
      <c r="H57" s="418"/>
      <c r="I57" s="418"/>
      <c r="J57" s="418"/>
    </row>
    <row r="58" spans="2:10" x14ac:dyDescent="0.25">
      <c r="B58" s="418"/>
      <c r="C58" s="418"/>
      <c r="D58" s="418"/>
      <c r="E58" s="418"/>
      <c r="F58" s="418"/>
      <c r="G58" s="418"/>
      <c r="H58" s="418"/>
      <c r="I58" s="418"/>
      <c r="J58" s="418"/>
    </row>
  </sheetData>
  <mergeCells count="40">
    <mergeCell ref="C35:H35"/>
    <mergeCell ref="C36:H36"/>
    <mergeCell ref="B38:H38"/>
    <mergeCell ref="B39:H39"/>
    <mergeCell ref="C29:H29"/>
    <mergeCell ref="C30:H30"/>
    <mergeCell ref="C31:H31"/>
    <mergeCell ref="C32:H32"/>
    <mergeCell ref="C33:H33"/>
    <mergeCell ref="C34:H34"/>
    <mergeCell ref="H26:H27"/>
    <mergeCell ref="B19:G19"/>
    <mergeCell ref="B20:H20"/>
    <mergeCell ref="C21:G21"/>
    <mergeCell ref="B22:G22"/>
    <mergeCell ref="B23:G23"/>
    <mergeCell ref="B25:H25"/>
    <mergeCell ref="B26:B27"/>
    <mergeCell ref="C26:C27"/>
    <mergeCell ref="E26:E27"/>
    <mergeCell ref="F26:F27"/>
    <mergeCell ref="G26:G27"/>
    <mergeCell ref="B14:H14"/>
    <mergeCell ref="B15:B18"/>
    <mergeCell ref="C15:G15"/>
    <mergeCell ref="C16:G16"/>
    <mergeCell ref="C17:G17"/>
    <mergeCell ref="C18:G18"/>
    <mergeCell ref="B13:G13"/>
    <mergeCell ref="B2:H2"/>
    <mergeCell ref="B3:H3"/>
    <mergeCell ref="B4:H4"/>
    <mergeCell ref="B5:H5"/>
    <mergeCell ref="C7:G7"/>
    <mergeCell ref="B8:H8"/>
    <mergeCell ref="B9:B12"/>
    <mergeCell ref="C9:G9"/>
    <mergeCell ref="C10:G10"/>
    <mergeCell ref="C11:G11"/>
    <mergeCell ref="C12:G12"/>
  </mergeCells>
  <dataValidations disablePrompts="1" count="3">
    <dataValidation type="list" allowBlank="1" showInputMessage="1" showErrorMessage="1" sqref="B4:H4" xr:uid="{761215C4-DBD3-42CA-8603-A0B86DC3E802}">
      <formula1>$B$44:$B$50</formula1>
    </dataValidation>
    <dataValidation type="list" allowBlank="1" showInputMessage="1" showErrorMessage="1" sqref="B5:H5" xr:uid="{69B66DE8-099F-4CB9-9A5E-CAD288A32EF3}">
      <formula1>$B$52:$B$53</formula1>
    </dataValidation>
    <dataValidation type="list" allowBlank="1" showInputMessage="1" showErrorMessage="1" sqref="H6" xr:uid="{3A4B5941-3C6F-483B-AB51-7E6BB0E08143}">
      <formula1>$B$55:$B$57</formula1>
    </dataValidation>
  </dataValidations>
  <pageMargins left="0.511811024" right="0.511811024" top="0.78740157499999996" bottom="0.78740157499999996" header="0.31496062000000002" footer="0.31496062000000002"/>
  <pageSetup paperSize="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1AF14-C4A8-4866-BF5F-0DDE3608F37D}">
  <sheetPr>
    <tabColor rgb="FF002060"/>
    <pageSetUpPr fitToPage="1"/>
  </sheetPr>
  <dimension ref="A1:K58"/>
  <sheetViews>
    <sheetView workbookViewId="0">
      <selection sqref="A1:XFD1048576"/>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ht="45" customHeight="1" x14ac:dyDescent="0.25">
      <c r="A1" s="417"/>
      <c r="B1" s="417"/>
      <c r="C1" s="417"/>
      <c r="D1" s="417"/>
      <c r="E1" s="417"/>
      <c r="F1" s="417"/>
      <c r="G1" s="417"/>
      <c r="H1" s="417"/>
      <c r="I1" s="417"/>
      <c r="J1" s="418"/>
      <c r="K1" s="418"/>
    </row>
    <row r="2" spans="1:11" x14ac:dyDescent="0.25">
      <c r="A2" s="417"/>
      <c r="B2" s="2050" t="s">
        <v>1213</v>
      </c>
      <c r="C2" s="2050"/>
      <c r="D2" s="2050"/>
      <c r="E2" s="2050"/>
      <c r="F2" s="2050"/>
      <c r="G2" s="2050"/>
      <c r="H2" s="2050"/>
      <c r="I2" s="417"/>
      <c r="J2" s="418"/>
      <c r="K2" s="419"/>
    </row>
    <row r="3" spans="1:11" x14ac:dyDescent="0.25">
      <c r="A3" s="417"/>
      <c r="B3" s="2050" t="s">
        <v>1214</v>
      </c>
      <c r="C3" s="2050"/>
      <c r="D3" s="2050"/>
      <c r="E3" s="2050"/>
      <c r="F3" s="2050"/>
      <c r="G3" s="2050"/>
      <c r="H3" s="2050"/>
      <c r="I3" s="417"/>
      <c r="J3" s="418"/>
      <c r="K3" s="437"/>
    </row>
    <row r="4" spans="1:11" ht="33" customHeight="1" x14ac:dyDescent="0.25">
      <c r="A4" s="417"/>
      <c r="B4" s="2091" t="s">
        <v>1266</v>
      </c>
      <c r="C4" s="2091"/>
      <c r="D4" s="2091"/>
      <c r="E4" s="2091"/>
      <c r="F4" s="2091"/>
      <c r="G4" s="2091"/>
      <c r="H4" s="2091"/>
      <c r="I4" s="417"/>
      <c r="J4" s="418"/>
      <c r="K4" s="418"/>
    </row>
    <row r="5" spans="1:11" x14ac:dyDescent="0.25">
      <c r="A5" s="417"/>
      <c r="B5" s="2051" t="s">
        <v>1263</v>
      </c>
      <c r="C5" s="2051"/>
      <c r="D5" s="2051"/>
      <c r="E5" s="2051"/>
      <c r="F5" s="2051"/>
      <c r="G5" s="2051"/>
      <c r="H5" s="2051"/>
      <c r="I5" s="417"/>
      <c r="J5" s="418"/>
      <c r="K5" s="418"/>
    </row>
    <row r="6" spans="1:11" ht="15" customHeight="1" thickBot="1" x14ac:dyDescent="0.3">
      <c r="A6" s="417"/>
      <c r="B6" s="420"/>
      <c r="C6" s="420"/>
      <c r="D6" s="420"/>
      <c r="E6" s="420"/>
      <c r="F6" s="420"/>
      <c r="G6" s="420"/>
      <c r="H6" s="421" t="s">
        <v>1264</v>
      </c>
      <c r="I6" s="417"/>
      <c r="J6" s="418"/>
      <c r="K6" s="418"/>
    </row>
    <row r="7" spans="1:11" ht="15.75" thickBot="1" x14ac:dyDescent="0.3">
      <c r="A7" s="417"/>
      <c r="B7" s="422" t="s">
        <v>1218</v>
      </c>
      <c r="C7" s="2092" t="s">
        <v>1219</v>
      </c>
      <c r="D7" s="2092"/>
      <c r="E7" s="2092"/>
      <c r="F7" s="2092"/>
      <c r="G7" s="2092"/>
      <c r="H7" s="423" t="s">
        <v>1220</v>
      </c>
      <c r="I7" s="417"/>
      <c r="J7" s="418"/>
      <c r="K7" s="418"/>
    </row>
    <row r="8" spans="1:11" ht="15.75" thickTop="1" x14ac:dyDescent="0.25">
      <c r="A8" s="417"/>
      <c r="B8" s="2052" t="s">
        <v>1221</v>
      </c>
      <c r="C8" s="2053"/>
      <c r="D8" s="2053"/>
      <c r="E8" s="2053"/>
      <c r="F8" s="2053"/>
      <c r="G8" s="2053"/>
      <c r="H8" s="2054"/>
      <c r="I8" s="417"/>
      <c r="J8" s="418"/>
      <c r="K8" s="418"/>
    </row>
    <row r="9" spans="1:11" x14ac:dyDescent="0.25">
      <c r="A9" s="417"/>
      <c r="B9" s="2055" t="s">
        <v>1222</v>
      </c>
      <c r="C9" s="2093" t="s">
        <v>1223</v>
      </c>
      <c r="D9" s="2094"/>
      <c r="E9" s="2094"/>
      <c r="F9" s="2094"/>
      <c r="G9" s="2095"/>
      <c r="H9" s="426">
        <v>1.66E-2</v>
      </c>
      <c r="I9" s="417"/>
      <c r="J9" s="418"/>
      <c r="K9" s="418"/>
    </row>
    <row r="10" spans="1:11" x14ac:dyDescent="0.25">
      <c r="A10" s="417"/>
      <c r="B10" s="2056"/>
      <c r="C10" s="2096" t="s">
        <v>1224</v>
      </c>
      <c r="D10" s="2097"/>
      <c r="E10" s="2097"/>
      <c r="F10" s="2097"/>
      <c r="G10" s="2098"/>
      <c r="H10" s="424">
        <v>3.0999999999999999E-3</v>
      </c>
      <c r="I10" s="417"/>
      <c r="J10" s="418"/>
      <c r="K10" s="418"/>
    </row>
    <row r="11" spans="1:11" x14ac:dyDescent="0.25">
      <c r="A11" s="417"/>
      <c r="B11" s="2056"/>
      <c r="C11" s="2096" t="s">
        <v>1225</v>
      </c>
      <c r="D11" s="2097"/>
      <c r="E11" s="2097"/>
      <c r="F11" s="2097"/>
      <c r="G11" s="2098"/>
      <c r="H11" s="424">
        <v>5.7000000000000002E-3</v>
      </c>
      <c r="I11" s="417"/>
      <c r="J11" s="418"/>
      <c r="K11" s="418"/>
    </row>
    <row r="12" spans="1:11" x14ac:dyDescent="0.25">
      <c r="A12" s="417"/>
      <c r="B12" s="2057"/>
      <c r="C12" s="2099" t="s">
        <v>1226</v>
      </c>
      <c r="D12" s="2100"/>
      <c r="E12" s="2100"/>
      <c r="F12" s="2100"/>
      <c r="G12" s="2101"/>
      <c r="H12" s="427">
        <v>8.6E-3</v>
      </c>
      <c r="I12" s="417"/>
      <c r="J12" s="418"/>
      <c r="K12" s="418"/>
    </row>
    <row r="13" spans="1:11" ht="15.75" thickBot="1" x14ac:dyDescent="0.3">
      <c r="A13" s="417"/>
      <c r="B13" s="2047" t="s">
        <v>1227</v>
      </c>
      <c r="C13" s="2048"/>
      <c r="D13" s="2048"/>
      <c r="E13" s="2048"/>
      <c r="F13" s="2048"/>
      <c r="G13" s="2049"/>
      <c r="H13" s="425">
        <v>3.4000000000000002E-2</v>
      </c>
      <c r="I13" s="417"/>
      <c r="J13" s="418"/>
      <c r="K13" s="418"/>
    </row>
    <row r="14" spans="1:11" ht="15.75" thickTop="1" x14ac:dyDescent="0.25">
      <c r="A14" s="417"/>
      <c r="B14" s="2052" t="s">
        <v>1228</v>
      </c>
      <c r="C14" s="2053"/>
      <c r="D14" s="2053"/>
      <c r="E14" s="2053"/>
      <c r="F14" s="2053"/>
      <c r="G14" s="2053"/>
      <c r="H14" s="2054"/>
      <c r="I14" s="417"/>
      <c r="J14" s="418"/>
      <c r="K14" s="418"/>
    </row>
    <row r="15" spans="1:11" x14ac:dyDescent="0.25">
      <c r="A15" s="417"/>
      <c r="B15" s="2055" t="s">
        <v>1229</v>
      </c>
      <c r="C15" s="2093" t="s">
        <v>1230</v>
      </c>
      <c r="D15" s="2094"/>
      <c r="E15" s="2094"/>
      <c r="F15" s="2094"/>
      <c r="G15" s="2095"/>
      <c r="H15" s="426">
        <v>0.03</v>
      </c>
      <c r="I15" s="417"/>
      <c r="J15" s="418"/>
      <c r="K15" s="418"/>
    </row>
    <row r="16" spans="1:11" x14ac:dyDescent="0.25">
      <c r="A16" s="417"/>
      <c r="B16" s="2056"/>
      <c r="C16" s="2096" t="s">
        <v>1231</v>
      </c>
      <c r="D16" s="2097"/>
      <c r="E16" s="2097"/>
      <c r="F16" s="2097"/>
      <c r="G16" s="2098"/>
      <c r="H16" s="424">
        <v>6.4999999999999997E-3</v>
      </c>
      <c r="I16" s="417"/>
      <c r="J16" s="418"/>
      <c r="K16" s="418"/>
    </row>
    <row r="17" spans="1:9" x14ac:dyDescent="0.25">
      <c r="A17" s="417"/>
      <c r="B17" s="2056"/>
      <c r="C17" s="2096" t="s">
        <v>1232</v>
      </c>
      <c r="D17" s="2097"/>
      <c r="E17" s="2097"/>
      <c r="F17" s="2097"/>
      <c r="G17" s="2098"/>
      <c r="H17" s="424">
        <v>0</v>
      </c>
      <c r="I17" s="417"/>
    </row>
    <row r="18" spans="1:9" x14ac:dyDescent="0.25">
      <c r="A18" s="417"/>
      <c r="B18" s="2057"/>
      <c r="C18" s="2099" t="s">
        <v>1233</v>
      </c>
      <c r="D18" s="2100"/>
      <c r="E18" s="2100"/>
      <c r="F18" s="2100"/>
      <c r="G18" s="2101"/>
      <c r="H18" s="427">
        <v>4.4999999999999998E-2</v>
      </c>
      <c r="I18" s="417"/>
    </row>
    <row r="19" spans="1:9" ht="15.75" thickBot="1" x14ac:dyDescent="0.3">
      <c r="A19" s="417"/>
      <c r="B19" s="2047" t="s">
        <v>1234</v>
      </c>
      <c r="C19" s="2048"/>
      <c r="D19" s="2048"/>
      <c r="E19" s="2048"/>
      <c r="F19" s="2048"/>
      <c r="G19" s="2049"/>
      <c r="H19" s="425">
        <v>8.1499999999999989E-2</v>
      </c>
      <c r="I19" s="417"/>
    </row>
    <row r="20" spans="1:9" ht="15.75" thickTop="1" x14ac:dyDescent="0.25">
      <c r="A20" s="417"/>
      <c r="B20" s="2052" t="s">
        <v>1235</v>
      </c>
      <c r="C20" s="2053"/>
      <c r="D20" s="2053"/>
      <c r="E20" s="2053"/>
      <c r="F20" s="2053"/>
      <c r="G20" s="2053"/>
      <c r="H20" s="2054"/>
      <c r="I20" s="417"/>
    </row>
    <row r="21" spans="1:9" x14ac:dyDescent="0.25">
      <c r="A21" s="417"/>
      <c r="B21" s="428" t="s">
        <v>1236</v>
      </c>
      <c r="C21" s="2102" t="s">
        <v>1237</v>
      </c>
      <c r="D21" s="2103"/>
      <c r="E21" s="2103"/>
      <c r="F21" s="2103"/>
      <c r="G21" s="2104"/>
      <c r="H21" s="426">
        <v>3.5000000000000003E-2</v>
      </c>
      <c r="I21" s="417"/>
    </row>
    <row r="22" spans="1:9" ht="15.75" thickBot="1" x14ac:dyDescent="0.3">
      <c r="A22" s="417"/>
      <c r="B22" s="2047" t="s">
        <v>1238</v>
      </c>
      <c r="C22" s="2048"/>
      <c r="D22" s="2048"/>
      <c r="E22" s="2048"/>
      <c r="F22" s="2048"/>
      <c r="G22" s="2049"/>
      <c r="H22" s="425">
        <v>3.5000000000000003E-2</v>
      </c>
      <c r="I22" s="417"/>
    </row>
    <row r="23" spans="1:9" ht="16.5" thickTop="1" thickBot="1" x14ac:dyDescent="0.3">
      <c r="A23" s="417"/>
      <c r="B23" s="2074" t="s">
        <v>1239</v>
      </c>
      <c r="C23" s="2075"/>
      <c r="D23" s="2075"/>
      <c r="E23" s="2075"/>
      <c r="F23" s="2075"/>
      <c r="G23" s="2076"/>
      <c r="H23" s="429">
        <v>0.16539584692433307</v>
      </c>
      <c r="I23" s="417"/>
    </row>
    <row r="24" spans="1:9" ht="20.100000000000001" customHeight="1" x14ac:dyDescent="0.25">
      <c r="A24" s="417"/>
      <c r="B24" s="430"/>
      <c r="C24" s="430"/>
      <c r="D24" s="430"/>
      <c r="E24" s="430"/>
      <c r="F24" s="430"/>
      <c r="G24" s="430"/>
      <c r="H24" s="430"/>
      <c r="I24" s="417"/>
    </row>
    <row r="25" spans="1:9" ht="15.75" customHeight="1" x14ac:dyDescent="0.25">
      <c r="A25" s="417"/>
      <c r="B25" s="2077" t="s">
        <v>1240</v>
      </c>
      <c r="C25" s="2077"/>
      <c r="D25" s="2077"/>
      <c r="E25" s="2077"/>
      <c r="F25" s="2077"/>
      <c r="G25" s="2077"/>
      <c r="H25" s="2077"/>
      <c r="I25" s="417"/>
    </row>
    <row r="26" spans="1:9" ht="21" customHeight="1" x14ac:dyDescent="0.25">
      <c r="A26" s="417"/>
      <c r="B26" s="2078" t="s">
        <v>1241</v>
      </c>
      <c r="C26" s="2079" t="s">
        <v>1242</v>
      </c>
      <c r="D26" s="431" t="s">
        <v>1243</v>
      </c>
      <c r="E26" s="2080" t="s">
        <v>1244</v>
      </c>
      <c r="F26" s="2081">
        <v>-1</v>
      </c>
      <c r="G26" s="2082" t="s">
        <v>1245</v>
      </c>
      <c r="H26" s="2073" t="s">
        <v>1246</v>
      </c>
      <c r="I26" s="417"/>
    </row>
    <row r="27" spans="1:9" ht="21" customHeight="1" x14ac:dyDescent="0.25">
      <c r="A27" s="417"/>
      <c r="B27" s="2078"/>
      <c r="C27" s="2079"/>
      <c r="D27" s="432" t="s">
        <v>1321</v>
      </c>
      <c r="E27" s="2080"/>
      <c r="F27" s="2081"/>
      <c r="G27" s="2082"/>
      <c r="H27" s="2073"/>
      <c r="I27" s="417"/>
    </row>
    <row r="28" spans="1:9" ht="3" customHeight="1" x14ac:dyDescent="0.25">
      <c r="A28" s="417"/>
      <c r="B28" s="430"/>
      <c r="C28" s="430"/>
      <c r="D28" s="430"/>
      <c r="E28" s="430"/>
      <c r="F28" s="430"/>
      <c r="G28" s="430"/>
      <c r="H28" s="430"/>
      <c r="I28" s="417"/>
    </row>
    <row r="29" spans="1:9" x14ac:dyDescent="0.25">
      <c r="A29" s="417"/>
      <c r="B29" s="433" t="s">
        <v>1247</v>
      </c>
      <c r="C29" s="2071" t="s">
        <v>1248</v>
      </c>
      <c r="D29" s="2071"/>
      <c r="E29" s="2071"/>
      <c r="F29" s="2071"/>
      <c r="G29" s="2071"/>
      <c r="H29" s="2071"/>
      <c r="I29" s="417"/>
    </row>
    <row r="30" spans="1:9" x14ac:dyDescent="0.25">
      <c r="A30" s="417"/>
      <c r="B30" s="433" t="s">
        <v>1150</v>
      </c>
      <c r="C30" s="2071" t="s">
        <v>1249</v>
      </c>
      <c r="D30" s="2071"/>
      <c r="E30" s="2071"/>
      <c r="F30" s="2071"/>
      <c r="G30" s="2071"/>
      <c r="H30" s="2071"/>
      <c r="I30" s="417"/>
    </row>
    <row r="31" spans="1:9" x14ac:dyDescent="0.25">
      <c r="A31" s="417"/>
      <c r="B31" s="433" t="s">
        <v>1250</v>
      </c>
      <c r="C31" s="2071" t="s">
        <v>1251</v>
      </c>
      <c r="D31" s="2071"/>
      <c r="E31" s="2071"/>
      <c r="F31" s="2071"/>
      <c r="G31" s="2071"/>
      <c r="H31" s="2071"/>
      <c r="I31" s="417"/>
    </row>
    <row r="32" spans="1:9" x14ac:dyDescent="0.25">
      <c r="A32" s="417"/>
      <c r="B32" s="433" t="s">
        <v>1252</v>
      </c>
      <c r="C32" s="2071" t="s">
        <v>1253</v>
      </c>
      <c r="D32" s="2071"/>
      <c r="E32" s="2071"/>
      <c r="F32" s="2071"/>
      <c r="G32" s="2071"/>
      <c r="H32" s="2071"/>
      <c r="I32" s="417"/>
    </row>
    <row r="33" spans="1:9" x14ac:dyDescent="0.25">
      <c r="A33" s="417"/>
      <c r="B33" s="433" t="s">
        <v>1254</v>
      </c>
      <c r="C33" s="2071" t="s">
        <v>1255</v>
      </c>
      <c r="D33" s="2071"/>
      <c r="E33" s="2071"/>
      <c r="F33" s="2071"/>
      <c r="G33" s="2071"/>
      <c r="H33" s="2071"/>
      <c r="I33" s="417"/>
    </row>
    <row r="34" spans="1:9" x14ac:dyDescent="0.25">
      <c r="A34" s="417"/>
      <c r="B34" s="433" t="s">
        <v>56</v>
      </c>
      <c r="C34" s="2071" t="s">
        <v>1256</v>
      </c>
      <c r="D34" s="2071"/>
      <c r="E34" s="2071"/>
      <c r="F34" s="2071"/>
      <c r="G34" s="2071"/>
      <c r="H34" s="2071"/>
      <c r="I34" s="417"/>
    </row>
    <row r="35" spans="1:9" x14ac:dyDescent="0.25">
      <c r="A35" s="417"/>
      <c r="B35" s="433" t="s">
        <v>1257</v>
      </c>
      <c r="C35" s="2071" t="s">
        <v>1258</v>
      </c>
      <c r="D35" s="2071"/>
      <c r="E35" s="2071"/>
      <c r="F35" s="2071"/>
      <c r="G35" s="2071"/>
      <c r="H35" s="2071"/>
      <c r="I35" s="417"/>
    </row>
    <row r="36" spans="1:9" s="436" customFormat="1" ht="44.25" customHeight="1" x14ac:dyDescent="0.2">
      <c r="A36" s="434"/>
      <c r="B36" s="474"/>
      <c r="C36" s="2072" t="s">
        <v>1267</v>
      </c>
      <c r="D36" s="2072"/>
      <c r="E36" s="2072"/>
      <c r="F36" s="2072"/>
      <c r="G36" s="2072"/>
      <c r="H36" s="2072"/>
      <c r="I36" s="434"/>
    </row>
    <row r="37" spans="1:9" ht="15" customHeight="1" x14ac:dyDescent="0.25">
      <c r="A37" s="417"/>
      <c r="B37" s="430"/>
      <c r="C37" s="430"/>
      <c r="D37" s="430"/>
      <c r="E37" s="430"/>
      <c r="F37" s="430"/>
      <c r="G37" s="430"/>
      <c r="H37" s="430"/>
      <c r="I37" s="417"/>
    </row>
    <row r="38" spans="1:9" x14ac:dyDescent="0.25">
      <c r="A38" s="417"/>
      <c r="B38" s="2070" t="s">
        <v>1260</v>
      </c>
      <c r="C38" s="2070"/>
      <c r="D38" s="2070"/>
      <c r="E38" s="2070"/>
      <c r="F38" s="2070"/>
      <c r="G38" s="2070"/>
      <c r="H38" s="2070"/>
      <c r="I38" s="417"/>
    </row>
    <row r="39" spans="1:9" x14ac:dyDescent="0.25">
      <c r="A39" s="417"/>
      <c r="B39" s="2070" t="s">
        <v>1261</v>
      </c>
      <c r="C39" s="2070"/>
      <c r="D39" s="2070"/>
      <c r="E39" s="2070"/>
      <c r="F39" s="2070"/>
      <c r="G39" s="2070"/>
      <c r="H39" s="2070"/>
      <c r="I39" s="417"/>
    </row>
    <row r="40" spans="1:9" ht="5.0999999999999996" customHeight="1" x14ac:dyDescent="0.25">
      <c r="A40" s="417"/>
      <c r="B40" s="417"/>
      <c r="C40" s="417"/>
      <c r="D40" s="417"/>
      <c r="E40" s="417"/>
      <c r="F40" s="417"/>
      <c r="G40" s="417"/>
      <c r="H40" s="417"/>
      <c r="I40" s="417"/>
    </row>
    <row r="44" spans="1:9" hidden="1" x14ac:dyDescent="0.25">
      <c r="A44" s="418"/>
      <c r="B44" s="437" t="s">
        <v>1215</v>
      </c>
      <c r="C44" s="418"/>
      <c r="D44" s="418"/>
      <c r="E44" s="418"/>
      <c r="F44" s="418"/>
      <c r="G44" s="418"/>
      <c r="H44" s="418"/>
      <c r="I44" s="418"/>
    </row>
    <row r="45" spans="1:9" hidden="1" x14ac:dyDescent="0.25">
      <c r="A45" s="418"/>
      <c r="B45" s="437" t="s">
        <v>1262</v>
      </c>
      <c r="C45" s="418"/>
      <c r="D45" s="418"/>
      <c r="E45" s="418"/>
      <c r="F45" s="418"/>
      <c r="G45" s="418"/>
      <c r="H45" s="418"/>
      <c r="I45" s="418"/>
    </row>
    <row r="46" spans="1:9" hidden="1" x14ac:dyDescent="0.25">
      <c r="A46" s="418"/>
      <c r="B46" s="437" t="s">
        <v>1269</v>
      </c>
      <c r="C46" s="418"/>
      <c r="D46" s="418"/>
      <c r="E46" s="418"/>
      <c r="F46" s="418"/>
      <c r="G46" s="418"/>
      <c r="H46" s="418"/>
      <c r="I46" s="418"/>
    </row>
    <row r="47" spans="1:9" hidden="1" x14ac:dyDescent="0.25">
      <c r="A47" s="418"/>
      <c r="B47" s="437" t="s">
        <v>1270</v>
      </c>
      <c r="C47" s="418"/>
      <c r="D47" s="418"/>
      <c r="E47" s="418"/>
      <c r="F47" s="418"/>
      <c r="G47" s="418"/>
      <c r="H47" s="418"/>
      <c r="I47" s="418"/>
    </row>
    <row r="48" spans="1:9" hidden="1" x14ac:dyDescent="0.25">
      <c r="A48" s="418"/>
      <c r="B48" s="437" t="s">
        <v>1271</v>
      </c>
      <c r="C48" s="418"/>
      <c r="D48" s="418"/>
      <c r="E48" s="418"/>
      <c r="F48" s="418"/>
      <c r="G48" s="418"/>
      <c r="H48" s="418"/>
      <c r="I48" s="418"/>
    </row>
    <row r="49" spans="2:10" hidden="1" x14ac:dyDescent="0.25">
      <c r="B49" s="437" t="s">
        <v>1272</v>
      </c>
      <c r="C49" s="418"/>
      <c r="D49" s="418"/>
      <c r="E49" s="418"/>
      <c r="F49" s="418"/>
      <c r="G49" s="418"/>
      <c r="H49" s="418"/>
      <c r="I49" s="418"/>
      <c r="J49" s="418"/>
    </row>
    <row r="50" spans="2:10" hidden="1" x14ac:dyDescent="0.25">
      <c r="B50" s="437" t="s">
        <v>1266</v>
      </c>
      <c r="C50" s="418"/>
      <c r="D50" s="418"/>
      <c r="E50" s="418"/>
      <c r="F50" s="418"/>
      <c r="G50" s="418"/>
      <c r="H50" s="418"/>
      <c r="I50" s="418"/>
      <c r="J50" s="418"/>
    </row>
    <row r="51" spans="2:10" hidden="1" x14ac:dyDescent="0.25">
      <c r="B51" s="418"/>
      <c r="C51" s="418"/>
      <c r="D51" s="418"/>
      <c r="E51" s="418"/>
      <c r="F51" s="418"/>
      <c r="G51" s="418"/>
      <c r="H51" s="418"/>
      <c r="I51" s="418"/>
      <c r="J51" s="418"/>
    </row>
    <row r="52" spans="2:10" hidden="1" x14ac:dyDescent="0.25">
      <c r="B52" s="437" t="s">
        <v>1263</v>
      </c>
      <c r="C52" s="418"/>
      <c r="D52" s="418"/>
      <c r="E52" s="418"/>
      <c r="F52" s="418"/>
      <c r="G52" s="418"/>
      <c r="H52" s="418"/>
      <c r="I52" s="418"/>
      <c r="J52" s="418"/>
    </row>
    <row r="53" spans="2:10" hidden="1" x14ac:dyDescent="0.25">
      <c r="B53" s="437" t="s">
        <v>1216</v>
      </c>
      <c r="C53" s="418"/>
      <c r="D53" s="418"/>
      <c r="E53" s="418"/>
      <c r="F53" s="418"/>
      <c r="G53" s="418"/>
      <c r="H53" s="418"/>
      <c r="I53" s="418"/>
      <c r="J53" s="418"/>
    </row>
    <row r="54" spans="2:10" hidden="1" x14ac:dyDescent="0.25">
      <c r="B54" s="418"/>
      <c r="C54" s="418"/>
      <c r="D54" s="418"/>
      <c r="E54" s="418"/>
      <c r="F54" s="418"/>
      <c r="G54" s="418"/>
      <c r="H54" s="418"/>
      <c r="I54" s="418"/>
      <c r="J54" s="418"/>
    </row>
    <row r="55" spans="2:10" hidden="1" x14ac:dyDescent="0.25">
      <c r="B55" s="437" t="s">
        <v>1264</v>
      </c>
      <c r="C55" s="418"/>
      <c r="D55" s="418"/>
      <c r="E55" s="418"/>
      <c r="F55" s="418"/>
      <c r="G55" s="418"/>
      <c r="H55" s="418"/>
      <c r="I55" s="418"/>
      <c r="J55" s="418"/>
    </row>
    <row r="56" spans="2:10" hidden="1" x14ac:dyDescent="0.25">
      <c r="B56" s="437" t="s">
        <v>1217</v>
      </c>
      <c r="C56" s="418"/>
      <c r="D56" s="418"/>
      <c r="E56" s="418"/>
      <c r="F56" s="418"/>
      <c r="G56" s="418"/>
      <c r="H56" s="438"/>
      <c r="I56" s="438"/>
      <c r="J56" s="438"/>
    </row>
    <row r="57" spans="2:10" hidden="1" x14ac:dyDescent="0.25">
      <c r="B57" s="437" t="s">
        <v>1265</v>
      </c>
      <c r="C57" s="418"/>
      <c r="D57" s="418"/>
      <c r="E57" s="418"/>
      <c r="F57" s="418"/>
      <c r="G57" s="418"/>
      <c r="H57" s="418"/>
      <c r="I57" s="418"/>
      <c r="J57" s="418"/>
    </row>
    <row r="58" spans="2:10" x14ac:dyDescent="0.25">
      <c r="B58" s="418"/>
      <c r="C58" s="418"/>
      <c r="D58" s="418"/>
      <c r="E58" s="418"/>
      <c r="F58" s="418"/>
      <c r="G58" s="418"/>
      <c r="H58" s="418"/>
      <c r="I58" s="418"/>
      <c r="J58" s="418"/>
    </row>
  </sheetData>
  <mergeCells count="40">
    <mergeCell ref="C35:H35"/>
    <mergeCell ref="C36:H36"/>
    <mergeCell ref="B38:H38"/>
    <mergeCell ref="B39:H39"/>
    <mergeCell ref="C29:H29"/>
    <mergeCell ref="C30:H30"/>
    <mergeCell ref="C31:H31"/>
    <mergeCell ref="C32:H32"/>
    <mergeCell ref="C33:H33"/>
    <mergeCell ref="C34:H34"/>
    <mergeCell ref="H26:H27"/>
    <mergeCell ref="B19:G19"/>
    <mergeCell ref="B20:H20"/>
    <mergeCell ref="C21:G21"/>
    <mergeCell ref="B22:G22"/>
    <mergeCell ref="B23:G23"/>
    <mergeCell ref="B25:H25"/>
    <mergeCell ref="B26:B27"/>
    <mergeCell ref="C26:C27"/>
    <mergeCell ref="E26:E27"/>
    <mergeCell ref="F26:F27"/>
    <mergeCell ref="G26:G27"/>
    <mergeCell ref="B14:H14"/>
    <mergeCell ref="B15:B18"/>
    <mergeCell ref="C15:G15"/>
    <mergeCell ref="C16:G16"/>
    <mergeCell ref="C17:G17"/>
    <mergeCell ref="C18:G18"/>
    <mergeCell ref="B13:G13"/>
    <mergeCell ref="B2:H2"/>
    <mergeCell ref="B3:H3"/>
    <mergeCell ref="B4:H4"/>
    <mergeCell ref="B5:H5"/>
    <mergeCell ref="C7:G7"/>
    <mergeCell ref="B8:H8"/>
    <mergeCell ref="B9:B12"/>
    <mergeCell ref="C9:G9"/>
    <mergeCell ref="C10:G10"/>
    <mergeCell ref="C11:G11"/>
    <mergeCell ref="C12:G12"/>
  </mergeCells>
  <dataValidations count="3">
    <dataValidation type="list" allowBlank="1" showInputMessage="1" showErrorMessage="1" sqref="H6" xr:uid="{5DA2F10F-9051-4C07-BDA7-C936F5355F24}">
      <formula1>$B$55:$B$57</formula1>
    </dataValidation>
    <dataValidation type="list" allowBlank="1" showInputMessage="1" showErrorMessage="1" sqref="B5:H5" xr:uid="{86A3FC68-5379-4851-BBBF-85622A7D7649}">
      <formula1>$B$52:$B$53</formula1>
    </dataValidation>
    <dataValidation type="list" allowBlank="1" showInputMessage="1" showErrorMessage="1" sqref="B4:H4" xr:uid="{45049E34-26E5-4553-A7FE-BC2FD40B4124}">
      <formula1>$B$44:$B$50</formula1>
    </dataValidation>
  </dataValidations>
  <pageMargins left="0.511811024" right="0.511811024" top="0.78740157499999996" bottom="0.78740157499999996" header="0.31496062000000002" footer="0.31496062000000002"/>
  <pageSetup paperSize="9"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D8C4B-6AAE-4BBB-87AA-C8E7B8B27B2E}">
  <sheetPr>
    <tabColor rgb="FF002060"/>
    <pageSetUpPr fitToPage="1"/>
  </sheetPr>
  <dimension ref="A1"/>
  <sheetViews>
    <sheetView workbookViewId="0">
      <selection sqref="A1:XFD1048576"/>
    </sheetView>
  </sheetViews>
  <sheetFormatPr defaultRowHeight="15" x14ac:dyDescent="0.25"/>
  <cols>
    <col min="11" max="11" width="6.28515625" customWidth="1"/>
  </cols>
  <sheetData/>
  <pageMargins left="0.511811024" right="0.511811024" top="0.78740157499999996" bottom="0.78740157499999996" header="0.31496062000000002" footer="0.31496062000000002"/>
  <pageSetup paperSize="9" fitToHeight="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37D0B-F752-439D-96F4-78ED27FE56E9}">
  <sheetPr>
    <tabColor theme="2" tint="-0.749992370372631"/>
    <pageSetUpPr fitToPage="1"/>
  </sheetPr>
  <dimension ref="A1:H36"/>
  <sheetViews>
    <sheetView workbookViewId="0">
      <selection sqref="A1:XFD1048576"/>
    </sheetView>
  </sheetViews>
  <sheetFormatPr defaultColWidth="9.140625" defaultRowHeight="15" x14ac:dyDescent="0.25"/>
  <cols>
    <col min="1" max="1" width="50.7109375" style="233" customWidth="1"/>
    <col min="2" max="2" width="15.7109375" style="233" customWidth="1"/>
    <col min="3" max="8" width="20.7109375" style="233" customWidth="1"/>
    <col min="9" max="10" width="9.140625" style="233" customWidth="1"/>
    <col min="11" max="16384" width="9.140625" style="233"/>
  </cols>
  <sheetData>
    <row r="1" spans="1:8" ht="29.25" customHeight="1" x14ac:dyDescent="0.25">
      <c r="A1" s="530" t="s">
        <v>1414</v>
      </c>
      <c r="B1" s="530"/>
      <c r="C1" s="530"/>
      <c r="D1" s="530"/>
      <c r="E1" s="530"/>
      <c r="F1" s="530"/>
      <c r="G1" s="530"/>
      <c r="H1" s="530"/>
    </row>
    <row r="2" spans="1:8" ht="15.75" x14ac:dyDescent="0.25">
      <c r="A2" s="2105" t="s">
        <v>1415</v>
      </c>
      <c r="B2" s="2105"/>
      <c r="C2" s="2105"/>
      <c r="D2" s="2105"/>
      <c r="E2" s="2105"/>
      <c r="F2" s="2105"/>
      <c r="G2" s="2105"/>
      <c r="H2" s="2105"/>
    </row>
    <row r="3" spans="1:8" x14ac:dyDescent="0.25">
      <c r="A3" s="531" t="s">
        <v>1465</v>
      </c>
      <c r="B3" s="532"/>
      <c r="C3" s="532"/>
      <c r="D3" s="532"/>
      <c r="E3" s="532"/>
      <c r="F3" s="402"/>
      <c r="G3" s="402"/>
    </row>
    <row r="4" spans="1:8" x14ac:dyDescent="0.25">
      <c r="A4" s="533" t="s">
        <v>1466</v>
      </c>
      <c r="B4" s="534"/>
      <c r="C4" s="534"/>
      <c r="D4" s="535"/>
      <c r="E4" s="402"/>
      <c r="F4" s="402"/>
      <c r="G4" s="402"/>
      <c r="H4" s="536" t="s">
        <v>4161</v>
      </c>
    </row>
    <row r="5" spans="1:8" x14ac:dyDescent="0.25">
      <c r="A5" s="537" t="s">
        <v>1467</v>
      </c>
      <c r="B5" s="532"/>
      <c r="C5" s="532"/>
      <c r="D5" s="532"/>
      <c r="E5" s="402"/>
      <c r="F5" s="402"/>
      <c r="G5" s="402"/>
      <c r="H5" s="538"/>
    </row>
    <row r="6" spans="1:8" x14ac:dyDescent="0.25">
      <c r="A6" s="539" t="s">
        <v>1416</v>
      </c>
      <c r="B6" s="540" t="s">
        <v>1417</v>
      </c>
      <c r="C6" s="541"/>
      <c r="D6" s="541"/>
      <c r="E6" s="541"/>
      <c r="F6" s="541"/>
      <c r="G6" s="541"/>
      <c r="H6" s="541"/>
    </row>
    <row r="7" spans="1:8" ht="48" x14ac:dyDescent="0.25">
      <c r="A7" s="542" t="s">
        <v>1418</v>
      </c>
      <c r="B7" s="542" t="s">
        <v>1419</v>
      </c>
      <c r="C7" s="542" t="s">
        <v>1420</v>
      </c>
      <c r="D7" s="542" t="s">
        <v>1421</v>
      </c>
      <c r="E7" s="542" t="s">
        <v>1422</v>
      </c>
      <c r="F7" s="542" t="s">
        <v>1423</v>
      </c>
      <c r="G7" s="542" t="s">
        <v>1478</v>
      </c>
      <c r="H7" s="543" t="s">
        <v>17</v>
      </c>
    </row>
    <row r="8" spans="1:8" x14ac:dyDescent="0.25">
      <c r="A8" s="544" t="s">
        <v>1424</v>
      </c>
      <c r="B8" s="545">
        <v>6</v>
      </c>
      <c r="C8" s="546">
        <v>6.5</v>
      </c>
      <c r="D8" s="545">
        <v>99.6875</v>
      </c>
      <c r="E8" s="547">
        <v>0.5</v>
      </c>
      <c r="F8" s="545">
        <v>299.0625</v>
      </c>
      <c r="G8" s="545">
        <v>0.66</v>
      </c>
      <c r="H8" s="548">
        <v>197.38125000000002</v>
      </c>
    </row>
    <row r="9" spans="1:8" x14ac:dyDescent="0.25">
      <c r="A9" s="544" t="s">
        <v>1425</v>
      </c>
      <c r="B9" s="545">
        <v>15</v>
      </c>
      <c r="C9" s="546">
        <v>0.15</v>
      </c>
      <c r="D9" s="545">
        <v>26.4</v>
      </c>
      <c r="E9" s="547">
        <v>1</v>
      </c>
      <c r="F9" s="545">
        <v>396</v>
      </c>
      <c r="G9" s="545">
        <v>0.66</v>
      </c>
      <c r="H9" s="548">
        <v>261.36</v>
      </c>
    </row>
    <row r="10" spans="1:8" x14ac:dyDescent="0.25">
      <c r="A10" s="544" t="s">
        <v>1426</v>
      </c>
      <c r="B10" s="545">
        <v>123.33333333333334</v>
      </c>
      <c r="C10" s="546">
        <v>0.25</v>
      </c>
      <c r="D10" s="545">
        <v>44</v>
      </c>
      <c r="E10" s="547">
        <v>0.6</v>
      </c>
      <c r="F10" s="545">
        <v>3256</v>
      </c>
      <c r="G10" s="545">
        <v>0.66</v>
      </c>
      <c r="H10" s="548">
        <v>2148.96</v>
      </c>
    </row>
    <row r="11" spans="1:8" x14ac:dyDescent="0.25">
      <c r="A11" s="544" t="s">
        <v>1427</v>
      </c>
      <c r="B11" s="545">
        <v>80</v>
      </c>
      <c r="C11" s="546">
        <v>3.2025999999999999E-2</v>
      </c>
      <c r="D11" s="545">
        <v>5.6365759999999998</v>
      </c>
      <c r="E11" s="547">
        <v>1</v>
      </c>
      <c r="F11" s="545">
        <v>450.92607999999996</v>
      </c>
      <c r="G11" s="545">
        <v>0.66</v>
      </c>
      <c r="H11" s="548">
        <v>297.61121279999998</v>
      </c>
    </row>
    <row r="12" spans="1:8" ht="36" x14ac:dyDescent="0.25">
      <c r="A12" s="544" t="s">
        <v>1428</v>
      </c>
      <c r="B12" s="545">
        <v>1</v>
      </c>
      <c r="C12" s="546">
        <v>1.4710000000000001</v>
      </c>
      <c r="D12" s="545">
        <v>258.89600000000002</v>
      </c>
      <c r="E12" s="547">
        <v>4.1516111111111111E-3</v>
      </c>
      <c r="F12" s="545">
        <v>1.0748355102222222</v>
      </c>
      <c r="G12" s="545">
        <v>0.66</v>
      </c>
      <c r="H12" s="548">
        <v>0.70939143674666671</v>
      </c>
    </row>
    <row r="13" spans="1:8" ht="36" x14ac:dyDescent="0.25">
      <c r="A13" s="544" t="s">
        <v>1429</v>
      </c>
      <c r="B13" s="545">
        <v>1</v>
      </c>
      <c r="C13" s="546">
        <v>2.9420000000000002</v>
      </c>
      <c r="D13" s="545">
        <v>517.79200000000003</v>
      </c>
      <c r="E13" s="547">
        <v>1.7549666666666668E-2</v>
      </c>
      <c r="F13" s="545">
        <v>9.0870770026666676</v>
      </c>
      <c r="G13" s="545">
        <v>0.66</v>
      </c>
      <c r="H13" s="548">
        <v>5.9974708217600012</v>
      </c>
    </row>
    <row r="14" spans="1:8" ht="48" x14ac:dyDescent="0.25">
      <c r="A14" s="544" t="s">
        <v>1430</v>
      </c>
      <c r="B14" s="545">
        <v>1</v>
      </c>
      <c r="C14" s="546">
        <v>11.186</v>
      </c>
      <c r="D14" s="545">
        <v>1968.7359999999999</v>
      </c>
      <c r="E14" s="547">
        <v>7.9333333333333328E-5</v>
      </c>
      <c r="F14" s="545">
        <v>0.15618638933333331</v>
      </c>
      <c r="G14" s="545">
        <v>0.66</v>
      </c>
      <c r="H14" s="548">
        <v>0.10308301696</v>
      </c>
    </row>
    <row r="15" spans="1:8" ht="36" x14ac:dyDescent="0.25">
      <c r="A15" s="544" t="s">
        <v>111</v>
      </c>
      <c r="B15" s="545">
        <v>1</v>
      </c>
      <c r="C15" s="546">
        <v>11.032999999999999</v>
      </c>
      <c r="D15" s="545">
        <v>1941.808</v>
      </c>
      <c r="E15" s="547">
        <v>6.7611111111111116E-5</v>
      </c>
      <c r="F15" s="545">
        <v>0.13128779644444447</v>
      </c>
      <c r="G15" s="545">
        <v>0.66</v>
      </c>
      <c r="H15" s="548">
        <v>8.6649945653333352E-2</v>
      </c>
    </row>
    <row r="16" spans="1:8" ht="36" x14ac:dyDescent="0.25">
      <c r="A16" s="544" t="s">
        <v>1431</v>
      </c>
      <c r="B16" s="545">
        <v>1</v>
      </c>
      <c r="C16" s="546">
        <v>1.4910000000000001</v>
      </c>
      <c r="D16" s="545">
        <v>262.416</v>
      </c>
      <c r="E16" s="547">
        <v>5.6166666666666665E-5</v>
      </c>
      <c r="F16" s="545">
        <v>1.4739031999999999E-2</v>
      </c>
      <c r="G16" s="545">
        <v>0.66</v>
      </c>
      <c r="H16" s="548">
        <v>9.7277611199999992E-3</v>
      </c>
    </row>
    <row r="17" spans="1:8" ht="36" x14ac:dyDescent="0.25">
      <c r="A17" s="544" t="s">
        <v>90</v>
      </c>
      <c r="B17" s="545">
        <v>1</v>
      </c>
      <c r="C17" s="546">
        <v>2.4</v>
      </c>
      <c r="D17" s="545">
        <v>422.4</v>
      </c>
      <c r="E17" s="547">
        <v>0.77532338888888885</v>
      </c>
      <c r="F17" s="545">
        <v>327.49659946666662</v>
      </c>
      <c r="G17" s="545">
        <v>0.66</v>
      </c>
      <c r="H17" s="548">
        <v>216.14775564799999</v>
      </c>
    </row>
    <row r="18" spans="1:8" ht="24" x14ac:dyDescent="0.25">
      <c r="A18" s="544" t="s">
        <v>109</v>
      </c>
      <c r="B18" s="545">
        <v>1</v>
      </c>
      <c r="C18" s="546">
        <v>0.91900000000000004</v>
      </c>
      <c r="D18" s="545">
        <v>161.744</v>
      </c>
      <c r="E18" s="547">
        <v>6.0944444444444448E-5</v>
      </c>
      <c r="F18" s="545">
        <v>9.8573982222222231E-3</v>
      </c>
      <c r="G18" s="545">
        <v>0.66</v>
      </c>
      <c r="H18" s="548">
        <v>6.5058828266666676E-3</v>
      </c>
    </row>
    <row r="19" spans="1:8" ht="48" x14ac:dyDescent="0.25">
      <c r="A19" s="544" t="s">
        <v>1432</v>
      </c>
      <c r="B19" s="545">
        <v>1</v>
      </c>
      <c r="C19" s="546">
        <v>3.677</v>
      </c>
      <c r="D19" s="545">
        <v>647.15200000000004</v>
      </c>
      <c r="E19" s="547">
        <v>1.2566666666666667E-4</v>
      </c>
      <c r="F19" s="545">
        <v>8.1325434666666668E-2</v>
      </c>
      <c r="G19" s="545">
        <v>0.66</v>
      </c>
      <c r="H19" s="548">
        <v>5.3674786880000006E-2</v>
      </c>
    </row>
    <row r="20" spans="1:8" ht="36" x14ac:dyDescent="0.25">
      <c r="A20" s="544" t="s">
        <v>110</v>
      </c>
      <c r="B20" s="545">
        <v>1</v>
      </c>
      <c r="C20" s="546">
        <v>1.6</v>
      </c>
      <c r="D20" s="545">
        <v>281.60000000000002</v>
      </c>
      <c r="E20" s="547">
        <v>2.1453333333333333E-3</v>
      </c>
      <c r="F20" s="545">
        <v>0.60412586666666668</v>
      </c>
      <c r="G20" s="545">
        <v>0.66</v>
      </c>
      <c r="H20" s="548">
        <v>0.39872307200000001</v>
      </c>
    </row>
    <row r="21" spans="1:8" ht="36" x14ac:dyDescent="0.25">
      <c r="A21" s="544" t="s">
        <v>1433</v>
      </c>
      <c r="B21" s="545">
        <v>1</v>
      </c>
      <c r="C21" s="546">
        <v>75</v>
      </c>
      <c r="D21" s="545">
        <v>13200</v>
      </c>
      <c r="E21" s="547">
        <v>4.6777777777777773E-5</v>
      </c>
      <c r="F21" s="545">
        <v>0.61746666666666661</v>
      </c>
      <c r="G21" s="545">
        <v>0.66</v>
      </c>
      <c r="H21" s="548">
        <v>0.407528</v>
      </c>
    </row>
    <row r="22" spans="1:8" ht="24" x14ac:dyDescent="0.25">
      <c r="A22" s="544" t="s">
        <v>1434</v>
      </c>
      <c r="B22" s="545">
        <v>10</v>
      </c>
      <c r="C22" s="546">
        <v>0.70399999999999996</v>
      </c>
      <c r="D22" s="545">
        <v>123.904</v>
      </c>
      <c r="E22" s="547">
        <v>0.1</v>
      </c>
      <c r="F22" s="545">
        <v>123.904</v>
      </c>
      <c r="G22" s="545">
        <v>0.66</v>
      </c>
      <c r="H22" s="548">
        <v>81.77664</v>
      </c>
    </row>
    <row r="23" spans="1:8" x14ac:dyDescent="0.25">
      <c r="A23" s="2106" t="s">
        <v>1435</v>
      </c>
      <c r="B23" s="2107"/>
      <c r="C23" s="2107"/>
      <c r="D23" s="2107"/>
      <c r="E23" s="2107"/>
      <c r="F23" s="2107"/>
      <c r="G23" s="2108"/>
      <c r="H23" s="549">
        <v>3211.009613171947</v>
      </c>
    </row>
    <row r="24" spans="1:8" x14ac:dyDescent="0.25">
      <c r="A24" s="550"/>
      <c r="B24" s="551"/>
      <c r="C24" s="551"/>
      <c r="D24" s="551"/>
      <c r="E24" s="551"/>
      <c r="F24" s="551"/>
      <c r="G24" s="551"/>
      <c r="H24" s="552"/>
    </row>
    <row r="25" spans="1:8" x14ac:dyDescent="0.25">
      <c r="A25" s="2109" t="s">
        <v>1436</v>
      </c>
      <c r="B25" s="2110"/>
      <c r="C25" s="2110"/>
      <c r="D25" s="2110"/>
      <c r="E25" s="2110"/>
      <c r="F25" s="2110"/>
      <c r="G25" s="2110"/>
      <c r="H25" s="2110"/>
    </row>
    <row r="26" spans="1:8" ht="36" x14ac:dyDescent="0.25">
      <c r="A26" s="542" t="s">
        <v>1437</v>
      </c>
      <c r="B26" s="542" t="s">
        <v>1438</v>
      </c>
      <c r="C26" s="542" t="s">
        <v>1439</v>
      </c>
      <c r="D26" s="542" t="s">
        <v>1440</v>
      </c>
      <c r="E26" s="542" t="s">
        <v>1441</v>
      </c>
      <c r="F26" s="542" t="s">
        <v>1442</v>
      </c>
      <c r="G26" s="542" t="s">
        <v>1471</v>
      </c>
      <c r="H26" s="543" t="s">
        <v>17</v>
      </c>
    </row>
    <row r="27" spans="1:8" s="88" customFormat="1" x14ac:dyDescent="0.25">
      <c r="A27" s="570" t="s">
        <v>1443</v>
      </c>
      <c r="B27" s="1595">
        <v>150</v>
      </c>
      <c r="C27" s="571">
        <v>50</v>
      </c>
      <c r="D27" s="571">
        <v>165000</v>
      </c>
      <c r="E27" s="571">
        <v>132000</v>
      </c>
      <c r="F27" s="571">
        <v>297000</v>
      </c>
      <c r="G27" s="571"/>
      <c r="H27" s="572"/>
    </row>
    <row r="28" spans="1:8" s="88" customFormat="1" x14ac:dyDescent="0.25">
      <c r="A28" s="544" t="s">
        <v>1444</v>
      </c>
      <c r="B28" s="1595">
        <v>2579.1866599813343</v>
      </c>
      <c r="C28" s="571">
        <v>294</v>
      </c>
      <c r="D28" s="573">
        <v>758280.87803451228</v>
      </c>
      <c r="E28" s="571"/>
      <c r="F28" s="571">
        <v>42126.715446361792</v>
      </c>
      <c r="G28" s="571"/>
      <c r="H28" s="572"/>
    </row>
    <row r="29" spans="1:8" s="88" customFormat="1" x14ac:dyDescent="0.25">
      <c r="A29" s="570" t="s">
        <v>1468</v>
      </c>
      <c r="B29" s="574" t="s">
        <v>1469</v>
      </c>
      <c r="C29" s="571"/>
      <c r="D29" s="575"/>
      <c r="E29" s="571"/>
      <c r="F29" s="571">
        <v>15000</v>
      </c>
      <c r="G29" s="576">
        <v>1.2829999999999999E-2</v>
      </c>
      <c r="H29" s="572">
        <v>192.45</v>
      </c>
    </row>
    <row r="30" spans="1:8" s="88" customFormat="1" ht="24" x14ac:dyDescent="0.25">
      <c r="A30" s="570" t="s">
        <v>1472</v>
      </c>
      <c r="B30" s="574" t="s">
        <v>1470</v>
      </c>
      <c r="C30" s="571"/>
      <c r="D30" s="575"/>
      <c r="E30" s="571"/>
      <c r="F30" s="571">
        <v>324126.71544636181</v>
      </c>
      <c r="G30" s="576">
        <v>1.5509999999999999E-2</v>
      </c>
      <c r="H30" s="572">
        <v>4987.0153565730716</v>
      </c>
    </row>
    <row r="31" spans="1:8" x14ac:dyDescent="0.25">
      <c r="A31" s="2106" t="s">
        <v>1435</v>
      </c>
      <c r="B31" s="2107"/>
      <c r="C31" s="2107"/>
      <c r="D31" s="2107"/>
      <c r="E31" s="2107"/>
      <c r="F31" s="2107"/>
      <c r="G31" s="2108"/>
      <c r="H31" s="549">
        <v>5179.4653565730714</v>
      </c>
    </row>
    <row r="32" spans="1:8" x14ac:dyDescent="0.25">
      <c r="A32" s="553"/>
      <c r="B32" s="553"/>
      <c r="C32" s="553"/>
      <c r="D32" s="553"/>
      <c r="E32" s="553"/>
      <c r="F32" s="553"/>
      <c r="G32" s="553"/>
      <c r="H32" s="553"/>
    </row>
    <row r="33" spans="1:8" x14ac:dyDescent="0.25">
      <c r="A33" s="554"/>
      <c r="B33" s="554"/>
      <c r="C33" s="554"/>
      <c r="D33" s="554"/>
      <c r="E33" s="554"/>
      <c r="F33" s="49"/>
      <c r="G33" s="49"/>
      <c r="H33" s="49"/>
    </row>
    <row r="34" spans="1:8" x14ac:dyDescent="0.25">
      <c r="A34" s="553"/>
      <c r="B34" s="553"/>
      <c r="C34" s="553"/>
      <c r="D34" s="553"/>
      <c r="E34" s="553"/>
      <c r="F34" s="555"/>
      <c r="G34" s="556"/>
      <c r="H34" s="557"/>
    </row>
    <row r="35" spans="1:8" x14ac:dyDescent="0.25">
      <c r="A35" s="553"/>
      <c r="B35" s="553"/>
      <c r="C35" s="553"/>
      <c r="D35" s="553"/>
      <c r="E35" s="553"/>
      <c r="F35" s="558" t="s">
        <v>135</v>
      </c>
      <c r="G35" s="559"/>
      <c r="H35" s="558"/>
    </row>
    <row r="36" spans="1:8" x14ac:dyDescent="0.25">
      <c r="A36" s="123" t="s">
        <v>1115</v>
      </c>
      <c r="B36" s="553"/>
      <c r="C36" s="553"/>
      <c r="D36" s="553"/>
      <c r="E36" s="553"/>
      <c r="F36" s="558" t="s">
        <v>136</v>
      </c>
      <c r="G36" s="559"/>
      <c r="H36" s="558"/>
    </row>
  </sheetData>
  <mergeCells count="4">
    <mergeCell ref="A2:H2"/>
    <mergeCell ref="A23:G23"/>
    <mergeCell ref="A25:H25"/>
    <mergeCell ref="A31:G31"/>
  </mergeCells>
  <printOptions horizontalCentered="1"/>
  <pageMargins left="0.59055118110236227" right="0.59055118110236227" top="0.78740157480314965" bottom="0.78740157480314965" header="0.59055118110236227" footer="0.59055118110236227"/>
  <pageSetup paperSize="9" scale="70" fitToHeight="0" orientation="landscape" r:id="rId1"/>
  <headerFooter>
    <oddFooter>&amp;L&amp;8ART - 0720140023601&amp;C&amp;"Arial,Normal"&amp;8Página &amp;P de &amp;N</oddFooter>
  </headerFooter>
  <rowBreaks count="1" manualBreakCount="1">
    <brk id="24"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3C357-2FED-4C13-97E3-2EE58A5D8D51}">
  <sheetPr>
    <tabColor theme="2" tint="-0.749992370372631"/>
    <pageSetUpPr fitToPage="1"/>
  </sheetPr>
  <dimension ref="A1:F19"/>
  <sheetViews>
    <sheetView workbookViewId="0">
      <selection sqref="A1:XFD1048576"/>
    </sheetView>
  </sheetViews>
  <sheetFormatPr defaultColWidth="9.140625" defaultRowHeight="15" x14ac:dyDescent="0.25"/>
  <cols>
    <col min="1" max="1" width="9.140625" style="233"/>
    <col min="2" max="2" width="58.7109375" style="233" bestFit="1" customWidth="1"/>
    <col min="3" max="3" width="9.140625" style="233"/>
    <col min="4" max="4" width="12.7109375" style="233" customWidth="1"/>
    <col min="5" max="5" width="14" style="233" bestFit="1" customWidth="1"/>
    <col min="6" max="6" width="51.5703125" style="233" bestFit="1" customWidth="1"/>
    <col min="7" max="16384" width="9.140625" style="233"/>
  </cols>
  <sheetData>
    <row r="1" spans="1:6" ht="18.75" x14ac:dyDescent="0.25">
      <c r="A1" s="1167" t="s">
        <v>3352</v>
      </c>
    </row>
    <row r="2" spans="1:6" x14ac:dyDescent="0.25">
      <c r="A2" s="122" t="s">
        <v>153</v>
      </c>
      <c r="B2" s="232" t="s">
        <v>3501</v>
      </c>
    </row>
    <row r="3" spans="1:6" x14ac:dyDescent="0.25">
      <c r="A3" s="122" t="s">
        <v>184</v>
      </c>
      <c r="B3" s="232" t="s">
        <v>1804</v>
      </c>
    </row>
    <row r="4" spans="1:6" x14ac:dyDescent="0.25">
      <c r="A4" s="1470" t="s">
        <v>0</v>
      </c>
      <c r="B4" s="1471" t="s">
        <v>144</v>
      </c>
      <c r="C4" s="1471" t="s">
        <v>1</v>
      </c>
      <c r="D4" s="1471" t="s">
        <v>3353</v>
      </c>
      <c r="E4" s="1471" t="s">
        <v>3380</v>
      </c>
      <c r="F4" s="1472" t="s">
        <v>3381</v>
      </c>
    </row>
    <row r="6" spans="1:6" x14ac:dyDescent="0.25">
      <c r="A6" s="1473"/>
      <c r="B6" s="1474" t="s">
        <v>3599</v>
      </c>
      <c r="C6" s="1474" t="s">
        <v>46</v>
      </c>
      <c r="D6" s="1596">
        <v>40</v>
      </c>
      <c r="E6" s="1474" t="s">
        <v>3367</v>
      </c>
      <c r="F6" s="1475" t="s">
        <v>3602</v>
      </c>
    </row>
    <row r="7" spans="1:6" x14ac:dyDescent="0.25">
      <c r="A7" s="1476"/>
      <c r="B7" s="1477" t="s">
        <v>3357</v>
      </c>
      <c r="C7" s="1477" t="s">
        <v>3355</v>
      </c>
      <c r="D7" s="1597">
        <v>4.25</v>
      </c>
      <c r="E7" s="1477" t="s">
        <v>3368</v>
      </c>
      <c r="F7" s="1478" t="s">
        <v>3373</v>
      </c>
    </row>
    <row r="8" spans="1:6" x14ac:dyDescent="0.25">
      <c r="A8" s="1476"/>
      <c r="B8" s="1477" t="s">
        <v>3356</v>
      </c>
      <c r="C8" s="1477" t="s">
        <v>200</v>
      </c>
      <c r="D8" s="1597">
        <v>0.36666666666666664</v>
      </c>
      <c r="E8" s="1477" t="s">
        <v>3370</v>
      </c>
      <c r="F8" s="1478" t="s">
        <v>3373</v>
      </c>
    </row>
    <row r="9" spans="1:6" x14ac:dyDescent="0.25">
      <c r="A9" s="1476"/>
      <c r="B9" s="1477" t="s">
        <v>3358</v>
      </c>
      <c r="C9" s="1477" t="s">
        <v>3355</v>
      </c>
      <c r="D9" s="1597">
        <v>4.3</v>
      </c>
      <c r="E9" s="1477" t="s">
        <v>3371</v>
      </c>
      <c r="F9" s="1478" t="s">
        <v>3373</v>
      </c>
    </row>
    <row r="10" spans="1:6" x14ac:dyDescent="0.25">
      <c r="A10" s="1476"/>
      <c r="B10" s="1477" t="s">
        <v>3359</v>
      </c>
      <c r="C10" s="1477" t="s">
        <v>200</v>
      </c>
      <c r="D10" s="1597">
        <v>0.16666666666666666</v>
      </c>
      <c r="E10" s="1477" t="s">
        <v>3372</v>
      </c>
      <c r="F10" s="1478" t="s">
        <v>3373</v>
      </c>
    </row>
    <row r="11" spans="1:6" x14ac:dyDescent="0.25">
      <c r="A11" s="1476"/>
      <c r="B11" s="1477" t="s">
        <v>3360</v>
      </c>
      <c r="C11" s="1477" t="s">
        <v>3361</v>
      </c>
      <c r="D11" s="1597">
        <v>21.75</v>
      </c>
      <c r="E11" s="1477" t="s">
        <v>3374</v>
      </c>
      <c r="F11" s="1478" t="s">
        <v>3375</v>
      </c>
    </row>
    <row r="12" spans="1:6" x14ac:dyDescent="0.25">
      <c r="A12" s="1476"/>
      <c r="B12" s="1477" t="s">
        <v>3362</v>
      </c>
      <c r="C12" s="1477" t="s">
        <v>200</v>
      </c>
      <c r="D12" s="1597">
        <v>11.6</v>
      </c>
      <c r="E12" s="1477" t="s">
        <v>3376</v>
      </c>
      <c r="F12" s="1478" t="s">
        <v>3379</v>
      </c>
    </row>
    <row r="13" spans="1:6" x14ac:dyDescent="0.25">
      <c r="A13" s="1598"/>
      <c r="B13" s="1599" t="s">
        <v>3363</v>
      </c>
      <c r="C13" s="1599" t="s">
        <v>3365</v>
      </c>
      <c r="D13" s="1600">
        <v>464</v>
      </c>
      <c r="E13" s="1599" t="s">
        <v>3377</v>
      </c>
      <c r="F13" s="1601" t="s">
        <v>4013</v>
      </c>
    </row>
    <row r="14" spans="1:6" x14ac:dyDescent="0.25">
      <c r="A14" s="1476"/>
      <c r="B14" s="1477" t="s">
        <v>3600</v>
      </c>
      <c r="C14" s="1477" t="s">
        <v>3365</v>
      </c>
      <c r="D14" s="1597">
        <v>514151.5991861432</v>
      </c>
      <c r="E14" s="1477" t="s">
        <v>3378</v>
      </c>
      <c r="F14" s="1478" t="s">
        <v>3602</v>
      </c>
    </row>
    <row r="15" spans="1:6" x14ac:dyDescent="0.25">
      <c r="A15" s="1476"/>
      <c r="B15" s="1477" t="s">
        <v>3369</v>
      </c>
      <c r="C15" s="1477" t="s">
        <v>356</v>
      </c>
      <c r="D15" s="1597">
        <v>9996408.4626451507</v>
      </c>
      <c r="E15" s="1477" t="s">
        <v>3603</v>
      </c>
      <c r="F15" s="1478" t="s">
        <v>3601</v>
      </c>
    </row>
    <row r="16" spans="1:6" x14ac:dyDescent="0.25">
      <c r="A16" s="1602"/>
      <c r="B16" s="1603" t="s">
        <v>3366</v>
      </c>
      <c r="C16" s="1603" t="s">
        <v>3364</v>
      </c>
      <c r="D16" s="1604">
        <v>19.442531110412933</v>
      </c>
      <c r="E16" s="1603" t="s">
        <v>3604</v>
      </c>
      <c r="F16" s="1605" t="s">
        <v>4012</v>
      </c>
    </row>
    <row r="17" spans="1:6" x14ac:dyDescent="0.25">
      <c r="A17" s="233" t="s">
        <v>3383</v>
      </c>
    </row>
    <row r="18" spans="1:6" s="88" customFormat="1" ht="80.25" customHeight="1" x14ac:dyDescent="0.25">
      <c r="B18" s="2111" t="s">
        <v>3384</v>
      </c>
      <c r="C18" s="2111"/>
      <c r="D18" s="2111"/>
      <c r="E18" s="2111"/>
      <c r="F18" s="2111"/>
    </row>
    <row r="19" spans="1:6" ht="47.25" customHeight="1" x14ac:dyDescent="0.25">
      <c r="B19" s="2112" t="s">
        <v>3995</v>
      </c>
      <c r="C19" s="2112"/>
      <c r="D19" s="2112"/>
      <c r="E19" s="2112"/>
      <c r="F19" s="2112"/>
    </row>
  </sheetData>
  <mergeCells count="2">
    <mergeCell ref="B18:F18"/>
    <mergeCell ref="B19:F19"/>
  </mergeCells>
  <printOptions horizontalCentered="1"/>
  <pageMargins left="0.59055118110236227" right="0.59055118110236227" top="0.78740157480314965" bottom="0.78740157480314965" header="0.59055118110236227" footer="0.59055118110236227"/>
  <pageSetup paperSize="9" scale="86" orientation="landscape"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54443-30FD-4DDF-9E2D-E765CD68A5F9}">
  <sheetPr>
    <tabColor theme="2" tint="-0.749992370372631"/>
    <pageSetUpPr fitToPage="1"/>
  </sheetPr>
  <dimension ref="A1:R271"/>
  <sheetViews>
    <sheetView workbookViewId="0">
      <selection sqref="A1:XFD1048576"/>
    </sheetView>
  </sheetViews>
  <sheetFormatPr defaultColWidth="9.140625" defaultRowHeight="11.25" x14ac:dyDescent="0.25"/>
  <cols>
    <col min="1" max="1" width="13.7109375" style="1164" customWidth="1"/>
    <col min="2" max="3" width="9.7109375" style="1165" customWidth="1"/>
    <col min="4" max="4" width="50.7109375" style="1164" customWidth="1"/>
    <col min="5" max="5" width="7.7109375" style="1165" customWidth="1"/>
    <col min="6" max="6" width="9.140625" style="1169"/>
    <col min="7" max="11" width="11.7109375" style="1169" customWidth="1"/>
    <col min="12" max="12" width="9.140625" style="1169"/>
    <col min="13" max="14" width="11.7109375" style="1169" customWidth="1"/>
    <col min="15" max="15" width="9.140625" style="1169"/>
    <col min="16" max="17" width="11.7109375" style="1169" customWidth="1"/>
    <col min="18" max="18" width="30.7109375" style="1164" customWidth="1"/>
    <col min="19" max="16384" width="9.140625" style="1164"/>
  </cols>
  <sheetData>
    <row r="1" spans="1:18" ht="18.75" x14ac:dyDescent="0.25">
      <c r="A1" s="1167" t="s">
        <v>2919</v>
      </c>
      <c r="C1" s="1164"/>
      <c r="E1" s="1164"/>
    </row>
    <row r="2" spans="1:18" x14ac:dyDescent="0.25">
      <c r="A2" s="81" t="s">
        <v>153</v>
      </c>
      <c r="B2" s="1166" t="s">
        <v>3501</v>
      </c>
      <c r="C2" s="1164"/>
      <c r="E2" s="1164"/>
      <c r="G2" s="1181">
        <v>1776</v>
      </c>
      <c r="H2" s="1169">
        <v>1990</v>
      </c>
      <c r="M2" s="1181">
        <v>2744</v>
      </c>
    </row>
    <row r="3" spans="1:18" x14ac:dyDescent="0.25">
      <c r="A3" s="81" t="s">
        <v>2920</v>
      </c>
      <c r="B3" s="1166" t="s">
        <v>1527</v>
      </c>
      <c r="C3" s="1164"/>
      <c r="E3" s="1164"/>
      <c r="G3" s="1181">
        <v>1606</v>
      </c>
      <c r="H3" s="1169">
        <v>1760</v>
      </c>
      <c r="M3" s="1181">
        <v>2475</v>
      </c>
    </row>
    <row r="4" spans="1:18" x14ac:dyDescent="0.25">
      <c r="A4" s="81" t="s">
        <v>155</v>
      </c>
      <c r="B4" s="1166" t="s">
        <v>1528</v>
      </c>
      <c r="C4" s="1164"/>
      <c r="E4" s="1164"/>
      <c r="G4" s="1181">
        <v>991</v>
      </c>
      <c r="H4" s="1169">
        <v>945</v>
      </c>
      <c r="M4" s="1181">
        <v>1522</v>
      </c>
    </row>
    <row r="5" spans="1:18" x14ac:dyDescent="0.25">
      <c r="A5" s="2114" t="s">
        <v>0</v>
      </c>
      <c r="B5" s="2114" t="s">
        <v>32</v>
      </c>
      <c r="C5" s="2114" t="s">
        <v>27</v>
      </c>
      <c r="D5" s="2114" t="s">
        <v>144</v>
      </c>
      <c r="E5" s="2114" t="s">
        <v>1</v>
      </c>
      <c r="F5" s="2113" t="s">
        <v>2933</v>
      </c>
      <c r="G5" s="1172" t="s">
        <v>2921</v>
      </c>
      <c r="H5" s="1172"/>
      <c r="I5" s="1172"/>
      <c r="J5" s="1172"/>
      <c r="K5" s="1172"/>
      <c r="L5" s="2113" t="s">
        <v>2935</v>
      </c>
      <c r="M5" s="1172"/>
      <c r="N5" s="1172"/>
      <c r="O5" s="2113" t="s">
        <v>2934</v>
      </c>
      <c r="P5" s="1172"/>
      <c r="Q5" s="1172"/>
      <c r="R5" s="2114" t="s">
        <v>160</v>
      </c>
    </row>
    <row r="6" spans="1:18" x14ac:dyDescent="0.25">
      <c r="A6" s="2114"/>
      <c r="B6" s="2114"/>
      <c r="C6" s="2114"/>
      <c r="D6" s="2114"/>
      <c r="E6" s="2114"/>
      <c r="F6" s="2113"/>
      <c r="G6" s="1172" t="s">
        <v>1717</v>
      </c>
      <c r="H6" s="1172"/>
      <c r="I6" s="1172"/>
      <c r="J6" s="1172"/>
      <c r="K6" s="1172"/>
      <c r="L6" s="2113"/>
      <c r="M6" s="1172" t="s">
        <v>1804</v>
      </c>
      <c r="N6" s="1172"/>
      <c r="O6" s="2113"/>
      <c r="P6" s="1172" t="s">
        <v>2112</v>
      </c>
      <c r="Q6" s="1172"/>
      <c r="R6" s="2114"/>
    </row>
    <row r="7" spans="1:18" x14ac:dyDescent="0.25">
      <c r="A7" s="2114"/>
      <c r="B7" s="2114"/>
      <c r="C7" s="2114"/>
      <c r="D7" s="2114"/>
      <c r="E7" s="2114"/>
      <c r="F7" s="2113"/>
      <c r="G7" s="1170" t="s">
        <v>3091</v>
      </c>
      <c r="H7" s="1170" t="s">
        <v>3092</v>
      </c>
      <c r="I7" s="1170" t="s">
        <v>35</v>
      </c>
      <c r="J7" s="1170" t="s">
        <v>35</v>
      </c>
      <c r="K7" s="1170" t="s">
        <v>35</v>
      </c>
      <c r="L7" s="2113"/>
      <c r="M7" s="1170" t="s">
        <v>3093</v>
      </c>
      <c r="N7" s="1170"/>
      <c r="O7" s="2113"/>
      <c r="P7" s="1170"/>
      <c r="Q7" s="1170"/>
      <c r="R7" s="2114"/>
    </row>
    <row r="8" spans="1:18" x14ac:dyDescent="0.25">
      <c r="A8" s="2114"/>
      <c r="B8" s="2114"/>
      <c r="C8" s="2114"/>
      <c r="D8" s="2114"/>
      <c r="E8" s="2114"/>
      <c r="F8" s="2113"/>
      <c r="G8" s="1170" t="s">
        <v>2922</v>
      </c>
      <c r="H8" s="1170" t="s">
        <v>2923</v>
      </c>
      <c r="I8" s="1170" t="s">
        <v>3013</v>
      </c>
      <c r="J8" s="1170" t="s">
        <v>3012</v>
      </c>
      <c r="K8" s="1170" t="s">
        <v>3011</v>
      </c>
      <c r="L8" s="2113"/>
      <c r="M8" s="1170" t="s">
        <v>2922</v>
      </c>
      <c r="N8" s="1170" t="s">
        <v>2112</v>
      </c>
      <c r="O8" s="2113"/>
      <c r="P8" s="1170" t="s">
        <v>2112</v>
      </c>
      <c r="Q8" s="1170" t="s">
        <v>2112</v>
      </c>
      <c r="R8" s="2114"/>
    </row>
    <row r="9" spans="1:18" s="1166" customFormat="1" x14ac:dyDescent="0.25">
      <c r="A9" s="1188" t="s">
        <v>185</v>
      </c>
      <c r="B9" s="1189"/>
      <c r="C9" s="1189"/>
      <c r="D9" s="1188" t="s">
        <v>2732</v>
      </c>
      <c r="E9" s="1189"/>
      <c r="F9" s="1190" t="s">
        <v>21</v>
      </c>
      <c r="G9" s="1190"/>
      <c r="H9" s="1190"/>
      <c r="I9" s="1190"/>
      <c r="J9" s="1190"/>
      <c r="K9" s="1190"/>
      <c r="L9" s="1190" t="s">
        <v>21</v>
      </c>
      <c r="M9" s="1190"/>
      <c r="N9" s="1190"/>
      <c r="O9" s="1190" t="s">
        <v>21</v>
      </c>
      <c r="P9" s="1190"/>
      <c r="Q9" s="1190"/>
      <c r="R9" s="1188"/>
    </row>
    <row r="10" spans="1:18" s="1166" customFormat="1" x14ac:dyDescent="0.25">
      <c r="A10" s="1191" t="s">
        <v>2684</v>
      </c>
      <c r="B10" s="1192"/>
      <c r="C10" s="1192"/>
      <c r="D10" s="1191" t="s">
        <v>2698</v>
      </c>
      <c r="E10" s="1192"/>
      <c r="F10" s="1193" t="s">
        <v>21</v>
      </c>
      <c r="G10" s="1193"/>
      <c r="H10" s="1193"/>
      <c r="I10" s="1193"/>
      <c r="J10" s="1193"/>
      <c r="K10" s="1193"/>
      <c r="L10" s="1193" t="s">
        <v>21</v>
      </c>
      <c r="M10" s="1193"/>
      <c r="N10" s="1193"/>
      <c r="O10" s="1193" t="s">
        <v>21</v>
      </c>
      <c r="P10" s="1193"/>
      <c r="Q10" s="1193"/>
      <c r="R10" s="1191"/>
    </row>
    <row r="11" spans="1:18" x14ac:dyDescent="0.25">
      <c r="A11" s="1164" t="s">
        <v>2734</v>
      </c>
      <c r="B11" s="1165" t="s">
        <v>27</v>
      </c>
      <c r="C11" s="1165">
        <v>98525</v>
      </c>
      <c r="D11" s="1164" t="s">
        <v>1542</v>
      </c>
      <c r="E11" s="1165" t="s">
        <v>20</v>
      </c>
      <c r="F11" s="1169">
        <v>9674</v>
      </c>
      <c r="G11" s="1169">
        <v>4035</v>
      </c>
      <c r="H11" s="1169">
        <v>5639</v>
      </c>
      <c r="L11" s="1169">
        <v>6169</v>
      </c>
      <c r="M11" s="1176">
        <v>6169</v>
      </c>
      <c r="O11" s="1169">
        <v>0</v>
      </c>
      <c r="R11" s="1164" t="s">
        <v>2952</v>
      </c>
    </row>
    <row r="12" spans="1:18" x14ac:dyDescent="0.25">
      <c r="A12" s="1164" t="s">
        <v>2735</v>
      </c>
      <c r="B12" s="1165" t="s">
        <v>27</v>
      </c>
      <c r="C12" s="1165">
        <v>100999</v>
      </c>
      <c r="D12" s="1164" t="s">
        <v>1052</v>
      </c>
      <c r="E12" s="1165" t="s">
        <v>23</v>
      </c>
      <c r="F12" s="1174">
        <v>0</v>
      </c>
      <c r="G12" s="1174"/>
      <c r="H12" s="1174"/>
      <c r="I12" s="1174"/>
      <c r="J12" s="1174"/>
      <c r="K12" s="1174"/>
      <c r="L12" s="1174">
        <v>0</v>
      </c>
      <c r="M12" s="1174"/>
      <c r="N12" s="1174"/>
      <c r="O12" s="1174">
        <v>0</v>
      </c>
      <c r="P12" s="1174"/>
      <c r="Q12" s="1174"/>
      <c r="R12" s="1164" t="s">
        <v>2932</v>
      </c>
    </row>
    <row r="13" spans="1:18" x14ac:dyDescent="0.25">
      <c r="A13" s="1164" t="s">
        <v>2736</v>
      </c>
      <c r="B13" s="1165" t="s">
        <v>27</v>
      </c>
      <c r="C13" s="1165">
        <v>100954</v>
      </c>
      <c r="D13" s="1164" t="s">
        <v>1850</v>
      </c>
      <c r="E13" s="1165" t="s">
        <v>25</v>
      </c>
      <c r="F13" s="1174">
        <v>0</v>
      </c>
      <c r="G13" s="1174"/>
      <c r="H13" s="1174"/>
      <c r="I13" s="1174"/>
      <c r="J13" s="1174"/>
      <c r="K13" s="1174"/>
      <c r="L13" s="1174">
        <v>0</v>
      </c>
      <c r="M13" s="1174"/>
      <c r="N13" s="1174"/>
      <c r="O13" s="1174">
        <v>0</v>
      </c>
      <c r="P13" s="1174"/>
      <c r="Q13" s="1174"/>
      <c r="R13" s="1164" t="s">
        <v>2932</v>
      </c>
    </row>
    <row r="14" spans="1:18" x14ac:dyDescent="0.25">
      <c r="A14" s="1164" t="s">
        <v>2737</v>
      </c>
      <c r="B14" s="1165" t="s">
        <v>27</v>
      </c>
      <c r="C14" s="1165">
        <v>95879</v>
      </c>
      <c r="D14" s="1164" t="s">
        <v>1543</v>
      </c>
      <c r="E14" s="1165" t="s">
        <v>25</v>
      </c>
      <c r="F14" s="1174">
        <v>0</v>
      </c>
      <c r="G14" s="1174"/>
      <c r="H14" s="1174"/>
      <c r="I14" s="1174"/>
      <c r="J14" s="1174"/>
      <c r="K14" s="1174"/>
      <c r="L14" s="1174">
        <v>0</v>
      </c>
      <c r="M14" s="1174"/>
      <c r="N14" s="1174"/>
      <c r="O14" s="1174">
        <v>0</v>
      </c>
      <c r="P14" s="1174"/>
      <c r="Q14" s="1174"/>
      <c r="R14" s="1164" t="s">
        <v>2932</v>
      </c>
    </row>
    <row r="15" spans="1:18" x14ac:dyDescent="0.25">
      <c r="A15" s="1164" t="s">
        <v>2738</v>
      </c>
      <c r="B15" s="1165" t="s">
        <v>27</v>
      </c>
      <c r="C15" s="1165">
        <v>93599</v>
      </c>
      <c r="D15" s="1164" t="s">
        <v>1544</v>
      </c>
      <c r="E15" s="1165" t="s">
        <v>25</v>
      </c>
      <c r="F15" s="1174">
        <v>0</v>
      </c>
      <c r="G15" s="1174"/>
      <c r="H15" s="1174"/>
      <c r="I15" s="1174"/>
      <c r="J15" s="1174"/>
      <c r="K15" s="1174"/>
      <c r="L15" s="1174">
        <v>0</v>
      </c>
      <c r="M15" s="1174"/>
      <c r="N15" s="1174"/>
      <c r="O15" s="1174">
        <v>0</v>
      </c>
      <c r="P15" s="1174"/>
      <c r="Q15" s="1174"/>
      <c r="R15" s="1164" t="s">
        <v>2932</v>
      </c>
    </row>
    <row r="16" spans="1:18" x14ac:dyDescent="0.25">
      <c r="A16" s="1164" t="s">
        <v>2936</v>
      </c>
      <c r="B16" s="1165" t="s">
        <v>138</v>
      </c>
      <c r="C16" s="1165" t="s">
        <v>164</v>
      </c>
      <c r="D16" s="1164" t="s">
        <v>1545</v>
      </c>
      <c r="E16" s="1165" t="s">
        <v>23</v>
      </c>
      <c r="F16" s="1174">
        <v>0</v>
      </c>
      <c r="G16" s="1174"/>
      <c r="H16" s="1174"/>
      <c r="I16" s="1174"/>
      <c r="J16" s="1174"/>
      <c r="K16" s="1174"/>
      <c r="L16" s="1174">
        <v>0</v>
      </c>
      <c r="M16" s="1174"/>
      <c r="N16" s="1174"/>
      <c r="O16" s="1174">
        <v>0</v>
      </c>
      <c r="P16" s="1174"/>
      <c r="Q16" s="1174"/>
      <c r="R16" s="1164" t="s">
        <v>2932</v>
      </c>
    </row>
    <row r="17" spans="1:18" s="1166" customFormat="1" x14ac:dyDescent="0.25">
      <c r="A17" s="1191" t="s">
        <v>2739</v>
      </c>
      <c r="B17" s="1192"/>
      <c r="C17" s="1192"/>
      <c r="D17" s="1191" t="s">
        <v>2708</v>
      </c>
      <c r="E17" s="1192"/>
      <c r="F17" s="1193" t="s">
        <v>21</v>
      </c>
      <c r="G17" s="1194">
        <v>6469.9</v>
      </c>
      <c r="H17" s="1194">
        <v>4973.3</v>
      </c>
      <c r="I17" s="1194"/>
      <c r="J17" s="1194"/>
      <c r="K17" s="1194"/>
      <c r="L17" s="1193" t="s">
        <v>21</v>
      </c>
      <c r="M17" s="1194">
        <v>47701.18</v>
      </c>
      <c r="N17" s="1194"/>
      <c r="O17" s="1193" t="s">
        <v>21</v>
      </c>
      <c r="P17" s="1194"/>
      <c r="Q17" s="1194"/>
      <c r="R17" s="1191"/>
    </row>
    <row r="18" spans="1:18" x14ac:dyDescent="0.25">
      <c r="A18" s="1164" t="s">
        <v>2740</v>
      </c>
      <c r="B18" s="1165" t="s">
        <v>27</v>
      </c>
      <c r="C18" s="1165">
        <v>101145</v>
      </c>
      <c r="D18" s="1164" t="s">
        <v>2699</v>
      </c>
      <c r="E18" s="1165" t="s">
        <v>28</v>
      </c>
      <c r="F18" s="1169">
        <v>10945.869999999999</v>
      </c>
      <c r="G18" s="1169">
        <v>6469.9</v>
      </c>
      <c r="H18" s="1169">
        <v>4475.97</v>
      </c>
      <c r="L18" s="1169">
        <v>47701.18</v>
      </c>
      <c r="M18" s="1169">
        <v>47701.18</v>
      </c>
      <c r="N18" s="1169">
        <v>0</v>
      </c>
      <c r="O18" s="1169">
        <v>0</v>
      </c>
      <c r="P18" s="1169">
        <v>0</v>
      </c>
      <c r="Q18" s="1169">
        <v>0</v>
      </c>
    </row>
    <row r="19" spans="1:18" x14ac:dyDescent="0.25">
      <c r="A19" s="1164" t="s">
        <v>2741</v>
      </c>
      <c r="B19" s="1165" t="s">
        <v>27</v>
      </c>
      <c r="C19" s="1165">
        <v>101150</v>
      </c>
      <c r="D19" s="1164" t="s">
        <v>2700</v>
      </c>
      <c r="E19" s="1165" t="s">
        <v>28</v>
      </c>
      <c r="F19" s="1169">
        <v>497.33000000000004</v>
      </c>
      <c r="G19" s="1169">
        <v>0</v>
      </c>
      <c r="H19" s="1169">
        <v>497.33000000000004</v>
      </c>
      <c r="L19" s="1169">
        <v>0</v>
      </c>
      <c r="M19" s="1169">
        <v>0</v>
      </c>
      <c r="N19" s="1169">
        <v>0</v>
      </c>
      <c r="O19" s="1169">
        <v>0</v>
      </c>
      <c r="P19" s="1169">
        <v>0</v>
      </c>
      <c r="Q19" s="1169">
        <v>0</v>
      </c>
      <c r="R19" s="1164" t="s">
        <v>2925</v>
      </c>
    </row>
    <row r="20" spans="1:18" s="1166" customFormat="1" x14ac:dyDescent="0.25">
      <c r="A20" s="1191" t="s">
        <v>2742</v>
      </c>
      <c r="B20" s="1192"/>
      <c r="C20" s="1192"/>
      <c r="D20" s="1191" t="s">
        <v>2707</v>
      </c>
      <c r="E20" s="1192"/>
      <c r="F20" s="1193" t="s">
        <v>21</v>
      </c>
      <c r="G20" s="1193"/>
      <c r="H20" s="1193"/>
      <c r="I20" s="1193"/>
      <c r="J20" s="1193"/>
      <c r="K20" s="1193"/>
      <c r="L20" s="1193" t="s">
        <v>21</v>
      </c>
      <c r="M20" s="1193"/>
      <c r="N20" s="1193"/>
      <c r="O20" s="1193" t="s">
        <v>21</v>
      </c>
      <c r="P20" s="1193"/>
      <c r="Q20" s="1193"/>
      <c r="R20" s="1191"/>
    </row>
    <row r="21" spans="1:18" x14ac:dyDescent="0.25">
      <c r="A21" s="1164" t="s">
        <v>2743</v>
      </c>
      <c r="B21" s="1165" t="s">
        <v>27</v>
      </c>
      <c r="C21" s="1165">
        <v>100575</v>
      </c>
      <c r="D21" s="1164" t="s">
        <v>2701</v>
      </c>
      <c r="E21" s="1165" t="s">
        <v>20</v>
      </c>
      <c r="F21" s="1169">
        <v>1955.3899999999999</v>
      </c>
      <c r="G21" s="1169">
        <v>991.34</v>
      </c>
      <c r="H21" s="1169">
        <v>964.05</v>
      </c>
      <c r="L21" s="1169">
        <v>1627.41</v>
      </c>
      <c r="M21" s="1169">
        <v>1627.41</v>
      </c>
      <c r="O21" s="1169">
        <v>0</v>
      </c>
    </row>
    <row r="22" spans="1:18" s="1166" customFormat="1" x14ac:dyDescent="0.25">
      <c r="A22" s="1191" t="s">
        <v>2744</v>
      </c>
      <c r="B22" s="1192"/>
      <c r="C22" s="1192"/>
      <c r="D22" s="1191" t="s">
        <v>3196</v>
      </c>
      <c r="E22" s="1192"/>
      <c r="F22" s="1193" t="s">
        <v>21</v>
      </c>
      <c r="G22" s="1193"/>
      <c r="H22" s="1193"/>
      <c r="I22" s="1193"/>
      <c r="J22" s="1193"/>
      <c r="K22" s="1193"/>
      <c r="L22" s="1193" t="s">
        <v>21</v>
      </c>
      <c r="M22" s="1193"/>
      <c r="N22" s="1193"/>
      <c r="O22" s="1193" t="s">
        <v>21</v>
      </c>
      <c r="P22" s="1193"/>
      <c r="Q22" s="1193"/>
      <c r="R22" s="1191"/>
    </row>
    <row r="23" spans="1:18" s="1166" customFormat="1" x14ac:dyDescent="0.25">
      <c r="A23" s="1196" t="s">
        <v>2745</v>
      </c>
      <c r="B23" s="1197"/>
      <c r="C23" s="1197"/>
      <c r="D23" s="1196" t="s">
        <v>3195</v>
      </c>
      <c r="E23" s="1197"/>
      <c r="F23" s="1198"/>
      <c r="G23" s="1198"/>
      <c r="H23" s="1198"/>
      <c r="I23" s="1198"/>
      <c r="J23" s="1198"/>
      <c r="K23" s="1198"/>
      <c r="L23" s="1198"/>
      <c r="M23" s="1198"/>
      <c r="N23" s="1198"/>
      <c r="O23" s="1198"/>
      <c r="P23" s="1198"/>
      <c r="Q23" s="1198"/>
      <c r="R23" s="1196"/>
    </row>
    <row r="24" spans="1:18" x14ac:dyDescent="0.25">
      <c r="A24" s="1164" t="s">
        <v>3183</v>
      </c>
      <c r="B24" s="1165" t="s">
        <v>27</v>
      </c>
      <c r="C24" s="1165">
        <v>100577</v>
      </c>
      <c r="D24" s="1164" t="s">
        <v>2706</v>
      </c>
      <c r="E24" s="1165" t="s">
        <v>20</v>
      </c>
      <c r="F24" s="1169">
        <v>2434.2552999999998</v>
      </c>
      <c r="G24" s="1169">
        <v>1073.8599999999999</v>
      </c>
      <c r="H24" s="1169">
        <v>1360.3952999999999</v>
      </c>
      <c r="L24" s="1169">
        <v>0</v>
      </c>
      <c r="M24" s="1169">
        <v>0</v>
      </c>
      <c r="O24" s="1169">
        <v>0</v>
      </c>
    </row>
    <row r="25" spans="1:18" x14ac:dyDescent="0.25">
      <c r="A25" s="1164" t="s">
        <v>3185</v>
      </c>
      <c r="B25" s="1165" t="s">
        <v>27</v>
      </c>
      <c r="C25" s="1165">
        <v>96386</v>
      </c>
      <c r="D25" s="1164" t="s">
        <v>2702</v>
      </c>
      <c r="E25" s="1165" t="s">
        <v>20</v>
      </c>
      <c r="F25" s="1169">
        <v>2726.8</v>
      </c>
      <c r="G25" s="1169">
        <v>2180</v>
      </c>
      <c r="H25" s="1169">
        <v>546.79999999999995</v>
      </c>
      <c r="L25" s="1169">
        <v>0</v>
      </c>
      <c r="M25" s="1169">
        <v>0</v>
      </c>
      <c r="O25" s="1169">
        <v>0</v>
      </c>
    </row>
    <row r="26" spans="1:18" x14ac:dyDescent="0.25">
      <c r="A26" s="1164" t="s">
        <v>3186</v>
      </c>
      <c r="B26" s="1165" t="s">
        <v>27</v>
      </c>
      <c r="C26" s="1165" t="s">
        <v>568</v>
      </c>
      <c r="D26" s="1164" t="s">
        <v>3194</v>
      </c>
      <c r="E26" s="1165" t="s">
        <v>20</v>
      </c>
      <c r="F26" s="1169">
        <v>3233.3853525999998</v>
      </c>
      <c r="G26" s="1176">
        <v>1593.933718</v>
      </c>
      <c r="H26" s="1169">
        <v>1639.4516345999998</v>
      </c>
      <c r="L26" s="1169">
        <v>2320.32485</v>
      </c>
      <c r="M26" s="1169">
        <v>2320.32485</v>
      </c>
      <c r="O26" s="1169">
        <v>0</v>
      </c>
    </row>
    <row r="27" spans="1:18" x14ac:dyDescent="0.25">
      <c r="A27" s="1164" t="s">
        <v>3187</v>
      </c>
      <c r="B27" s="1165" t="s">
        <v>27</v>
      </c>
      <c r="C27" s="1165">
        <v>98504</v>
      </c>
      <c r="D27" s="1164" t="s">
        <v>2703</v>
      </c>
      <c r="E27" s="1165" t="s">
        <v>20</v>
      </c>
      <c r="F27" s="1169">
        <v>4546.8499525999996</v>
      </c>
      <c r="G27" s="1169">
        <v>2141.2537179999999</v>
      </c>
      <c r="H27" s="1169">
        <v>2405.5962345999997</v>
      </c>
      <c r="L27" s="1169">
        <v>4081.84485</v>
      </c>
      <c r="M27" s="1176">
        <v>4081.84485</v>
      </c>
      <c r="O27" s="1169">
        <v>0</v>
      </c>
      <c r="R27" s="1164" t="s">
        <v>2937</v>
      </c>
    </row>
    <row r="28" spans="1:18" x14ac:dyDescent="0.25">
      <c r="A28" s="1164" t="s">
        <v>3188</v>
      </c>
      <c r="B28" s="1165" t="s">
        <v>27</v>
      </c>
      <c r="C28" s="1165">
        <v>92792</v>
      </c>
      <c r="D28" s="1164" t="s">
        <v>2704</v>
      </c>
      <c r="E28" s="1165" t="s">
        <v>1880</v>
      </c>
      <c r="F28" s="1169">
        <v>193.64385611682223</v>
      </c>
      <c r="G28" s="1169">
        <v>95.458919333555571</v>
      </c>
      <c r="H28" s="1169">
        <v>98.184936783266664</v>
      </c>
      <c r="L28" s="1169">
        <v>138.96167712777779</v>
      </c>
      <c r="M28" s="1169">
        <v>138.96167712777779</v>
      </c>
      <c r="N28" s="1169">
        <v>0</v>
      </c>
      <c r="O28" s="1169">
        <v>0</v>
      </c>
      <c r="P28" s="1169">
        <v>0</v>
      </c>
      <c r="Q28" s="1169">
        <v>0</v>
      </c>
      <c r="R28" s="1164" t="s">
        <v>2705</v>
      </c>
    </row>
    <row r="29" spans="1:18" s="1166" customFormat="1" x14ac:dyDescent="0.25">
      <c r="A29" s="1196" t="s">
        <v>2746</v>
      </c>
      <c r="B29" s="1197"/>
      <c r="C29" s="1197"/>
      <c r="D29" s="1196" t="s">
        <v>3193</v>
      </c>
      <c r="E29" s="1197"/>
      <c r="F29" s="1198"/>
      <c r="G29" s="1198"/>
      <c r="H29" s="1198"/>
      <c r="I29" s="1198"/>
      <c r="J29" s="1198"/>
      <c r="K29" s="1198"/>
      <c r="L29" s="1198"/>
      <c r="M29" s="1198"/>
      <c r="N29" s="1198"/>
      <c r="O29" s="1198"/>
      <c r="P29" s="1198"/>
      <c r="Q29" s="1198"/>
      <c r="R29" s="1196"/>
    </row>
    <row r="30" spans="1:18" x14ac:dyDescent="0.25">
      <c r="A30" s="1164" t="s">
        <v>3184</v>
      </c>
      <c r="B30" s="1165" t="s">
        <v>27</v>
      </c>
      <c r="C30" s="1165" t="s">
        <v>568</v>
      </c>
      <c r="D30" s="1164" t="s">
        <v>2731</v>
      </c>
      <c r="E30" s="1165" t="s">
        <v>20</v>
      </c>
      <c r="F30" s="1169">
        <v>0</v>
      </c>
      <c r="L30" s="1169">
        <v>0</v>
      </c>
      <c r="M30" s="1176"/>
      <c r="O30" s="1169">
        <v>0</v>
      </c>
    </row>
    <row r="31" spans="1:18" x14ac:dyDescent="0.25">
      <c r="A31" s="1164" t="s">
        <v>3189</v>
      </c>
      <c r="B31" s="1165" t="s">
        <v>27</v>
      </c>
      <c r="C31" s="1165">
        <v>95879</v>
      </c>
      <c r="D31" s="1164" t="s">
        <v>2709</v>
      </c>
      <c r="E31" s="1165" t="s">
        <v>25</v>
      </c>
      <c r="F31" s="1174">
        <v>0</v>
      </c>
      <c r="G31" s="1174"/>
      <c r="H31" s="1174"/>
      <c r="I31" s="1174"/>
      <c r="J31" s="1174"/>
      <c r="K31" s="1174"/>
      <c r="L31" s="1174">
        <v>0</v>
      </c>
      <c r="M31" s="1174"/>
      <c r="N31" s="1174"/>
      <c r="O31" s="1174">
        <v>0</v>
      </c>
      <c r="P31" s="1174"/>
      <c r="Q31" s="1174"/>
      <c r="R31" s="1164" t="s">
        <v>2931</v>
      </c>
    </row>
    <row r="32" spans="1:18" x14ac:dyDescent="0.25">
      <c r="A32" s="1164" t="s">
        <v>3190</v>
      </c>
      <c r="B32" s="1165" t="s">
        <v>27</v>
      </c>
      <c r="C32" s="1165">
        <v>93599</v>
      </c>
      <c r="D32" s="1164" t="s">
        <v>2710</v>
      </c>
      <c r="E32" s="1165" t="s">
        <v>25</v>
      </c>
      <c r="F32" s="1174">
        <v>0</v>
      </c>
      <c r="G32" s="1174"/>
      <c r="H32" s="1174"/>
      <c r="I32" s="1174"/>
      <c r="J32" s="1174"/>
      <c r="K32" s="1174"/>
      <c r="L32" s="1174">
        <v>0</v>
      </c>
      <c r="M32" s="1174"/>
      <c r="N32" s="1174"/>
      <c r="O32" s="1174">
        <v>0</v>
      </c>
      <c r="P32" s="1174"/>
      <c r="Q32" s="1174"/>
      <c r="R32" s="1164" t="s">
        <v>2931</v>
      </c>
    </row>
    <row r="33" spans="1:18" x14ac:dyDescent="0.25">
      <c r="A33" s="1164" t="s">
        <v>3191</v>
      </c>
      <c r="B33" s="1165" t="s">
        <v>27</v>
      </c>
      <c r="C33" s="1165">
        <v>100943</v>
      </c>
      <c r="D33" s="1164" t="s">
        <v>2711</v>
      </c>
      <c r="E33" s="1165" t="s">
        <v>25</v>
      </c>
      <c r="F33" s="1174">
        <v>0</v>
      </c>
      <c r="G33" s="1174"/>
      <c r="H33" s="1174"/>
      <c r="I33" s="1174"/>
      <c r="J33" s="1174"/>
      <c r="K33" s="1174"/>
      <c r="L33" s="1174">
        <v>0</v>
      </c>
      <c r="M33" s="1174"/>
      <c r="N33" s="1174"/>
      <c r="O33" s="1174">
        <v>0</v>
      </c>
      <c r="P33" s="1174"/>
      <c r="Q33" s="1174"/>
      <c r="R33" s="1164" t="s">
        <v>2931</v>
      </c>
    </row>
    <row r="34" spans="1:18" x14ac:dyDescent="0.25">
      <c r="A34" s="1164" t="s">
        <v>3192</v>
      </c>
      <c r="B34" s="1165" t="s">
        <v>27</v>
      </c>
      <c r="C34" s="1165">
        <v>92743</v>
      </c>
      <c r="D34" s="1164" t="s">
        <v>2717</v>
      </c>
      <c r="E34" s="1165" t="s">
        <v>28</v>
      </c>
      <c r="F34" s="1169">
        <v>0</v>
      </c>
      <c r="L34" s="1169">
        <v>0</v>
      </c>
      <c r="M34" s="1176"/>
      <c r="O34" s="1169">
        <v>0</v>
      </c>
    </row>
    <row r="35" spans="1:18" s="1166" customFormat="1" x14ac:dyDescent="0.25">
      <c r="A35" s="1191" t="s">
        <v>2747</v>
      </c>
      <c r="B35" s="1192"/>
      <c r="C35" s="1192"/>
      <c r="D35" s="1191" t="s">
        <v>2733</v>
      </c>
      <c r="E35" s="1192"/>
      <c r="F35" s="1193" t="s">
        <v>21</v>
      </c>
      <c r="G35" s="1195" t="s">
        <v>2954</v>
      </c>
      <c r="H35" s="1195" t="s">
        <v>2953</v>
      </c>
      <c r="I35" s="1195"/>
      <c r="J35" s="1195"/>
      <c r="K35" s="1195"/>
      <c r="L35" s="1193" t="s">
        <v>21</v>
      </c>
      <c r="M35" s="1195" t="s">
        <v>2954</v>
      </c>
      <c r="N35" s="1195"/>
      <c r="O35" s="1193" t="s">
        <v>21</v>
      </c>
      <c r="P35" s="1195"/>
      <c r="Q35" s="1195"/>
      <c r="R35" s="1191"/>
    </row>
    <row r="36" spans="1:18" s="1166" customFormat="1" x14ac:dyDescent="0.25">
      <c r="A36" s="1196" t="s">
        <v>2748</v>
      </c>
      <c r="B36" s="1197"/>
      <c r="C36" s="1197"/>
      <c r="D36" s="1196" t="s">
        <v>1858</v>
      </c>
      <c r="E36" s="1197"/>
      <c r="F36" s="1198" t="s">
        <v>21</v>
      </c>
      <c r="G36" s="1198"/>
      <c r="H36" s="1198"/>
      <c r="I36" s="1198"/>
      <c r="J36" s="1198"/>
      <c r="K36" s="1198"/>
      <c r="L36" s="1198" t="s">
        <v>21</v>
      </c>
      <c r="M36" s="1198"/>
      <c r="N36" s="1198"/>
      <c r="O36" s="1198" t="s">
        <v>21</v>
      </c>
      <c r="P36" s="1198"/>
      <c r="Q36" s="1198"/>
      <c r="R36" s="1196"/>
    </row>
    <row r="37" spans="1:18" x14ac:dyDescent="0.25">
      <c r="A37" s="1164" t="s">
        <v>2749</v>
      </c>
      <c r="B37" s="1165" t="s">
        <v>27</v>
      </c>
      <c r="C37" s="1165">
        <v>101010</v>
      </c>
      <c r="D37" s="1164" t="s">
        <v>2720</v>
      </c>
      <c r="E37" s="1165" t="s">
        <v>23</v>
      </c>
      <c r="F37" s="1169">
        <v>0</v>
      </c>
      <c r="G37" s="1169">
        <v>0</v>
      </c>
      <c r="H37" s="1169">
        <v>0</v>
      </c>
      <c r="L37" s="1169">
        <v>0</v>
      </c>
      <c r="M37" s="1169">
        <v>0</v>
      </c>
      <c r="N37" s="1169">
        <v>0</v>
      </c>
      <c r="O37" s="1169">
        <v>0</v>
      </c>
      <c r="P37" s="1169">
        <v>0</v>
      </c>
      <c r="Q37" s="1169">
        <v>0</v>
      </c>
      <c r="R37" s="1164" t="s">
        <v>2926</v>
      </c>
    </row>
    <row r="38" spans="1:18" x14ac:dyDescent="0.25">
      <c r="A38" s="1164" t="s">
        <v>2750</v>
      </c>
      <c r="B38" s="1165" t="s">
        <v>27</v>
      </c>
      <c r="C38" s="1165">
        <v>100954</v>
      </c>
      <c r="D38" s="1164" t="s">
        <v>2721</v>
      </c>
      <c r="E38" s="1165" t="s">
        <v>25</v>
      </c>
      <c r="F38" s="1174">
        <v>0</v>
      </c>
      <c r="G38" s="1174"/>
      <c r="H38" s="1174"/>
      <c r="I38" s="1174"/>
      <c r="J38" s="1174"/>
      <c r="K38" s="1174"/>
      <c r="L38" s="1174">
        <v>0</v>
      </c>
      <c r="M38" s="1174"/>
      <c r="N38" s="1174"/>
      <c r="O38" s="1174">
        <v>0</v>
      </c>
      <c r="P38" s="1174"/>
      <c r="Q38" s="1174"/>
      <c r="R38" s="1164" t="s">
        <v>2932</v>
      </c>
    </row>
    <row r="39" spans="1:18" x14ac:dyDescent="0.25">
      <c r="A39" s="1164" t="s">
        <v>2751</v>
      </c>
      <c r="B39" s="1165" t="s">
        <v>27</v>
      </c>
      <c r="C39" s="1165">
        <v>101176</v>
      </c>
      <c r="D39" s="1164" t="s">
        <v>2726</v>
      </c>
      <c r="E39" s="1165" t="s">
        <v>26</v>
      </c>
      <c r="F39" s="1169">
        <v>0</v>
      </c>
      <c r="G39" s="1173"/>
      <c r="H39" s="1173"/>
      <c r="L39" s="1169">
        <v>0</v>
      </c>
      <c r="M39" s="1173"/>
      <c r="O39" s="1169">
        <v>0</v>
      </c>
    </row>
    <row r="40" spans="1:18" s="1166" customFormat="1" x14ac:dyDescent="0.25">
      <c r="A40" s="1196" t="s">
        <v>2752</v>
      </c>
      <c r="B40" s="1197"/>
      <c r="C40" s="1197"/>
      <c r="D40" s="1196" t="s">
        <v>2725</v>
      </c>
      <c r="E40" s="1197"/>
      <c r="F40" s="1198" t="s">
        <v>21</v>
      </c>
      <c r="G40" s="1198"/>
      <c r="H40" s="1198"/>
      <c r="I40" s="1198"/>
      <c r="J40" s="1198"/>
      <c r="K40" s="1198"/>
      <c r="L40" s="1198" t="s">
        <v>21</v>
      </c>
      <c r="M40" s="1198"/>
      <c r="N40" s="1198"/>
      <c r="O40" s="1198" t="s">
        <v>21</v>
      </c>
      <c r="P40" s="1198"/>
      <c r="Q40" s="1198"/>
      <c r="R40" s="1196"/>
    </row>
    <row r="41" spans="1:18" x14ac:dyDescent="0.25">
      <c r="A41" s="1164" t="s">
        <v>2753</v>
      </c>
      <c r="B41" s="1165" t="s">
        <v>27</v>
      </c>
      <c r="C41" s="1165">
        <v>93358</v>
      </c>
      <c r="D41" s="1164" t="s">
        <v>925</v>
      </c>
      <c r="E41" s="1165" t="s">
        <v>28</v>
      </c>
      <c r="F41" s="1169">
        <v>0</v>
      </c>
      <c r="G41" s="1173"/>
      <c r="H41" s="1173"/>
      <c r="L41" s="1169">
        <v>0</v>
      </c>
      <c r="M41" s="1173"/>
      <c r="O41" s="1169">
        <v>0</v>
      </c>
    </row>
    <row r="42" spans="1:18" x14ac:dyDescent="0.25">
      <c r="A42" s="1164" t="s">
        <v>2754</v>
      </c>
      <c r="B42" s="1165" t="s">
        <v>27</v>
      </c>
      <c r="C42" s="1165">
        <v>101616</v>
      </c>
      <c r="D42" s="1164" t="s">
        <v>1862</v>
      </c>
      <c r="E42" s="1165" t="s">
        <v>20</v>
      </c>
      <c r="F42" s="1169">
        <v>0</v>
      </c>
      <c r="G42" s="1173"/>
      <c r="H42" s="1173"/>
      <c r="L42" s="1169">
        <v>0</v>
      </c>
      <c r="M42" s="1173"/>
      <c r="O42" s="1169">
        <v>0</v>
      </c>
    </row>
    <row r="43" spans="1:18" x14ac:dyDescent="0.25">
      <c r="A43" s="1164" t="s">
        <v>2755</v>
      </c>
      <c r="B43" s="1165" t="s">
        <v>27</v>
      </c>
      <c r="C43" s="1165">
        <v>95601</v>
      </c>
      <c r="D43" s="1164" t="s">
        <v>2723</v>
      </c>
      <c r="E43" s="1165" t="s">
        <v>39</v>
      </c>
      <c r="F43" s="1169">
        <v>0</v>
      </c>
      <c r="G43" s="1173"/>
      <c r="H43" s="1173"/>
      <c r="L43" s="1169">
        <v>0</v>
      </c>
      <c r="M43" s="1173"/>
      <c r="O43" s="1169">
        <v>0</v>
      </c>
    </row>
    <row r="44" spans="1:18" x14ac:dyDescent="0.25">
      <c r="A44" s="1164" t="s">
        <v>2756</v>
      </c>
      <c r="B44" s="1165" t="s">
        <v>27</v>
      </c>
      <c r="C44" s="1165">
        <v>94962</v>
      </c>
      <c r="D44" s="1164" t="s">
        <v>1288</v>
      </c>
      <c r="E44" s="1165" t="s">
        <v>28</v>
      </c>
      <c r="F44" s="1169">
        <v>0</v>
      </c>
      <c r="G44" s="1173"/>
      <c r="H44" s="1173"/>
      <c r="L44" s="1169">
        <v>0</v>
      </c>
      <c r="M44" s="1173"/>
      <c r="O44" s="1169">
        <v>0</v>
      </c>
    </row>
    <row r="45" spans="1:18" x14ac:dyDescent="0.25">
      <c r="A45" s="1164" t="s">
        <v>2757</v>
      </c>
      <c r="B45" s="1165" t="s">
        <v>27</v>
      </c>
      <c r="C45" s="1165">
        <v>96534</v>
      </c>
      <c r="D45" s="1164" t="s">
        <v>2728</v>
      </c>
      <c r="E45" s="1165" t="s">
        <v>20</v>
      </c>
      <c r="F45" s="1169">
        <v>0</v>
      </c>
      <c r="G45" s="1173"/>
      <c r="H45" s="1173"/>
      <c r="L45" s="1169">
        <v>0</v>
      </c>
      <c r="M45" s="1173"/>
      <c r="O45" s="1169">
        <v>0</v>
      </c>
    </row>
    <row r="46" spans="1:18" x14ac:dyDescent="0.25">
      <c r="A46" s="1164" t="s">
        <v>2758</v>
      </c>
      <c r="B46" s="1165" t="s">
        <v>27</v>
      </c>
      <c r="C46" s="1165">
        <v>96536</v>
      </c>
      <c r="D46" s="1164" t="s">
        <v>2729</v>
      </c>
      <c r="E46" s="1165" t="s">
        <v>20</v>
      </c>
      <c r="F46" s="1169">
        <v>0</v>
      </c>
      <c r="G46" s="1173"/>
      <c r="H46" s="1173"/>
      <c r="L46" s="1169">
        <v>0</v>
      </c>
      <c r="M46" s="1173"/>
      <c r="O46" s="1169">
        <v>0</v>
      </c>
    </row>
    <row r="47" spans="1:18" x14ac:dyDescent="0.25">
      <c r="A47" s="1164" t="s">
        <v>2759</v>
      </c>
      <c r="B47" s="1165" t="s">
        <v>27</v>
      </c>
      <c r="C47" s="1165">
        <v>101010</v>
      </c>
      <c r="D47" s="1164" t="s">
        <v>2720</v>
      </c>
      <c r="E47" s="1165" t="s">
        <v>23</v>
      </c>
      <c r="F47" s="1169">
        <v>0</v>
      </c>
      <c r="G47" s="1169">
        <v>0</v>
      </c>
      <c r="H47" s="1169">
        <v>0</v>
      </c>
      <c r="L47" s="1169">
        <v>0</v>
      </c>
      <c r="M47" s="1169">
        <v>0</v>
      </c>
      <c r="N47" s="1169">
        <v>0</v>
      </c>
      <c r="O47" s="1169">
        <v>0</v>
      </c>
      <c r="P47" s="1169">
        <v>0</v>
      </c>
      <c r="Q47" s="1169">
        <v>0</v>
      </c>
    </row>
    <row r="48" spans="1:18" x14ac:dyDescent="0.25">
      <c r="A48" s="1164" t="s">
        <v>2760</v>
      </c>
      <c r="B48" s="1165" t="s">
        <v>27</v>
      </c>
      <c r="C48" s="1165">
        <v>100954</v>
      </c>
      <c r="D48" s="1164" t="s">
        <v>2721</v>
      </c>
      <c r="E48" s="1165" t="s">
        <v>25</v>
      </c>
      <c r="F48" s="1174">
        <v>0</v>
      </c>
      <c r="G48" s="1174"/>
      <c r="H48" s="1174"/>
      <c r="I48" s="1174"/>
      <c r="J48" s="1174"/>
      <c r="K48" s="1174"/>
      <c r="L48" s="1174">
        <v>0</v>
      </c>
      <c r="M48" s="1174"/>
      <c r="N48" s="1174"/>
      <c r="O48" s="1174">
        <v>0</v>
      </c>
      <c r="P48" s="1174"/>
      <c r="Q48" s="1174"/>
      <c r="R48" s="1164" t="s">
        <v>2932</v>
      </c>
    </row>
    <row r="49" spans="1:18" x14ac:dyDescent="0.25">
      <c r="A49" s="1164" t="s">
        <v>2761</v>
      </c>
      <c r="B49" s="1165" t="s">
        <v>27</v>
      </c>
      <c r="C49" s="1165">
        <v>96544</v>
      </c>
      <c r="D49" s="1164" t="s">
        <v>1864</v>
      </c>
      <c r="E49" s="1165" t="s">
        <v>1880</v>
      </c>
      <c r="F49" s="1169">
        <v>0</v>
      </c>
      <c r="G49" s="1173"/>
      <c r="H49" s="1173"/>
      <c r="L49" s="1169">
        <v>0</v>
      </c>
      <c r="M49" s="1173"/>
      <c r="O49" s="1169">
        <v>0</v>
      </c>
    </row>
    <row r="50" spans="1:18" x14ac:dyDescent="0.25">
      <c r="A50" s="1164" t="s">
        <v>2762</v>
      </c>
      <c r="B50" s="1165" t="s">
        <v>27</v>
      </c>
      <c r="C50" s="1165">
        <v>96545</v>
      </c>
      <c r="D50" s="1164" t="s">
        <v>1864</v>
      </c>
      <c r="E50" s="1165" t="s">
        <v>1880</v>
      </c>
      <c r="F50" s="1169">
        <v>0</v>
      </c>
      <c r="G50" s="1173"/>
      <c r="H50" s="1173"/>
      <c r="L50" s="1169">
        <v>0</v>
      </c>
      <c r="M50" s="1173"/>
      <c r="O50" s="1169">
        <v>0</v>
      </c>
    </row>
    <row r="51" spans="1:18" x14ac:dyDescent="0.25">
      <c r="A51" s="1164" t="s">
        <v>2763</v>
      </c>
      <c r="B51" s="1165" t="s">
        <v>27</v>
      </c>
      <c r="C51" s="1165">
        <v>96546</v>
      </c>
      <c r="D51" s="1164" t="s">
        <v>1864</v>
      </c>
      <c r="E51" s="1165" t="s">
        <v>1880</v>
      </c>
      <c r="F51" s="1169">
        <v>0</v>
      </c>
      <c r="G51" s="1173"/>
      <c r="H51" s="1173"/>
      <c r="L51" s="1169">
        <v>0</v>
      </c>
      <c r="M51" s="1173"/>
      <c r="O51" s="1169">
        <v>0</v>
      </c>
    </row>
    <row r="52" spans="1:18" x14ac:dyDescent="0.25">
      <c r="A52" s="1164" t="s">
        <v>2764</v>
      </c>
      <c r="B52" s="1165" t="s">
        <v>27</v>
      </c>
      <c r="C52" s="1165">
        <v>96547</v>
      </c>
      <c r="D52" s="1164" t="s">
        <v>1864</v>
      </c>
      <c r="E52" s="1165" t="s">
        <v>1880</v>
      </c>
      <c r="F52" s="1169">
        <v>0</v>
      </c>
      <c r="G52" s="1173"/>
      <c r="H52" s="1173"/>
      <c r="L52" s="1169">
        <v>0</v>
      </c>
      <c r="M52" s="1173"/>
      <c r="O52" s="1169">
        <v>0</v>
      </c>
    </row>
    <row r="53" spans="1:18" x14ac:dyDescent="0.25">
      <c r="A53" s="1164" t="s">
        <v>2765</v>
      </c>
      <c r="B53" s="1165" t="s">
        <v>27</v>
      </c>
      <c r="C53" s="1165">
        <v>94965</v>
      </c>
      <c r="D53" s="1164" t="s">
        <v>1865</v>
      </c>
      <c r="E53" s="1165" t="s">
        <v>28</v>
      </c>
      <c r="F53" s="1169">
        <v>0</v>
      </c>
      <c r="G53" s="1173"/>
      <c r="H53" s="1173"/>
      <c r="L53" s="1169">
        <v>0</v>
      </c>
      <c r="M53" s="1173"/>
      <c r="O53" s="1169">
        <v>0</v>
      </c>
    </row>
    <row r="54" spans="1:18" x14ac:dyDescent="0.25">
      <c r="A54" s="1164" t="s">
        <v>2938</v>
      </c>
      <c r="B54" s="1165" t="s">
        <v>27</v>
      </c>
      <c r="C54" s="1165">
        <v>92873</v>
      </c>
      <c r="D54" s="1164" t="s">
        <v>2727</v>
      </c>
      <c r="E54" s="1165" t="s">
        <v>28</v>
      </c>
      <c r="F54" s="1169">
        <v>0</v>
      </c>
      <c r="G54" s="1169">
        <v>0</v>
      </c>
      <c r="H54" s="1169">
        <v>0</v>
      </c>
      <c r="L54" s="1169">
        <v>0</v>
      </c>
      <c r="M54" s="1169">
        <v>0</v>
      </c>
      <c r="N54" s="1169">
        <v>0</v>
      </c>
      <c r="O54" s="1169">
        <v>0</v>
      </c>
      <c r="P54" s="1169">
        <v>0</v>
      </c>
      <c r="Q54" s="1169">
        <v>0</v>
      </c>
    </row>
    <row r="55" spans="1:18" x14ac:dyDescent="0.25">
      <c r="A55" s="1164" t="s">
        <v>2939</v>
      </c>
      <c r="B55" s="1165" t="s">
        <v>27</v>
      </c>
      <c r="C55" s="1165">
        <v>93382</v>
      </c>
      <c r="D55" s="1164" t="s">
        <v>2724</v>
      </c>
      <c r="E55" s="1165" t="s">
        <v>28</v>
      </c>
      <c r="F55" s="1169">
        <v>0</v>
      </c>
      <c r="G55" s="1169">
        <v>0</v>
      </c>
      <c r="H55" s="1169">
        <v>0</v>
      </c>
      <c r="L55" s="1169">
        <v>0</v>
      </c>
      <c r="M55" s="1169">
        <v>0</v>
      </c>
      <c r="N55" s="1169">
        <v>0</v>
      </c>
      <c r="O55" s="1169">
        <v>0</v>
      </c>
      <c r="P55" s="1169">
        <v>0</v>
      </c>
      <c r="Q55" s="1169">
        <v>0</v>
      </c>
    </row>
    <row r="56" spans="1:18" s="1166" customFormat="1" x14ac:dyDescent="0.25">
      <c r="A56" s="1196" t="s">
        <v>2766</v>
      </c>
      <c r="B56" s="1197"/>
      <c r="C56" s="1197"/>
      <c r="D56" s="1196" t="s">
        <v>2730</v>
      </c>
      <c r="E56" s="1197"/>
      <c r="F56" s="1198" t="s">
        <v>21</v>
      </c>
      <c r="G56" s="1198"/>
      <c r="H56" s="1198"/>
      <c r="I56" s="1198"/>
      <c r="J56" s="1198"/>
      <c r="K56" s="1198"/>
      <c r="L56" s="1198" t="s">
        <v>21</v>
      </c>
      <c r="M56" s="1198"/>
      <c r="N56" s="1198"/>
      <c r="O56" s="1198" t="s">
        <v>21</v>
      </c>
      <c r="P56" s="1198"/>
      <c r="Q56" s="1198"/>
      <c r="R56" s="1196"/>
    </row>
    <row r="57" spans="1:18" x14ac:dyDescent="0.25">
      <c r="A57" s="1164" t="s">
        <v>2767</v>
      </c>
      <c r="B57" s="1165" t="s">
        <v>27</v>
      </c>
      <c r="C57" s="1165">
        <v>94962</v>
      </c>
      <c r="D57" s="1164" t="s">
        <v>1288</v>
      </c>
      <c r="E57" s="1165" t="s">
        <v>28</v>
      </c>
      <c r="F57" s="1169">
        <v>7.1400000000000006</v>
      </c>
      <c r="G57" s="1169">
        <v>2.85</v>
      </c>
      <c r="H57" s="1169">
        <v>4.29</v>
      </c>
      <c r="L57" s="1169">
        <v>2.85</v>
      </c>
      <c r="M57" s="1169">
        <v>2.85</v>
      </c>
      <c r="O57" s="1169">
        <v>0</v>
      </c>
    </row>
    <row r="58" spans="1:18" x14ac:dyDescent="0.25">
      <c r="A58" s="1164" t="s">
        <v>2768</v>
      </c>
      <c r="B58" s="1165" t="s">
        <v>27</v>
      </c>
      <c r="C58" s="1165">
        <v>100341</v>
      </c>
      <c r="D58" s="1164" t="s">
        <v>1871</v>
      </c>
      <c r="E58" s="1165" t="s">
        <v>20</v>
      </c>
      <c r="F58" s="1169">
        <v>320.99</v>
      </c>
      <c r="G58" s="1169">
        <v>121.46</v>
      </c>
      <c r="H58" s="1169">
        <v>199.53</v>
      </c>
      <c r="L58" s="1169">
        <v>121.46</v>
      </c>
      <c r="M58" s="1169">
        <v>121.46</v>
      </c>
      <c r="O58" s="1169">
        <v>0</v>
      </c>
    </row>
    <row r="59" spans="1:18" x14ac:dyDescent="0.25">
      <c r="A59" s="1164" t="s">
        <v>2769</v>
      </c>
      <c r="B59" s="1165" t="s">
        <v>27</v>
      </c>
      <c r="C59" s="1165">
        <v>101010</v>
      </c>
      <c r="D59" s="1164" t="s">
        <v>2720</v>
      </c>
      <c r="E59" s="1165" t="s">
        <v>23</v>
      </c>
      <c r="F59" s="1169">
        <v>6.7488000000000001</v>
      </c>
      <c r="G59" s="1169">
        <v>2.6520000000000001</v>
      </c>
      <c r="H59" s="1169">
        <v>4.0968</v>
      </c>
      <c r="L59" s="1169">
        <v>2.6520000000000001</v>
      </c>
      <c r="M59" s="1169">
        <v>2.6520000000000001</v>
      </c>
      <c r="N59" s="1169">
        <v>0</v>
      </c>
      <c r="O59" s="1169">
        <v>0</v>
      </c>
      <c r="P59" s="1169">
        <v>0</v>
      </c>
      <c r="Q59" s="1169">
        <v>0</v>
      </c>
    </row>
    <row r="60" spans="1:18" x14ac:dyDescent="0.25">
      <c r="A60" s="1164" t="s">
        <v>2770</v>
      </c>
      <c r="B60" s="1165" t="s">
        <v>27</v>
      </c>
      <c r="C60" s="1165">
        <v>100954</v>
      </c>
      <c r="D60" s="1164" t="s">
        <v>2721</v>
      </c>
      <c r="E60" s="1165" t="s">
        <v>25</v>
      </c>
      <c r="F60" s="1174">
        <v>0</v>
      </c>
      <c r="G60" s="1174"/>
      <c r="H60" s="1174"/>
      <c r="I60" s="1174"/>
      <c r="J60" s="1174"/>
      <c r="K60" s="1174"/>
      <c r="L60" s="1174">
        <v>0</v>
      </c>
      <c r="M60" s="1174"/>
      <c r="N60" s="1174"/>
      <c r="O60" s="1174">
        <v>0</v>
      </c>
      <c r="P60" s="1174"/>
      <c r="Q60" s="1174"/>
      <c r="R60" s="1164" t="s">
        <v>2932</v>
      </c>
    </row>
    <row r="61" spans="1:18" x14ac:dyDescent="0.25">
      <c r="A61" s="1164" t="s">
        <v>2771</v>
      </c>
      <c r="B61" s="1165" t="s">
        <v>27</v>
      </c>
      <c r="C61" s="1165">
        <v>92916</v>
      </c>
      <c r="D61" s="1164" t="s">
        <v>2927</v>
      </c>
      <c r="E61" s="1165" t="s">
        <v>1880</v>
      </c>
      <c r="F61" s="1169">
        <v>1124.8</v>
      </c>
      <c r="G61" s="1169">
        <v>442</v>
      </c>
      <c r="H61" s="1169">
        <v>682.8</v>
      </c>
      <c r="L61" s="1169">
        <v>442</v>
      </c>
      <c r="M61" s="1169">
        <v>442</v>
      </c>
      <c r="N61" s="1169">
        <v>0</v>
      </c>
      <c r="O61" s="1169">
        <v>0</v>
      </c>
      <c r="P61" s="1169">
        <v>0</v>
      </c>
      <c r="Q61" s="1169">
        <v>0</v>
      </c>
      <c r="R61" s="1175">
        <v>20</v>
      </c>
    </row>
    <row r="62" spans="1:18" x14ac:dyDescent="0.25">
      <c r="A62" s="1164" t="s">
        <v>2772</v>
      </c>
      <c r="B62" s="1165" t="s">
        <v>27</v>
      </c>
      <c r="C62" s="1165">
        <v>92917</v>
      </c>
      <c r="D62" s="1164" t="s">
        <v>2928</v>
      </c>
      <c r="E62" s="1165" t="s">
        <v>1880</v>
      </c>
      <c r="F62" s="1169">
        <v>1687.2</v>
      </c>
      <c r="G62" s="1169">
        <v>663</v>
      </c>
      <c r="H62" s="1169">
        <v>1024.2</v>
      </c>
      <c r="L62" s="1169">
        <v>663</v>
      </c>
      <c r="M62" s="1169">
        <v>663</v>
      </c>
      <c r="N62" s="1169">
        <v>0</v>
      </c>
      <c r="O62" s="1169">
        <v>0</v>
      </c>
      <c r="P62" s="1169">
        <v>0</v>
      </c>
      <c r="Q62" s="1169">
        <v>0</v>
      </c>
      <c r="R62" s="1175">
        <v>30</v>
      </c>
    </row>
    <row r="63" spans="1:18" x14ac:dyDescent="0.25">
      <c r="A63" s="1164" t="s">
        <v>2773</v>
      </c>
      <c r="B63" s="1165" t="s">
        <v>27</v>
      </c>
      <c r="C63" s="1165">
        <v>92919</v>
      </c>
      <c r="D63" s="1164" t="s">
        <v>2929</v>
      </c>
      <c r="E63" s="1165" t="s">
        <v>1880</v>
      </c>
      <c r="F63" s="1169">
        <v>2812</v>
      </c>
      <c r="G63" s="1169">
        <v>1105</v>
      </c>
      <c r="H63" s="1169">
        <v>1707</v>
      </c>
      <c r="L63" s="1169">
        <v>1105</v>
      </c>
      <c r="M63" s="1169">
        <v>1105</v>
      </c>
      <c r="N63" s="1169">
        <v>0</v>
      </c>
      <c r="O63" s="1169">
        <v>0</v>
      </c>
      <c r="P63" s="1169">
        <v>0</v>
      </c>
      <c r="Q63" s="1169">
        <v>0</v>
      </c>
      <c r="R63" s="1175">
        <v>50</v>
      </c>
    </row>
    <row r="64" spans="1:18" x14ac:dyDescent="0.25">
      <c r="A64" s="1164" t="s">
        <v>2774</v>
      </c>
      <c r="B64" s="1165" t="s">
        <v>27</v>
      </c>
      <c r="C64" s="1165">
        <v>92921</v>
      </c>
      <c r="D64" s="1164" t="s">
        <v>2930</v>
      </c>
      <c r="E64" s="1165" t="s">
        <v>1880</v>
      </c>
      <c r="F64" s="1169">
        <v>1124.8</v>
      </c>
      <c r="G64" s="1169">
        <v>442</v>
      </c>
      <c r="H64" s="1169">
        <v>682.8</v>
      </c>
      <c r="L64" s="1169">
        <v>442</v>
      </c>
      <c r="M64" s="1169">
        <v>442</v>
      </c>
      <c r="N64" s="1169">
        <v>0</v>
      </c>
      <c r="O64" s="1169">
        <v>0</v>
      </c>
      <c r="P64" s="1169">
        <v>0</v>
      </c>
      <c r="Q64" s="1169">
        <v>0</v>
      </c>
      <c r="R64" s="1175">
        <v>20</v>
      </c>
    </row>
    <row r="65" spans="1:18" x14ac:dyDescent="0.25">
      <c r="A65" s="1164" t="s">
        <v>2778</v>
      </c>
      <c r="B65" s="1165" t="s">
        <v>27</v>
      </c>
      <c r="C65" s="1165">
        <v>94965</v>
      </c>
      <c r="D65" s="1164" t="s">
        <v>1865</v>
      </c>
      <c r="E65" s="1165" t="s">
        <v>28</v>
      </c>
      <c r="F65" s="1169">
        <v>56.24</v>
      </c>
      <c r="G65" s="1169">
        <v>22.1</v>
      </c>
      <c r="H65" s="1169">
        <v>34.14</v>
      </c>
      <c r="L65" s="1169">
        <v>22.1</v>
      </c>
      <c r="M65" s="1169">
        <v>22.1</v>
      </c>
      <c r="O65" s="1169">
        <v>0</v>
      </c>
    </row>
    <row r="66" spans="1:18" x14ac:dyDescent="0.25">
      <c r="A66" s="1164" t="s">
        <v>2779</v>
      </c>
      <c r="B66" s="1165" t="s">
        <v>27</v>
      </c>
      <c r="C66" s="1165">
        <v>92873</v>
      </c>
      <c r="D66" s="1164" t="s">
        <v>2727</v>
      </c>
      <c r="E66" s="1165" t="s">
        <v>28</v>
      </c>
      <c r="F66" s="1169">
        <v>56.24</v>
      </c>
      <c r="G66" s="1169">
        <v>22.1</v>
      </c>
      <c r="H66" s="1169">
        <v>34.14</v>
      </c>
      <c r="L66" s="1169">
        <v>22.1</v>
      </c>
      <c r="M66" s="1169">
        <v>22.1</v>
      </c>
      <c r="N66" s="1169">
        <v>0</v>
      </c>
      <c r="O66" s="1169">
        <v>0</v>
      </c>
      <c r="P66" s="1169">
        <v>0</v>
      </c>
      <c r="Q66" s="1169">
        <v>0</v>
      </c>
    </row>
    <row r="67" spans="1:18" x14ac:dyDescent="0.25">
      <c r="A67" s="1164" t="s">
        <v>2775</v>
      </c>
      <c r="B67" s="1165" t="s">
        <v>27</v>
      </c>
      <c r="C67" s="1165" t="s">
        <v>568</v>
      </c>
      <c r="D67" s="1164" t="s">
        <v>2731</v>
      </c>
      <c r="E67" s="1165" t="s">
        <v>20</v>
      </c>
      <c r="F67" s="1169">
        <v>203.13</v>
      </c>
      <c r="G67" s="1169">
        <v>80.7</v>
      </c>
      <c r="H67" s="1169">
        <v>122.43</v>
      </c>
      <c r="L67" s="1169">
        <v>80.7</v>
      </c>
      <c r="M67" s="1169">
        <v>80.7</v>
      </c>
      <c r="O67" s="1169">
        <v>0</v>
      </c>
    </row>
    <row r="68" spans="1:18" x14ac:dyDescent="0.25">
      <c r="A68" s="1164" t="s">
        <v>2776</v>
      </c>
      <c r="B68" s="1165" t="s">
        <v>27</v>
      </c>
      <c r="C68" s="1165">
        <v>95879</v>
      </c>
      <c r="D68" s="1164" t="s">
        <v>2709</v>
      </c>
      <c r="E68" s="1165" t="s">
        <v>25</v>
      </c>
      <c r="F68" s="1174">
        <v>0</v>
      </c>
      <c r="G68" s="1174"/>
      <c r="H68" s="1174"/>
      <c r="I68" s="1174"/>
      <c r="J68" s="1174"/>
      <c r="K68" s="1174"/>
      <c r="L68" s="1174">
        <v>0</v>
      </c>
      <c r="M68" s="1174"/>
      <c r="N68" s="1174"/>
      <c r="O68" s="1174">
        <v>0</v>
      </c>
      <c r="P68" s="1174"/>
      <c r="Q68" s="1174"/>
      <c r="R68" s="1164" t="s">
        <v>2931</v>
      </c>
    </row>
    <row r="69" spans="1:18" x14ac:dyDescent="0.25">
      <c r="A69" s="1164" t="s">
        <v>2777</v>
      </c>
      <c r="B69" s="1165" t="s">
        <v>27</v>
      </c>
      <c r="C69" s="1165">
        <v>93599</v>
      </c>
      <c r="D69" s="1164" t="s">
        <v>2710</v>
      </c>
      <c r="E69" s="1165" t="s">
        <v>25</v>
      </c>
      <c r="F69" s="1174">
        <v>0</v>
      </c>
      <c r="G69" s="1174"/>
      <c r="H69" s="1174"/>
      <c r="I69" s="1174"/>
      <c r="J69" s="1174"/>
      <c r="K69" s="1174"/>
      <c r="L69" s="1174">
        <v>0</v>
      </c>
      <c r="M69" s="1174"/>
      <c r="N69" s="1174"/>
      <c r="O69" s="1174">
        <v>0</v>
      </c>
      <c r="P69" s="1174"/>
      <c r="Q69" s="1174"/>
      <c r="R69" s="1164" t="s">
        <v>2931</v>
      </c>
    </row>
    <row r="70" spans="1:18" x14ac:dyDescent="0.25">
      <c r="A70" s="1164" t="s">
        <v>2819</v>
      </c>
      <c r="B70" s="1165" t="s">
        <v>27</v>
      </c>
      <c r="C70" s="1165">
        <v>100943</v>
      </c>
      <c r="D70" s="1164" t="s">
        <v>2711</v>
      </c>
      <c r="E70" s="1165" t="s">
        <v>25</v>
      </c>
      <c r="F70" s="1174">
        <v>0</v>
      </c>
      <c r="G70" s="1174"/>
      <c r="H70" s="1174"/>
      <c r="I70" s="1174"/>
      <c r="J70" s="1174"/>
      <c r="K70" s="1174"/>
      <c r="L70" s="1174">
        <v>0</v>
      </c>
      <c r="M70" s="1174"/>
      <c r="N70" s="1174"/>
      <c r="O70" s="1174">
        <v>0</v>
      </c>
      <c r="P70" s="1174"/>
      <c r="Q70" s="1174"/>
      <c r="R70" s="1164" t="s">
        <v>2931</v>
      </c>
    </row>
    <row r="71" spans="1:18" x14ac:dyDescent="0.25">
      <c r="A71" s="1164" t="s">
        <v>2940</v>
      </c>
      <c r="B71" s="1165" t="s">
        <v>27</v>
      </c>
      <c r="C71" s="1165">
        <v>92743</v>
      </c>
      <c r="D71" s="1164" t="s">
        <v>2717</v>
      </c>
      <c r="E71" s="1165" t="s">
        <v>28</v>
      </c>
      <c r="F71" s="1169">
        <v>79.539999999999992</v>
      </c>
      <c r="G71" s="1169">
        <v>31.14</v>
      </c>
      <c r="H71" s="1169">
        <v>48.4</v>
      </c>
      <c r="L71" s="1169">
        <v>31.14</v>
      </c>
      <c r="M71" s="1169">
        <v>31.14</v>
      </c>
      <c r="O71" s="1169">
        <v>0</v>
      </c>
    </row>
    <row r="72" spans="1:18" x14ac:dyDescent="0.25">
      <c r="A72" s="1164" t="s">
        <v>2941</v>
      </c>
      <c r="B72" s="1165" t="s">
        <v>27</v>
      </c>
      <c r="C72" s="1165">
        <v>92756</v>
      </c>
      <c r="D72" s="1164" t="s">
        <v>1394</v>
      </c>
      <c r="E72" s="1165" t="s">
        <v>20</v>
      </c>
      <c r="F72" s="1169">
        <v>77.8</v>
      </c>
      <c r="G72" s="1169">
        <v>29.25</v>
      </c>
      <c r="H72" s="1169">
        <v>48.55</v>
      </c>
      <c r="L72" s="1169">
        <v>29.25</v>
      </c>
      <c r="M72" s="1169">
        <v>29.25</v>
      </c>
      <c r="O72" s="1169">
        <v>0</v>
      </c>
    </row>
    <row r="73" spans="1:18" s="1166" customFormat="1" x14ac:dyDescent="0.25">
      <c r="A73" s="1191" t="s">
        <v>2780</v>
      </c>
      <c r="B73" s="1192"/>
      <c r="C73" s="1192"/>
      <c r="D73" s="1191" t="s">
        <v>2783</v>
      </c>
      <c r="E73" s="1192"/>
      <c r="F73" s="1193" t="s">
        <v>21</v>
      </c>
      <c r="G73" s="1195"/>
      <c r="H73" s="1195"/>
      <c r="I73" s="1195"/>
      <c r="J73" s="1195"/>
      <c r="K73" s="1195"/>
      <c r="L73" s="1193" t="s">
        <v>21</v>
      </c>
      <c r="M73" s="1195"/>
      <c r="N73" s="1195"/>
      <c r="O73" s="1193" t="s">
        <v>21</v>
      </c>
      <c r="P73" s="1195"/>
      <c r="Q73" s="1195"/>
      <c r="R73" s="1191"/>
    </row>
    <row r="74" spans="1:18" s="1166" customFormat="1" x14ac:dyDescent="0.25">
      <c r="A74" s="1196" t="s">
        <v>2781</v>
      </c>
      <c r="B74" s="1197"/>
      <c r="C74" s="1197"/>
      <c r="D74" s="1196" t="s">
        <v>2967</v>
      </c>
      <c r="E74" s="1197"/>
      <c r="F74" s="1198" t="s">
        <v>21</v>
      </c>
      <c r="G74" s="1198"/>
      <c r="H74" s="1198"/>
      <c r="I74" s="1198"/>
      <c r="J74" s="1198"/>
      <c r="K74" s="1198"/>
      <c r="L74" s="1198" t="s">
        <v>21</v>
      </c>
      <c r="M74" s="1198"/>
      <c r="N74" s="1198"/>
      <c r="O74" s="1198" t="s">
        <v>21</v>
      </c>
      <c r="P74" s="1198"/>
      <c r="Q74" s="1198"/>
      <c r="R74" s="1196"/>
    </row>
    <row r="75" spans="1:18" x14ac:dyDescent="0.25">
      <c r="A75" s="1164" t="s">
        <v>2955</v>
      </c>
      <c r="B75" s="1165" t="s">
        <v>27</v>
      </c>
      <c r="C75" s="1165">
        <v>95879</v>
      </c>
      <c r="D75" s="1164" t="s">
        <v>2709</v>
      </c>
      <c r="E75" s="1165" t="s">
        <v>25</v>
      </c>
      <c r="F75" s="1174">
        <v>0</v>
      </c>
      <c r="G75" s="1174"/>
      <c r="H75" s="1174"/>
      <c r="I75" s="1174"/>
      <c r="J75" s="1174"/>
      <c r="K75" s="1174"/>
      <c r="L75" s="1174">
        <v>0</v>
      </c>
      <c r="M75" s="1174"/>
      <c r="N75" s="1174"/>
      <c r="O75" s="1174">
        <v>0</v>
      </c>
      <c r="P75" s="1174"/>
      <c r="Q75" s="1174"/>
      <c r="R75" s="1164" t="s">
        <v>2931</v>
      </c>
    </row>
    <row r="76" spans="1:18" x14ac:dyDescent="0.25">
      <c r="A76" s="1164" t="s">
        <v>2956</v>
      </c>
      <c r="B76" s="1165" t="s">
        <v>27</v>
      </c>
      <c r="C76" s="1165">
        <v>93599</v>
      </c>
      <c r="D76" s="1164" t="s">
        <v>2710</v>
      </c>
      <c r="E76" s="1165" t="s">
        <v>25</v>
      </c>
      <c r="F76" s="1174">
        <v>0</v>
      </c>
      <c r="G76" s="1174"/>
      <c r="H76" s="1174"/>
      <c r="I76" s="1174"/>
      <c r="J76" s="1174"/>
      <c r="K76" s="1174"/>
      <c r="L76" s="1174">
        <v>0</v>
      </c>
      <c r="M76" s="1174"/>
      <c r="N76" s="1174"/>
      <c r="O76" s="1174">
        <v>0</v>
      </c>
      <c r="P76" s="1174"/>
      <c r="Q76" s="1174"/>
      <c r="R76" s="1164" t="s">
        <v>2931</v>
      </c>
    </row>
    <row r="77" spans="1:18" x14ac:dyDescent="0.25">
      <c r="A77" s="1164" t="s">
        <v>2957</v>
      </c>
      <c r="B77" s="1165" t="s">
        <v>27</v>
      </c>
      <c r="C77" s="1165">
        <v>100943</v>
      </c>
      <c r="D77" s="1164" t="s">
        <v>2711</v>
      </c>
      <c r="E77" s="1165" t="s">
        <v>25</v>
      </c>
      <c r="F77" s="1174">
        <v>0</v>
      </c>
      <c r="G77" s="1174"/>
      <c r="H77" s="1174"/>
      <c r="I77" s="1174"/>
      <c r="J77" s="1174"/>
      <c r="K77" s="1174"/>
      <c r="L77" s="1174">
        <v>0</v>
      </c>
      <c r="M77" s="1174"/>
      <c r="N77" s="1174"/>
      <c r="O77" s="1174">
        <v>0</v>
      </c>
      <c r="P77" s="1174"/>
      <c r="Q77" s="1174"/>
      <c r="R77" s="1164" t="s">
        <v>2931</v>
      </c>
    </row>
    <row r="78" spans="1:18" x14ac:dyDescent="0.25">
      <c r="A78" s="1164" t="s">
        <v>2958</v>
      </c>
      <c r="B78" s="1165" t="s">
        <v>138</v>
      </c>
      <c r="C78" s="1165" t="s">
        <v>2346</v>
      </c>
      <c r="D78" s="1164" t="s">
        <v>2712</v>
      </c>
      <c r="E78" s="1165" t="s">
        <v>26</v>
      </c>
      <c r="F78" s="1169">
        <v>3.5</v>
      </c>
      <c r="G78" s="1169">
        <v>3.5</v>
      </c>
      <c r="L78" s="1169">
        <v>0</v>
      </c>
      <c r="O78" s="1169">
        <v>0</v>
      </c>
    </row>
    <row r="79" spans="1:18" x14ac:dyDescent="0.25">
      <c r="A79" s="1164" t="s">
        <v>2959</v>
      </c>
      <c r="B79" s="1165" t="s">
        <v>27</v>
      </c>
      <c r="C79" s="1165">
        <v>89512</v>
      </c>
      <c r="D79" s="1164" t="s">
        <v>3649</v>
      </c>
      <c r="E79" s="1165" t="s">
        <v>26</v>
      </c>
      <c r="F79" s="1169">
        <v>0</v>
      </c>
      <c r="L79" s="1169">
        <v>3.23</v>
      </c>
      <c r="M79" s="1169">
        <v>3.23</v>
      </c>
      <c r="O79" s="1169">
        <v>0</v>
      </c>
    </row>
    <row r="80" spans="1:18" x14ac:dyDescent="0.25">
      <c r="A80" s="1164" t="s">
        <v>2960</v>
      </c>
      <c r="B80" s="1165" t="s">
        <v>27</v>
      </c>
      <c r="C80" s="1165">
        <v>101463</v>
      </c>
      <c r="D80" s="1164" t="s">
        <v>2713</v>
      </c>
      <c r="E80" s="1165" t="s">
        <v>23</v>
      </c>
      <c r="F80" s="1169">
        <v>1.6099999999999999</v>
      </c>
      <c r="G80" s="1169">
        <v>1.6099999999999999</v>
      </c>
      <c r="H80" s="1169">
        <v>0</v>
      </c>
      <c r="L80" s="1169">
        <v>0</v>
      </c>
      <c r="M80" s="1169">
        <v>0</v>
      </c>
      <c r="N80" s="1169">
        <v>0</v>
      </c>
      <c r="O80" s="1169">
        <v>0</v>
      </c>
      <c r="P80" s="1169">
        <v>0</v>
      </c>
      <c r="Q80" s="1169">
        <v>0</v>
      </c>
    </row>
    <row r="81" spans="1:18" x14ac:dyDescent="0.25">
      <c r="A81" s="1164" t="s">
        <v>2961</v>
      </c>
      <c r="B81" s="1165" t="s">
        <v>27</v>
      </c>
      <c r="C81" s="1165">
        <v>100952</v>
      </c>
      <c r="D81" s="1164" t="s">
        <v>2714</v>
      </c>
      <c r="E81" s="1165" t="s">
        <v>25</v>
      </c>
      <c r="F81" s="1174">
        <v>0</v>
      </c>
      <c r="G81" s="1174"/>
      <c r="H81" s="1174"/>
      <c r="I81" s="1174"/>
      <c r="J81" s="1174"/>
      <c r="K81" s="1174"/>
      <c r="L81" s="1174">
        <v>0</v>
      </c>
      <c r="M81" s="1174"/>
      <c r="N81" s="1174"/>
      <c r="O81" s="1174">
        <v>0</v>
      </c>
      <c r="P81" s="1174"/>
      <c r="Q81" s="1174"/>
      <c r="R81" s="1164" t="s">
        <v>2931</v>
      </c>
    </row>
    <row r="82" spans="1:18" x14ac:dyDescent="0.25">
      <c r="A82" s="1164" t="s">
        <v>2962</v>
      </c>
      <c r="B82" s="1165" t="s">
        <v>27</v>
      </c>
      <c r="C82" s="1165">
        <v>100953</v>
      </c>
      <c r="D82" s="1164" t="s">
        <v>2715</v>
      </c>
      <c r="E82" s="1165" t="s">
        <v>25</v>
      </c>
      <c r="F82" s="1174">
        <v>0</v>
      </c>
      <c r="G82" s="1174"/>
      <c r="H82" s="1174"/>
      <c r="I82" s="1174"/>
      <c r="J82" s="1174"/>
      <c r="K82" s="1174"/>
      <c r="L82" s="1174">
        <v>0</v>
      </c>
      <c r="M82" s="1174"/>
      <c r="N82" s="1174"/>
      <c r="O82" s="1174">
        <v>0</v>
      </c>
      <c r="P82" s="1174"/>
      <c r="Q82" s="1174"/>
      <c r="R82" s="1164" t="s">
        <v>2931</v>
      </c>
    </row>
    <row r="83" spans="1:18" x14ac:dyDescent="0.25">
      <c r="A83" s="1164" t="s">
        <v>2963</v>
      </c>
      <c r="B83" s="1165" t="s">
        <v>27</v>
      </c>
      <c r="C83" s="1165">
        <v>100954</v>
      </c>
      <c r="D83" s="1164" t="s">
        <v>2716</v>
      </c>
      <c r="E83" s="1165" t="s">
        <v>25</v>
      </c>
      <c r="F83" s="1174">
        <v>0</v>
      </c>
      <c r="G83" s="1174"/>
      <c r="H83" s="1174"/>
      <c r="I83" s="1174"/>
      <c r="J83" s="1174"/>
      <c r="K83" s="1174"/>
      <c r="L83" s="1174">
        <v>0</v>
      </c>
      <c r="M83" s="1174"/>
      <c r="N83" s="1174"/>
      <c r="O83" s="1174">
        <v>0</v>
      </c>
      <c r="P83" s="1174"/>
      <c r="Q83" s="1174"/>
      <c r="R83" s="1164" t="s">
        <v>2931</v>
      </c>
    </row>
    <row r="84" spans="1:18" x14ac:dyDescent="0.25">
      <c r="A84" s="1164" t="s">
        <v>2964</v>
      </c>
      <c r="B84" s="1165" t="s">
        <v>27</v>
      </c>
      <c r="C84" s="1165">
        <v>92811</v>
      </c>
      <c r="D84" s="1164" t="s">
        <v>3002</v>
      </c>
      <c r="E84" s="1165" t="s">
        <v>26</v>
      </c>
      <c r="F84" s="1176">
        <v>3.5</v>
      </c>
      <c r="G84" s="1176">
        <v>3.5</v>
      </c>
      <c r="H84" s="1176">
        <v>0</v>
      </c>
      <c r="I84" s="1176"/>
      <c r="J84" s="1176"/>
      <c r="K84" s="1176"/>
      <c r="L84" s="1176">
        <v>0</v>
      </c>
      <c r="M84" s="1176">
        <v>0</v>
      </c>
      <c r="N84" s="1176">
        <v>0</v>
      </c>
      <c r="O84" s="1176">
        <v>0</v>
      </c>
      <c r="P84" s="1176">
        <v>0</v>
      </c>
      <c r="Q84" s="1176">
        <v>0</v>
      </c>
    </row>
    <row r="85" spans="1:18" x14ac:dyDescent="0.25">
      <c r="A85" s="1164" t="s">
        <v>2965</v>
      </c>
      <c r="B85" s="1165" t="s">
        <v>27</v>
      </c>
      <c r="C85" s="1165" t="s">
        <v>568</v>
      </c>
      <c r="D85" s="1164" t="s">
        <v>2731</v>
      </c>
      <c r="E85" s="1165" t="s">
        <v>20</v>
      </c>
      <c r="F85" s="1169">
        <v>45</v>
      </c>
      <c r="G85" s="1169">
        <v>45</v>
      </c>
      <c r="L85" s="1169">
        <v>227.37</v>
      </c>
      <c r="M85" s="1169">
        <v>227.37</v>
      </c>
      <c r="O85" s="1169">
        <v>0</v>
      </c>
    </row>
    <row r="86" spans="1:18" x14ac:dyDescent="0.25">
      <c r="A86" s="1164" t="s">
        <v>2966</v>
      </c>
      <c r="B86" s="1165" t="s">
        <v>27</v>
      </c>
      <c r="C86" s="1165">
        <v>92756</v>
      </c>
      <c r="D86" s="1164" t="s">
        <v>1394</v>
      </c>
      <c r="E86" s="1165" t="s">
        <v>20</v>
      </c>
      <c r="F86" s="1169">
        <v>25</v>
      </c>
      <c r="G86" s="1169">
        <v>25</v>
      </c>
      <c r="L86" s="1169">
        <v>57.08</v>
      </c>
      <c r="M86" s="1169">
        <v>57.08</v>
      </c>
      <c r="O86" s="1169">
        <v>0</v>
      </c>
    </row>
    <row r="87" spans="1:18" x14ac:dyDescent="0.25">
      <c r="A87" s="1164" t="s">
        <v>3003</v>
      </c>
      <c r="B87" s="1165" t="s">
        <v>27</v>
      </c>
      <c r="C87" s="1165">
        <v>92744</v>
      </c>
      <c r="D87" s="1164" t="s">
        <v>2717</v>
      </c>
      <c r="E87" s="1165" t="s">
        <v>28</v>
      </c>
      <c r="F87" s="1169">
        <v>165</v>
      </c>
      <c r="G87" s="1169">
        <v>165</v>
      </c>
      <c r="L87" s="1169">
        <v>429</v>
      </c>
      <c r="M87" s="1169">
        <v>429</v>
      </c>
      <c r="O87" s="1169">
        <v>0</v>
      </c>
    </row>
    <row r="88" spans="1:18" x14ac:dyDescent="0.25">
      <c r="A88" s="1164" t="s">
        <v>3648</v>
      </c>
      <c r="B88" s="1165" t="s">
        <v>138</v>
      </c>
      <c r="C88" s="1165" t="s">
        <v>1183</v>
      </c>
      <c r="D88" s="1164" t="s">
        <v>2719</v>
      </c>
      <c r="E88" s="1165" t="s">
        <v>20</v>
      </c>
      <c r="F88" s="1169">
        <v>5.2</v>
      </c>
      <c r="G88" s="1169">
        <v>5.2</v>
      </c>
      <c r="L88" s="1169">
        <v>1</v>
      </c>
      <c r="M88" s="1169">
        <v>1</v>
      </c>
      <c r="O88" s="1169">
        <v>0</v>
      </c>
    </row>
    <row r="89" spans="1:18" s="1166" customFormat="1" x14ac:dyDescent="0.25">
      <c r="A89" s="1196" t="s">
        <v>2782</v>
      </c>
      <c r="B89" s="1197"/>
      <c r="C89" s="1197"/>
      <c r="D89" s="1196" t="s">
        <v>2969</v>
      </c>
      <c r="E89" s="1197"/>
      <c r="F89" s="1198" t="s">
        <v>21</v>
      </c>
      <c r="G89" s="1198"/>
      <c r="H89" s="1198" t="s">
        <v>3082</v>
      </c>
      <c r="I89" s="1198"/>
      <c r="J89" s="1198"/>
      <c r="K89" s="1198"/>
      <c r="L89" s="1198" t="s">
        <v>21</v>
      </c>
      <c r="M89" s="1198"/>
      <c r="N89" s="1198"/>
      <c r="O89" s="1198" t="s">
        <v>21</v>
      </c>
      <c r="P89" s="1198"/>
      <c r="Q89" s="1198"/>
      <c r="R89" s="1196"/>
    </row>
    <row r="90" spans="1:18" s="1166" customFormat="1" x14ac:dyDescent="0.25">
      <c r="A90" s="1166" t="s">
        <v>2968</v>
      </c>
      <c r="B90" s="1168"/>
      <c r="C90" s="1168"/>
      <c r="D90" s="1166" t="s">
        <v>2970</v>
      </c>
      <c r="E90" s="1168"/>
      <c r="F90" s="1171" t="s">
        <v>21</v>
      </c>
      <c r="G90" s="1171"/>
      <c r="H90" s="1171"/>
      <c r="I90" s="1171"/>
      <c r="J90" s="1171"/>
      <c r="K90" s="1171"/>
      <c r="L90" s="1171" t="s">
        <v>21</v>
      </c>
      <c r="M90" s="1171"/>
      <c r="N90" s="1171"/>
      <c r="O90" s="1171" t="s">
        <v>21</v>
      </c>
      <c r="P90" s="1171"/>
      <c r="Q90" s="1171"/>
    </row>
    <row r="91" spans="1:18" x14ac:dyDescent="0.25">
      <c r="A91" s="1164" t="s">
        <v>2971</v>
      </c>
      <c r="B91" s="1165" t="s">
        <v>27</v>
      </c>
      <c r="C91" s="1165">
        <v>101616</v>
      </c>
      <c r="D91" s="1164" t="s">
        <v>2972</v>
      </c>
      <c r="E91" s="1165" t="s">
        <v>20</v>
      </c>
      <c r="F91" s="1169">
        <v>210</v>
      </c>
      <c r="H91" s="1169">
        <v>210</v>
      </c>
      <c r="L91" s="1169">
        <v>0</v>
      </c>
      <c r="O91" s="1169">
        <v>0</v>
      </c>
    </row>
    <row r="92" spans="1:18" x14ac:dyDescent="0.25">
      <c r="A92" s="1164" t="s">
        <v>2975</v>
      </c>
      <c r="B92" s="1165" t="s">
        <v>27</v>
      </c>
      <c r="C92" s="1165">
        <v>94962</v>
      </c>
      <c r="D92" s="1164" t="s">
        <v>1288</v>
      </c>
      <c r="E92" s="1165" t="s">
        <v>28</v>
      </c>
      <c r="F92" s="1169">
        <v>10.6</v>
      </c>
      <c r="H92" s="1169">
        <v>10.6</v>
      </c>
      <c r="L92" s="1169">
        <v>0</v>
      </c>
      <c r="O92" s="1169">
        <v>0</v>
      </c>
    </row>
    <row r="93" spans="1:18" s="1166" customFormat="1" x14ac:dyDescent="0.25">
      <c r="A93" s="1166" t="s">
        <v>2973</v>
      </c>
      <c r="B93" s="1168"/>
      <c r="C93" s="1168"/>
      <c r="D93" s="1166" t="s">
        <v>2980</v>
      </c>
      <c r="E93" s="1168"/>
      <c r="F93" s="1171" t="s">
        <v>21</v>
      </c>
      <c r="G93" s="1171"/>
      <c r="H93" s="1171"/>
      <c r="I93" s="1171"/>
      <c r="J93" s="1171"/>
      <c r="K93" s="1171"/>
      <c r="L93" s="1171" t="s">
        <v>21</v>
      </c>
      <c r="M93" s="1171"/>
      <c r="N93" s="1171"/>
      <c r="O93" s="1171" t="s">
        <v>21</v>
      </c>
      <c r="P93" s="1171"/>
      <c r="Q93" s="1171"/>
    </row>
    <row r="94" spans="1:18" x14ac:dyDescent="0.25">
      <c r="A94" s="1164" t="s">
        <v>2974</v>
      </c>
      <c r="B94" s="1165" t="s">
        <v>138</v>
      </c>
      <c r="C94" s="1165" t="s">
        <v>2333</v>
      </c>
      <c r="D94" s="1164" t="s">
        <v>2577</v>
      </c>
      <c r="E94" s="1165" t="s">
        <v>26</v>
      </c>
      <c r="F94" s="1169">
        <v>11</v>
      </c>
      <c r="H94" s="1169">
        <v>11</v>
      </c>
      <c r="L94" s="1169">
        <v>0</v>
      </c>
      <c r="O94" s="1169">
        <v>0</v>
      </c>
    </row>
    <row r="95" spans="1:18" x14ac:dyDescent="0.25">
      <c r="A95" s="1164" t="s">
        <v>2983</v>
      </c>
      <c r="B95" s="1165" t="s">
        <v>27</v>
      </c>
      <c r="C95" s="1165">
        <v>101014</v>
      </c>
      <c r="D95" s="1164" t="s">
        <v>2713</v>
      </c>
      <c r="E95" s="1165" t="s">
        <v>23</v>
      </c>
      <c r="F95" s="1169">
        <v>2.7115</v>
      </c>
      <c r="G95" s="1169">
        <v>0</v>
      </c>
      <c r="H95" s="1169">
        <v>2.7115</v>
      </c>
      <c r="L95" s="1169">
        <v>0</v>
      </c>
      <c r="M95" s="1169">
        <v>0</v>
      </c>
      <c r="N95" s="1169">
        <v>0</v>
      </c>
      <c r="O95" s="1169">
        <v>0</v>
      </c>
      <c r="P95" s="1169">
        <v>0</v>
      </c>
      <c r="Q95" s="1169">
        <v>0</v>
      </c>
    </row>
    <row r="96" spans="1:18" x14ac:dyDescent="0.25">
      <c r="A96" s="1164" t="s">
        <v>2984</v>
      </c>
      <c r="B96" s="1165" t="s">
        <v>27</v>
      </c>
      <c r="C96" s="1165">
        <v>100952</v>
      </c>
      <c r="D96" s="1164" t="s">
        <v>1851</v>
      </c>
      <c r="E96" s="1165" t="s">
        <v>25</v>
      </c>
      <c r="F96" s="1174">
        <v>0</v>
      </c>
      <c r="G96" s="1174"/>
      <c r="H96" s="1174"/>
      <c r="I96" s="1174"/>
      <c r="J96" s="1174"/>
      <c r="K96" s="1174"/>
      <c r="L96" s="1174">
        <v>0</v>
      </c>
      <c r="M96" s="1174"/>
      <c r="N96" s="1174"/>
      <c r="O96" s="1174">
        <v>0</v>
      </c>
      <c r="P96" s="1174"/>
      <c r="Q96" s="1174"/>
      <c r="R96" s="1164" t="s">
        <v>2931</v>
      </c>
    </row>
    <row r="97" spans="1:18" x14ac:dyDescent="0.25">
      <c r="A97" s="1164" t="s">
        <v>2985</v>
      </c>
      <c r="B97" s="1165" t="s">
        <v>27</v>
      </c>
      <c r="C97" s="1165">
        <v>100953</v>
      </c>
      <c r="D97" s="1164" t="s">
        <v>1976</v>
      </c>
      <c r="E97" s="1165" t="s">
        <v>25</v>
      </c>
      <c r="F97" s="1174">
        <v>0</v>
      </c>
      <c r="G97" s="1174"/>
      <c r="H97" s="1174"/>
      <c r="I97" s="1174"/>
      <c r="J97" s="1174"/>
      <c r="K97" s="1174"/>
      <c r="L97" s="1174">
        <v>0</v>
      </c>
      <c r="M97" s="1174"/>
      <c r="N97" s="1174"/>
      <c r="O97" s="1174">
        <v>0</v>
      </c>
      <c r="P97" s="1174"/>
      <c r="Q97" s="1174"/>
      <c r="R97" s="1164" t="s">
        <v>2931</v>
      </c>
    </row>
    <row r="98" spans="1:18" x14ac:dyDescent="0.25">
      <c r="A98" s="1164" t="s">
        <v>2986</v>
      </c>
      <c r="B98" s="1165" t="s">
        <v>27</v>
      </c>
      <c r="C98" s="1165">
        <v>100954</v>
      </c>
      <c r="D98" s="1164" t="s">
        <v>1850</v>
      </c>
      <c r="E98" s="1165" t="s">
        <v>25</v>
      </c>
      <c r="F98" s="1174">
        <v>0</v>
      </c>
      <c r="G98" s="1174"/>
      <c r="H98" s="1174"/>
      <c r="I98" s="1174"/>
      <c r="J98" s="1174"/>
      <c r="K98" s="1174"/>
      <c r="L98" s="1174">
        <v>0</v>
      </c>
      <c r="M98" s="1174"/>
      <c r="N98" s="1174"/>
      <c r="O98" s="1174">
        <v>0</v>
      </c>
      <c r="P98" s="1174"/>
      <c r="Q98" s="1174"/>
      <c r="R98" s="1164" t="s">
        <v>2931</v>
      </c>
    </row>
    <row r="99" spans="1:18" x14ac:dyDescent="0.25">
      <c r="A99" s="1164" t="s">
        <v>2987</v>
      </c>
      <c r="B99" s="1165" t="s">
        <v>27</v>
      </c>
      <c r="C99" s="1165">
        <v>92809</v>
      </c>
      <c r="D99" s="1164" t="s">
        <v>2988</v>
      </c>
      <c r="E99" s="1165" t="s">
        <v>26</v>
      </c>
      <c r="F99" s="1169">
        <v>2.7115</v>
      </c>
      <c r="G99" s="1169">
        <v>0</v>
      </c>
      <c r="H99" s="1169">
        <v>2.7115</v>
      </c>
      <c r="L99" s="1169">
        <v>0</v>
      </c>
      <c r="M99" s="1169">
        <v>0</v>
      </c>
      <c r="N99" s="1169">
        <v>0</v>
      </c>
      <c r="O99" s="1169">
        <v>0</v>
      </c>
      <c r="P99" s="1169">
        <v>0</v>
      </c>
      <c r="Q99" s="1169">
        <v>0</v>
      </c>
    </row>
    <row r="100" spans="1:18" s="1166" customFormat="1" x14ac:dyDescent="0.25">
      <c r="A100" s="1166" t="s">
        <v>2981</v>
      </c>
      <c r="B100" s="1168"/>
      <c r="C100" s="1168"/>
      <c r="D100" s="1166" t="s">
        <v>2722</v>
      </c>
      <c r="E100" s="1168"/>
      <c r="F100" s="1171" t="s">
        <v>21</v>
      </c>
      <c r="G100" s="1171"/>
      <c r="H100" s="1171"/>
      <c r="I100" s="1171"/>
      <c r="J100" s="1171"/>
      <c r="K100" s="1171"/>
      <c r="L100" s="1171" t="s">
        <v>21</v>
      </c>
      <c r="M100" s="1171"/>
      <c r="N100" s="1171"/>
      <c r="O100" s="1171" t="s">
        <v>21</v>
      </c>
      <c r="P100" s="1171"/>
      <c r="Q100" s="1171"/>
    </row>
    <row r="101" spans="1:18" x14ac:dyDescent="0.25">
      <c r="A101" s="1164" t="s">
        <v>2982</v>
      </c>
      <c r="B101" s="1165" t="s">
        <v>27</v>
      </c>
      <c r="C101" s="1165">
        <v>100341</v>
      </c>
      <c r="D101" s="1164" t="s">
        <v>1871</v>
      </c>
      <c r="E101" s="1165" t="s">
        <v>20</v>
      </c>
      <c r="F101" s="1169">
        <v>188.64</v>
      </c>
      <c r="H101" s="1169">
        <v>188.64</v>
      </c>
      <c r="L101" s="1169">
        <v>0</v>
      </c>
      <c r="O101" s="1169">
        <v>0</v>
      </c>
    </row>
    <row r="102" spans="1:18" x14ac:dyDescent="0.25">
      <c r="A102" s="1164" t="s">
        <v>2989</v>
      </c>
      <c r="B102" s="1165" t="s">
        <v>27</v>
      </c>
      <c r="C102" s="1165">
        <v>101010</v>
      </c>
      <c r="D102" s="1164" t="s">
        <v>2720</v>
      </c>
      <c r="E102" s="1165" t="s">
        <v>23</v>
      </c>
      <c r="F102" s="1169">
        <v>5.7</v>
      </c>
      <c r="G102" s="1169">
        <v>0</v>
      </c>
      <c r="H102" s="1169">
        <v>5.7</v>
      </c>
      <c r="L102" s="1169">
        <v>0</v>
      </c>
      <c r="M102" s="1169">
        <v>0</v>
      </c>
      <c r="N102" s="1169">
        <v>0</v>
      </c>
      <c r="O102" s="1169">
        <v>0</v>
      </c>
      <c r="P102" s="1169">
        <v>0</v>
      </c>
      <c r="Q102" s="1169">
        <v>0</v>
      </c>
    </row>
    <row r="103" spans="1:18" x14ac:dyDescent="0.25">
      <c r="A103" s="1164" t="s">
        <v>2990</v>
      </c>
      <c r="B103" s="1165" t="s">
        <v>27</v>
      </c>
      <c r="C103" s="1165">
        <v>100954</v>
      </c>
      <c r="D103" s="1164" t="s">
        <v>1850</v>
      </c>
      <c r="E103" s="1165" t="s">
        <v>25</v>
      </c>
      <c r="F103" s="1174">
        <v>0</v>
      </c>
      <c r="G103" s="1174"/>
      <c r="H103" s="1174"/>
      <c r="I103" s="1174"/>
      <c r="J103" s="1174"/>
      <c r="K103" s="1174"/>
      <c r="L103" s="1174">
        <v>0</v>
      </c>
      <c r="M103" s="1174"/>
      <c r="N103" s="1174"/>
      <c r="O103" s="1174">
        <v>0</v>
      </c>
      <c r="P103" s="1174"/>
      <c r="Q103" s="1174"/>
      <c r="R103" s="1164" t="s">
        <v>2931</v>
      </c>
    </row>
    <row r="104" spans="1:18" x14ac:dyDescent="0.25">
      <c r="A104" s="1164" t="s">
        <v>2991</v>
      </c>
      <c r="B104" s="1165" t="s">
        <v>27</v>
      </c>
      <c r="C104" s="1165">
        <v>92916</v>
      </c>
      <c r="D104" s="1164" t="s">
        <v>2976</v>
      </c>
      <c r="E104" s="1165" t="s">
        <v>1880</v>
      </c>
      <c r="F104" s="1169">
        <v>950</v>
      </c>
      <c r="G104" s="1169">
        <v>0</v>
      </c>
      <c r="H104" s="1169">
        <v>950</v>
      </c>
      <c r="L104" s="1169">
        <v>0</v>
      </c>
      <c r="M104" s="1169">
        <v>0</v>
      </c>
      <c r="N104" s="1169">
        <v>0</v>
      </c>
      <c r="O104" s="1169">
        <v>0</v>
      </c>
      <c r="P104" s="1169">
        <v>0</v>
      </c>
      <c r="Q104" s="1169">
        <v>0</v>
      </c>
      <c r="R104" s="1175">
        <v>20</v>
      </c>
    </row>
    <row r="105" spans="1:18" x14ac:dyDescent="0.25">
      <c r="A105" s="1164" t="s">
        <v>2992</v>
      </c>
      <c r="B105" s="1165" t="s">
        <v>27</v>
      </c>
      <c r="C105" s="1165">
        <v>92917</v>
      </c>
      <c r="D105" s="1164" t="s">
        <v>2977</v>
      </c>
      <c r="E105" s="1165" t="s">
        <v>1880</v>
      </c>
      <c r="F105" s="1169">
        <v>1425</v>
      </c>
      <c r="G105" s="1169">
        <v>0</v>
      </c>
      <c r="H105" s="1169">
        <v>1425</v>
      </c>
      <c r="L105" s="1169">
        <v>0</v>
      </c>
      <c r="M105" s="1169">
        <v>0</v>
      </c>
      <c r="N105" s="1169">
        <v>0</v>
      </c>
      <c r="O105" s="1169">
        <v>0</v>
      </c>
      <c r="P105" s="1169">
        <v>0</v>
      </c>
      <c r="Q105" s="1169">
        <v>0</v>
      </c>
      <c r="R105" s="1175">
        <v>30</v>
      </c>
    </row>
    <row r="106" spans="1:18" x14ac:dyDescent="0.25">
      <c r="A106" s="1164" t="s">
        <v>2993</v>
      </c>
      <c r="B106" s="1165" t="s">
        <v>27</v>
      </c>
      <c r="C106" s="1165">
        <v>92919</v>
      </c>
      <c r="D106" s="1164" t="s">
        <v>2978</v>
      </c>
      <c r="E106" s="1165" t="s">
        <v>1880</v>
      </c>
      <c r="F106" s="1169">
        <v>2375</v>
      </c>
      <c r="G106" s="1169">
        <v>0</v>
      </c>
      <c r="H106" s="1169">
        <v>2375</v>
      </c>
      <c r="L106" s="1169">
        <v>0</v>
      </c>
      <c r="M106" s="1169">
        <v>0</v>
      </c>
      <c r="N106" s="1169">
        <v>0</v>
      </c>
      <c r="O106" s="1169">
        <v>0</v>
      </c>
      <c r="P106" s="1169">
        <v>0</v>
      </c>
      <c r="Q106" s="1169">
        <v>0</v>
      </c>
      <c r="R106" s="1175">
        <v>50</v>
      </c>
    </row>
    <row r="107" spans="1:18" x14ac:dyDescent="0.25">
      <c r="A107" s="1164" t="s">
        <v>2994</v>
      </c>
      <c r="B107" s="1165" t="s">
        <v>27</v>
      </c>
      <c r="C107" s="1165">
        <v>92921</v>
      </c>
      <c r="D107" s="1164" t="s">
        <v>2979</v>
      </c>
      <c r="E107" s="1165" t="s">
        <v>1880</v>
      </c>
      <c r="F107" s="1169">
        <v>950</v>
      </c>
      <c r="G107" s="1169">
        <v>0</v>
      </c>
      <c r="H107" s="1169">
        <v>950</v>
      </c>
      <c r="L107" s="1169">
        <v>0</v>
      </c>
      <c r="M107" s="1169">
        <v>0</v>
      </c>
      <c r="N107" s="1169">
        <v>0</v>
      </c>
      <c r="O107" s="1169">
        <v>0</v>
      </c>
      <c r="P107" s="1169">
        <v>0</v>
      </c>
      <c r="Q107" s="1169">
        <v>0</v>
      </c>
      <c r="R107" s="1175">
        <v>20</v>
      </c>
    </row>
    <row r="108" spans="1:18" x14ac:dyDescent="0.25">
      <c r="A108" s="1164" t="s">
        <v>2995</v>
      </c>
      <c r="B108" s="1165" t="s">
        <v>27</v>
      </c>
      <c r="C108" s="1165">
        <v>94965</v>
      </c>
      <c r="D108" s="1164" t="s">
        <v>1865</v>
      </c>
      <c r="E108" s="1165" t="s">
        <v>28</v>
      </c>
      <c r="F108" s="1169">
        <v>47.5</v>
      </c>
      <c r="H108" s="1169">
        <v>47.5</v>
      </c>
      <c r="L108" s="1169">
        <v>0</v>
      </c>
      <c r="O108" s="1169">
        <v>0</v>
      </c>
    </row>
    <row r="109" spans="1:18" x14ac:dyDescent="0.25">
      <c r="A109" s="1164" t="s">
        <v>2996</v>
      </c>
      <c r="B109" s="1165" t="s">
        <v>27</v>
      </c>
      <c r="C109" s="1165">
        <v>92873</v>
      </c>
      <c r="D109" s="1164" t="s">
        <v>2727</v>
      </c>
      <c r="E109" s="1165" t="s">
        <v>28</v>
      </c>
      <c r="F109" s="1169">
        <v>47.5</v>
      </c>
      <c r="G109" s="1169">
        <v>0</v>
      </c>
      <c r="H109" s="1169">
        <v>47.5</v>
      </c>
      <c r="L109" s="1169">
        <v>0</v>
      </c>
      <c r="M109" s="1169">
        <v>0</v>
      </c>
      <c r="N109" s="1169">
        <v>0</v>
      </c>
      <c r="O109" s="1169">
        <v>0</v>
      </c>
      <c r="P109" s="1169">
        <v>0</v>
      </c>
      <c r="Q109" s="1169">
        <v>0</v>
      </c>
    </row>
    <row r="110" spans="1:18" x14ac:dyDescent="0.25">
      <c r="A110" s="1164" t="s">
        <v>2997</v>
      </c>
      <c r="B110" s="1165" t="s">
        <v>27</v>
      </c>
      <c r="C110" s="1165" t="s">
        <v>568</v>
      </c>
      <c r="D110" s="1164" t="s">
        <v>2731</v>
      </c>
      <c r="E110" s="1165" t="s">
        <v>20</v>
      </c>
      <c r="F110" s="1169">
        <v>95.9</v>
      </c>
      <c r="H110" s="1169">
        <v>95.9</v>
      </c>
      <c r="L110" s="1169">
        <v>0</v>
      </c>
      <c r="O110" s="1169">
        <v>0</v>
      </c>
    </row>
    <row r="111" spans="1:18" x14ac:dyDescent="0.25">
      <c r="A111" s="1164" t="s">
        <v>2998</v>
      </c>
      <c r="B111" s="1165" t="s">
        <v>27</v>
      </c>
      <c r="C111" s="1165">
        <v>95879</v>
      </c>
      <c r="D111" s="1164" t="s">
        <v>2709</v>
      </c>
      <c r="E111" s="1165" t="s">
        <v>25</v>
      </c>
      <c r="F111" s="1174">
        <v>0</v>
      </c>
      <c r="G111" s="1174"/>
      <c r="H111" s="1174"/>
      <c r="I111" s="1174"/>
      <c r="J111" s="1174"/>
      <c r="K111" s="1174"/>
      <c r="L111" s="1174">
        <v>0</v>
      </c>
      <c r="M111" s="1174"/>
      <c r="N111" s="1174"/>
      <c r="O111" s="1174">
        <v>0</v>
      </c>
      <c r="P111" s="1174"/>
      <c r="Q111" s="1174"/>
      <c r="R111" s="1164" t="s">
        <v>2931</v>
      </c>
    </row>
    <row r="112" spans="1:18" x14ac:dyDescent="0.25">
      <c r="A112" s="1164" t="s">
        <v>2999</v>
      </c>
      <c r="B112" s="1165" t="s">
        <v>27</v>
      </c>
      <c r="C112" s="1165">
        <v>93599</v>
      </c>
      <c r="D112" s="1164" t="s">
        <v>2710</v>
      </c>
      <c r="E112" s="1165" t="s">
        <v>25</v>
      </c>
      <c r="F112" s="1174">
        <v>0</v>
      </c>
      <c r="G112" s="1174"/>
      <c r="H112" s="1174"/>
      <c r="I112" s="1174"/>
      <c r="J112" s="1174"/>
      <c r="K112" s="1174"/>
      <c r="L112" s="1174">
        <v>0</v>
      </c>
      <c r="M112" s="1174"/>
      <c r="N112" s="1174"/>
      <c r="O112" s="1174">
        <v>0</v>
      </c>
      <c r="P112" s="1174"/>
      <c r="Q112" s="1174"/>
      <c r="R112" s="1164" t="s">
        <v>2931</v>
      </c>
    </row>
    <row r="113" spans="1:18" x14ac:dyDescent="0.25">
      <c r="A113" s="1164" t="s">
        <v>3000</v>
      </c>
      <c r="B113" s="1165" t="s">
        <v>27</v>
      </c>
      <c r="C113" s="1165">
        <v>100943</v>
      </c>
      <c r="D113" s="1164" t="s">
        <v>2711</v>
      </c>
      <c r="E113" s="1165" t="s">
        <v>25</v>
      </c>
      <c r="F113" s="1174">
        <v>0</v>
      </c>
      <c r="G113" s="1174"/>
      <c r="H113" s="1174"/>
      <c r="I113" s="1174"/>
      <c r="J113" s="1174"/>
      <c r="K113" s="1174"/>
      <c r="L113" s="1174">
        <v>0</v>
      </c>
      <c r="M113" s="1174"/>
      <c r="N113" s="1174"/>
      <c r="O113" s="1174">
        <v>0</v>
      </c>
      <c r="P113" s="1174"/>
      <c r="Q113" s="1174"/>
      <c r="R113" s="1164" t="s">
        <v>2931</v>
      </c>
    </row>
    <row r="114" spans="1:18" x14ac:dyDescent="0.25">
      <c r="A114" s="1164" t="s">
        <v>3001</v>
      </c>
      <c r="B114" s="1165" t="s">
        <v>27</v>
      </c>
      <c r="C114" s="1165">
        <v>92756</v>
      </c>
      <c r="D114" s="1164" t="s">
        <v>1394</v>
      </c>
      <c r="E114" s="1165" t="s">
        <v>20</v>
      </c>
      <c r="F114" s="1169">
        <v>40.799999999999997</v>
      </c>
      <c r="H114" s="1169">
        <v>40.799999999999997</v>
      </c>
      <c r="L114" s="1169">
        <v>0</v>
      </c>
      <c r="O114" s="1169">
        <v>0</v>
      </c>
    </row>
    <row r="115" spans="1:18" s="1182" customFormat="1" x14ac:dyDescent="0.25">
      <c r="A115" s="1182" t="s">
        <v>3086</v>
      </c>
      <c r="B115" s="1183" t="s">
        <v>138</v>
      </c>
      <c r="C115" s="1183" t="s">
        <v>1183</v>
      </c>
      <c r="D115" s="1182" t="s">
        <v>2719</v>
      </c>
      <c r="E115" s="1183" t="s">
        <v>20</v>
      </c>
      <c r="F115" s="1176">
        <v>2.0840000000000001</v>
      </c>
      <c r="G115" s="1176"/>
      <c r="H115" s="1176">
        <v>2.0840000000000001</v>
      </c>
      <c r="I115" s="1176"/>
      <c r="J115" s="1176"/>
      <c r="K115" s="1176"/>
      <c r="L115" s="1176">
        <v>0</v>
      </c>
      <c r="M115" s="1176"/>
      <c r="N115" s="1176"/>
      <c r="O115" s="1176">
        <v>0</v>
      </c>
      <c r="P115" s="1176"/>
      <c r="Q115" s="1176"/>
    </row>
    <row r="116" spans="1:18" s="1166" customFormat="1" x14ac:dyDescent="0.25">
      <c r="A116" s="1191" t="s">
        <v>2785</v>
      </c>
      <c r="B116" s="1192"/>
      <c r="C116" s="1192"/>
      <c r="D116" s="1191" t="s">
        <v>2784</v>
      </c>
      <c r="E116" s="1192"/>
      <c r="F116" s="1193" t="s">
        <v>21</v>
      </c>
      <c r="G116" s="1195"/>
      <c r="H116" s="1195"/>
      <c r="I116" s="1195"/>
      <c r="J116" s="1195"/>
      <c r="K116" s="1195"/>
      <c r="L116" s="1193" t="s">
        <v>21</v>
      </c>
      <c r="M116" s="1195"/>
      <c r="N116" s="1195"/>
      <c r="O116" s="1193" t="s">
        <v>21</v>
      </c>
      <c r="P116" s="1195"/>
      <c r="Q116" s="1195"/>
      <c r="R116" s="1191"/>
    </row>
    <row r="117" spans="1:18" s="1166" customFormat="1" x14ac:dyDescent="0.25">
      <c r="A117" s="1196" t="s">
        <v>2786</v>
      </c>
      <c r="B117" s="1197"/>
      <c r="C117" s="1197"/>
      <c r="D117" s="1196" t="s">
        <v>1858</v>
      </c>
      <c r="E117" s="1197"/>
      <c r="F117" s="1198" t="s">
        <v>21</v>
      </c>
      <c r="G117" s="1198"/>
      <c r="H117" s="1198"/>
      <c r="I117" s="1198"/>
      <c r="J117" s="1198"/>
      <c r="K117" s="1198"/>
      <c r="L117" s="1198" t="s">
        <v>21</v>
      </c>
      <c r="M117" s="1198"/>
      <c r="N117" s="1198"/>
      <c r="O117" s="1198" t="s">
        <v>21</v>
      </c>
      <c r="P117" s="1198"/>
      <c r="Q117" s="1198"/>
      <c r="R117" s="1196"/>
    </row>
    <row r="118" spans="1:18" x14ac:dyDescent="0.25">
      <c r="A118" s="1164" t="s">
        <v>2787</v>
      </c>
      <c r="B118" s="1165" t="s">
        <v>27</v>
      </c>
      <c r="C118" s="1165">
        <v>101010</v>
      </c>
      <c r="D118" s="1164" t="s">
        <v>2720</v>
      </c>
      <c r="E118" s="1165" t="s">
        <v>23</v>
      </c>
      <c r="F118" s="1169">
        <v>0</v>
      </c>
      <c r="G118" s="1169">
        <v>0</v>
      </c>
      <c r="H118" s="1169">
        <v>0</v>
      </c>
      <c r="L118" s="1169">
        <v>0</v>
      </c>
      <c r="M118" s="1169">
        <v>0</v>
      </c>
      <c r="N118" s="1169">
        <v>0</v>
      </c>
      <c r="O118" s="1169">
        <v>0</v>
      </c>
      <c r="P118" s="1169">
        <v>0</v>
      </c>
      <c r="Q118" s="1169">
        <v>0</v>
      </c>
      <c r="R118" s="1164" t="s">
        <v>2926</v>
      </c>
    </row>
    <row r="119" spans="1:18" x14ac:dyDescent="0.25">
      <c r="A119" s="1164" t="s">
        <v>2788</v>
      </c>
      <c r="B119" s="1165" t="s">
        <v>27</v>
      </c>
      <c r="C119" s="1165">
        <v>100954</v>
      </c>
      <c r="D119" s="1164" t="s">
        <v>2721</v>
      </c>
      <c r="E119" s="1165" t="s">
        <v>25</v>
      </c>
      <c r="F119" s="1174">
        <v>0</v>
      </c>
      <c r="G119" s="1174"/>
      <c r="H119" s="1174"/>
      <c r="I119" s="1174"/>
      <c r="J119" s="1174"/>
      <c r="K119" s="1174"/>
      <c r="L119" s="1174">
        <v>0</v>
      </c>
      <c r="M119" s="1174"/>
      <c r="N119" s="1174"/>
      <c r="O119" s="1174">
        <v>0</v>
      </c>
      <c r="P119" s="1174"/>
      <c r="Q119" s="1174"/>
      <c r="R119" s="1164" t="s">
        <v>2932</v>
      </c>
    </row>
    <row r="120" spans="1:18" x14ac:dyDescent="0.25">
      <c r="A120" s="1164" t="s">
        <v>2789</v>
      </c>
      <c r="B120" s="1165" t="s">
        <v>27</v>
      </c>
      <c r="C120" s="1165">
        <v>101176</v>
      </c>
      <c r="D120" s="1164" t="s">
        <v>2726</v>
      </c>
      <c r="E120" s="1165" t="s">
        <v>26</v>
      </c>
      <c r="F120" s="1169">
        <v>0</v>
      </c>
      <c r="G120" s="1173"/>
      <c r="H120" s="1173"/>
      <c r="L120" s="1169">
        <v>0</v>
      </c>
      <c r="M120" s="1173"/>
      <c r="O120" s="1169">
        <v>0</v>
      </c>
    </row>
    <row r="121" spans="1:18" s="1166" customFormat="1" x14ac:dyDescent="0.25">
      <c r="A121" s="1196" t="s">
        <v>2790</v>
      </c>
      <c r="B121" s="1197"/>
      <c r="C121" s="1197"/>
      <c r="D121" s="1196" t="s">
        <v>2725</v>
      </c>
      <c r="E121" s="1197"/>
      <c r="F121" s="1198" t="s">
        <v>21</v>
      </c>
      <c r="G121" s="1198"/>
      <c r="H121" s="1198"/>
      <c r="I121" s="1198"/>
      <c r="J121" s="1198"/>
      <c r="K121" s="1198"/>
      <c r="L121" s="1198" t="s">
        <v>21</v>
      </c>
      <c r="M121" s="1198"/>
      <c r="N121" s="1198"/>
      <c r="O121" s="1198" t="s">
        <v>21</v>
      </c>
      <c r="P121" s="1198"/>
      <c r="Q121" s="1198"/>
      <c r="R121" s="1196"/>
    </row>
    <row r="122" spans="1:18" x14ac:dyDescent="0.25">
      <c r="A122" s="1164" t="s">
        <v>2791</v>
      </c>
      <c r="B122" s="1165" t="s">
        <v>27</v>
      </c>
      <c r="C122" s="1165">
        <v>93358</v>
      </c>
      <c r="D122" s="1164" t="s">
        <v>925</v>
      </c>
      <c r="E122" s="1165" t="s">
        <v>28</v>
      </c>
      <c r="F122" s="1169">
        <v>0</v>
      </c>
      <c r="G122" s="1173"/>
      <c r="H122" s="1173"/>
      <c r="L122" s="1169">
        <v>0</v>
      </c>
      <c r="M122" s="1173"/>
      <c r="O122" s="1169">
        <v>0</v>
      </c>
    </row>
    <row r="123" spans="1:18" x14ac:dyDescent="0.25">
      <c r="A123" s="1164" t="s">
        <v>2792</v>
      </c>
      <c r="B123" s="1165" t="s">
        <v>27</v>
      </c>
      <c r="C123" s="1165">
        <v>101616</v>
      </c>
      <c r="D123" s="1164" t="s">
        <v>1862</v>
      </c>
      <c r="E123" s="1165" t="s">
        <v>20</v>
      </c>
      <c r="F123" s="1169">
        <v>0</v>
      </c>
      <c r="G123" s="1173"/>
      <c r="H123" s="1173"/>
      <c r="L123" s="1169">
        <v>0</v>
      </c>
      <c r="M123" s="1173"/>
      <c r="O123" s="1169">
        <v>0</v>
      </c>
    </row>
    <row r="124" spans="1:18" x14ac:dyDescent="0.25">
      <c r="A124" s="1164" t="s">
        <v>2793</v>
      </c>
      <c r="B124" s="1165" t="s">
        <v>27</v>
      </c>
      <c r="C124" s="1165">
        <v>95601</v>
      </c>
      <c r="D124" s="1164" t="s">
        <v>2723</v>
      </c>
      <c r="E124" s="1165" t="s">
        <v>39</v>
      </c>
      <c r="F124" s="1169">
        <v>0</v>
      </c>
      <c r="G124" s="1173"/>
      <c r="H124" s="1173"/>
      <c r="L124" s="1169">
        <v>0</v>
      </c>
      <c r="M124" s="1173"/>
      <c r="O124" s="1169">
        <v>0</v>
      </c>
    </row>
    <row r="125" spans="1:18" x14ac:dyDescent="0.25">
      <c r="A125" s="1164" t="s">
        <v>2794</v>
      </c>
      <c r="B125" s="1165" t="s">
        <v>27</v>
      </c>
      <c r="C125" s="1165">
        <v>94962</v>
      </c>
      <c r="D125" s="1164" t="s">
        <v>1288</v>
      </c>
      <c r="E125" s="1165" t="s">
        <v>28</v>
      </c>
      <c r="F125" s="1169">
        <v>0</v>
      </c>
      <c r="G125" s="1173"/>
      <c r="H125" s="1173"/>
      <c r="L125" s="1169">
        <v>0</v>
      </c>
      <c r="M125" s="1173"/>
      <c r="O125" s="1169">
        <v>0</v>
      </c>
    </row>
    <row r="126" spans="1:18" x14ac:dyDescent="0.25">
      <c r="A126" s="1164" t="s">
        <v>2795</v>
      </c>
      <c r="B126" s="1165" t="s">
        <v>27</v>
      </c>
      <c r="C126" s="1165">
        <v>96534</v>
      </c>
      <c r="D126" s="1164" t="s">
        <v>2728</v>
      </c>
      <c r="E126" s="1165" t="s">
        <v>20</v>
      </c>
      <c r="F126" s="1169">
        <v>0</v>
      </c>
      <c r="G126" s="1173"/>
      <c r="H126" s="1173"/>
      <c r="L126" s="1169">
        <v>0</v>
      </c>
      <c r="M126" s="1173"/>
      <c r="O126" s="1169">
        <v>0</v>
      </c>
    </row>
    <row r="127" spans="1:18" x14ac:dyDescent="0.25">
      <c r="A127" s="1164" t="s">
        <v>2796</v>
      </c>
      <c r="B127" s="1165" t="s">
        <v>27</v>
      </c>
      <c r="C127" s="1165">
        <v>96536</v>
      </c>
      <c r="D127" s="1164" t="s">
        <v>2729</v>
      </c>
      <c r="E127" s="1165" t="s">
        <v>20</v>
      </c>
      <c r="F127" s="1169">
        <v>0</v>
      </c>
      <c r="G127" s="1173"/>
      <c r="H127" s="1173"/>
      <c r="L127" s="1169">
        <v>0</v>
      </c>
      <c r="M127" s="1173"/>
      <c r="O127" s="1169">
        <v>0</v>
      </c>
    </row>
    <row r="128" spans="1:18" x14ac:dyDescent="0.25">
      <c r="A128" s="1164" t="s">
        <v>2797</v>
      </c>
      <c r="B128" s="1165" t="s">
        <v>27</v>
      </c>
      <c r="C128" s="1165">
        <v>101010</v>
      </c>
      <c r="D128" s="1164" t="s">
        <v>2720</v>
      </c>
      <c r="E128" s="1165" t="s">
        <v>23</v>
      </c>
      <c r="F128" s="1169">
        <v>0</v>
      </c>
      <c r="G128" s="1169">
        <v>0</v>
      </c>
      <c r="H128" s="1169">
        <v>0</v>
      </c>
      <c r="L128" s="1169">
        <v>0</v>
      </c>
      <c r="M128" s="1169">
        <v>0</v>
      </c>
      <c r="N128" s="1169">
        <v>0</v>
      </c>
      <c r="O128" s="1169">
        <v>0</v>
      </c>
      <c r="P128" s="1169">
        <v>0</v>
      </c>
      <c r="Q128" s="1169">
        <v>0</v>
      </c>
    </row>
    <row r="129" spans="1:18" x14ac:dyDescent="0.25">
      <c r="A129" s="1164" t="s">
        <v>2798</v>
      </c>
      <c r="B129" s="1165" t="s">
        <v>27</v>
      </c>
      <c r="C129" s="1165">
        <v>100954</v>
      </c>
      <c r="D129" s="1164" t="s">
        <v>2721</v>
      </c>
      <c r="E129" s="1165" t="s">
        <v>25</v>
      </c>
      <c r="F129" s="1174">
        <v>0</v>
      </c>
      <c r="G129" s="1174"/>
      <c r="H129" s="1174"/>
      <c r="I129" s="1174"/>
      <c r="J129" s="1174"/>
      <c r="K129" s="1174"/>
      <c r="L129" s="1174">
        <v>0</v>
      </c>
      <c r="M129" s="1174"/>
      <c r="N129" s="1174"/>
      <c r="O129" s="1174">
        <v>0</v>
      </c>
      <c r="P129" s="1174"/>
      <c r="Q129" s="1174"/>
      <c r="R129" s="1164" t="s">
        <v>2932</v>
      </c>
    </row>
    <row r="130" spans="1:18" x14ac:dyDescent="0.25">
      <c r="A130" s="1164" t="s">
        <v>2799</v>
      </c>
      <c r="B130" s="1165" t="s">
        <v>27</v>
      </c>
      <c r="C130" s="1165">
        <v>96544</v>
      </c>
      <c r="D130" s="1164" t="s">
        <v>1864</v>
      </c>
      <c r="E130" s="1165" t="s">
        <v>1880</v>
      </c>
      <c r="F130" s="1169">
        <v>0</v>
      </c>
      <c r="G130" s="1173"/>
      <c r="H130" s="1173"/>
      <c r="L130" s="1169">
        <v>0</v>
      </c>
      <c r="M130" s="1173"/>
      <c r="O130" s="1169">
        <v>0</v>
      </c>
    </row>
    <row r="131" spans="1:18" x14ac:dyDescent="0.25">
      <c r="A131" s="1164" t="s">
        <v>2800</v>
      </c>
      <c r="B131" s="1165" t="s">
        <v>27</v>
      </c>
      <c r="C131" s="1165">
        <v>96545</v>
      </c>
      <c r="D131" s="1164" t="s">
        <v>1864</v>
      </c>
      <c r="E131" s="1165" t="s">
        <v>1880</v>
      </c>
      <c r="F131" s="1169">
        <v>0</v>
      </c>
      <c r="G131" s="1173"/>
      <c r="H131" s="1173"/>
      <c r="L131" s="1169">
        <v>0</v>
      </c>
      <c r="M131" s="1173"/>
      <c r="O131" s="1169">
        <v>0</v>
      </c>
    </row>
    <row r="132" spans="1:18" x14ac:dyDescent="0.25">
      <c r="A132" s="1164" t="s">
        <v>2801</v>
      </c>
      <c r="B132" s="1165" t="s">
        <v>27</v>
      </c>
      <c r="C132" s="1165">
        <v>96546</v>
      </c>
      <c r="D132" s="1164" t="s">
        <v>1864</v>
      </c>
      <c r="E132" s="1165" t="s">
        <v>1880</v>
      </c>
      <c r="F132" s="1169">
        <v>0</v>
      </c>
      <c r="G132" s="1173"/>
      <c r="H132" s="1173"/>
      <c r="L132" s="1169">
        <v>0</v>
      </c>
      <c r="M132" s="1173"/>
      <c r="O132" s="1169">
        <v>0</v>
      </c>
    </row>
    <row r="133" spans="1:18" x14ac:dyDescent="0.25">
      <c r="A133" s="1164" t="s">
        <v>2802</v>
      </c>
      <c r="B133" s="1165" t="s">
        <v>27</v>
      </c>
      <c r="C133" s="1165">
        <v>96547</v>
      </c>
      <c r="D133" s="1164" t="s">
        <v>1864</v>
      </c>
      <c r="E133" s="1165" t="s">
        <v>1880</v>
      </c>
      <c r="F133" s="1169">
        <v>0</v>
      </c>
      <c r="G133" s="1173"/>
      <c r="H133" s="1173"/>
      <c r="L133" s="1169">
        <v>0</v>
      </c>
      <c r="M133" s="1173"/>
      <c r="O133" s="1169">
        <v>0</v>
      </c>
    </row>
    <row r="134" spans="1:18" x14ac:dyDescent="0.25">
      <c r="A134" s="1164" t="s">
        <v>2803</v>
      </c>
      <c r="B134" s="1165" t="s">
        <v>27</v>
      </c>
      <c r="C134" s="1165">
        <v>94965</v>
      </c>
      <c r="D134" s="1164" t="s">
        <v>1865</v>
      </c>
      <c r="E134" s="1165" t="s">
        <v>28</v>
      </c>
      <c r="F134" s="1169">
        <v>0</v>
      </c>
      <c r="G134" s="1173"/>
      <c r="H134" s="1173"/>
      <c r="L134" s="1169">
        <v>0</v>
      </c>
      <c r="M134" s="1173"/>
      <c r="O134" s="1169">
        <v>0</v>
      </c>
    </row>
    <row r="135" spans="1:18" x14ac:dyDescent="0.25">
      <c r="A135" s="1164" t="s">
        <v>2942</v>
      </c>
      <c r="B135" s="1165" t="s">
        <v>27</v>
      </c>
      <c r="C135" s="1165">
        <v>92873</v>
      </c>
      <c r="D135" s="1164" t="s">
        <v>2727</v>
      </c>
      <c r="E135" s="1165" t="s">
        <v>28</v>
      </c>
      <c r="F135" s="1169">
        <v>0</v>
      </c>
      <c r="G135" s="1169">
        <v>0</v>
      </c>
      <c r="H135" s="1169">
        <v>0</v>
      </c>
      <c r="L135" s="1169">
        <v>0</v>
      </c>
      <c r="M135" s="1169">
        <v>0</v>
      </c>
      <c r="N135" s="1169">
        <v>0</v>
      </c>
      <c r="O135" s="1169">
        <v>0</v>
      </c>
      <c r="P135" s="1169">
        <v>0</v>
      </c>
      <c r="Q135" s="1169">
        <v>0</v>
      </c>
    </row>
    <row r="136" spans="1:18" x14ac:dyDescent="0.25">
      <c r="A136" s="1164" t="s">
        <v>2943</v>
      </c>
      <c r="B136" s="1165" t="s">
        <v>27</v>
      </c>
      <c r="C136" s="1165">
        <v>93382</v>
      </c>
      <c r="D136" s="1164" t="s">
        <v>2724</v>
      </c>
      <c r="E136" s="1165" t="s">
        <v>28</v>
      </c>
      <c r="F136" s="1169">
        <v>0</v>
      </c>
      <c r="G136" s="1169">
        <v>0</v>
      </c>
      <c r="H136" s="1169">
        <v>0</v>
      </c>
      <c r="L136" s="1169">
        <v>0</v>
      </c>
      <c r="M136" s="1169">
        <v>0</v>
      </c>
      <c r="N136" s="1169">
        <v>0</v>
      </c>
      <c r="O136" s="1169">
        <v>0</v>
      </c>
      <c r="P136" s="1169">
        <v>0</v>
      </c>
      <c r="Q136" s="1169">
        <v>0</v>
      </c>
    </row>
    <row r="137" spans="1:18" s="1166" customFormat="1" x14ac:dyDescent="0.25">
      <c r="A137" s="1196" t="s">
        <v>2804</v>
      </c>
      <c r="B137" s="1197"/>
      <c r="C137" s="1197"/>
      <c r="D137" s="1196" t="s">
        <v>2818</v>
      </c>
      <c r="E137" s="1197"/>
      <c r="F137" s="1198" t="s">
        <v>21</v>
      </c>
      <c r="G137" s="1198"/>
      <c r="H137" s="1198"/>
      <c r="I137" s="1198"/>
      <c r="J137" s="1198"/>
      <c r="K137" s="1198"/>
      <c r="L137" s="1198" t="s">
        <v>21</v>
      </c>
      <c r="M137" s="1198"/>
      <c r="N137" s="1198"/>
      <c r="O137" s="1198" t="s">
        <v>21</v>
      </c>
      <c r="P137" s="1198"/>
      <c r="Q137" s="1198"/>
      <c r="R137" s="1196"/>
    </row>
    <row r="138" spans="1:18" x14ac:dyDescent="0.25">
      <c r="A138" s="1164" t="s">
        <v>2805</v>
      </c>
      <c r="B138" s="1165" t="s">
        <v>27</v>
      </c>
      <c r="C138" s="1165">
        <v>94962</v>
      </c>
      <c r="D138" s="1164" t="s">
        <v>1288</v>
      </c>
      <c r="E138" s="1165" t="s">
        <v>28</v>
      </c>
      <c r="F138" s="1169">
        <v>8.44</v>
      </c>
      <c r="G138" s="1169">
        <v>7.05</v>
      </c>
      <c r="H138" s="1169">
        <v>1.39</v>
      </c>
      <c r="L138" s="1169">
        <v>2.41</v>
      </c>
      <c r="M138" s="1169">
        <v>2.41</v>
      </c>
      <c r="O138" s="1169">
        <v>0</v>
      </c>
    </row>
    <row r="139" spans="1:18" x14ac:dyDescent="0.25">
      <c r="A139" s="1164" t="s">
        <v>2806</v>
      </c>
      <c r="B139" s="1165" t="s">
        <v>27</v>
      </c>
      <c r="C139" s="1165">
        <v>100341</v>
      </c>
      <c r="D139" s="1164" t="s">
        <v>1871</v>
      </c>
      <c r="E139" s="1165" t="s">
        <v>20</v>
      </c>
      <c r="F139" s="1169">
        <v>262.45</v>
      </c>
      <c r="G139" s="1169">
        <v>180.24</v>
      </c>
      <c r="H139" s="1169">
        <v>82.21</v>
      </c>
      <c r="L139" s="1169">
        <v>140.41999999999999</v>
      </c>
      <c r="M139" s="1169">
        <v>140.41999999999999</v>
      </c>
      <c r="O139" s="1169">
        <v>0</v>
      </c>
    </row>
    <row r="140" spans="1:18" x14ac:dyDescent="0.25">
      <c r="A140" s="1164" t="s">
        <v>2807</v>
      </c>
      <c r="B140" s="1165" t="s">
        <v>27</v>
      </c>
      <c r="C140" s="1165">
        <v>101010</v>
      </c>
      <c r="D140" s="1164" t="s">
        <v>2720</v>
      </c>
      <c r="E140" s="1165" t="s">
        <v>23</v>
      </c>
      <c r="F140" s="1169">
        <v>5.0592000000000006</v>
      </c>
      <c r="G140" s="1169">
        <v>3.4104000000000001</v>
      </c>
      <c r="H140" s="1169">
        <v>1.6488</v>
      </c>
      <c r="L140" s="1169">
        <v>2.8620000000000001</v>
      </c>
      <c r="M140" s="1169">
        <v>2.8620000000000001</v>
      </c>
      <c r="N140" s="1169">
        <v>0</v>
      </c>
      <c r="O140" s="1169">
        <v>0</v>
      </c>
      <c r="P140" s="1169">
        <v>0</v>
      </c>
      <c r="Q140" s="1169">
        <v>0</v>
      </c>
    </row>
    <row r="141" spans="1:18" x14ac:dyDescent="0.25">
      <c r="A141" s="1164" t="s">
        <v>2808</v>
      </c>
      <c r="B141" s="1165" t="s">
        <v>27</v>
      </c>
      <c r="C141" s="1165">
        <v>100954</v>
      </c>
      <c r="D141" s="1164" t="s">
        <v>2721</v>
      </c>
      <c r="E141" s="1165" t="s">
        <v>25</v>
      </c>
      <c r="F141" s="1174">
        <v>0</v>
      </c>
      <c r="G141" s="1174"/>
      <c r="H141" s="1174"/>
      <c r="I141" s="1174"/>
      <c r="J141" s="1174"/>
      <c r="K141" s="1174"/>
      <c r="L141" s="1174">
        <v>0</v>
      </c>
      <c r="M141" s="1174"/>
      <c r="N141" s="1174"/>
      <c r="O141" s="1174">
        <v>0</v>
      </c>
      <c r="P141" s="1174"/>
      <c r="Q141" s="1174"/>
      <c r="R141" s="1164" t="s">
        <v>2932</v>
      </c>
    </row>
    <row r="142" spans="1:18" x14ac:dyDescent="0.25">
      <c r="A142" s="1164" t="s">
        <v>2809</v>
      </c>
      <c r="B142" s="1165" t="s">
        <v>27</v>
      </c>
      <c r="C142" s="1165">
        <v>92916</v>
      </c>
      <c r="D142" s="1164" t="s">
        <v>1864</v>
      </c>
      <c r="E142" s="1165" t="s">
        <v>1880</v>
      </c>
      <c r="F142" s="1169">
        <v>843.2</v>
      </c>
      <c r="G142" s="1169">
        <v>568.40000000000009</v>
      </c>
      <c r="H142" s="1169">
        <v>274.8</v>
      </c>
      <c r="L142" s="1169">
        <v>477</v>
      </c>
      <c r="M142" s="1169">
        <v>477</v>
      </c>
      <c r="N142" s="1169">
        <v>0</v>
      </c>
      <c r="O142" s="1169">
        <v>0</v>
      </c>
      <c r="P142" s="1169">
        <v>0</v>
      </c>
      <c r="Q142" s="1169">
        <v>0</v>
      </c>
      <c r="R142" s="1175">
        <v>20</v>
      </c>
    </row>
    <row r="143" spans="1:18" x14ac:dyDescent="0.25">
      <c r="A143" s="1164" t="s">
        <v>2810</v>
      </c>
      <c r="B143" s="1165" t="s">
        <v>27</v>
      </c>
      <c r="C143" s="1165">
        <v>92917</v>
      </c>
      <c r="D143" s="1164" t="s">
        <v>1864</v>
      </c>
      <c r="E143" s="1165" t="s">
        <v>1880</v>
      </c>
      <c r="F143" s="1169">
        <v>1264.8</v>
      </c>
      <c r="G143" s="1169">
        <v>852.6</v>
      </c>
      <c r="H143" s="1169">
        <v>412.2</v>
      </c>
      <c r="L143" s="1169">
        <v>715.5</v>
      </c>
      <c r="M143" s="1169">
        <v>715.5</v>
      </c>
      <c r="N143" s="1169">
        <v>0</v>
      </c>
      <c r="O143" s="1169">
        <v>0</v>
      </c>
      <c r="P143" s="1169">
        <v>0</v>
      </c>
      <c r="Q143" s="1169">
        <v>0</v>
      </c>
      <c r="R143" s="1175">
        <v>30</v>
      </c>
    </row>
    <row r="144" spans="1:18" x14ac:dyDescent="0.25">
      <c r="A144" s="1164" t="s">
        <v>2811</v>
      </c>
      <c r="B144" s="1165" t="s">
        <v>27</v>
      </c>
      <c r="C144" s="1165">
        <v>92919</v>
      </c>
      <c r="D144" s="1164" t="s">
        <v>1864</v>
      </c>
      <c r="E144" s="1165" t="s">
        <v>1880</v>
      </c>
      <c r="F144" s="1169">
        <v>2108</v>
      </c>
      <c r="G144" s="1169">
        <v>1421</v>
      </c>
      <c r="H144" s="1169">
        <v>687</v>
      </c>
      <c r="L144" s="1169">
        <v>1192.5</v>
      </c>
      <c r="M144" s="1169">
        <v>1192.5</v>
      </c>
      <c r="N144" s="1169">
        <v>0</v>
      </c>
      <c r="O144" s="1169">
        <v>0</v>
      </c>
      <c r="P144" s="1169">
        <v>0</v>
      </c>
      <c r="Q144" s="1169">
        <v>0</v>
      </c>
      <c r="R144" s="1175">
        <v>50</v>
      </c>
    </row>
    <row r="145" spans="1:18" x14ac:dyDescent="0.25">
      <c r="A145" s="1164" t="s">
        <v>2812</v>
      </c>
      <c r="B145" s="1165" t="s">
        <v>27</v>
      </c>
      <c r="C145" s="1165">
        <v>92921</v>
      </c>
      <c r="D145" s="1164" t="s">
        <v>1864</v>
      </c>
      <c r="E145" s="1165" t="s">
        <v>1880</v>
      </c>
      <c r="F145" s="1169">
        <v>843.2</v>
      </c>
      <c r="G145" s="1169">
        <v>568.40000000000009</v>
      </c>
      <c r="H145" s="1169">
        <v>274.8</v>
      </c>
      <c r="L145" s="1169">
        <v>477</v>
      </c>
      <c r="M145" s="1169">
        <v>477</v>
      </c>
      <c r="N145" s="1169">
        <v>0</v>
      </c>
      <c r="O145" s="1169">
        <v>0</v>
      </c>
      <c r="P145" s="1169">
        <v>0</v>
      </c>
      <c r="Q145" s="1169">
        <v>0</v>
      </c>
      <c r="R145" s="1175">
        <v>20</v>
      </c>
    </row>
    <row r="146" spans="1:18" x14ac:dyDescent="0.25">
      <c r="A146" s="1164" t="s">
        <v>2816</v>
      </c>
      <c r="B146" s="1165" t="s">
        <v>27</v>
      </c>
      <c r="C146" s="1165">
        <v>94965</v>
      </c>
      <c r="D146" s="1164" t="s">
        <v>1865</v>
      </c>
      <c r="E146" s="1165" t="s">
        <v>28</v>
      </c>
      <c r="F146" s="1169">
        <v>42.160000000000004</v>
      </c>
      <c r="G146" s="1169">
        <v>28.42</v>
      </c>
      <c r="H146" s="1169">
        <v>13.74</v>
      </c>
      <c r="L146" s="1169">
        <v>23.85</v>
      </c>
      <c r="M146" s="1169">
        <v>23.85</v>
      </c>
      <c r="O146" s="1169">
        <v>0</v>
      </c>
    </row>
    <row r="147" spans="1:18" x14ac:dyDescent="0.25">
      <c r="A147" s="1164" t="s">
        <v>2817</v>
      </c>
      <c r="B147" s="1165" t="s">
        <v>27</v>
      </c>
      <c r="C147" s="1165">
        <v>92873</v>
      </c>
      <c r="D147" s="1164" t="s">
        <v>2727</v>
      </c>
      <c r="E147" s="1165" t="s">
        <v>28</v>
      </c>
      <c r="F147" s="1169">
        <v>42.160000000000004</v>
      </c>
      <c r="G147" s="1169">
        <v>28.42</v>
      </c>
      <c r="H147" s="1169">
        <v>13.74</v>
      </c>
      <c r="L147" s="1169">
        <v>23.85</v>
      </c>
      <c r="M147" s="1169">
        <v>23.85</v>
      </c>
      <c r="N147" s="1169">
        <v>0</v>
      </c>
      <c r="O147" s="1169">
        <v>0</v>
      </c>
      <c r="P147" s="1169">
        <v>0</v>
      </c>
      <c r="Q147" s="1169">
        <v>0</v>
      </c>
    </row>
    <row r="148" spans="1:18" x14ac:dyDescent="0.25">
      <c r="A148" s="1164" t="s">
        <v>2813</v>
      </c>
      <c r="B148" s="1165" t="s">
        <v>138</v>
      </c>
      <c r="C148" s="1165" t="s">
        <v>2824</v>
      </c>
      <c r="D148" s="1164" t="s">
        <v>2823</v>
      </c>
      <c r="E148" s="1165" t="s">
        <v>26</v>
      </c>
      <c r="F148" s="1169">
        <v>8</v>
      </c>
      <c r="G148" s="1169">
        <v>4</v>
      </c>
      <c r="H148" s="1169">
        <v>4</v>
      </c>
      <c r="L148" s="1169">
        <v>4</v>
      </c>
      <c r="M148" s="1169">
        <v>4</v>
      </c>
      <c r="O148" s="1169">
        <v>0</v>
      </c>
    </row>
    <row r="149" spans="1:18" x14ac:dyDescent="0.25">
      <c r="A149" s="1164" t="s">
        <v>2814</v>
      </c>
      <c r="B149" s="1165" t="s">
        <v>138</v>
      </c>
      <c r="C149" s="1165" t="s">
        <v>2346</v>
      </c>
      <c r="D149" s="1164" t="s">
        <v>2712</v>
      </c>
      <c r="E149" s="1165" t="s">
        <v>26</v>
      </c>
      <c r="F149" s="1169">
        <v>34.5</v>
      </c>
      <c r="G149" s="1169">
        <v>12</v>
      </c>
      <c r="H149" s="1169">
        <v>22.5</v>
      </c>
      <c r="L149" s="1169">
        <v>10.5</v>
      </c>
      <c r="M149" s="1169">
        <v>10.5</v>
      </c>
      <c r="O149" s="1169">
        <v>0</v>
      </c>
    </row>
    <row r="150" spans="1:18" x14ac:dyDescent="0.25">
      <c r="A150" s="1164" t="s">
        <v>2815</v>
      </c>
      <c r="B150" s="1165" t="s">
        <v>27</v>
      </c>
      <c r="C150" s="1165">
        <v>101463</v>
      </c>
      <c r="D150" s="1164" t="s">
        <v>2713</v>
      </c>
      <c r="E150" s="1165" t="s">
        <v>23</v>
      </c>
      <c r="F150" s="1169">
        <v>17.841999999999999</v>
      </c>
      <c r="G150" s="1169">
        <v>6.5059999999999993</v>
      </c>
      <c r="H150" s="1169">
        <v>11.336</v>
      </c>
      <c r="L150" s="1169">
        <v>5.8159999999999998</v>
      </c>
      <c r="M150" s="1169">
        <v>5.8159999999999998</v>
      </c>
      <c r="N150" s="1169">
        <v>0</v>
      </c>
      <c r="O150" s="1169">
        <v>0</v>
      </c>
      <c r="P150" s="1169">
        <v>0</v>
      </c>
      <c r="Q150" s="1169">
        <v>0</v>
      </c>
    </row>
    <row r="151" spans="1:18" x14ac:dyDescent="0.25">
      <c r="A151" s="1164" t="s">
        <v>2820</v>
      </c>
      <c r="B151" s="1165" t="s">
        <v>27</v>
      </c>
      <c r="C151" s="1165">
        <v>100952</v>
      </c>
      <c r="D151" s="1164" t="s">
        <v>2714</v>
      </c>
      <c r="E151" s="1165" t="s">
        <v>25</v>
      </c>
      <c r="F151" s="1174">
        <v>0</v>
      </c>
      <c r="G151" s="1174"/>
      <c r="H151" s="1174"/>
      <c r="I151" s="1174"/>
      <c r="J151" s="1174"/>
      <c r="K151" s="1174"/>
      <c r="L151" s="1174">
        <v>0</v>
      </c>
      <c r="M151" s="1174"/>
      <c r="N151" s="1174"/>
      <c r="O151" s="1174">
        <v>0</v>
      </c>
      <c r="P151" s="1174"/>
      <c r="Q151" s="1174"/>
      <c r="R151" s="1164" t="s">
        <v>2931</v>
      </c>
    </row>
    <row r="152" spans="1:18" x14ac:dyDescent="0.25">
      <c r="A152" s="1164" t="s">
        <v>2821</v>
      </c>
      <c r="B152" s="1165" t="s">
        <v>27</v>
      </c>
      <c r="C152" s="1165">
        <v>100953</v>
      </c>
      <c r="D152" s="1164" t="s">
        <v>2715</v>
      </c>
      <c r="E152" s="1165" t="s">
        <v>25</v>
      </c>
      <c r="F152" s="1174">
        <v>0</v>
      </c>
      <c r="G152" s="1174"/>
      <c r="H152" s="1174"/>
      <c r="I152" s="1174"/>
      <c r="J152" s="1174"/>
      <c r="K152" s="1174"/>
      <c r="L152" s="1174">
        <v>0</v>
      </c>
      <c r="M152" s="1174"/>
      <c r="N152" s="1174"/>
      <c r="O152" s="1174">
        <v>0</v>
      </c>
      <c r="P152" s="1174"/>
      <c r="Q152" s="1174"/>
      <c r="R152" s="1164" t="s">
        <v>2931</v>
      </c>
    </row>
    <row r="153" spans="1:18" x14ac:dyDescent="0.25">
      <c r="A153" s="1164" t="s">
        <v>2822</v>
      </c>
      <c r="B153" s="1165" t="s">
        <v>27</v>
      </c>
      <c r="C153" s="1165">
        <v>100954</v>
      </c>
      <c r="D153" s="1164" t="s">
        <v>2716</v>
      </c>
      <c r="E153" s="1165" t="s">
        <v>25</v>
      </c>
      <c r="F153" s="1174">
        <v>0</v>
      </c>
      <c r="G153" s="1174"/>
      <c r="H153" s="1174"/>
      <c r="I153" s="1174"/>
      <c r="J153" s="1174"/>
      <c r="K153" s="1174"/>
      <c r="L153" s="1174">
        <v>0</v>
      </c>
      <c r="M153" s="1174"/>
      <c r="N153" s="1174"/>
      <c r="O153" s="1174">
        <v>0</v>
      </c>
      <c r="P153" s="1174"/>
      <c r="Q153" s="1174"/>
      <c r="R153" s="1164" t="s">
        <v>2931</v>
      </c>
    </row>
    <row r="154" spans="1:18" x14ac:dyDescent="0.25">
      <c r="A154" s="1164" t="s">
        <v>3004</v>
      </c>
      <c r="B154" s="1165" t="s">
        <v>27</v>
      </c>
      <c r="C154" s="1165">
        <v>92808</v>
      </c>
      <c r="D154" s="1164" t="s">
        <v>3006</v>
      </c>
      <c r="E154" s="1165" t="s">
        <v>26</v>
      </c>
      <c r="F154" s="1176">
        <v>8</v>
      </c>
      <c r="G154" s="1176">
        <v>4</v>
      </c>
      <c r="H154" s="1176">
        <v>4</v>
      </c>
      <c r="I154" s="1176"/>
      <c r="J154" s="1176"/>
      <c r="K154" s="1176"/>
      <c r="L154" s="1176">
        <v>4</v>
      </c>
      <c r="M154" s="1176">
        <v>4</v>
      </c>
      <c r="N154" s="1176">
        <v>0</v>
      </c>
      <c r="O154" s="1176">
        <v>0</v>
      </c>
      <c r="P154" s="1176">
        <v>0</v>
      </c>
      <c r="Q154" s="1176">
        <v>0</v>
      </c>
    </row>
    <row r="155" spans="1:18" x14ac:dyDescent="0.25">
      <c r="A155" s="1164" t="s">
        <v>3005</v>
      </c>
      <c r="B155" s="1165" t="s">
        <v>27</v>
      </c>
      <c r="C155" s="1165">
        <v>92811</v>
      </c>
      <c r="D155" s="1164" t="s">
        <v>3002</v>
      </c>
      <c r="E155" s="1165" t="s">
        <v>26</v>
      </c>
      <c r="F155" s="1176">
        <v>34.5</v>
      </c>
      <c r="G155" s="1176">
        <v>12</v>
      </c>
      <c r="H155" s="1176">
        <v>22.5</v>
      </c>
      <c r="I155" s="1176"/>
      <c r="J155" s="1176"/>
      <c r="K155" s="1176"/>
      <c r="L155" s="1176">
        <v>10.5</v>
      </c>
      <c r="M155" s="1176">
        <v>10.5</v>
      </c>
      <c r="N155" s="1176">
        <v>0</v>
      </c>
      <c r="O155" s="1176">
        <v>0</v>
      </c>
      <c r="P155" s="1176">
        <v>0</v>
      </c>
      <c r="Q155" s="1176">
        <v>0</v>
      </c>
    </row>
    <row r="156" spans="1:18" s="1182" customFormat="1" x14ac:dyDescent="0.25">
      <c r="A156" s="1182" t="s">
        <v>3087</v>
      </c>
      <c r="B156" s="1183" t="s">
        <v>138</v>
      </c>
      <c r="C156" s="1183" t="s">
        <v>1183</v>
      </c>
      <c r="D156" s="1182" t="s">
        <v>3088</v>
      </c>
      <c r="E156" s="1183" t="s">
        <v>20</v>
      </c>
      <c r="F156" s="1176">
        <v>25.077999999999999</v>
      </c>
      <c r="G156" s="1176">
        <v>16.27</v>
      </c>
      <c r="H156" s="1176">
        <v>8.8079999999999998</v>
      </c>
      <c r="I156" s="1176"/>
      <c r="J156" s="1176"/>
      <c r="K156" s="1176"/>
      <c r="L156" s="1176">
        <v>15.528</v>
      </c>
      <c r="M156" s="1176">
        <v>15.528</v>
      </c>
      <c r="N156" s="1176"/>
      <c r="O156" s="1176">
        <v>0</v>
      </c>
      <c r="P156" s="1176"/>
      <c r="Q156" s="1176"/>
    </row>
    <row r="157" spans="1:18" s="1697" customFormat="1" hidden="1" x14ac:dyDescent="0.25">
      <c r="A157" s="1693" t="s">
        <v>2826</v>
      </c>
      <c r="B157" s="1694"/>
      <c r="C157" s="1694"/>
      <c r="D157" s="1693" t="s">
        <v>3104</v>
      </c>
      <c r="E157" s="1694"/>
      <c r="F157" s="1695" t="s">
        <v>21</v>
      </c>
      <c r="G157" s="1696"/>
      <c r="H157" s="1696"/>
      <c r="I157" s="1696"/>
      <c r="J157" s="1696"/>
      <c r="K157" s="1696"/>
      <c r="L157" s="1695" t="s">
        <v>21</v>
      </c>
      <c r="M157" s="1696"/>
      <c r="N157" s="1696"/>
      <c r="O157" s="1695" t="s">
        <v>21</v>
      </c>
      <c r="P157" s="1696"/>
      <c r="Q157" s="1696"/>
      <c r="R157" s="1693"/>
    </row>
    <row r="158" spans="1:18" s="1697" customFormat="1" hidden="1" x14ac:dyDescent="0.25">
      <c r="A158" s="1698" t="s">
        <v>2827</v>
      </c>
      <c r="B158" s="1699"/>
      <c r="C158" s="1699"/>
      <c r="D158" s="1698" t="s">
        <v>2846</v>
      </c>
      <c r="E158" s="1699"/>
      <c r="F158" s="1700" t="s">
        <v>21</v>
      </c>
      <c r="G158" s="1700"/>
      <c r="H158" s="1700"/>
      <c r="I158" s="1700"/>
      <c r="J158" s="1700"/>
      <c r="K158" s="1700"/>
      <c r="L158" s="1700" t="s">
        <v>21</v>
      </c>
      <c r="M158" s="1700"/>
      <c r="N158" s="1700"/>
      <c r="O158" s="1700" t="s">
        <v>21</v>
      </c>
      <c r="P158" s="1700"/>
      <c r="Q158" s="1700"/>
      <c r="R158" s="1698"/>
    </row>
    <row r="159" spans="1:18" s="1701" customFormat="1" hidden="1" x14ac:dyDescent="0.25">
      <c r="A159" s="1701" t="s">
        <v>2842</v>
      </c>
      <c r="B159" s="1702" t="s">
        <v>27</v>
      </c>
      <c r="C159" s="1702">
        <v>98524</v>
      </c>
      <c r="D159" s="1701" t="s">
        <v>2845</v>
      </c>
      <c r="E159" s="1702" t="s">
        <v>20</v>
      </c>
      <c r="F159" s="1703">
        <v>278.24</v>
      </c>
      <c r="G159" s="1703">
        <v>58.51</v>
      </c>
      <c r="H159" s="1703">
        <v>219.73</v>
      </c>
      <c r="I159" s="1703"/>
      <c r="J159" s="1703"/>
      <c r="K159" s="1703"/>
      <c r="L159" s="1703">
        <v>0</v>
      </c>
      <c r="M159" s="1703"/>
      <c r="N159" s="1703"/>
      <c r="O159" s="1703">
        <v>0</v>
      </c>
      <c r="P159" s="1703"/>
      <c r="Q159" s="1704"/>
    </row>
    <row r="160" spans="1:18" s="1701" customFormat="1" hidden="1" x14ac:dyDescent="0.25">
      <c r="A160" s="1701" t="s">
        <v>2843</v>
      </c>
      <c r="B160" s="1702" t="s">
        <v>27</v>
      </c>
      <c r="C160" s="1702">
        <v>101616</v>
      </c>
      <c r="D160" s="1701" t="s">
        <v>1862</v>
      </c>
      <c r="E160" s="1702" t="s">
        <v>20</v>
      </c>
      <c r="F160" s="1703">
        <v>278.24</v>
      </c>
      <c r="G160" s="1703">
        <v>58.51</v>
      </c>
      <c r="H160" s="1703">
        <v>219.73</v>
      </c>
      <c r="I160" s="1703"/>
      <c r="J160" s="1703"/>
      <c r="K160" s="1703"/>
      <c r="L160" s="1703">
        <v>0</v>
      </c>
      <c r="M160" s="1703">
        <v>0</v>
      </c>
      <c r="N160" s="1703">
        <v>0</v>
      </c>
      <c r="O160" s="1703">
        <v>0</v>
      </c>
      <c r="P160" s="1703">
        <v>0</v>
      </c>
      <c r="Q160" s="1703">
        <v>0</v>
      </c>
    </row>
    <row r="161" spans="1:18" s="1697" customFormat="1" hidden="1" x14ac:dyDescent="0.25">
      <c r="A161" s="1698" t="s">
        <v>2828</v>
      </c>
      <c r="B161" s="1699"/>
      <c r="C161" s="1699"/>
      <c r="D161" s="1698" t="s">
        <v>2725</v>
      </c>
      <c r="E161" s="1699"/>
      <c r="F161" s="1700" t="s">
        <v>21</v>
      </c>
      <c r="G161" s="1700"/>
      <c r="H161" s="1700"/>
      <c r="I161" s="1700"/>
      <c r="J161" s="1700"/>
      <c r="K161" s="1700"/>
      <c r="L161" s="1700" t="s">
        <v>21</v>
      </c>
      <c r="M161" s="1700"/>
      <c r="N161" s="1700"/>
      <c r="O161" s="1700" t="s">
        <v>21</v>
      </c>
      <c r="P161" s="1700"/>
      <c r="Q161" s="1700"/>
      <c r="R161" s="1698"/>
    </row>
    <row r="162" spans="1:18" s="1701" customFormat="1" hidden="1" x14ac:dyDescent="0.25">
      <c r="A162" s="1701" t="s">
        <v>2829</v>
      </c>
      <c r="B162" s="1702" t="s">
        <v>27</v>
      </c>
      <c r="C162" s="1702">
        <v>93358</v>
      </c>
      <c r="D162" s="1701" t="s">
        <v>925</v>
      </c>
      <c r="E162" s="1702" t="s">
        <v>28</v>
      </c>
      <c r="F162" s="1703">
        <v>0</v>
      </c>
      <c r="G162" s="1704"/>
      <c r="H162" s="1704"/>
      <c r="I162" s="1703"/>
      <c r="J162" s="1703"/>
      <c r="K162" s="1703"/>
      <c r="L162" s="1703">
        <v>0</v>
      </c>
      <c r="M162" s="1703"/>
      <c r="N162" s="1703"/>
      <c r="O162" s="1703">
        <v>0</v>
      </c>
      <c r="P162" s="1703"/>
      <c r="Q162" s="1703"/>
    </row>
    <row r="163" spans="1:18" s="1701" customFormat="1" hidden="1" x14ac:dyDescent="0.25">
      <c r="A163" s="1701" t="s">
        <v>2830</v>
      </c>
      <c r="B163" s="1702" t="s">
        <v>27</v>
      </c>
      <c r="C163" s="1702">
        <v>101616</v>
      </c>
      <c r="D163" s="1701" t="s">
        <v>1862</v>
      </c>
      <c r="E163" s="1702" t="s">
        <v>20</v>
      </c>
      <c r="F163" s="1703">
        <v>0</v>
      </c>
      <c r="G163" s="1704"/>
      <c r="H163" s="1704"/>
      <c r="I163" s="1703"/>
      <c r="J163" s="1703"/>
      <c r="K163" s="1703"/>
      <c r="L163" s="1703">
        <v>0</v>
      </c>
      <c r="M163" s="1703"/>
      <c r="N163" s="1703"/>
      <c r="O163" s="1703">
        <v>0</v>
      </c>
      <c r="P163" s="1703"/>
      <c r="Q163" s="1703"/>
    </row>
    <row r="164" spans="1:18" s="1701" customFormat="1" hidden="1" x14ac:dyDescent="0.25">
      <c r="A164" s="1701" t="s">
        <v>2831</v>
      </c>
      <c r="B164" s="1702" t="s">
        <v>27</v>
      </c>
      <c r="C164" s="1702">
        <v>95601</v>
      </c>
      <c r="D164" s="1701" t="s">
        <v>2723</v>
      </c>
      <c r="E164" s="1702" t="s">
        <v>39</v>
      </c>
      <c r="F164" s="1703">
        <v>0</v>
      </c>
      <c r="G164" s="1704"/>
      <c r="H164" s="1704"/>
      <c r="I164" s="1703"/>
      <c r="J164" s="1703"/>
      <c r="K164" s="1703"/>
      <c r="L164" s="1703">
        <v>0</v>
      </c>
      <c r="M164" s="1703"/>
      <c r="N164" s="1703"/>
      <c r="O164" s="1703">
        <v>0</v>
      </c>
      <c r="P164" s="1703"/>
      <c r="Q164" s="1703"/>
    </row>
    <row r="165" spans="1:18" s="1701" customFormat="1" hidden="1" x14ac:dyDescent="0.25">
      <c r="A165" s="1701" t="s">
        <v>2832</v>
      </c>
      <c r="B165" s="1702" t="s">
        <v>27</v>
      </c>
      <c r="C165" s="1702">
        <v>94962</v>
      </c>
      <c r="D165" s="1701" t="s">
        <v>1288</v>
      </c>
      <c r="E165" s="1702" t="s">
        <v>28</v>
      </c>
      <c r="F165" s="1703">
        <v>0</v>
      </c>
      <c r="G165" s="1704"/>
      <c r="H165" s="1704"/>
      <c r="I165" s="1703"/>
      <c r="J165" s="1703"/>
      <c r="K165" s="1703"/>
      <c r="L165" s="1703">
        <v>0</v>
      </c>
      <c r="M165" s="1703"/>
      <c r="N165" s="1703"/>
      <c r="O165" s="1703">
        <v>0</v>
      </c>
      <c r="P165" s="1703"/>
      <c r="Q165" s="1703"/>
    </row>
    <row r="166" spans="1:18" s="1701" customFormat="1" hidden="1" x14ac:dyDescent="0.25">
      <c r="A166" s="1701" t="s">
        <v>2833</v>
      </c>
      <c r="B166" s="1702" t="s">
        <v>27</v>
      </c>
      <c r="C166" s="1702">
        <v>96534</v>
      </c>
      <c r="D166" s="1701" t="s">
        <v>2728</v>
      </c>
      <c r="E166" s="1702" t="s">
        <v>20</v>
      </c>
      <c r="F166" s="1703">
        <v>0</v>
      </c>
      <c r="G166" s="1704"/>
      <c r="H166" s="1704"/>
      <c r="I166" s="1703"/>
      <c r="J166" s="1703"/>
      <c r="K166" s="1703"/>
      <c r="L166" s="1703">
        <v>0</v>
      </c>
      <c r="M166" s="1703"/>
      <c r="N166" s="1703"/>
      <c r="O166" s="1703">
        <v>0</v>
      </c>
      <c r="P166" s="1703"/>
      <c r="Q166" s="1703"/>
    </row>
    <row r="167" spans="1:18" s="1701" customFormat="1" hidden="1" x14ac:dyDescent="0.25">
      <c r="A167" s="1701" t="s">
        <v>2834</v>
      </c>
      <c r="B167" s="1702" t="s">
        <v>27</v>
      </c>
      <c r="C167" s="1702">
        <v>96536</v>
      </c>
      <c r="D167" s="1701" t="s">
        <v>2729</v>
      </c>
      <c r="E167" s="1702" t="s">
        <v>20</v>
      </c>
      <c r="F167" s="1703">
        <v>0</v>
      </c>
      <c r="G167" s="1704"/>
      <c r="H167" s="1704"/>
      <c r="I167" s="1703"/>
      <c r="J167" s="1703"/>
      <c r="K167" s="1703"/>
      <c r="L167" s="1703">
        <v>0</v>
      </c>
      <c r="M167" s="1703"/>
      <c r="N167" s="1703"/>
      <c r="O167" s="1703">
        <v>0</v>
      </c>
      <c r="P167" s="1703"/>
      <c r="Q167" s="1703"/>
    </row>
    <row r="168" spans="1:18" s="1701" customFormat="1" hidden="1" x14ac:dyDescent="0.25">
      <c r="A168" s="1701" t="s">
        <v>2835</v>
      </c>
      <c r="B168" s="1702" t="s">
        <v>27</v>
      </c>
      <c r="C168" s="1702">
        <v>101010</v>
      </c>
      <c r="D168" s="1701" t="s">
        <v>2720</v>
      </c>
      <c r="E168" s="1702" t="s">
        <v>23</v>
      </c>
      <c r="F168" s="1703">
        <v>0</v>
      </c>
      <c r="G168" s="1703">
        <v>0</v>
      </c>
      <c r="H168" s="1703">
        <v>0</v>
      </c>
      <c r="I168" s="1703"/>
      <c r="J168" s="1703"/>
      <c r="K168" s="1703"/>
      <c r="L168" s="1703">
        <v>0</v>
      </c>
      <c r="M168" s="1703">
        <v>0</v>
      </c>
      <c r="N168" s="1703">
        <v>0</v>
      </c>
      <c r="O168" s="1703">
        <v>0</v>
      </c>
      <c r="P168" s="1703">
        <v>0</v>
      </c>
      <c r="Q168" s="1703">
        <v>0</v>
      </c>
    </row>
    <row r="169" spans="1:18" s="1701" customFormat="1" hidden="1" x14ac:dyDescent="0.25">
      <c r="A169" s="1701" t="s">
        <v>2836</v>
      </c>
      <c r="B169" s="1702" t="s">
        <v>27</v>
      </c>
      <c r="C169" s="1702">
        <v>100954</v>
      </c>
      <c r="D169" s="1701" t="s">
        <v>2721</v>
      </c>
      <c r="E169" s="1702" t="s">
        <v>25</v>
      </c>
      <c r="F169" s="1705">
        <v>0</v>
      </c>
      <c r="G169" s="1705"/>
      <c r="H169" s="1705"/>
      <c r="I169" s="1705"/>
      <c r="J169" s="1705"/>
      <c r="K169" s="1705"/>
      <c r="L169" s="1705">
        <v>0</v>
      </c>
      <c r="M169" s="1705"/>
      <c r="N169" s="1705"/>
      <c r="O169" s="1705">
        <v>0</v>
      </c>
      <c r="P169" s="1705"/>
      <c r="Q169" s="1705"/>
      <c r="R169" s="1701" t="s">
        <v>2932</v>
      </c>
    </row>
    <row r="170" spans="1:18" s="1701" customFormat="1" hidden="1" x14ac:dyDescent="0.25">
      <c r="A170" s="1701" t="s">
        <v>2837</v>
      </c>
      <c r="B170" s="1702" t="s">
        <v>27</v>
      </c>
      <c r="C170" s="1702">
        <v>96544</v>
      </c>
      <c r="D170" s="1701" t="s">
        <v>1864</v>
      </c>
      <c r="E170" s="1702" t="s">
        <v>1880</v>
      </c>
      <c r="F170" s="1703">
        <v>0</v>
      </c>
      <c r="G170" s="1703">
        <v>0</v>
      </c>
      <c r="H170" s="1703">
        <v>0</v>
      </c>
      <c r="I170" s="1703"/>
      <c r="J170" s="1703"/>
      <c r="K170" s="1703"/>
      <c r="L170" s="1703">
        <v>0</v>
      </c>
      <c r="M170" s="1703">
        <v>0</v>
      </c>
      <c r="N170" s="1703">
        <v>0</v>
      </c>
      <c r="O170" s="1703">
        <v>0</v>
      </c>
      <c r="P170" s="1703">
        <v>0</v>
      </c>
      <c r="Q170" s="1703">
        <v>0</v>
      </c>
      <c r="R170" s="1706">
        <v>20</v>
      </c>
    </row>
    <row r="171" spans="1:18" s="1701" customFormat="1" hidden="1" x14ac:dyDescent="0.25">
      <c r="A171" s="1701" t="s">
        <v>2838</v>
      </c>
      <c r="B171" s="1702" t="s">
        <v>27</v>
      </c>
      <c r="C171" s="1702">
        <v>96545</v>
      </c>
      <c r="D171" s="1701" t="s">
        <v>1864</v>
      </c>
      <c r="E171" s="1702" t="s">
        <v>1880</v>
      </c>
      <c r="F171" s="1703">
        <v>0</v>
      </c>
      <c r="G171" s="1703">
        <v>0</v>
      </c>
      <c r="H171" s="1703">
        <v>0</v>
      </c>
      <c r="I171" s="1703"/>
      <c r="J171" s="1703"/>
      <c r="K171" s="1703"/>
      <c r="L171" s="1703">
        <v>0</v>
      </c>
      <c r="M171" s="1703">
        <v>0</v>
      </c>
      <c r="N171" s="1703">
        <v>0</v>
      </c>
      <c r="O171" s="1703">
        <v>0</v>
      </c>
      <c r="P171" s="1703">
        <v>0</v>
      </c>
      <c r="Q171" s="1703">
        <v>0</v>
      </c>
      <c r="R171" s="1706">
        <v>30</v>
      </c>
    </row>
    <row r="172" spans="1:18" s="1701" customFormat="1" hidden="1" x14ac:dyDescent="0.25">
      <c r="A172" s="1701" t="s">
        <v>2839</v>
      </c>
      <c r="B172" s="1702" t="s">
        <v>27</v>
      </c>
      <c r="C172" s="1702">
        <v>96546</v>
      </c>
      <c r="D172" s="1701" t="s">
        <v>1864</v>
      </c>
      <c r="E172" s="1702" t="s">
        <v>1880</v>
      </c>
      <c r="F172" s="1703">
        <v>0</v>
      </c>
      <c r="G172" s="1703">
        <v>0</v>
      </c>
      <c r="H172" s="1703">
        <v>0</v>
      </c>
      <c r="I172" s="1703"/>
      <c r="J172" s="1703"/>
      <c r="K172" s="1703"/>
      <c r="L172" s="1703">
        <v>0</v>
      </c>
      <c r="M172" s="1703">
        <v>0</v>
      </c>
      <c r="N172" s="1703">
        <v>0</v>
      </c>
      <c r="O172" s="1703">
        <v>0</v>
      </c>
      <c r="P172" s="1703">
        <v>0</v>
      </c>
      <c r="Q172" s="1703">
        <v>0</v>
      </c>
      <c r="R172" s="1706">
        <v>50</v>
      </c>
    </row>
    <row r="173" spans="1:18" s="1701" customFormat="1" hidden="1" x14ac:dyDescent="0.25">
      <c r="A173" s="1701" t="s">
        <v>2840</v>
      </c>
      <c r="B173" s="1702" t="s">
        <v>27</v>
      </c>
      <c r="C173" s="1702">
        <v>96547</v>
      </c>
      <c r="D173" s="1701" t="s">
        <v>1864</v>
      </c>
      <c r="E173" s="1702" t="s">
        <v>1880</v>
      </c>
      <c r="F173" s="1703">
        <v>0</v>
      </c>
      <c r="G173" s="1703">
        <v>0</v>
      </c>
      <c r="H173" s="1703">
        <v>0</v>
      </c>
      <c r="I173" s="1703"/>
      <c r="J173" s="1703"/>
      <c r="K173" s="1703"/>
      <c r="L173" s="1703">
        <v>0</v>
      </c>
      <c r="M173" s="1703">
        <v>0</v>
      </c>
      <c r="N173" s="1703">
        <v>0</v>
      </c>
      <c r="O173" s="1703">
        <v>0</v>
      </c>
      <c r="P173" s="1703">
        <v>0</v>
      </c>
      <c r="Q173" s="1703">
        <v>0</v>
      </c>
      <c r="R173" s="1706">
        <v>20</v>
      </c>
    </row>
    <row r="174" spans="1:18" s="1701" customFormat="1" hidden="1" x14ac:dyDescent="0.25">
      <c r="A174" s="1701" t="s">
        <v>2841</v>
      </c>
      <c r="B174" s="1702" t="s">
        <v>27</v>
      </c>
      <c r="C174" s="1702">
        <v>94965</v>
      </c>
      <c r="D174" s="1701" t="s">
        <v>1865</v>
      </c>
      <c r="E174" s="1702" t="s">
        <v>28</v>
      </c>
      <c r="F174" s="1703">
        <v>0</v>
      </c>
      <c r="G174" s="1704"/>
      <c r="H174" s="1704"/>
      <c r="I174" s="1703"/>
      <c r="J174" s="1703"/>
      <c r="K174" s="1703"/>
      <c r="L174" s="1703">
        <v>0</v>
      </c>
      <c r="M174" s="1703"/>
      <c r="N174" s="1703"/>
      <c r="O174" s="1703">
        <v>0</v>
      </c>
      <c r="P174" s="1703"/>
      <c r="Q174" s="1703"/>
    </row>
    <row r="175" spans="1:18" s="1701" customFormat="1" hidden="1" x14ac:dyDescent="0.25">
      <c r="A175" s="1701" t="s">
        <v>2944</v>
      </c>
      <c r="B175" s="1702" t="s">
        <v>27</v>
      </c>
      <c r="C175" s="1702">
        <v>92873</v>
      </c>
      <c r="D175" s="1701" t="s">
        <v>2727</v>
      </c>
      <c r="E175" s="1702" t="s">
        <v>28</v>
      </c>
      <c r="F175" s="1703">
        <v>0</v>
      </c>
      <c r="G175" s="1703">
        <v>0</v>
      </c>
      <c r="H175" s="1703">
        <v>0</v>
      </c>
      <c r="I175" s="1703"/>
      <c r="J175" s="1703"/>
      <c r="K175" s="1703"/>
      <c r="L175" s="1703">
        <v>0</v>
      </c>
      <c r="M175" s="1703">
        <v>0</v>
      </c>
      <c r="N175" s="1703">
        <v>0</v>
      </c>
      <c r="O175" s="1703">
        <v>0</v>
      </c>
      <c r="P175" s="1703">
        <v>0</v>
      </c>
      <c r="Q175" s="1703">
        <v>0</v>
      </c>
    </row>
    <row r="176" spans="1:18" s="1701" customFormat="1" hidden="1" x14ac:dyDescent="0.25">
      <c r="A176" s="1701" t="s">
        <v>2945</v>
      </c>
      <c r="B176" s="1702" t="s">
        <v>27</v>
      </c>
      <c r="C176" s="1702">
        <v>93382</v>
      </c>
      <c r="D176" s="1701" t="s">
        <v>2724</v>
      </c>
      <c r="E176" s="1702" t="s">
        <v>28</v>
      </c>
      <c r="F176" s="1703">
        <v>0</v>
      </c>
      <c r="G176" s="1703">
        <v>0</v>
      </c>
      <c r="H176" s="1703">
        <v>0</v>
      </c>
      <c r="I176" s="1703"/>
      <c r="J176" s="1703"/>
      <c r="K176" s="1703"/>
      <c r="L176" s="1703">
        <v>0</v>
      </c>
      <c r="M176" s="1703">
        <v>0</v>
      </c>
      <c r="N176" s="1703">
        <v>0</v>
      </c>
      <c r="O176" s="1703">
        <v>0</v>
      </c>
      <c r="P176" s="1703">
        <v>0</v>
      </c>
      <c r="Q176" s="1703">
        <v>0</v>
      </c>
    </row>
    <row r="177" spans="1:18" s="1697" customFormat="1" hidden="1" x14ac:dyDescent="0.25">
      <c r="A177" s="1698" t="s">
        <v>2847</v>
      </c>
      <c r="B177" s="1699"/>
      <c r="C177" s="1699"/>
      <c r="D177" s="1698" t="s">
        <v>2844</v>
      </c>
      <c r="E177" s="1699"/>
      <c r="F177" s="1700" t="s">
        <v>21</v>
      </c>
      <c r="G177" s="1700"/>
      <c r="H177" s="1700"/>
      <c r="I177" s="1700"/>
      <c r="J177" s="1700"/>
      <c r="K177" s="1700"/>
      <c r="L177" s="1700" t="s">
        <v>21</v>
      </c>
      <c r="M177" s="1700"/>
      <c r="N177" s="1700"/>
      <c r="O177" s="1700" t="s">
        <v>21</v>
      </c>
      <c r="P177" s="1700"/>
      <c r="Q177" s="1700"/>
      <c r="R177" s="1698"/>
    </row>
    <row r="178" spans="1:18" s="1701" customFormat="1" hidden="1" x14ac:dyDescent="0.25">
      <c r="A178" s="1701" t="s">
        <v>2848</v>
      </c>
      <c r="B178" s="1702" t="s">
        <v>27</v>
      </c>
      <c r="C178" s="1702">
        <v>94962</v>
      </c>
      <c r="D178" s="1701" t="s">
        <v>1288</v>
      </c>
      <c r="E178" s="1702" t="s">
        <v>28</v>
      </c>
      <c r="F178" s="1703">
        <v>13.71</v>
      </c>
      <c r="G178" s="1703">
        <v>2.58</v>
      </c>
      <c r="H178" s="1703">
        <v>11.13</v>
      </c>
      <c r="I178" s="1703"/>
      <c r="J178" s="1703"/>
      <c r="K178" s="1703"/>
      <c r="L178" s="1703">
        <v>0</v>
      </c>
      <c r="M178" s="1703"/>
      <c r="N178" s="1703"/>
      <c r="O178" s="1703">
        <v>0</v>
      </c>
      <c r="P178" s="1703"/>
      <c r="Q178" s="1703"/>
    </row>
    <row r="179" spans="1:18" s="1701" customFormat="1" hidden="1" x14ac:dyDescent="0.25">
      <c r="A179" s="1701" t="s">
        <v>2849</v>
      </c>
      <c r="B179" s="1702" t="s">
        <v>27</v>
      </c>
      <c r="C179" s="1702">
        <v>100341</v>
      </c>
      <c r="D179" s="1701" t="s">
        <v>1871</v>
      </c>
      <c r="E179" s="1702" t="s">
        <v>20</v>
      </c>
      <c r="F179" s="1703">
        <v>970.97</v>
      </c>
      <c r="G179" s="1703">
        <v>182.69</v>
      </c>
      <c r="H179" s="1703">
        <v>788.28</v>
      </c>
      <c r="I179" s="1703"/>
      <c r="J179" s="1703"/>
      <c r="K179" s="1703"/>
      <c r="L179" s="1703">
        <v>0</v>
      </c>
      <c r="M179" s="1703"/>
      <c r="N179" s="1703"/>
      <c r="O179" s="1703">
        <v>0</v>
      </c>
      <c r="P179" s="1703"/>
      <c r="Q179" s="1703"/>
    </row>
    <row r="180" spans="1:18" s="1701" customFormat="1" hidden="1" x14ac:dyDescent="0.25">
      <c r="A180" s="1701" t="s">
        <v>2850</v>
      </c>
      <c r="B180" s="1702" t="s">
        <v>27</v>
      </c>
      <c r="C180" s="1702">
        <v>101010</v>
      </c>
      <c r="D180" s="1701" t="s">
        <v>2720</v>
      </c>
      <c r="E180" s="1702" t="s">
        <v>23</v>
      </c>
      <c r="F180" s="1703">
        <v>13.258799999999999</v>
      </c>
      <c r="G180" s="1703">
        <v>2.4780000000000002</v>
      </c>
      <c r="H180" s="1703">
        <v>10.780799999999999</v>
      </c>
      <c r="I180" s="1703"/>
      <c r="J180" s="1703"/>
      <c r="K180" s="1703"/>
      <c r="L180" s="1703">
        <v>0</v>
      </c>
      <c r="M180" s="1703">
        <v>0</v>
      </c>
      <c r="N180" s="1703">
        <v>0</v>
      </c>
      <c r="O180" s="1703">
        <v>0</v>
      </c>
      <c r="P180" s="1703">
        <v>0</v>
      </c>
      <c r="Q180" s="1703">
        <v>0</v>
      </c>
    </row>
    <row r="181" spans="1:18" s="1701" customFormat="1" hidden="1" x14ac:dyDescent="0.25">
      <c r="A181" s="1701" t="s">
        <v>2851</v>
      </c>
      <c r="B181" s="1702" t="s">
        <v>27</v>
      </c>
      <c r="C181" s="1702">
        <v>100954</v>
      </c>
      <c r="D181" s="1701" t="s">
        <v>2721</v>
      </c>
      <c r="E181" s="1702" t="s">
        <v>25</v>
      </c>
      <c r="F181" s="1705">
        <v>0</v>
      </c>
      <c r="G181" s="1705"/>
      <c r="H181" s="1705"/>
      <c r="I181" s="1705"/>
      <c r="J181" s="1705"/>
      <c r="K181" s="1705"/>
      <c r="L181" s="1705">
        <v>0</v>
      </c>
      <c r="M181" s="1705"/>
      <c r="N181" s="1705"/>
      <c r="O181" s="1705">
        <v>0</v>
      </c>
      <c r="P181" s="1705"/>
      <c r="Q181" s="1705"/>
      <c r="R181" s="1701" t="s">
        <v>2932</v>
      </c>
    </row>
    <row r="182" spans="1:18" s="1701" customFormat="1" hidden="1" x14ac:dyDescent="0.25">
      <c r="A182" s="1701" t="s">
        <v>2852</v>
      </c>
      <c r="B182" s="1702" t="s">
        <v>27</v>
      </c>
      <c r="C182" s="1702">
        <v>92916</v>
      </c>
      <c r="D182" s="1701" t="s">
        <v>3644</v>
      </c>
      <c r="E182" s="1702" t="s">
        <v>1880</v>
      </c>
      <c r="F182" s="1703">
        <v>2209.8000000000002</v>
      </c>
      <c r="G182" s="1703">
        <v>413</v>
      </c>
      <c r="H182" s="1703">
        <v>1796.8000000000002</v>
      </c>
      <c r="I182" s="1703"/>
      <c r="J182" s="1703"/>
      <c r="K182" s="1703"/>
      <c r="L182" s="1703">
        <v>0</v>
      </c>
      <c r="M182" s="1703">
        <v>0</v>
      </c>
      <c r="N182" s="1703">
        <v>0</v>
      </c>
      <c r="O182" s="1703">
        <v>0</v>
      </c>
      <c r="P182" s="1703">
        <v>0</v>
      </c>
      <c r="Q182" s="1703">
        <v>0</v>
      </c>
      <c r="R182" s="1706">
        <v>20</v>
      </c>
    </row>
    <row r="183" spans="1:18" s="1701" customFormat="1" hidden="1" x14ac:dyDescent="0.25">
      <c r="A183" s="1701" t="s">
        <v>2853</v>
      </c>
      <c r="B183" s="1702" t="s">
        <v>27</v>
      </c>
      <c r="C183" s="1702">
        <v>92917</v>
      </c>
      <c r="D183" s="1701" t="s">
        <v>3645</v>
      </c>
      <c r="E183" s="1702" t="s">
        <v>1880</v>
      </c>
      <c r="F183" s="1703">
        <v>3314.7000000000003</v>
      </c>
      <c r="G183" s="1703">
        <v>619.5</v>
      </c>
      <c r="H183" s="1703">
        <v>2695.2000000000003</v>
      </c>
      <c r="I183" s="1703"/>
      <c r="J183" s="1703"/>
      <c r="K183" s="1703"/>
      <c r="L183" s="1703">
        <v>0</v>
      </c>
      <c r="M183" s="1703">
        <v>0</v>
      </c>
      <c r="N183" s="1703">
        <v>0</v>
      </c>
      <c r="O183" s="1703">
        <v>0</v>
      </c>
      <c r="P183" s="1703">
        <v>0</v>
      </c>
      <c r="Q183" s="1703">
        <v>0</v>
      </c>
      <c r="R183" s="1706">
        <v>30</v>
      </c>
    </row>
    <row r="184" spans="1:18" s="1701" customFormat="1" hidden="1" x14ac:dyDescent="0.25">
      <c r="A184" s="1701" t="s">
        <v>2854</v>
      </c>
      <c r="B184" s="1702" t="s">
        <v>27</v>
      </c>
      <c r="C184" s="1702">
        <v>92919</v>
      </c>
      <c r="D184" s="1701" t="s">
        <v>3646</v>
      </c>
      <c r="E184" s="1702" t="s">
        <v>1880</v>
      </c>
      <c r="F184" s="1703">
        <v>5524.5</v>
      </c>
      <c r="G184" s="1703">
        <v>1032.5</v>
      </c>
      <c r="H184" s="1703">
        <v>4492</v>
      </c>
      <c r="I184" s="1703"/>
      <c r="J184" s="1703"/>
      <c r="K184" s="1703"/>
      <c r="L184" s="1703">
        <v>0</v>
      </c>
      <c r="M184" s="1703">
        <v>0</v>
      </c>
      <c r="N184" s="1703">
        <v>0</v>
      </c>
      <c r="O184" s="1703">
        <v>0</v>
      </c>
      <c r="P184" s="1703">
        <v>0</v>
      </c>
      <c r="Q184" s="1703">
        <v>0</v>
      </c>
      <c r="R184" s="1706">
        <v>50</v>
      </c>
    </row>
    <row r="185" spans="1:18" s="1701" customFormat="1" hidden="1" x14ac:dyDescent="0.25">
      <c r="A185" s="1701" t="s">
        <v>2855</v>
      </c>
      <c r="B185" s="1702" t="s">
        <v>27</v>
      </c>
      <c r="C185" s="1702">
        <v>92921</v>
      </c>
      <c r="D185" s="1701" t="s">
        <v>3647</v>
      </c>
      <c r="E185" s="1702" t="s">
        <v>1880</v>
      </c>
      <c r="F185" s="1703">
        <v>2209.8000000000002</v>
      </c>
      <c r="G185" s="1703">
        <v>413</v>
      </c>
      <c r="H185" s="1703">
        <v>1796.8000000000002</v>
      </c>
      <c r="I185" s="1703"/>
      <c r="J185" s="1703"/>
      <c r="K185" s="1703"/>
      <c r="L185" s="1703">
        <v>0</v>
      </c>
      <c r="M185" s="1703">
        <v>0</v>
      </c>
      <c r="N185" s="1703">
        <v>0</v>
      </c>
      <c r="O185" s="1703">
        <v>0</v>
      </c>
      <c r="P185" s="1703">
        <v>0</v>
      </c>
      <c r="Q185" s="1703">
        <v>0</v>
      </c>
      <c r="R185" s="1706">
        <v>20</v>
      </c>
    </row>
    <row r="186" spans="1:18" s="1701" customFormat="1" hidden="1" x14ac:dyDescent="0.25">
      <c r="A186" s="1701" t="s">
        <v>2856</v>
      </c>
      <c r="B186" s="1702" t="s">
        <v>27</v>
      </c>
      <c r="C186" s="1702">
        <v>94965</v>
      </c>
      <c r="D186" s="1701" t="s">
        <v>1865</v>
      </c>
      <c r="E186" s="1702" t="s">
        <v>28</v>
      </c>
      <c r="F186" s="1703">
        <v>110.49000000000001</v>
      </c>
      <c r="G186" s="1703">
        <v>20.65</v>
      </c>
      <c r="H186" s="1703">
        <v>89.84</v>
      </c>
      <c r="I186" s="1703"/>
      <c r="J186" s="1703"/>
      <c r="K186" s="1703"/>
      <c r="L186" s="1703">
        <v>0</v>
      </c>
      <c r="M186" s="1703"/>
      <c r="N186" s="1703"/>
      <c r="O186" s="1703">
        <v>0</v>
      </c>
      <c r="P186" s="1703"/>
      <c r="Q186" s="1703"/>
    </row>
    <row r="187" spans="1:18" s="1701" customFormat="1" hidden="1" x14ac:dyDescent="0.25">
      <c r="A187" s="1701" t="s">
        <v>2857</v>
      </c>
      <c r="B187" s="1702" t="s">
        <v>27</v>
      </c>
      <c r="C187" s="1702">
        <v>92873</v>
      </c>
      <c r="D187" s="1701" t="s">
        <v>2727</v>
      </c>
      <c r="E187" s="1702" t="s">
        <v>28</v>
      </c>
      <c r="F187" s="1703">
        <v>110.49000000000001</v>
      </c>
      <c r="G187" s="1703">
        <v>20.65</v>
      </c>
      <c r="H187" s="1703">
        <v>89.84</v>
      </c>
      <c r="I187" s="1703"/>
      <c r="J187" s="1703"/>
      <c r="K187" s="1703"/>
      <c r="L187" s="1703">
        <v>0</v>
      </c>
      <c r="M187" s="1703">
        <v>0</v>
      </c>
      <c r="N187" s="1703">
        <v>0</v>
      </c>
      <c r="O187" s="1703">
        <v>0</v>
      </c>
      <c r="P187" s="1703">
        <v>0</v>
      </c>
      <c r="Q187" s="1703">
        <v>0</v>
      </c>
    </row>
    <row r="188" spans="1:18" s="1166" customFormat="1" x14ac:dyDescent="0.25">
      <c r="A188" s="1191" t="s">
        <v>2858</v>
      </c>
      <c r="B188" s="1192"/>
      <c r="C188" s="1192"/>
      <c r="D188" s="1191" t="s">
        <v>3105</v>
      </c>
      <c r="E188" s="1192"/>
      <c r="F188" s="1193" t="s">
        <v>21</v>
      </c>
      <c r="G188" s="1195" t="s">
        <v>3089</v>
      </c>
      <c r="H188" s="1195" t="s">
        <v>3089</v>
      </c>
      <c r="I188" s="1195"/>
      <c r="J188" s="1195"/>
      <c r="K188" s="1195"/>
      <c r="L188" s="1193" t="s">
        <v>21</v>
      </c>
      <c r="M188" s="1195" t="s">
        <v>3090</v>
      </c>
      <c r="N188" s="1195"/>
      <c r="O188" s="1193" t="s">
        <v>21</v>
      </c>
      <c r="P188" s="1195"/>
      <c r="Q188" s="1195"/>
      <c r="R188" s="1191"/>
    </row>
    <row r="189" spans="1:18" s="1166" customFormat="1" x14ac:dyDescent="0.25">
      <c r="A189" s="1196" t="s">
        <v>2859</v>
      </c>
      <c r="B189" s="1197"/>
      <c r="C189" s="1197"/>
      <c r="D189" s="1196" t="s">
        <v>2889</v>
      </c>
      <c r="E189" s="1197"/>
      <c r="F189" s="1198" t="s">
        <v>21</v>
      </c>
      <c r="G189" s="1198"/>
      <c r="H189" s="1198"/>
      <c r="I189" s="1198"/>
      <c r="J189" s="1198"/>
      <c r="K189" s="1198"/>
      <c r="L189" s="1198" t="s">
        <v>21</v>
      </c>
      <c r="M189" s="1198"/>
      <c r="N189" s="1198"/>
      <c r="O189" s="1198" t="s">
        <v>21</v>
      </c>
      <c r="P189" s="1198"/>
      <c r="Q189" s="1198"/>
      <c r="R189" s="1196"/>
    </row>
    <row r="190" spans="1:18" x14ac:dyDescent="0.25">
      <c r="A190" s="1164" t="s">
        <v>2860</v>
      </c>
      <c r="B190" s="1165" t="s">
        <v>27</v>
      </c>
      <c r="C190" s="1165">
        <v>98524</v>
      </c>
      <c r="D190" s="1164" t="s">
        <v>2845</v>
      </c>
      <c r="E190" s="1165" t="s">
        <v>20</v>
      </c>
      <c r="F190" s="1169">
        <v>10</v>
      </c>
      <c r="G190" s="1169">
        <v>10</v>
      </c>
      <c r="L190" s="1169">
        <v>0</v>
      </c>
      <c r="O190" s="1169">
        <v>0</v>
      </c>
    </row>
    <row r="191" spans="1:18" x14ac:dyDescent="0.25">
      <c r="A191" s="1164" t="s">
        <v>2861</v>
      </c>
      <c r="B191" s="1165" t="s">
        <v>27</v>
      </c>
      <c r="C191" s="1165">
        <v>101616</v>
      </c>
      <c r="D191" s="1164" t="s">
        <v>1862</v>
      </c>
      <c r="E191" s="1165" t="s">
        <v>20</v>
      </c>
      <c r="F191" s="1169">
        <v>10</v>
      </c>
      <c r="G191" s="1169">
        <v>10</v>
      </c>
      <c r="H191" s="1169">
        <v>0</v>
      </c>
      <c r="L191" s="1169">
        <v>0</v>
      </c>
      <c r="M191" s="1169">
        <v>0</v>
      </c>
      <c r="N191" s="1169">
        <v>0</v>
      </c>
      <c r="O191" s="1169">
        <v>0</v>
      </c>
      <c r="P191" s="1169">
        <v>0</v>
      </c>
      <c r="Q191" s="1169">
        <v>0</v>
      </c>
    </row>
    <row r="192" spans="1:18" s="1166" customFormat="1" x14ac:dyDescent="0.25">
      <c r="A192" s="1196" t="s">
        <v>2862</v>
      </c>
      <c r="B192" s="1197"/>
      <c r="C192" s="1197"/>
      <c r="D192" s="1196" t="s">
        <v>1858</v>
      </c>
      <c r="E192" s="1197"/>
      <c r="F192" s="1198" t="s">
        <v>21</v>
      </c>
      <c r="G192" s="1198"/>
      <c r="H192" s="1198"/>
      <c r="I192" s="1198"/>
      <c r="J192" s="1198"/>
      <c r="K192" s="1198"/>
      <c r="L192" s="1198" t="s">
        <v>21</v>
      </c>
      <c r="M192" s="1198"/>
      <c r="N192" s="1198"/>
      <c r="O192" s="1198" t="s">
        <v>21</v>
      </c>
      <c r="P192" s="1198"/>
      <c r="Q192" s="1198"/>
      <c r="R192" s="1196"/>
    </row>
    <row r="193" spans="1:18" x14ac:dyDescent="0.25">
      <c r="A193" s="1164" t="s">
        <v>2863</v>
      </c>
      <c r="B193" s="1165" t="s">
        <v>27</v>
      </c>
      <c r="C193" s="1165">
        <v>101010</v>
      </c>
      <c r="D193" s="1164" t="s">
        <v>2720</v>
      </c>
      <c r="E193" s="1165" t="s">
        <v>23</v>
      </c>
      <c r="F193" s="1169">
        <v>0</v>
      </c>
      <c r="G193" s="1169">
        <v>0</v>
      </c>
      <c r="H193" s="1169">
        <v>0</v>
      </c>
      <c r="L193" s="1169">
        <v>0</v>
      </c>
      <c r="M193" s="1169">
        <v>0</v>
      </c>
      <c r="N193" s="1169">
        <v>0</v>
      </c>
      <c r="O193" s="1169">
        <v>0</v>
      </c>
      <c r="P193" s="1169">
        <v>0</v>
      </c>
      <c r="Q193" s="1169">
        <v>0</v>
      </c>
      <c r="R193" s="1164" t="s">
        <v>2926</v>
      </c>
    </row>
    <row r="194" spans="1:18" x14ac:dyDescent="0.25">
      <c r="A194" s="1164" t="s">
        <v>2864</v>
      </c>
      <c r="B194" s="1165" t="s">
        <v>27</v>
      </c>
      <c r="C194" s="1165">
        <v>100954</v>
      </c>
      <c r="D194" s="1164" t="s">
        <v>2721</v>
      </c>
      <c r="E194" s="1165" t="s">
        <v>25</v>
      </c>
      <c r="F194" s="1174">
        <v>0</v>
      </c>
      <c r="G194" s="1174"/>
      <c r="H194" s="1174"/>
      <c r="I194" s="1174"/>
      <c r="J194" s="1174"/>
      <c r="K194" s="1174"/>
      <c r="L194" s="1174">
        <v>0</v>
      </c>
      <c r="M194" s="1174"/>
      <c r="N194" s="1174"/>
      <c r="O194" s="1174">
        <v>0</v>
      </c>
      <c r="P194" s="1174"/>
      <c r="Q194" s="1174"/>
      <c r="R194" s="1164" t="s">
        <v>2932</v>
      </c>
    </row>
    <row r="195" spans="1:18" x14ac:dyDescent="0.25">
      <c r="A195" s="1164" t="s">
        <v>2865</v>
      </c>
      <c r="B195" s="1165" t="s">
        <v>27</v>
      </c>
      <c r="C195" s="1165">
        <v>101176</v>
      </c>
      <c r="D195" s="1164" t="s">
        <v>2726</v>
      </c>
      <c r="E195" s="1165" t="s">
        <v>26</v>
      </c>
      <c r="F195" s="1169">
        <v>0</v>
      </c>
      <c r="G195" s="1173"/>
      <c r="H195" s="1173"/>
      <c r="L195" s="1169">
        <v>0</v>
      </c>
      <c r="M195" s="1173"/>
      <c r="O195" s="1169">
        <v>0</v>
      </c>
    </row>
    <row r="196" spans="1:18" s="1166" customFormat="1" x14ac:dyDescent="0.25">
      <c r="A196" s="1196" t="s">
        <v>2866</v>
      </c>
      <c r="B196" s="1197"/>
      <c r="C196" s="1197"/>
      <c r="D196" s="1196" t="s">
        <v>2725</v>
      </c>
      <c r="E196" s="1197"/>
      <c r="F196" s="1198" t="s">
        <v>21</v>
      </c>
      <c r="G196" s="1198"/>
      <c r="H196" s="1198"/>
      <c r="I196" s="1198"/>
      <c r="J196" s="1198"/>
      <c r="K196" s="1198"/>
      <c r="L196" s="1198" t="s">
        <v>21</v>
      </c>
      <c r="M196" s="1198"/>
      <c r="N196" s="1198"/>
      <c r="O196" s="1198" t="s">
        <v>21</v>
      </c>
      <c r="P196" s="1198"/>
      <c r="Q196" s="1198"/>
      <c r="R196" s="1196"/>
    </row>
    <row r="197" spans="1:18" x14ac:dyDescent="0.25">
      <c r="A197" s="1164" t="s">
        <v>2867</v>
      </c>
      <c r="B197" s="1165" t="s">
        <v>27</v>
      </c>
      <c r="C197" s="1165">
        <v>93358</v>
      </c>
      <c r="D197" s="1164" t="s">
        <v>925</v>
      </c>
      <c r="E197" s="1165" t="s">
        <v>28</v>
      </c>
      <c r="F197" s="1169">
        <v>0</v>
      </c>
      <c r="G197" s="1173"/>
      <c r="H197" s="1173"/>
      <c r="L197" s="1169">
        <v>0</v>
      </c>
      <c r="M197" s="1173"/>
      <c r="O197" s="1169">
        <v>0</v>
      </c>
    </row>
    <row r="198" spans="1:18" x14ac:dyDescent="0.25">
      <c r="A198" s="1164" t="s">
        <v>2868</v>
      </c>
      <c r="B198" s="1165" t="s">
        <v>27</v>
      </c>
      <c r="C198" s="1165">
        <v>101616</v>
      </c>
      <c r="D198" s="1164" t="s">
        <v>1862</v>
      </c>
      <c r="E198" s="1165" t="s">
        <v>20</v>
      </c>
      <c r="F198" s="1169">
        <v>0</v>
      </c>
      <c r="G198" s="1173"/>
      <c r="H198" s="1173"/>
      <c r="L198" s="1169">
        <v>0</v>
      </c>
      <c r="M198" s="1173"/>
      <c r="O198" s="1169">
        <v>0</v>
      </c>
    </row>
    <row r="199" spans="1:18" x14ac:dyDescent="0.25">
      <c r="A199" s="1164" t="s">
        <v>2869</v>
      </c>
      <c r="B199" s="1165" t="s">
        <v>27</v>
      </c>
      <c r="C199" s="1165">
        <v>95601</v>
      </c>
      <c r="D199" s="1164" t="s">
        <v>2723</v>
      </c>
      <c r="E199" s="1165" t="s">
        <v>39</v>
      </c>
      <c r="F199" s="1169">
        <v>0</v>
      </c>
      <c r="G199" s="1173"/>
      <c r="H199" s="1173"/>
      <c r="L199" s="1169">
        <v>0</v>
      </c>
      <c r="M199" s="1173"/>
      <c r="O199" s="1169">
        <v>0</v>
      </c>
    </row>
    <row r="200" spans="1:18" x14ac:dyDescent="0.25">
      <c r="A200" s="1164" t="s">
        <v>2870</v>
      </c>
      <c r="B200" s="1165" t="s">
        <v>27</v>
      </c>
      <c r="C200" s="1165">
        <v>94962</v>
      </c>
      <c r="D200" s="1164" t="s">
        <v>1288</v>
      </c>
      <c r="E200" s="1165" t="s">
        <v>28</v>
      </c>
      <c r="F200" s="1169">
        <v>0</v>
      </c>
      <c r="G200" s="1173"/>
      <c r="H200" s="1173"/>
      <c r="L200" s="1169">
        <v>0</v>
      </c>
      <c r="M200" s="1173"/>
      <c r="O200" s="1169">
        <v>0</v>
      </c>
    </row>
    <row r="201" spans="1:18" x14ac:dyDescent="0.25">
      <c r="A201" s="1164" t="s">
        <v>2871</v>
      </c>
      <c r="B201" s="1165" t="s">
        <v>27</v>
      </c>
      <c r="C201" s="1165">
        <v>96534</v>
      </c>
      <c r="D201" s="1164" t="s">
        <v>2728</v>
      </c>
      <c r="E201" s="1165" t="s">
        <v>20</v>
      </c>
      <c r="F201" s="1169">
        <v>0</v>
      </c>
      <c r="G201" s="1173"/>
      <c r="H201" s="1173"/>
      <c r="L201" s="1169">
        <v>0</v>
      </c>
      <c r="M201" s="1173"/>
      <c r="O201" s="1169">
        <v>0</v>
      </c>
    </row>
    <row r="202" spans="1:18" x14ac:dyDescent="0.25">
      <c r="A202" s="1164" t="s">
        <v>2872</v>
      </c>
      <c r="B202" s="1165" t="s">
        <v>27</v>
      </c>
      <c r="C202" s="1165">
        <v>96536</v>
      </c>
      <c r="D202" s="1164" t="s">
        <v>2729</v>
      </c>
      <c r="E202" s="1165" t="s">
        <v>20</v>
      </c>
      <c r="F202" s="1169">
        <v>0</v>
      </c>
      <c r="G202" s="1173"/>
      <c r="H202" s="1173"/>
      <c r="L202" s="1169">
        <v>0</v>
      </c>
      <c r="M202" s="1173"/>
      <c r="O202" s="1169">
        <v>0</v>
      </c>
    </row>
    <row r="203" spans="1:18" x14ac:dyDescent="0.25">
      <c r="A203" s="1164" t="s">
        <v>2873</v>
      </c>
      <c r="B203" s="1165" t="s">
        <v>27</v>
      </c>
      <c r="C203" s="1165">
        <v>101010</v>
      </c>
      <c r="D203" s="1164" t="s">
        <v>2720</v>
      </c>
      <c r="E203" s="1165" t="s">
        <v>23</v>
      </c>
      <c r="F203" s="1169">
        <v>0</v>
      </c>
      <c r="G203" s="1169">
        <v>0</v>
      </c>
      <c r="H203" s="1169">
        <v>0</v>
      </c>
      <c r="L203" s="1169">
        <v>0</v>
      </c>
      <c r="M203" s="1169">
        <v>0</v>
      </c>
      <c r="N203" s="1169">
        <v>0</v>
      </c>
      <c r="O203" s="1169">
        <v>0</v>
      </c>
      <c r="P203" s="1169">
        <v>0</v>
      </c>
      <c r="Q203" s="1169">
        <v>0</v>
      </c>
    </row>
    <row r="204" spans="1:18" x14ac:dyDescent="0.25">
      <c r="A204" s="1164" t="s">
        <v>2874</v>
      </c>
      <c r="B204" s="1165" t="s">
        <v>27</v>
      </c>
      <c r="C204" s="1165">
        <v>100954</v>
      </c>
      <c r="D204" s="1164" t="s">
        <v>2721</v>
      </c>
      <c r="E204" s="1165" t="s">
        <v>25</v>
      </c>
      <c r="F204" s="1174">
        <v>0</v>
      </c>
      <c r="G204" s="1174"/>
      <c r="H204" s="1174"/>
      <c r="I204" s="1174"/>
      <c r="J204" s="1174"/>
      <c r="K204" s="1174"/>
      <c r="L204" s="1174">
        <v>0</v>
      </c>
      <c r="M204" s="1174"/>
      <c r="N204" s="1174"/>
      <c r="O204" s="1174">
        <v>0</v>
      </c>
      <c r="P204" s="1174"/>
      <c r="Q204" s="1174"/>
      <c r="R204" s="1164" t="s">
        <v>2932</v>
      </c>
    </row>
    <row r="205" spans="1:18" x14ac:dyDescent="0.25">
      <c r="A205" s="1164" t="s">
        <v>2875</v>
      </c>
      <c r="B205" s="1165" t="s">
        <v>27</v>
      </c>
      <c r="C205" s="1165">
        <v>96544</v>
      </c>
      <c r="D205" s="1164" t="s">
        <v>1864</v>
      </c>
      <c r="E205" s="1165" t="s">
        <v>1880</v>
      </c>
      <c r="F205" s="1169">
        <v>0</v>
      </c>
      <c r="G205" s="1169">
        <v>0</v>
      </c>
      <c r="H205" s="1169">
        <v>0</v>
      </c>
      <c r="L205" s="1169">
        <v>0</v>
      </c>
      <c r="M205" s="1169">
        <v>0</v>
      </c>
      <c r="N205" s="1169">
        <v>0</v>
      </c>
      <c r="O205" s="1169">
        <v>0</v>
      </c>
      <c r="P205" s="1169">
        <v>0</v>
      </c>
      <c r="Q205" s="1169">
        <v>0</v>
      </c>
      <c r="R205" s="1175">
        <v>20</v>
      </c>
    </row>
    <row r="206" spans="1:18" x14ac:dyDescent="0.25">
      <c r="A206" s="1164" t="s">
        <v>2876</v>
      </c>
      <c r="B206" s="1165" t="s">
        <v>27</v>
      </c>
      <c r="C206" s="1165">
        <v>96545</v>
      </c>
      <c r="D206" s="1164" t="s">
        <v>1864</v>
      </c>
      <c r="E206" s="1165" t="s">
        <v>1880</v>
      </c>
      <c r="F206" s="1169">
        <v>0</v>
      </c>
      <c r="G206" s="1169">
        <v>0</v>
      </c>
      <c r="H206" s="1169">
        <v>0</v>
      </c>
      <c r="L206" s="1169">
        <v>0</v>
      </c>
      <c r="M206" s="1169">
        <v>0</v>
      </c>
      <c r="N206" s="1169">
        <v>0</v>
      </c>
      <c r="O206" s="1169">
        <v>0</v>
      </c>
      <c r="P206" s="1169">
        <v>0</v>
      </c>
      <c r="Q206" s="1169">
        <v>0</v>
      </c>
      <c r="R206" s="1175">
        <v>30</v>
      </c>
    </row>
    <row r="207" spans="1:18" x14ac:dyDescent="0.25">
      <c r="A207" s="1164" t="s">
        <v>2877</v>
      </c>
      <c r="B207" s="1165" t="s">
        <v>27</v>
      </c>
      <c r="C207" s="1165">
        <v>96546</v>
      </c>
      <c r="D207" s="1164" t="s">
        <v>1864</v>
      </c>
      <c r="E207" s="1165" t="s">
        <v>1880</v>
      </c>
      <c r="F207" s="1169">
        <v>0</v>
      </c>
      <c r="G207" s="1169">
        <v>0</v>
      </c>
      <c r="H207" s="1169">
        <v>0</v>
      </c>
      <c r="L207" s="1169">
        <v>0</v>
      </c>
      <c r="M207" s="1169">
        <v>0</v>
      </c>
      <c r="N207" s="1169">
        <v>0</v>
      </c>
      <c r="O207" s="1169">
        <v>0</v>
      </c>
      <c r="P207" s="1169">
        <v>0</v>
      </c>
      <c r="Q207" s="1169">
        <v>0</v>
      </c>
      <c r="R207" s="1175">
        <v>50</v>
      </c>
    </row>
    <row r="208" spans="1:18" x14ac:dyDescent="0.25">
      <c r="A208" s="1164" t="s">
        <v>2878</v>
      </c>
      <c r="B208" s="1165" t="s">
        <v>27</v>
      </c>
      <c r="C208" s="1165">
        <v>96547</v>
      </c>
      <c r="D208" s="1164" t="s">
        <v>1864</v>
      </c>
      <c r="E208" s="1165" t="s">
        <v>1880</v>
      </c>
      <c r="F208" s="1169">
        <v>0</v>
      </c>
      <c r="G208" s="1169">
        <v>0</v>
      </c>
      <c r="H208" s="1169">
        <v>0</v>
      </c>
      <c r="L208" s="1169">
        <v>0</v>
      </c>
      <c r="M208" s="1169">
        <v>0</v>
      </c>
      <c r="N208" s="1169">
        <v>0</v>
      </c>
      <c r="O208" s="1169">
        <v>0</v>
      </c>
      <c r="P208" s="1169">
        <v>0</v>
      </c>
      <c r="Q208" s="1169">
        <v>0</v>
      </c>
      <c r="R208" s="1175">
        <v>20</v>
      </c>
    </row>
    <row r="209" spans="1:18" x14ac:dyDescent="0.25">
      <c r="A209" s="1164" t="s">
        <v>2879</v>
      </c>
      <c r="B209" s="1165" t="s">
        <v>27</v>
      </c>
      <c r="C209" s="1165">
        <v>94965</v>
      </c>
      <c r="D209" s="1164" t="s">
        <v>1865</v>
      </c>
      <c r="E209" s="1165" t="s">
        <v>28</v>
      </c>
      <c r="F209" s="1169">
        <v>0</v>
      </c>
      <c r="G209" s="1173"/>
      <c r="H209" s="1173"/>
      <c r="L209" s="1169">
        <v>0</v>
      </c>
      <c r="M209" s="1173"/>
      <c r="O209" s="1169">
        <v>0</v>
      </c>
    </row>
    <row r="210" spans="1:18" x14ac:dyDescent="0.25">
      <c r="A210" s="1164" t="s">
        <v>2946</v>
      </c>
      <c r="B210" s="1165" t="s">
        <v>27</v>
      </c>
      <c r="C210" s="1165">
        <v>92873</v>
      </c>
      <c r="D210" s="1164" t="s">
        <v>2727</v>
      </c>
      <c r="E210" s="1165" t="s">
        <v>28</v>
      </c>
      <c r="F210" s="1169">
        <v>0</v>
      </c>
      <c r="G210" s="1169">
        <v>0</v>
      </c>
      <c r="H210" s="1169">
        <v>0</v>
      </c>
      <c r="L210" s="1169">
        <v>0</v>
      </c>
      <c r="M210" s="1169">
        <v>0</v>
      </c>
      <c r="N210" s="1169">
        <v>0</v>
      </c>
      <c r="O210" s="1169">
        <v>0</v>
      </c>
      <c r="P210" s="1169">
        <v>0</v>
      </c>
      <c r="Q210" s="1169">
        <v>0</v>
      </c>
    </row>
    <row r="211" spans="1:18" x14ac:dyDescent="0.25">
      <c r="A211" s="1164" t="s">
        <v>2947</v>
      </c>
      <c r="B211" s="1165" t="s">
        <v>27</v>
      </c>
      <c r="C211" s="1165">
        <v>93382</v>
      </c>
      <c r="D211" s="1164" t="s">
        <v>2724</v>
      </c>
      <c r="E211" s="1165" t="s">
        <v>28</v>
      </c>
      <c r="F211" s="1169">
        <v>0</v>
      </c>
      <c r="G211" s="1169">
        <v>0</v>
      </c>
      <c r="H211" s="1169">
        <v>0</v>
      </c>
      <c r="L211" s="1169">
        <v>0</v>
      </c>
      <c r="M211" s="1169">
        <v>0</v>
      </c>
      <c r="N211" s="1169">
        <v>0</v>
      </c>
      <c r="O211" s="1169">
        <v>0</v>
      </c>
      <c r="P211" s="1169">
        <v>0</v>
      </c>
      <c r="Q211" s="1169">
        <v>0</v>
      </c>
    </row>
    <row r="212" spans="1:18" s="1166" customFormat="1" x14ac:dyDescent="0.25">
      <c r="A212" s="1196" t="s">
        <v>2880</v>
      </c>
      <c r="B212" s="1197"/>
      <c r="C212" s="1197"/>
      <c r="D212" s="1196" t="s">
        <v>3107</v>
      </c>
      <c r="E212" s="1197"/>
      <c r="F212" s="1198" t="s">
        <v>21</v>
      </c>
      <c r="G212" s="1198"/>
      <c r="H212" s="1198"/>
      <c r="I212" s="1198"/>
      <c r="J212" s="1198"/>
      <c r="K212" s="1198"/>
      <c r="L212" s="1198" t="s">
        <v>21</v>
      </c>
      <c r="M212" s="1198"/>
      <c r="N212" s="1198"/>
      <c r="O212" s="1198" t="s">
        <v>21</v>
      </c>
      <c r="P212" s="1198"/>
      <c r="Q212" s="1198"/>
      <c r="R212" s="1196"/>
    </row>
    <row r="213" spans="1:18" x14ac:dyDescent="0.25">
      <c r="A213" s="1164" t="s">
        <v>2881</v>
      </c>
      <c r="B213" s="1165" t="s">
        <v>27</v>
      </c>
      <c r="C213" s="1165">
        <v>95879</v>
      </c>
      <c r="D213" s="1164" t="s">
        <v>2567</v>
      </c>
      <c r="E213" s="1165" t="s">
        <v>25</v>
      </c>
      <c r="F213" s="1174">
        <v>0</v>
      </c>
      <c r="G213" s="1174"/>
      <c r="H213" s="1174"/>
      <c r="I213" s="1174"/>
      <c r="J213" s="1174"/>
      <c r="K213" s="1174"/>
      <c r="L213" s="1174">
        <v>0</v>
      </c>
      <c r="M213" s="1174"/>
      <c r="N213" s="1174"/>
      <c r="O213" s="1174">
        <v>0</v>
      </c>
      <c r="P213" s="1174"/>
      <c r="Q213" s="1174"/>
      <c r="R213" s="1164" t="s">
        <v>2932</v>
      </c>
    </row>
    <row r="214" spans="1:18" x14ac:dyDescent="0.25">
      <c r="A214" s="1164" t="s">
        <v>2882</v>
      </c>
      <c r="B214" s="1165" t="s">
        <v>27</v>
      </c>
      <c r="C214" s="1165">
        <v>93599</v>
      </c>
      <c r="D214" s="1164" t="s">
        <v>2886</v>
      </c>
      <c r="E214" s="1165" t="s">
        <v>25</v>
      </c>
      <c r="F214" s="1174">
        <v>0</v>
      </c>
      <c r="G214" s="1174"/>
      <c r="H214" s="1174"/>
      <c r="I214" s="1174"/>
      <c r="J214" s="1174"/>
      <c r="K214" s="1174"/>
      <c r="L214" s="1174">
        <v>0</v>
      </c>
      <c r="M214" s="1174"/>
      <c r="N214" s="1174"/>
      <c r="O214" s="1174">
        <v>0</v>
      </c>
      <c r="P214" s="1174"/>
      <c r="Q214" s="1174"/>
      <c r="R214" s="1164" t="s">
        <v>2932</v>
      </c>
    </row>
    <row r="215" spans="1:18" x14ac:dyDescent="0.25">
      <c r="A215" s="1164" t="s">
        <v>2883</v>
      </c>
      <c r="B215" s="1165" t="s">
        <v>27</v>
      </c>
      <c r="C215" s="1165">
        <v>100943</v>
      </c>
      <c r="D215" s="1164" t="s">
        <v>2887</v>
      </c>
      <c r="E215" s="1165" t="s">
        <v>25</v>
      </c>
      <c r="F215" s="1174">
        <v>0</v>
      </c>
      <c r="G215" s="1174"/>
      <c r="H215" s="1174"/>
      <c r="I215" s="1174"/>
      <c r="J215" s="1174"/>
      <c r="K215" s="1174"/>
      <c r="L215" s="1174">
        <v>0</v>
      </c>
      <c r="M215" s="1174"/>
      <c r="N215" s="1174"/>
      <c r="O215" s="1174">
        <v>0</v>
      </c>
      <c r="P215" s="1174"/>
      <c r="Q215" s="1174"/>
      <c r="R215" s="1164" t="s">
        <v>2932</v>
      </c>
    </row>
    <row r="216" spans="1:18" x14ac:dyDescent="0.25">
      <c r="A216" s="1164" t="s">
        <v>2884</v>
      </c>
      <c r="B216" s="1165" t="s">
        <v>27</v>
      </c>
      <c r="C216" s="1165">
        <v>96624</v>
      </c>
      <c r="D216" s="1164" t="s">
        <v>2888</v>
      </c>
      <c r="E216" s="1165" t="s">
        <v>28</v>
      </c>
      <c r="F216" s="1169">
        <v>1.92</v>
      </c>
      <c r="G216" s="1169">
        <v>0.96</v>
      </c>
      <c r="H216" s="1169">
        <v>0.96</v>
      </c>
      <c r="L216" s="1169">
        <v>0</v>
      </c>
      <c r="M216" s="1169">
        <v>0</v>
      </c>
      <c r="O216" s="1169">
        <v>0</v>
      </c>
    </row>
    <row r="217" spans="1:18" x14ac:dyDescent="0.25">
      <c r="A217" s="1164" t="s">
        <v>2885</v>
      </c>
      <c r="B217" s="1165" t="s">
        <v>27</v>
      </c>
      <c r="C217" s="1165">
        <v>94962</v>
      </c>
      <c r="D217" s="1164" t="s">
        <v>1288</v>
      </c>
      <c r="E217" s="1165" t="s">
        <v>28</v>
      </c>
      <c r="F217" s="1169">
        <v>0.9</v>
      </c>
      <c r="G217" s="1169">
        <v>0.45</v>
      </c>
      <c r="H217" s="1169">
        <v>0.45</v>
      </c>
      <c r="L217" s="1169">
        <v>0</v>
      </c>
      <c r="O217" s="1169">
        <v>0</v>
      </c>
    </row>
    <row r="218" spans="1:18" x14ac:dyDescent="0.25">
      <c r="A218" s="1164" t="s">
        <v>2890</v>
      </c>
      <c r="B218" s="1165" t="s">
        <v>27</v>
      </c>
      <c r="C218" s="1165">
        <v>100341</v>
      </c>
      <c r="D218" s="1164" t="s">
        <v>1871</v>
      </c>
      <c r="E218" s="1165" t="s">
        <v>20</v>
      </c>
      <c r="F218" s="1169">
        <v>166.43</v>
      </c>
      <c r="G218" s="1169">
        <v>91.61</v>
      </c>
      <c r="H218" s="1169">
        <v>74.819999999999993</v>
      </c>
      <c r="L218" s="1169">
        <v>0</v>
      </c>
      <c r="O218" s="1169">
        <v>0</v>
      </c>
    </row>
    <row r="219" spans="1:18" x14ac:dyDescent="0.25">
      <c r="A219" s="1164" t="s">
        <v>2891</v>
      </c>
      <c r="B219" s="1165" t="s">
        <v>27</v>
      </c>
      <c r="C219" s="1165">
        <v>101010</v>
      </c>
      <c r="D219" s="1164" t="s">
        <v>2720</v>
      </c>
      <c r="E219" s="1165" t="s">
        <v>23</v>
      </c>
      <c r="F219" s="1169">
        <v>2.8824000000000001</v>
      </c>
      <c r="G219" s="1169">
        <v>1.5720000000000001</v>
      </c>
      <c r="H219" s="1169">
        <v>1.3104</v>
      </c>
      <c r="L219" s="1169">
        <v>0</v>
      </c>
      <c r="M219" s="1169">
        <v>0</v>
      </c>
      <c r="N219" s="1169">
        <v>0</v>
      </c>
      <c r="O219" s="1169">
        <v>0</v>
      </c>
      <c r="P219" s="1169">
        <v>0</v>
      </c>
      <c r="Q219" s="1169">
        <v>0</v>
      </c>
    </row>
    <row r="220" spans="1:18" x14ac:dyDescent="0.25">
      <c r="A220" s="1164" t="s">
        <v>2892</v>
      </c>
      <c r="B220" s="1165" t="s">
        <v>27</v>
      </c>
      <c r="C220" s="1165">
        <v>100954</v>
      </c>
      <c r="D220" s="1164" t="s">
        <v>2721</v>
      </c>
      <c r="E220" s="1165" t="s">
        <v>25</v>
      </c>
      <c r="F220" s="1174">
        <v>0</v>
      </c>
      <c r="G220" s="1174"/>
      <c r="H220" s="1174"/>
      <c r="I220" s="1174"/>
      <c r="J220" s="1174"/>
      <c r="K220" s="1174"/>
      <c r="L220" s="1174">
        <v>0</v>
      </c>
      <c r="M220" s="1174"/>
      <c r="N220" s="1174"/>
      <c r="O220" s="1174">
        <v>0</v>
      </c>
      <c r="P220" s="1174"/>
      <c r="Q220" s="1174"/>
      <c r="R220" s="1164" t="s">
        <v>2932</v>
      </c>
    </row>
    <row r="221" spans="1:18" x14ac:dyDescent="0.25">
      <c r="A221" s="1164" t="s">
        <v>2893</v>
      </c>
      <c r="B221" s="1165" t="s">
        <v>27</v>
      </c>
      <c r="C221" s="1165">
        <v>92916</v>
      </c>
      <c r="D221" s="1164" t="s">
        <v>1864</v>
      </c>
      <c r="E221" s="1165" t="s">
        <v>1880</v>
      </c>
      <c r="F221" s="1169">
        <v>480.4</v>
      </c>
      <c r="G221" s="1169">
        <v>262</v>
      </c>
      <c r="H221" s="1169">
        <v>218.4</v>
      </c>
      <c r="L221" s="1169">
        <v>0</v>
      </c>
      <c r="M221" s="1169">
        <v>0</v>
      </c>
      <c r="N221" s="1169">
        <v>0</v>
      </c>
      <c r="O221" s="1169">
        <v>0</v>
      </c>
      <c r="P221" s="1169">
        <v>0</v>
      </c>
      <c r="Q221" s="1169">
        <v>0</v>
      </c>
      <c r="R221" s="1175">
        <v>20</v>
      </c>
    </row>
    <row r="222" spans="1:18" x14ac:dyDescent="0.25">
      <c r="A222" s="1164" t="s">
        <v>2894</v>
      </c>
      <c r="B222" s="1165" t="s">
        <v>27</v>
      </c>
      <c r="C222" s="1165">
        <v>92917</v>
      </c>
      <c r="D222" s="1164" t="s">
        <v>1864</v>
      </c>
      <c r="E222" s="1165" t="s">
        <v>1880</v>
      </c>
      <c r="F222" s="1169">
        <v>720.6</v>
      </c>
      <c r="G222" s="1169">
        <v>393</v>
      </c>
      <c r="H222" s="1169">
        <v>327.60000000000002</v>
      </c>
      <c r="L222" s="1169">
        <v>0</v>
      </c>
      <c r="M222" s="1169">
        <v>0</v>
      </c>
      <c r="N222" s="1169">
        <v>0</v>
      </c>
      <c r="O222" s="1169">
        <v>0</v>
      </c>
      <c r="P222" s="1169">
        <v>0</v>
      </c>
      <c r="Q222" s="1169">
        <v>0</v>
      </c>
      <c r="R222" s="1175">
        <v>30</v>
      </c>
    </row>
    <row r="223" spans="1:18" x14ac:dyDescent="0.25">
      <c r="A223" s="1164" t="s">
        <v>2895</v>
      </c>
      <c r="B223" s="1165" t="s">
        <v>27</v>
      </c>
      <c r="C223" s="1165">
        <v>92919</v>
      </c>
      <c r="D223" s="1164" t="s">
        <v>1864</v>
      </c>
      <c r="E223" s="1165" t="s">
        <v>1880</v>
      </c>
      <c r="F223" s="1169">
        <v>1201</v>
      </c>
      <c r="G223" s="1169">
        <v>655</v>
      </c>
      <c r="H223" s="1169">
        <v>546</v>
      </c>
      <c r="L223" s="1169">
        <v>0</v>
      </c>
      <c r="M223" s="1169">
        <v>0</v>
      </c>
      <c r="N223" s="1169">
        <v>0</v>
      </c>
      <c r="O223" s="1169">
        <v>0</v>
      </c>
      <c r="P223" s="1169">
        <v>0</v>
      </c>
      <c r="Q223" s="1169">
        <v>0</v>
      </c>
      <c r="R223" s="1175">
        <v>50</v>
      </c>
    </row>
    <row r="224" spans="1:18" x14ac:dyDescent="0.25">
      <c r="A224" s="1164" t="s">
        <v>2896</v>
      </c>
      <c r="B224" s="1165" t="s">
        <v>27</v>
      </c>
      <c r="C224" s="1165">
        <v>92921</v>
      </c>
      <c r="D224" s="1164" t="s">
        <v>1864</v>
      </c>
      <c r="E224" s="1165" t="s">
        <v>1880</v>
      </c>
      <c r="F224" s="1169">
        <v>480.4</v>
      </c>
      <c r="G224" s="1169">
        <v>262</v>
      </c>
      <c r="H224" s="1169">
        <v>218.4</v>
      </c>
      <c r="L224" s="1169">
        <v>0</v>
      </c>
      <c r="M224" s="1169">
        <v>0</v>
      </c>
      <c r="N224" s="1169">
        <v>0</v>
      </c>
      <c r="O224" s="1169">
        <v>0</v>
      </c>
      <c r="P224" s="1169">
        <v>0</v>
      </c>
      <c r="Q224" s="1169">
        <v>0</v>
      </c>
      <c r="R224" s="1175">
        <v>20</v>
      </c>
    </row>
    <row r="225" spans="1:18" x14ac:dyDescent="0.25">
      <c r="A225" s="1164" t="s">
        <v>2897</v>
      </c>
      <c r="B225" s="1165" t="s">
        <v>27</v>
      </c>
      <c r="C225" s="1165">
        <v>94965</v>
      </c>
      <c r="D225" s="1164" t="s">
        <v>1865</v>
      </c>
      <c r="E225" s="1165" t="s">
        <v>28</v>
      </c>
      <c r="F225" s="1169">
        <v>24.02</v>
      </c>
      <c r="G225" s="1176">
        <v>13.1</v>
      </c>
      <c r="H225" s="1169">
        <v>10.92</v>
      </c>
      <c r="L225" s="1169">
        <v>0</v>
      </c>
      <c r="O225" s="1169">
        <v>0</v>
      </c>
    </row>
    <row r="226" spans="1:18" x14ac:dyDescent="0.25">
      <c r="A226" s="1164" t="s">
        <v>2948</v>
      </c>
      <c r="B226" s="1165" t="s">
        <v>27</v>
      </c>
      <c r="C226" s="1165">
        <v>92873</v>
      </c>
      <c r="D226" s="1164" t="s">
        <v>2727</v>
      </c>
      <c r="E226" s="1165" t="s">
        <v>28</v>
      </c>
      <c r="F226" s="1169">
        <v>24.02</v>
      </c>
      <c r="G226" s="1169">
        <v>13.1</v>
      </c>
      <c r="H226" s="1169">
        <v>10.92</v>
      </c>
      <c r="L226" s="1169">
        <v>0</v>
      </c>
      <c r="M226" s="1169">
        <v>0</v>
      </c>
      <c r="N226" s="1169">
        <v>0</v>
      </c>
      <c r="O226" s="1169">
        <v>0</v>
      </c>
      <c r="P226" s="1169">
        <v>0</v>
      </c>
      <c r="Q226" s="1169">
        <v>0</v>
      </c>
    </row>
    <row r="227" spans="1:18" s="1166" customFormat="1" x14ac:dyDescent="0.25">
      <c r="A227" s="1196" t="s">
        <v>3108</v>
      </c>
      <c r="B227" s="1197"/>
      <c r="C227" s="1197"/>
      <c r="D227" s="1196" t="s">
        <v>3106</v>
      </c>
      <c r="E227" s="1197"/>
      <c r="F227" s="1198" t="s">
        <v>21</v>
      </c>
      <c r="G227" s="1198"/>
      <c r="H227" s="1198"/>
      <c r="I227" s="1198"/>
      <c r="J227" s="1198"/>
      <c r="K227" s="1198"/>
      <c r="L227" s="1198" t="s">
        <v>21</v>
      </c>
      <c r="M227" s="1198"/>
      <c r="N227" s="1198"/>
      <c r="O227" s="1198" t="s">
        <v>21</v>
      </c>
      <c r="P227" s="1198"/>
      <c r="Q227" s="1198"/>
      <c r="R227" s="1196"/>
    </row>
    <row r="228" spans="1:18" x14ac:dyDescent="0.25">
      <c r="A228" s="1164" t="s">
        <v>3109</v>
      </c>
      <c r="B228" s="1165" t="s">
        <v>27</v>
      </c>
      <c r="C228" s="1165">
        <v>95879</v>
      </c>
      <c r="D228" s="1164" t="s">
        <v>2567</v>
      </c>
      <c r="E228" s="1165" t="s">
        <v>25</v>
      </c>
      <c r="F228" s="1174">
        <v>0</v>
      </c>
      <c r="G228" s="1174"/>
      <c r="H228" s="1174"/>
      <c r="I228" s="1174"/>
      <c r="J228" s="1174"/>
      <c r="K228" s="1174"/>
      <c r="L228" s="1174">
        <v>0</v>
      </c>
      <c r="M228" s="1174"/>
      <c r="N228" s="1174"/>
      <c r="O228" s="1174">
        <v>0</v>
      </c>
      <c r="P228" s="1174"/>
      <c r="Q228" s="1174"/>
      <c r="R228" s="1164" t="s">
        <v>2932</v>
      </c>
    </row>
    <row r="229" spans="1:18" x14ac:dyDescent="0.25">
      <c r="A229" s="1164" t="s">
        <v>3110</v>
      </c>
      <c r="B229" s="1165" t="s">
        <v>27</v>
      </c>
      <c r="C229" s="1165">
        <v>93599</v>
      </c>
      <c r="D229" s="1164" t="s">
        <v>2886</v>
      </c>
      <c r="E229" s="1165" t="s">
        <v>25</v>
      </c>
      <c r="F229" s="1174">
        <v>0</v>
      </c>
      <c r="G229" s="1174"/>
      <c r="H229" s="1174"/>
      <c r="I229" s="1174"/>
      <c r="J229" s="1174"/>
      <c r="K229" s="1174"/>
      <c r="L229" s="1174">
        <v>0</v>
      </c>
      <c r="M229" s="1174"/>
      <c r="N229" s="1174"/>
      <c r="O229" s="1174">
        <v>0</v>
      </c>
      <c r="P229" s="1174"/>
      <c r="Q229" s="1174"/>
      <c r="R229" s="1164" t="s">
        <v>2932</v>
      </c>
    </row>
    <row r="230" spans="1:18" x14ac:dyDescent="0.25">
      <c r="A230" s="1164" t="s">
        <v>3111</v>
      </c>
      <c r="B230" s="1165" t="s">
        <v>27</v>
      </c>
      <c r="C230" s="1165">
        <v>100943</v>
      </c>
      <c r="D230" s="1164" t="s">
        <v>2887</v>
      </c>
      <c r="E230" s="1165" t="s">
        <v>25</v>
      </c>
      <c r="F230" s="1174">
        <v>0</v>
      </c>
      <c r="G230" s="1174"/>
      <c r="H230" s="1174"/>
      <c r="I230" s="1174"/>
      <c r="J230" s="1174"/>
      <c r="K230" s="1174"/>
      <c r="L230" s="1174">
        <v>0</v>
      </c>
      <c r="M230" s="1174"/>
      <c r="N230" s="1174"/>
      <c r="O230" s="1174">
        <v>0</v>
      </c>
      <c r="P230" s="1174"/>
      <c r="Q230" s="1174"/>
      <c r="R230" s="1164" t="s">
        <v>2932</v>
      </c>
    </row>
    <row r="231" spans="1:18" x14ac:dyDescent="0.25">
      <c r="A231" s="1164" t="s">
        <v>3112</v>
      </c>
      <c r="B231" s="1165" t="s">
        <v>27</v>
      </c>
      <c r="C231" s="1165">
        <v>96624</v>
      </c>
      <c r="D231" s="1164" t="s">
        <v>2888</v>
      </c>
      <c r="E231" s="1165" t="s">
        <v>28</v>
      </c>
      <c r="F231" s="1169">
        <v>0</v>
      </c>
      <c r="L231" s="1169">
        <v>0</v>
      </c>
      <c r="M231" s="1169">
        <v>0</v>
      </c>
      <c r="O231" s="1169">
        <v>0</v>
      </c>
    </row>
    <row r="232" spans="1:18" x14ac:dyDescent="0.25">
      <c r="A232" s="1164" t="s">
        <v>3113</v>
      </c>
      <c r="B232" s="1165" t="s">
        <v>27</v>
      </c>
      <c r="C232" s="1165">
        <v>94962</v>
      </c>
      <c r="D232" s="1164" t="s">
        <v>1288</v>
      </c>
      <c r="E232" s="1165" t="s">
        <v>28</v>
      </c>
      <c r="F232" s="1169">
        <v>0</v>
      </c>
      <c r="L232" s="1169">
        <v>0.4</v>
      </c>
      <c r="M232" s="1169">
        <v>0.4</v>
      </c>
      <c r="O232" s="1169">
        <v>0</v>
      </c>
    </row>
    <row r="233" spans="1:18" x14ac:dyDescent="0.25">
      <c r="A233" s="1164" t="s">
        <v>3114</v>
      </c>
      <c r="B233" s="1165" t="s">
        <v>27</v>
      </c>
      <c r="C233" s="1165">
        <v>100341</v>
      </c>
      <c r="D233" s="1164" t="s">
        <v>1871</v>
      </c>
      <c r="E233" s="1165" t="s">
        <v>20</v>
      </c>
      <c r="F233" s="1169">
        <v>0</v>
      </c>
      <c r="L233" s="1169">
        <v>35.409999999999997</v>
      </c>
      <c r="M233" s="1169">
        <v>35.409999999999997</v>
      </c>
      <c r="O233" s="1169">
        <v>0</v>
      </c>
    </row>
    <row r="234" spans="1:18" x14ac:dyDescent="0.25">
      <c r="A234" s="1164" t="s">
        <v>3115</v>
      </c>
      <c r="B234" s="1165" t="s">
        <v>27</v>
      </c>
      <c r="C234" s="1165">
        <v>101010</v>
      </c>
      <c r="D234" s="1164" t="s">
        <v>2720</v>
      </c>
      <c r="E234" s="1165" t="s">
        <v>23</v>
      </c>
      <c r="F234" s="1169">
        <v>0</v>
      </c>
      <c r="G234" s="1169">
        <v>0</v>
      </c>
      <c r="H234" s="1169">
        <v>0</v>
      </c>
      <c r="L234" s="1169">
        <v>0.52679999999999993</v>
      </c>
      <c r="M234" s="1169">
        <v>0.52679999999999993</v>
      </c>
      <c r="N234" s="1169">
        <v>0</v>
      </c>
      <c r="O234" s="1169">
        <v>0</v>
      </c>
      <c r="P234" s="1169">
        <v>0</v>
      </c>
      <c r="Q234" s="1169">
        <v>0</v>
      </c>
    </row>
    <row r="235" spans="1:18" x14ac:dyDescent="0.25">
      <c r="A235" s="1164" t="s">
        <v>3116</v>
      </c>
      <c r="B235" s="1165" t="s">
        <v>27</v>
      </c>
      <c r="C235" s="1165">
        <v>100954</v>
      </c>
      <c r="D235" s="1164" t="s">
        <v>2721</v>
      </c>
      <c r="E235" s="1165" t="s">
        <v>25</v>
      </c>
      <c r="F235" s="1174">
        <v>0</v>
      </c>
      <c r="G235" s="1174"/>
      <c r="H235" s="1174"/>
      <c r="I235" s="1174"/>
      <c r="J235" s="1174"/>
      <c r="K235" s="1174"/>
      <c r="L235" s="1174">
        <v>0</v>
      </c>
      <c r="M235" s="1174"/>
      <c r="N235" s="1174"/>
      <c r="O235" s="1174">
        <v>0</v>
      </c>
      <c r="P235" s="1174"/>
      <c r="Q235" s="1174"/>
      <c r="R235" s="1164" t="s">
        <v>2932</v>
      </c>
    </row>
    <row r="236" spans="1:18" x14ac:dyDescent="0.25">
      <c r="A236" s="1164" t="s">
        <v>3117</v>
      </c>
      <c r="B236" s="1165" t="s">
        <v>27</v>
      </c>
      <c r="C236" s="1165">
        <v>92916</v>
      </c>
      <c r="D236" s="1164" t="s">
        <v>1864</v>
      </c>
      <c r="E236" s="1165" t="s">
        <v>1880</v>
      </c>
      <c r="F236" s="1169">
        <v>0</v>
      </c>
      <c r="G236" s="1169">
        <v>0</v>
      </c>
      <c r="H236" s="1169">
        <v>0</v>
      </c>
      <c r="L236" s="1169">
        <v>87.8</v>
      </c>
      <c r="M236" s="1169">
        <v>87.8</v>
      </c>
      <c r="N236" s="1169">
        <v>0</v>
      </c>
      <c r="O236" s="1169">
        <v>0</v>
      </c>
      <c r="P236" s="1169">
        <v>0</v>
      </c>
      <c r="Q236" s="1169">
        <v>0</v>
      </c>
      <c r="R236" s="1175">
        <v>20</v>
      </c>
    </row>
    <row r="237" spans="1:18" x14ac:dyDescent="0.25">
      <c r="A237" s="1164" t="s">
        <v>3118</v>
      </c>
      <c r="B237" s="1165" t="s">
        <v>27</v>
      </c>
      <c r="C237" s="1165">
        <v>92917</v>
      </c>
      <c r="D237" s="1164" t="s">
        <v>1864</v>
      </c>
      <c r="E237" s="1165" t="s">
        <v>1880</v>
      </c>
      <c r="F237" s="1169">
        <v>0</v>
      </c>
      <c r="G237" s="1169">
        <v>0</v>
      </c>
      <c r="H237" s="1169">
        <v>0</v>
      </c>
      <c r="L237" s="1169">
        <v>131.69999999999999</v>
      </c>
      <c r="M237" s="1169">
        <v>131.69999999999999</v>
      </c>
      <c r="N237" s="1169">
        <v>0</v>
      </c>
      <c r="O237" s="1169">
        <v>0</v>
      </c>
      <c r="P237" s="1169">
        <v>0</v>
      </c>
      <c r="Q237" s="1169">
        <v>0</v>
      </c>
      <c r="R237" s="1175">
        <v>30</v>
      </c>
    </row>
    <row r="238" spans="1:18" x14ac:dyDescent="0.25">
      <c r="A238" s="1164" t="s">
        <v>3119</v>
      </c>
      <c r="B238" s="1165" t="s">
        <v>27</v>
      </c>
      <c r="C238" s="1165">
        <v>92919</v>
      </c>
      <c r="D238" s="1164" t="s">
        <v>1864</v>
      </c>
      <c r="E238" s="1165" t="s">
        <v>1880</v>
      </c>
      <c r="F238" s="1169">
        <v>0</v>
      </c>
      <c r="G238" s="1169">
        <v>0</v>
      </c>
      <c r="H238" s="1169">
        <v>0</v>
      </c>
      <c r="L238" s="1169">
        <v>219.49999999999997</v>
      </c>
      <c r="M238" s="1169">
        <v>219.49999999999997</v>
      </c>
      <c r="N238" s="1169">
        <v>0</v>
      </c>
      <c r="O238" s="1169">
        <v>0</v>
      </c>
      <c r="P238" s="1169">
        <v>0</v>
      </c>
      <c r="Q238" s="1169">
        <v>0</v>
      </c>
      <c r="R238" s="1175">
        <v>50</v>
      </c>
    </row>
    <row r="239" spans="1:18" x14ac:dyDescent="0.25">
      <c r="A239" s="1164" t="s">
        <v>3120</v>
      </c>
      <c r="B239" s="1165" t="s">
        <v>27</v>
      </c>
      <c r="C239" s="1165">
        <v>92921</v>
      </c>
      <c r="D239" s="1164" t="s">
        <v>1864</v>
      </c>
      <c r="E239" s="1165" t="s">
        <v>1880</v>
      </c>
      <c r="F239" s="1169">
        <v>0</v>
      </c>
      <c r="G239" s="1169">
        <v>0</v>
      </c>
      <c r="H239" s="1169">
        <v>0</v>
      </c>
      <c r="L239" s="1169">
        <v>87.8</v>
      </c>
      <c r="M239" s="1169">
        <v>87.8</v>
      </c>
      <c r="N239" s="1169">
        <v>0</v>
      </c>
      <c r="O239" s="1169">
        <v>0</v>
      </c>
      <c r="P239" s="1169">
        <v>0</v>
      </c>
      <c r="Q239" s="1169">
        <v>0</v>
      </c>
      <c r="R239" s="1175">
        <v>20</v>
      </c>
    </row>
    <row r="240" spans="1:18" x14ac:dyDescent="0.25">
      <c r="A240" s="1164" t="s">
        <v>3121</v>
      </c>
      <c r="B240" s="1165" t="s">
        <v>27</v>
      </c>
      <c r="C240" s="1165">
        <v>94965</v>
      </c>
      <c r="D240" s="1164" t="s">
        <v>1865</v>
      </c>
      <c r="E240" s="1165" t="s">
        <v>28</v>
      </c>
      <c r="F240" s="1169">
        <v>0</v>
      </c>
      <c r="G240" s="1176"/>
      <c r="L240" s="1169">
        <v>4.3899999999999997</v>
      </c>
      <c r="M240" s="1169">
        <v>4.3899999999999997</v>
      </c>
      <c r="O240" s="1169">
        <v>0</v>
      </c>
    </row>
    <row r="241" spans="1:18" x14ac:dyDescent="0.25">
      <c r="A241" s="1164" t="s">
        <v>3122</v>
      </c>
      <c r="B241" s="1165" t="s">
        <v>27</v>
      </c>
      <c r="C241" s="1165">
        <v>92873</v>
      </c>
      <c r="D241" s="1164" t="s">
        <v>2727</v>
      </c>
      <c r="E241" s="1165" t="s">
        <v>28</v>
      </c>
      <c r="F241" s="1169">
        <v>0</v>
      </c>
      <c r="G241" s="1169">
        <v>0</v>
      </c>
      <c r="H241" s="1169">
        <v>0</v>
      </c>
      <c r="L241" s="1169">
        <v>4.3899999999999997</v>
      </c>
      <c r="M241" s="1169">
        <v>4.3899999999999997</v>
      </c>
      <c r="N241" s="1169">
        <v>0</v>
      </c>
      <c r="O241" s="1169">
        <v>0</v>
      </c>
      <c r="P241" s="1169">
        <v>0</v>
      </c>
      <c r="Q241" s="1169">
        <v>0</v>
      </c>
    </row>
    <row r="242" spans="1:18" s="1166" customFormat="1" x14ac:dyDescent="0.25">
      <c r="A242" s="1191" t="s">
        <v>2898</v>
      </c>
      <c r="B242" s="1192"/>
      <c r="C242" s="1192"/>
      <c r="D242" s="1191" t="s">
        <v>3181</v>
      </c>
      <c r="E242" s="1192"/>
      <c r="F242" s="1193" t="s">
        <v>21</v>
      </c>
      <c r="G242" s="1195"/>
      <c r="H242" s="1195"/>
      <c r="I242" s="1195"/>
      <c r="J242" s="1195"/>
      <c r="K242" s="1195"/>
      <c r="L242" s="1193" t="s">
        <v>21</v>
      </c>
      <c r="M242" s="1195"/>
      <c r="N242" s="1195"/>
      <c r="O242" s="1193" t="s">
        <v>21</v>
      </c>
      <c r="P242" s="1195"/>
      <c r="Q242" s="1195"/>
      <c r="R242" s="1191"/>
    </row>
    <row r="243" spans="1:18" s="1166" customFormat="1" x14ac:dyDescent="0.25">
      <c r="A243" s="1196" t="s">
        <v>2899</v>
      </c>
      <c r="B243" s="1197"/>
      <c r="C243" s="1197"/>
      <c r="D243" s="1196" t="s">
        <v>2889</v>
      </c>
      <c r="E243" s="1197"/>
      <c r="F243" s="1198" t="s">
        <v>21</v>
      </c>
      <c r="G243" s="1198"/>
      <c r="H243" s="1198"/>
      <c r="I243" s="1198"/>
      <c r="J243" s="1198"/>
      <c r="K243" s="1198"/>
      <c r="L243" s="1198" t="s">
        <v>21</v>
      </c>
      <c r="M243" s="1198"/>
      <c r="N243" s="1198"/>
      <c r="O243" s="1198" t="s">
        <v>21</v>
      </c>
      <c r="P243" s="1198"/>
      <c r="Q243" s="1198"/>
      <c r="R243" s="1196"/>
    </row>
    <row r="244" spans="1:18" x14ac:dyDescent="0.25">
      <c r="A244" s="1164" t="s">
        <v>2900</v>
      </c>
      <c r="B244" s="1165" t="s">
        <v>27</v>
      </c>
      <c r="C244" s="1165">
        <v>98524</v>
      </c>
      <c r="D244" s="1164" t="s">
        <v>2845</v>
      </c>
      <c r="E244" s="1165" t="s">
        <v>20</v>
      </c>
      <c r="F244" s="1169">
        <v>50</v>
      </c>
      <c r="G244" s="1169">
        <v>25</v>
      </c>
      <c r="H244" s="1169">
        <v>25</v>
      </c>
      <c r="L244" s="1169">
        <v>13.39</v>
      </c>
      <c r="M244" s="1169">
        <v>13.39</v>
      </c>
      <c r="O244" s="1169">
        <v>0</v>
      </c>
    </row>
    <row r="245" spans="1:18" x14ac:dyDescent="0.25">
      <c r="A245" s="1164" t="s">
        <v>2908</v>
      </c>
      <c r="B245" s="1165" t="s">
        <v>27</v>
      </c>
      <c r="C245" s="1165">
        <v>101616</v>
      </c>
      <c r="D245" s="1164" t="s">
        <v>1862</v>
      </c>
      <c r="E245" s="1165" t="s">
        <v>20</v>
      </c>
      <c r="F245" s="1169">
        <v>32</v>
      </c>
      <c r="G245" s="1169">
        <v>16</v>
      </c>
      <c r="H245" s="1169">
        <v>16</v>
      </c>
      <c r="L245" s="1169">
        <v>9.4</v>
      </c>
      <c r="M245" s="1169">
        <v>9.4</v>
      </c>
      <c r="O245" s="1169">
        <v>0</v>
      </c>
    </row>
    <row r="246" spans="1:18" s="1166" customFormat="1" x14ac:dyDescent="0.25">
      <c r="A246" s="1196" t="s">
        <v>2909</v>
      </c>
      <c r="B246" s="1197"/>
      <c r="C246" s="1197"/>
      <c r="D246" s="1196" t="s">
        <v>2902</v>
      </c>
      <c r="E246" s="1197"/>
      <c r="F246" s="1198" t="s">
        <v>21</v>
      </c>
      <c r="G246" s="1198"/>
      <c r="H246" s="1198"/>
      <c r="I246" s="1198"/>
      <c r="J246" s="1198"/>
      <c r="K246" s="1198"/>
      <c r="L246" s="1198" t="s">
        <v>21</v>
      </c>
      <c r="M246" s="1198"/>
      <c r="N246" s="1198"/>
      <c r="O246" s="1198" t="s">
        <v>21</v>
      </c>
      <c r="P246" s="1198"/>
      <c r="Q246" s="1198"/>
      <c r="R246" s="1196"/>
    </row>
    <row r="247" spans="1:18" x14ac:dyDescent="0.25">
      <c r="A247" s="1164" t="s">
        <v>2901</v>
      </c>
      <c r="B247" s="1165" t="s">
        <v>138</v>
      </c>
      <c r="C247" s="1165" t="s">
        <v>2346</v>
      </c>
      <c r="D247" s="1164" t="s">
        <v>2712</v>
      </c>
      <c r="E247" s="1165" t="s">
        <v>26</v>
      </c>
      <c r="F247" s="1169">
        <v>3</v>
      </c>
      <c r="G247" s="1169">
        <v>1.5</v>
      </c>
      <c r="H247" s="1169">
        <v>1.5</v>
      </c>
      <c r="L247" s="1169">
        <v>0</v>
      </c>
      <c r="O247" s="1169">
        <v>0</v>
      </c>
    </row>
    <row r="248" spans="1:18" x14ac:dyDescent="0.25">
      <c r="A248" s="1164" t="s">
        <v>2904</v>
      </c>
      <c r="B248" s="1165" t="s">
        <v>27</v>
      </c>
      <c r="C248" s="1165">
        <v>101463</v>
      </c>
      <c r="D248" s="1164" t="s">
        <v>2713</v>
      </c>
      <c r="E248" s="1165" t="s">
        <v>23</v>
      </c>
      <c r="F248" s="1169">
        <v>1.38</v>
      </c>
      <c r="G248" s="1169">
        <v>0.69</v>
      </c>
      <c r="H248" s="1169">
        <v>0.69</v>
      </c>
      <c r="L248" s="1169">
        <v>0</v>
      </c>
      <c r="M248" s="1169">
        <v>0</v>
      </c>
      <c r="N248" s="1169">
        <v>0</v>
      </c>
      <c r="O248" s="1169">
        <v>0</v>
      </c>
      <c r="P248" s="1169">
        <v>0</v>
      </c>
      <c r="Q248" s="1169">
        <v>0</v>
      </c>
    </row>
    <row r="249" spans="1:18" x14ac:dyDescent="0.25">
      <c r="A249" s="1164" t="s">
        <v>2905</v>
      </c>
      <c r="B249" s="1165" t="s">
        <v>27</v>
      </c>
      <c r="C249" s="1165">
        <v>100952</v>
      </c>
      <c r="D249" s="1164" t="s">
        <v>2714</v>
      </c>
      <c r="E249" s="1165" t="s">
        <v>25</v>
      </c>
      <c r="F249" s="1174">
        <v>0</v>
      </c>
      <c r="G249" s="1174"/>
      <c r="H249" s="1174"/>
      <c r="I249" s="1174"/>
      <c r="J249" s="1174"/>
      <c r="K249" s="1174"/>
      <c r="L249" s="1174">
        <v>0</v>
      </c>
      <c r="M249" s="1174"/>
      <c r="N249" s="1174"/>
      <c r="O249" s="1174">
        <v>0</v>
      </c>
      <c r="P249" s="1174"/>
      <c r="Q249" s="1174"/>
      <c r="R249" s="1164" t="s">
        <v>2932</v>
      </c>
    </row>
    <row r="250" spans="1:18" x14ac:dyDescent="0.25">
      <c r="A250" s="1164" t="s">
        <v>2906</v>
      </c>
      <c r="B250" s="1165" t="s">
        <v>27</v>
      </c>
      <c r="C250" s="1165">
        <v>100953</v>
      </c>
      <c r="D250" s="1164" t="s">
        <v>2715</v>
      </c>
      <c r="E250" s="1165" t="s">
        <v>25</v>
      </c>
      <c r="F250" s="1174">
        <v>0</v>
      </c>
      <c r="G250" s="1174"/>
      <c r="H250" s="1174"/>
      <c r="I250" s="1174"/>
      <c r="J250" s="1174"/>
      <c r="K250" s="1174"/>
      <c r="L250" s="1174">
        <v>0</v>
      </c>
      <c r="M250" s="1174"/>
      <c r="N250" s="1174"/>
      <c r="O250" s="1174">
        <v>0</v>
      </c>
      <c r="P250" s="1174"/>
      <c r="Q250" s="1174"/>
      <c r="R250" s="1164" t="s">
        <v>2932</v>
      </c>
    </row>
    <row r="251" spans="1:18" x14ac:dyDescent="0.25">
      <c r="A251" s="1164" t="s">
        <v>2907</v>
      </c>
      <c r="B251" s="1165" t="s">
        <v>27</v>
      </c>
      <c r="C251" s="1165">
        <v>100954</v>
      </c>
      <c r="D251" s="1164" t="s">
        <v>2716</v>
      </c>
      <c r="E251" s="1165" t="s">
        <v>25</v>
      </c>
      <c r="F251" s="1174">
        <v>0</v>
      </c>
      <c r="G251" s="1174"/>
      <c r="H251" s="1174"/>
      <c r="I251" s="1174"/>
      <c r="J251" s="1174"/>
      <c r="K251" s="1174"/>
      <c r="L251" s="1174">
        <v>0</v>
      </c>
      <c r="M251" s="1174"/>
      <c r="N251" s="1174"/>
      <c r="O251" s="1174">
        <v>0</v>
      </c>
      <c r="P251" s="1174"/>
      <c r="Q251" s="1174"/>
      <c r="R251" s="1164" t="s">
        <v>2932</v>
      </c>
    </row>
    <row r="252" spans="1:18" x14ac:dyDescent="0.25">
      <c r="A252" s="1164" t="s">
        <v>3007</v>
      </c>
      <c r="B252" s="1165" t="s">
        <v>27</v>
      </c>
      <c r="C252" s="1165">
        <v>92811</v>
      </c>
      <c r="D252" s="1164" t="s">
        <v>3002</v>
      </c>
      <c r="E252" s="1165" t="s">
        <v>26</v>
      </c>
      <c r="F252" s="1176">
        <v>3</v>
      </c>
      <c r="G252" s="1176">
        <v>1.5</v>
      </c>
      <c r="H252" s="1176">
        <v>1.5</v>
      </c>
      <c r="I252" s="1176"/>
      <c r="J252" s="1176"/>
      <c r="K252" s="1176"/>
      <c r="L252" s="1176">
        <v>0</v>
      </c>
      <c r="M252" s="1176">
        <v>0</v>
      </c>
      <c r="N252" s="1176">
        <v>0</v>
      </c>
      <c r="O252" s="1176">
        <v>0</v>
      </c>
      <c r="P252" s="1176">
        <v>0</v>
      </c>
      <c r="Q252" s="1176">
        <v>0</v>
      </c>
    </row>
    <row r="253" spans="1:18" s="1166" customFormat="1" x14ac:dyDescent="0.25">
      <c r="A253" s="1196" t="s">
        <v>2909</v>
      </c>
      <c r="B253" s="1197"/>
      <c r="C253" s="1197"/>
      <c r="D253" s="1196" t="s">
        <v>3182</v>
      </c>
      <c r="E253" s="1197"/>
      <c r="F253" s="1198" t="s">
        <v>21</v>
      </c>
      <c r="G253" s="1198"/>
      <c r="H253" s="1198"/>
      <c r="I253" s="1198"/>
      <c r="J253" s="1198"/>
      <c r="K253" s="1198"/>
      <c r="L253" s="1198" t="s">
        <v>21</v>
      </c>
      <c r="M253" s="1198"/>
      <c r="N253" s="1198"/>
      <c r="O253" s="1198" t="s">
        <v>21</v>
      </c>
      <c r="P253" s="1198"/>
      <c r="Q253" s="1198"/>
      <c r="R253" s="1196"/>
    </row>
    <row r="254" spans="1:18" x14ac:dyDescent="0.25">
      <c r="A254" s="1164" t="s">
        <v>2910</v>
      </c>
      <c r="B254" s="1165" t="s">
        <v>27</v>
      </c>
      <c r="C254" s="1165" t="s">
        <v>568</v>
      </c>
      <c r="D254" s="1164" t="s">
        <v>2731</v>
      </c>
      <c r="E254" s="1165" t="s">
        <v>20</v>
      </c>
      <c r="F254" s="1169">
        <v>64.44</v>
      </c>
      <c r="G254" s="1169">
        <v>32.22</v>
      </c>
      <c r="H254" s="1169">
        <v>32.22</v>
      </c>
      <c r="L254" s="1169">
        <v>39.200000000000003</v>
      </c>
      <c r="M254" s="1169">
        <v>39.200000000000003</v>
      </c>
      <c r="O254" s="1169">
        <v>0</v>
      </c>
    </row>
    <row r="255" spans="1:18" x14ac:dyDescent="0.25">
      <c r="A255" s="1164" t="s">
        <v>2914</v>
      </c>
      <c r="B255" s="1165" t="s">
        <v>27</v>
      </c>
      <c r="C255" s="1165">
        <v>95879</v>
      </c>
      <c r="D255" s="1164" t="s">
        <v>2911</v>
      </c>
      <c r="E255" s="1165" t="s">
        <v>25</v>
      </c>
      <c r="F255" s="1174">
        <v>0</v>
      </c>
      <c r="G255" s="1174"/>
      <c r="H255" s="1174"/>
      <c r="I255" s="1174"/>
      <c r="J255" s="1174"/>
      <c r="K255" s="1174"/>
      <c r="L255" s="1174">
        <v>0</v>
      </c>
      <c r="M255" s="1174"/>
      <c r="N255" s="1174"/>
      <c r="O255" s="1174">
        <v>0</v>
      </c>
      <c r="P255" s="1174"/>
      <c r="Q255" s="1174"/>
      <c r="R255" s="1164" t="s">
        <v>2932</v>
      </c>
    </row>
    <row r="256" spans="1:18" x14ac:dyDescent="0.25">
      <c r="A256" s="1164" t="s">
        <v>2915</v>
      </c>
      <c r="B256" s="1165" t="s">
        <v>27</v>
      </c>
      <c r="C256" s="1165">
        <v>93599</v>
      </c>
      <c r="D256" s="1164" t="s">
        <v>2912</v>
      </c>
      <c r="E256" s="1165" t="s">
        <v>25</v>
      </c>
      <c r="F256" s="1174">
        <v>0</v>
      </c>
      <c r="G256" s="1174"/>
      <c r="H256" s="1174"/>
      <c r="I256" s="1174"/>
      <c r="J256" s="1174"/>
      <c r="K256" s="1174"/>
      <c r="L256" s="1174">
        <v>0</v>
      </c>
      <c r="M256" s="1174"/>
      <c r="N256" s="1174"/>
      <c r="O256" s="1174">
        <v>0</v>
      </c>
      <c r="P256" s="1174"/>
      <c r="Q256" s="1174"/>
      <c r="R256" s="1164" t="s">
        <v>2932</v>
      </c>
    </row>
    <row r="257" spans="1:18" x14ac:dyDescent="0.25">
      <c r="A257" s="1164" t="s">
        <v>2916</v>
      </c>
      <c r="B257" s="1165" t="s">
        <v>27</v>
      </c>
      <c r="C257" s="1165">
        <v>100943</v>
      </c>
      <c r="D257" s="1164" t="s">
        <v>2913</v>
      </c>
      <c r="E257" s="1165" t="s">
        <v>25</v>
      </c>
      <c r="F257" s="1174">
        <v>0</v>
      </c>
      <c r="G257" s="1174"/>
      <c r="H257" s="1174"/>
      <c r="I257" s="1174"/>
      <c r="J257" s="1174"/>
      <c r="K257" s="1174"/>
      <c r="L257" s="1174">
        <v>0</v>
      </c>
      <c r="M257" s="1174"/>
      <c r="N257" s="1174"/>
      <c r="O257" s="1174">
        <v>0</v>
      </c>
      <c r="P257" s="1174"/>
      <c r="Q257" s="1174"/>
      <c r="R257" s="1164" t="s">
        <v>2932</v>
      </c>
    </row>
    <row r="258" spans="1:18" x14ac:dyDescent="0.25">
      <c r="A258" s="1164" t="s">
        <v>2917</v>
      </c>
      <c r="B258" s="1165" t="s">
        <v>27</v>
      </c>
      <c r="C258" s="1165">
        <v>92743</v>
      </c>
      <c r="D258" s="1164" t="s">
        <v>2717</v>
      </c>
      <c r="E258" s="1165" t="s">
        <v>28</v>
      </c>
      <c r="F258" s="1169">
        <v>29.42</v>
      </c>
      <c r="G258" s="1169">
        <v>14.71</v>
      </c>
      <c r="H258" s="1169">
        <v>14.71</v>
      </c>
      <c r="L258" s="1169">
        <v>19.349999999999998</v>
      </c>
      <c r="M258" s="1169">
        <v>19.349999999999998</v>
      </c>
      <c r="O258" s="1169">
        <v>0</v>
      </c>
    </row>
    <row r="259" spans="1:18" x14ac:dyDescent="0.25">
      <c r="A259" s="1164" t="s">
        <v>2918</v>
      </c>
      <c r="B259" s="1165" t="s">
        <v>27</v>
      </c>
      <c r="C259" s="1165">
        <v>92756</v>
      </c>
      <c r="D259" s="1164" t="s">
        <v>1394</v>
      </c>
      <c r="E259" s="1165" t="s">
        <v>20</v>
      </c>
      <c r="F259" s="1169">
        <v>2.34</v>
      </c>
      <c r="G259" s="1169">
        <v>1.17</v>
      </c>
      <c r="H259" s="1169">
        <v>1.17</v>
      </c>
      <c r="L259" s="1169">
        <v>0.5</v>
      </c>
      <c r="M259" s="1169">
        <v>0.5</v>
      </c>
      <c r="O259" s="1169">
        <v>0</v>
      </c>
    </row>
    <row r="260" spans="1:18" s="1166" customFormat="1" x14ac:dyDescent="0.25">
      <c r="A260" s="1191" t="s">
        <v>2949</v>
      </c>
      <c r="B260" s="1192"/>
      <c r="C260" s="1192"/>
      <c r="D260" s="1191" t="s">
        <v>2950</v>
      </c>
      <c r="E260" s="1192"/>
      <c r="F260" s="1193" t="s">
        <v>21</v>
      </c>
      <c r="G260" s="1195"/>
      <c r="H260" s="1195"/>
      <c r="I260" s="1195"/>
      <c r="J260" s="1195"/>
      <c r="K260" s="1195"/>
      <c r="L260" s="1193" t="s">
        <v>21</v>
      </c>
      <c r="M260" s="1195"/>
      <c r="N260" s="1195"/>
      <c r="O260" s="1193" t="s">
        <v>21</v>
      </c>
      <c r="P260" s="1195"/>
      <c r="Q260" s="1195"/>
      <c r="R260" s="1191"/>
    </row>
    <row r="261" spans="1:18" x14ac:dyDescent="0.25">
      <c r="A261" s="1164" t="s">
        <v>2951</v>
      </c>
      <c r="B261" s="1165" t="s">
        <v>27</v>
      </c>
      <c r="C261" s="1165">
        <v>101009</v>
      </c>
      <c r="D261" s="1164" t="s">
        <v>3019</v>
      </c>
      <c r="E261" s="1165" t="s">
        <v>23</v>
      </c>
      <c r="F261" s="1174">
        <v>0</v>
      </c>
      <c r="G261" s="1174"/>
      <c r="H261" s="1174"/>
      <c r="I261" s="1174"/>
      <c r="J261" s="1174"/>
      <c r="K261" s="1174"/>
      <c r="L261" s="1174">
        <v>0</v>
      </c>
      <c r="M261" s="1174"/>
      <c r="N261" s="1174"/>
      <c r="O261" s="1174">
        <v>0</v>
      </c>
      <c r="P261" s="1174"/>
      <c r="Q261" s="1174"/>
      <c r="R261" s="1164" t="s">
        <v>2932</v>
      </c>
    </row>
    <row r="262" spans="1:18" x14ac:dyDescent="0.25">
      <c r="A262" s="1164" t="s">
        <v>3010</v>
      </c>
      <c r="B262" s="1165" t="s">
        <v>27</v>
      </c>
      <c r="C262" s="1165">
        <v>100952</v>
      </c>
      <c r="D262" s="1164" t="s">
        <v>1851</v>
      </c>
      <c r="E262" s="1165" t="s">
        <v>25</v>
      </c>
      <c r="F262" s="1174">
        <v>0</v>
      </c>
      <c r="G262" s="1174"/>
      <c r="H262" s="1174"/>
      <c r="I262" s="1174"/>
      <c r="J262" s="1174"/>
      <c r="K262" s="1174"/>
      <c r="L262" s="1174">
        <v>0</v>
      </c>
      <c r="M262" s="1174"/>
      <c r="N262" s="1174"/>
      <c r="O262" s="1174">
        <v>0</v>
      </c>
      <c r="P262" s="1174"/>
      <c r="Q262" s="1174"/>
      <c r="R262" s="1164" t="s">
        <v>2932</v>
      </c>
    </row>
    <row r="263" spans="1:18" x14ac:dyDescent="0.25">
      <c r="A263" s="1164" t="s">
        <v>3015</v>
      </c>
      <c r="B263" s="1165" t="s">
        <v>27</v>
      </c>
      <c r="C263" s="1165">
        <v>100953</v>
      </c>
      <c r="D263" s="1164" t="s">
        <v>1976</v>
      </c>
      <c r="E263" s="1165" t="s">
        <v>25</v>
      </c>
      <c r="F263" s="1174">
        <v>0</v>
      </c>
      <c r="G263" s="1174"/>
      <c r="H263" s="1174"/>
      <c r="I263" s="1174"/>
      <c r="J263" s="1174"/>
      <c r="K263" s="1174"/>
      <c r="L263" s="1174">
        <v>0</v>
      </c>
      <c r="M263" s="1174"/>
      <c r="N263" s="1174"/>
      <c r="O263" s="1174">
        <v>0</v>
      </c>
      <c r="P263" s="1174"/>
      <c r="Q263" s="1174"/>
      <c r="R263" s="1164" t="s">
        <v>2932</v>
      </c>
    </row>
    <row r="264" spans="1:18" x14ac:dyDescent="0.25">
      <c r="A264" s="1164" t="s">
        <v>3016</v>
      </c>
      <c r="B264" s="1165" t="s">
        <v>27</v>
      </c>
      <c r="C264" s="1165">
        <v>100954</v>
      </c>
      <c r="D264" s="1164" t="s">
        <v>1850</v>
      </c>
      <c r="E264" s="1165" t="s">
        <v>25</v>
      </c>
      <c r="F264" s="1174">
        <v>0</v>
      </c>
      <c r="G264" s="1174"/>
      <c r="H264" s="1174"/>
      <c r="I264" s="1174"/>
      <c r="J264" s="1174"/>
      <c r="K264" s="1174"/>
      <c r="L264" s="1174">
        <v>0</v>
      </c>
      <c r="M264" s="1174"/>
      <c r="N264" s="1174"/>
      <c r="O264" s="1174">
        <v>0</v>
      </c>
      <c r="P264" s="1174"/>
      <c r="Q264" s="1174"/>
      <c r="R264" s="1164" t="s">
        <v>2932</v>
      </c>
    </row>
    <row r="265" spans="1:18" x14ac:dyDescent="0.25">
      <c r="A265" s="1164" t="s">
        <v>3017</v>
      </c>
      <c r="B265" s="1165" t="s">
        <v>138</v>
      </c>
      <c r="C265" s="1165" t="s">
        <v>3023</v>
      </c>
      <c r="D265" s="1164" t="s">
        <v>3008</v>
      </c>
      <c r="E265" s="1165" t="s">
        <v>26</v>
      </c>
      <c r="F265" s="1169">
        <v>545</v>
      </c>
      <c r="G265" s="1169">
        <v>250</v>
      </c>
      <c r="H265" s="1169">
        <v>295</v>
      </c>
      <c r="L265" s="1169">
        <v>303</v>
      </c>
      <c r="M265" s="1169">
        <v>303</v>
      </c>
      <c r="O265" s="1169">
        <v>0</v>
      </c>
    </row>
    <row r="266" spans="1:18" x14ac:dyDescent="0.25">
      <c r="A266" s="1164" t="s">
        <v>3018</v>
      </c>
      <c r="B266" s="1165" t="s">
        <v>138</v>
      </c>
      <c r="C266" s="1165" t="s">
        <v>3032</v>
      </c>
      <c r="D266" s="1164" t="s">
        <v>3009</v>
      </c>
      <c r="E266" s="1165" t="s">
        <v>26</v>
      </c>
      <c r="F266" s="1169">
        <v>1490</v>
      </c>
      <c r="I266" s="1169">
        <v>520</v>
      </c>
      <c r="J266" s="1169">
        <v>410</v>
      </c>
      <c r="K266" s="1169">
        <v>560</v>
      </c>
      <c r="L266" s="1169">
        <v>0</v>
      </c>
      <c r="O266" s="1169">
        <v>0</v>
      </c>
      <c r="R266" s="1164" t="s">
        <v>3022</v>
      </c>
    </row>
    <row r="267" spans="1:18" x14ac:dyDescent="0.25">
      <c r="A267" s="1164" t="s">
        <v>3020</v>
      </c>
      <c r="B267" s="1165" t="s">
        <v>27</v>
      </c>
      <c r="C267" s="1165">
        <v>98509</v>
      </c>
      <c r="D267" s="1164" t="s">
        <v>3014</v>
      </c>
      <c r="E267" s="1165" t="s">
        <v>39</v>
      </c>
      <c r="F267" s="1169">
        <v>20350</v>
      </c>
      <c r="G267" s="1169">
        <v>2500</v>
      </c>
      <c r="H267" s="1169">
        <v>2950</v>
      </c>
      <c r="I267" s="1169">
        <v>5200</v>
      </c>
      <c r="J267" s="1169">
        <v>4100</v>
      </c>
      <c r="K267" s="1169">
        <v>5600</v>
      </c>
      <c r="L267" s="1169">
        <v>3030</v>
      </c>
      <c r="M267" s="1169">
        <v>3030</v>
      </c>
      <c r="N267" s="1169">
        <v>0</v>
      </c>
      <c r="O267" s="1169">
        <v>0</v>
      </c>
      <c r="P267" s="1169">
        <v>0</v>
      </c>
      <c r="Q267" s="1169">
        <v>0</v>
      </c>
      <c r="R267" s="1164" t="s">
        <v>3197</v>
      </c>
    </row>
    <row r="268" spans="1:18" x14ac:dyDescent="0.25">
      <c r="A268" s="1164" t="s">
        <v>3021</v>
      </c>
      <c r="B268" s="1165" t="s">
        <v>138</v>
      </c>
      <c r="C268" s="1165" t="s">
        <v>445</v>
      </c>
      <c r="D268" s="1164" t="s">
        <v>3036</v>
      </c>
      <c r="E268" s="1165" t="s">
        <v>20</v>
      </c>
      <c r="F268" s="1169">
        <v>19.2</v>
      </c>
      <c r="G268" s="1169">
        <v>9.6</v>
      </c>
      <c r="H268" s="1169">
        <v>9.6</v>
      </c>
      <c r="L268" s="1169">
        <v>0</v>
      </c>
      <c r="O268" s="1169">
        <v>0</v>
      </c>
    </row>
    <row r="269" spans="1:18" x14ac:dyDescent="0.25">
      <c r="A269" s="1164" t="s">
        <v>3038</v>
      </c>
      <c r="B269" s="1165" t="s">
        <v>138</v>
      </c>
      <c r="C269" s="1165" t="s">
        <v>3039</v>
      </c>
      <c r="D269" s="1164" t="s">
        <v>3037</v>
      </c>
      <c r="E269" s="1165" t="s">
        <v>39</v>
      </c>
      <c r="F269" s="1169">
        <v>60</v>
      </c>
      <c r="G269" s="1169">
        <v>12</v>
      </c>
      <c r="H269" s="1169">
        <v>12</v>
      </c>
      <c r="I269" s="1169">
        <v>12</v>
      </c>
      <c r="J269" s="1169">
        <v>12</v>
      </c>
      <c r="K269" s="1169">
        <v>12</v>
      </c>
      <c r="L269" s="1169">
        <v>0</v>
      </c>
      <c r="O269" s="1169">
        <v>0</v>
      </c>
    </row>
    <row r="270" spans="1:18" x14ac:dyDescent="0.25">
      <c r="F270" s="1169" t="s">
        <v>21</v>
      </c>
      <c r="L270" s="1169" t="s">
        <v>21</v>
      </c>
      <c r="O270" s="1169" t="s">
        <v>21</v>
      </c>
    </row>
    <row r="271" spans="1:18" x14ac:dyDescent="0.25">
      <c r="A271" s="1164" t="s">
        <v>2924</v>
      </c>
    </row>
  </sheetData>
  <mergeCells count="9">
    <mergeCell ref="F5:F8"/>
    <mergeCell ref="R5:R8"/>
    <mergeCell ref="L5:L8"/>
    <mergeCell ref="O5:O8"/>
    <mergeCell ref="A5:A8"/>
    <mergeCell ref="B5:B8"/>
    <mergeCell ref="C5:C8"/>
    <mergeCell ref="D5:D8"/>
    <mergeCell ref="E5:E8"/>
  </mergeCells>
  <phoneticPr fontId="45" type="noConversion"/>
  <printOptions horizontalCentered="1"/>
  <pageMargins left="0.59055118110236227" right="0.59055118110236227" top="0.78740157480314965" bottom="0.78740157480314965" header="0.59055118110236227" footer="0.59055118110236227"/>
  <pageSetup paperSize="9" scale="52" fitToHeight="0" orientation="landscape" r:id="rId1"/>
  <rowBreaks count="4" manualBreakCount="4">
    <brk id="72" max="17" man="1"/>
    <brk id="115" max="17" man="1"/>
    <brk id="187" max="17" man="1"/>
    <brk id="259" max="17" man="1"/>
  </rowBreaks>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0199E-E7B9-4812-94D4-68F1AF16D2A8}">
  <sheetPr>
    <tabColor theme="2" tint="-0.749992370372631"/>
    <pageSetUpPr fitToPage="1"/>
  </sheetPr>
  <dimension ref="A1:CU409"/>
  <sheetViews>
    <sheetView workbookViewId="0">
      <selection sqref="A1:XFD1048576"/>
    </sheetView>
  </sheetViews>
  <sheetFormatPr defaultColWidth="9.140625" defaultRowHeight="12.75" x14ac:dyDescent="0.25"/>
  <cols>
    <col min="1" max="1" width="8.7109375" style="939" customWidth="1"/>
    <col min="2" max="2" width="8.7109375" style="940" customWidth="1"/>
    <col min="3" max="4" width="8.7109375" style="939" customWidth="1"/>
    <col min="5" max="6" width="10.7109375" style="838" customWidth="1"/>
    <col min="7" max="7" width="10.7109375" style="940" customWidth="1"/>
    <col min="8" max="10" width="10.7109375" style="838" customWidth="1"/>
    <col min="11" max="11" width="1.7109375" style="836" customWidth="1"/>
    <col min="12" max="15" width="10.7109375" style="838" customWidth="1"/>
    <col min="16" max="16" width="1.7109375" style="836" customWidth="1"/>
    <col min="17" max="17" width="10.7109375" style="838" customWidth="1"/>
    <col min="18" max="18" width="10.7109375" style="836" customWidth="1"/>
    <col min="19" max="20" width="10.7109375" style="941" customWidth="1"/>
    <col min="21" max="22" width="10.7109375" style="838" customWidth="1"/>
    <col min="23" max="23" width="1.7109375" style="836" customWidth="1"/>
    <col min="24" max="28" width="10.7109375" style="838" customWidth="1"/>
    <col min="29" max="29" width="1.7109375" style="836" customWidth="1"/>
    <col min="30" max="31" width="11.7109375" style="838" customWidth="1"/>
    <col min="32" max="41" width="10.7109375" style="838" customWidth="1"/>
    <col min="42" max="56" width="11.7109375" style="838" customWidth="1"/>
    <col min="57" max="65" width="9.7109375" style="838" customWidth="1"/>
    <col min="66" max="67" width="8.7109375" style="838" customWidth="1"/>
    <col min="68" max="73" width="8.7109375" style="832" customWidth="1"/>
    <col min="74" max="81" width="8.7109375" style="838" customWidth="1"/>
    <col min="82" max="94" width="11.7109375" style="838" customWidth="1"/>
    <col min="95" max="95" width="12.7109375" style="838" customWidth="1"/>
    <col min="96" max="96" width="11.7109375" style="838" customWidth="1"/>
    <col min="97" max="97" width="12.7109375" style="836" customWidth="1"/>
    <col min="98" max="99" width="11.7109375" style="836" customWidth="1"/>
    <col min="100" max="16384" width="9.140625" style="836"/>
  </cols>
  <sheetData>
    <row r="1" spans="1:96" s="826" customFormat="1" ht="30" customHeight="1" x14ac:dyDescent="0.25">
      <c r="A1" s="824"/>
      <c r="B1" s="824"/>
      <c r="C1" s="824" t="s">
        <v>2049</v>
      </c>
      <c r="D1" s="824"/>
      <c r="E1" s="824"/>
      <c r="F1" s="824"/>
      <c r="G1" s="824"/>
      <c r="H1" s="824"/>
      <c r="I1" s="824"/>
      <c r="J1" s="825"/>
      <c r="L1" s="827" t="s">
        <v>2050</v>
      </c>
      <c r="M1" s="827"/>
      <c r="N1" s="827"/>
      <c r="O1" s="827"/>
      <c r="P1" s="828"/>
      <c r="Q1" s="829"/>
      <c r="R1" s="828"/>
      <c r="S1" s="829"/>
      <c r="T1" s="829"/>
      <c r="U1" s="829"/>
      <c r="V1" s="829"/>
      <c r="W1" s="828"/>
      <c r="X1" s="829"/>
      <c r="Y1" s="829"/>
      <c r="Z1" s="829"/>
      <c r="AA1" s="829"/>
      <c r="AB1" s="829"/>
      <c r="AD1" s="830" t="s">
        <v>2051</v>
      </c>
      <c r="AE1" s="830"/>
      <c r="AF1" s="830"/>
      <c r="AG1" s="830"/>
      <c r="AH1" s="831"/>
      <c r="AI1" s="831"/>
      <c r="AJ1" s="831"/>
      <c r="AK1" s="831"/>
      <c r="AL1" s="831"/>
      <c r="AM1" s="831"/>
      <c r="AN1" s="831"/>
      <c r="AO1" s="831"/>
      <c r="AP1" s="831"/>
      <c r="AQ1" s="830"/>
      <c r="AR1" s="830" t="s">
        <v>2051</v>
      </c>
      <c r="AS1" s="831"/>
      <c r="AT1" s="831"/>
      <c r="AU1" s="831"/>
      <c r="AV1" s="831"/>
      <c r="AW1" s="831"/>
      <c r="AX1" s="831"/>
      <c r="AY1" s="831"/>
      <c r="AZ1" s="831"/>
      <c r="BA1" s="831"/>
      <c r="BB1" s="831"/>
      <c r="BC1" s="831"/>
      <c r="BD1" s="831"/>
      <c r="BE1" s="830" t="s">
        <v>2051</v>
      </c>
      <c r="BF1" s="831"/>
      <c r="BG1" s="831"/>
      <c r="BH1" s="831"/>
      <c r="BI1" s="831"/>
      <c r="BJ1" s="831"/>
      <c r="BK1" s="830" t="s">
        <v>2051</v>
      </c>
      <c r="BL1" s="831"/>
      <c r="BM1" s="831"/>
      <c r="BN1" s="831"/>
      <c r="BO1" s="831"/>
      <c r="BP1" s="830" t="s">
        <v>2051</v>
      </c>
      <c r="BQ1" s="832"/>
      <c r="BR1" s="832"/>
      <c r="BS1" s="832"/>
      <c r="BT1" s="832"/>
      <c r="BU1" s="832"/>
      <c r="BV1" s="831"/>
      <c r="BW1" s="831"/>
      <c r="BX1" s="831"/>
      <c r="BY1" s="831"/>
      <c r="BZ1" s="831"/>
      <c r="CA1" s="831"/>
      <c r="CB1" s="831"/>
      <c r="CC1" s="831"/>
      <c r="CD1" s="831"/>
      <c r="CE1" s="831"/>
      <c r="CF1" s="831"/>
      <c r="CG1" s="831"/>
      <c r="CH1" s="831"/>
      <c r="CI1" s="831"/>
      <c r="CJ1" s="831"/>
      <c r="CK1" s="831"/>
      <c r="CL1" s="831"/>
      <c r="CM1" s="831"/>
      <c r="CN1" s="831"/>
      <c r="CO1" s="831"/>
      <c r="CP1" s="831"/>
      <c r="CQ1" s="831"/>
      <c r="CR1" s="831"/>
    </row>
    <row r="2" spans="1:96" ht="15" customHeight="1" x14ac:dyDescent="0.25">
      <c r="A2" s="825"/>
      <c r="B2" s="825"/>
      <c r="C2" s="833" t="s">
        <v>2052</v>
      </c>
      <c r="D2" s="2124" t="e">
        <v>#REF!</v>
      </c>
      <c r="E2" s="2124"/>
      <c r="F2" s="2124"/>
      <c r="G2" s="2124"/>
      <c r="H2" s="2124"/>
      <c r="I2" s="836"/>
      <c r="J2" s="836"/>
      <c r="L2" s="837"/>
      <c r="M2" s="837"/>
      <c r="N2" s="837"/>
      <c r="O2" s="837"/>
      <c r="S2" s="838"/>
      <c r="T2" s="838"/>
      <c r="AD2" s="830"/>
      <c r="AE2" s="830"/>
      <c r="AF2" s="830"/>
      <c r="AG2" s="830"/>
    </row>
    <row r="3" spans="1:96" ht="15" customHeight="1" x14ac:dyDescent="0.25">
      <c r="A3" s="825"/>
      <c r="B3" s="825"/>
      <c r="C3" s="833" t="s">
        <v>2224</v>
      </c>
      <c r="D3" s="1073" t="s">
        <v>1717</v>
      </c>
      <c r="E3" s="1073"/>
      <c r="F3" s="1073"/>
      <c r="G3" s="1073"/>
      <c r="H3" s="1073"/>
      <c r="I3" s="834" t="s">
        <v>2053</v>
      </c>
      <c r="J3" s="835">
        <v>44358</v>
      </c>
      <c r="L3" s="837"/>
      <c r="M3" s="837"/>
      <c r="N3" s="837"/>
      <c r="O3" s="837"/>
      <c r="S3" s="838"/>
      <c r="T3" s="838"/>
      <c r="AD3" s="830"/>
      <c r="AE3" s="830"/>
      <c r="AF3" s="830"/>
      <c r="AG3" s="830"/>
    </row>
    <row r="4" spans="1:96" s="842" customFormat="1" ht="12.75" customHeight="1" x14ac:dyDescent="0.25">
      <c r="A4" s="839" t="s">
        <v>2054</v>
      </c>
      <c r="B4" s="840"/>
      <c r="C4" s="839"/>
      <c r="D4" s="839"/>
      <c r="E4" s="841"/>
      <c r="F4" s="841"/>
      <c r="G4" s="840"/>
      <c r="H4" s="841"/>
      <c r="I4" s="841"/>
      <c r="J4" s="841"/>
      <c r="L4" s="843" t="s">
        <v>2055</v>
      </c>
      <c r="M4" s="843"/>
      <c r="N4" s="843"/>
      <c r="O4" s="843"/>
      <c r="Q4" s="844" t="s">
        <v>2056</v>
      </c>
      <c r="R4" s="844"/>
      <c r="S4" s="844"/>
      <c r="T4" s="844"/>
      <c r="U4" s="844"/>
      <c r="V4" s="844"/>
      <c r="X4" s="843" t="s">
        <v>2057</v>
      </c>
      <c r="Y4" s="843"/>
      <c r="Z4" s="843"/>
      <c r="AA4" s="843"/>
      <c r="AB4" s="843"/>
      <c r="AD4" s="2117" t="s">
        <v>2058</v>
      </c>
      <c r="AE4" s="2125" t="s">
        <v>2059</v>
      </c>
      <c r="AF4" s="845" t="s">
        <v>2060</v>
      </c>
      <c r="AG4" s="845"/>
      <c r="AH4" s="845"/>
      <c r="AI4" s="845"/>
      <c r="AJ4" s="845"/>
      <c r="AK4" s="845"/>
      <c r="AL4" s="845"/>
      <c r="AM4" s="845"/>
      <c r="AN4" s="845"/>
      <c r="AO4" s="845"/>
      <c r="AP4" s="2117" t="s">
        <v>2061</v>
      </c>
      <c r="AQ4" s="845"/>
      <c r="AR4" s="845" t="s">
        <v>2062</v>
      </c>
      <c r="AS4" s="845"/>
      <c r="AT4" s="845"/>
      <c r="AU4" s="845"/>
      <c r="AV4" s="845"/>
      <c r="AW4" s="845"/>
      <c r="AX4" s="845"/>
      <c r="AY4" s="845"/>
      <c r="AZ4" s="845"/>
      <c r="BA4" s="845"/>
      <c r="BB4" s="2117" t="s">
        <v>2063</v>
      </c>
      <c r="BC4" s="2117"/>
      <c r="BD4" s="845" t="s">
        <v>2064</v>
      </c>
      <c r="BE4" s="845"/>
      <c r="BF4" s="845"/>
      <c r="BG4" s="845"/>
      <c r="BH4" s="845"/>
      <c r="BI4" s="845"/>
      <c r="BJ4" s="845"/>
      <c r="BK4" s="845"/>
      <c r="BL4" s="845"/>
      <c r="BM4" s="845"/>
      <c r="BN4" s="2117" t="s">
        <v>2065</v>
      </c>
      <c r="BO4" s="2117"/>
      <c r="BP4" s="846" t="s">
        <v>1936</v>
      </c>
      <c r="BQ4" s="846"/>
      <c r="BR4" s="846"/>
      <c r="BS4" s="846"/>
      <c r="BT4" s="846"/>
      <c r="BU4" s="846"/>
      <c r="BV4" s="847" t="s">
        <v>2066</v>
      </c>
      <c r="BW4" s="847"/>
      <c r="BX4" s="2131" t="s">
        <v>2067</v>
      </c>
      <c r="BY4" s="2123" t="s">
        <v>2068</v>
      </c>
      <c r="BZ4" s="2132" t="s">
        <v>2069</v>
      </c>
      <c r="CA4" s="2132" t="s">
        <v>2070</v>
      </c>
      <c r="CB4" s="2132" t="s">
        <v>2071</v>
      </c>
      <c r="CC4" s="2132" t="s">
        <v>2072</v>
      </c>
      <c r="CD4" s="2123" t="s">
        <v>2073</v>
      </c>
      <c r="CE4" s="1120" t="s">
        <v>2074</v>
      </c>
      <c r="CF4" s="1120"/>
      <c r="CG4" s="1120"/>
      <c r="CH4" s="1120"/>
      <c r="CI4" s="1120"/>
      <c r="CJ4" s="1120"/>
      <c r="CK4" s="1120"/>
      <c r="CL4" s="1120"/>
      <c r="CM4" s="1120"/>
      <c r="CN4" s="1120"/>
      <c r="CO4" s="848"/>
      <c r="CP4" s="848"/>
      <c r="CQ4" s="848"/>
    </row>
    <row r="5" spans="1:96" s="842" customFormat="1" ht="12.75" customHeight="1" x14ac:dyDescent="0.25">
      <c r="A5" s="2129" t="s">
        <v>2075</v>
      </c>
      <c r="B5" s="849" t="s">
        <v>2076</v>
      </c>
      <c r="C5" s="850"/>
      <c r="D5" s="850"/>
      <c r="E5" s="851"/>
      <c r="F5" s="851"/>
      <c r="G5" s="849" t="s">
        <v>2077</v>
      </c>
      <c r="H5" s="851"/>
      <c r="I5" s="851"/>
      <c r="J5" s="2130" t="s">
        <v>2078</v>
      </c>
      <c r="L5" s="2127" t="s">
        <v>2079</v>
      </c>
      <c r="M5" s="2127" t="s">
        <v>2080</v>
      </c>
      <c r="N5" s="2127" t="s">
        <v>2081</v>
      </c>
      <c r="O5" s="2127" t="s">
        <v>2082</v>
      </c>
      <c r="Q5" s="2117" t="s">
        <v>2083</v>
      </c>
      <c r="R5" s="2128" t="s">
        <v>2084</v>
      </c>
      <c r="S5" s="852" t="s">
        <v>2085</v>
      </c>
      <c r="T5" s="852"/>
      <c r="U5" s="852"/>
      <c r="V5" s="2117" t="s">
        <v>2086</v>
      </c>
      <c r="X5" s="853" t="s">
        <v>2087</v>
      </c>
      <c r="Y5" s="853"/>
      <c r="Z5" s="2118" t="s">
        <v>2088</v>
      </c>
      <c r="AA5" s="2118" t="s">
        <v>2089</v>
      </c>
      <c r="AB5" s="2118" t="s">
        <v>2090</v>
      </c>
      <c r="AD5" s="2117"/>
      <c r="AE5" s="2125"/>
      <c r="AF5" s="854">
        <v>1.5</v>
      </c>
      <c r="AG5" s="854"/>
      <c r="AH5" s="854">
        <v>3</v>
      </c>
      <c r="AI5" s="854"/>
      <c r="AJ5" s="854">
        <v>4.5</v>
      </c>
      <c r="AK5" s="854"/>
      <c r="AL5" s="854">
        <v>6</v>
      </c>
      <c r="AM5" s="854"/>
      <c r="AN5" s="854">
        <v>7.5</v>
      </c>
      <c r="AO5" s="854"/>
      <c r="AP5" s="2117"/>
      <c r="AQ5" s="854"/>
      <c r="AR5" s="854">
        <v>1.5</v>
      </c>
      <c r="AS5" s="854">
        <v>3</v>
      </c>
      <c r="AT5" s="854">
        <v>4.5</v>
      </c>
      <c r="AU5" s="854">
        <v>4.5</v>
      </c>
      <c r="AV5" s="854">
        <v>1.5</v>
      </c>
      <c r="AW5" s="854">
        <v>3</v>
      </c>
      <c r="AX5" s="854">
        <v>4.5</v>
      </c>
      <c r="AY5" s="854">
        <v>4.5</v>
      </c>
      <c r="AZ5" s="854">
        <v>4.5</v>
      </c>
      <c r="BA5" s="854">
        <v>7</v>
      </c>
      <c r="BB5" s="2117"/>
      <c r="BC5" s="2117"/>
      <c r="BD5" s="2120" t="s">
        <v>2091</v>
      </c>
      <c r="BE5" s="2121">
        <v>400</v>
      </c>
      <c r="BF5" s="2122">
        <v>500</v>
      </c>
      <c r="BG5" s="2121">
        <v>600</v>
      </c>
      <c r="BH5" s="2122">
        <v>800</v>
      </c>
      <c r="BI5" s="2121">
        <v>1000</v>
      </c>
      <c r="BJ5" s="2122">
        <v>1200</v>
      </c>
      <c r="BK5" s="2121">
        <v>1500</v>
      </c>
      <c r="BL5" s="2122">
        <v>2000</v>
      </c>
      <c r="BM5" s="2121" t="s">
        <v>2092</v>
      </c>
      <c r="BN5" s="2117"/>
      <c r="BO5" s="2117"/>
      <c r="BP5" s="855">
        <v>500</v>
      </c>
      <c r="BQ5" s="2133">
        <v>800</v>
      </c>
      <c r="BR5" s="2133">
        <v>1000</v>
      </c>
      <c r="BS5" s="2133">
        <v>1200</v>
      </c>
      <c r="BT5" s="2133">
        <v>1500</v>
      </c>
      <c r="BU5" s="2133" t="s">
        <v>2092</v>
      </c>
      <c r="BV5" s="856"/>
      <c r="BW5" s="856"/>
      <c r="BX5" s="2131"/>
      <c r="BY5" s="2123"/>
      <c r="BZ5" s="2132"/>
      <c r="CA5" s="2132"/>
      <c r="CB5" s="2132"/>
      <c r="CC5" s="2132"/>
      <c r="CD5" s="2123"/>
      <c r="CE5" s="2115" t="s">
        <v>17</v>
      </c>
      <c r="CF5" s="1121">
        <v>1.5</v>
      </c>
      <c r="CG5" s="1118"/>
      <c r="CH5" s="1118"/>
      <c r="CI5" s="1119"/>
      <c r="CJ5" s="1128">
        <v>2.5</v>
      </c>
      <c r="CK5" s="1118"/>
      <c r="CL5" s="1118"/>
      <c r="CM5" s="1119"/>
      <c r="CN5" s="2115" t="s">
        <v>2550</v>
      </c>
      <c r="CO5" s="848"/>
      <c r="CP5" s="848"/>
      <c r="CQ5" s="848"/>
    </row>
    <row r="6" spans="1:96" s="857" customFormat="1" ht="25.5" customHeight="1" x14ac:dyDescent="0.25">
      <c r="A6" s="2129"/>
      <c r="B6" s="2134" t="s">
        <v>2093</v>
      </c>
      <c r="C6" s="2135" t="s">
        <v>2094</v>
      </c>
      <c r="D6" s="2135" t="s">
        <v>1739</v>
      </c>
      <c r="E6" s="2136" t="s">
        <v>2095</v>
      </c>
      <c r="F6" s="2136" t="s">
        <v>2096</v>
      </c>
      <c r="G6" s="2137" t="s">
        <v>2093</v>
      </c>
      <c r="H6" s="2138" t="s">
        <v>2095</v>
      </c>
      <c r="I6" s="2138" t="s">
        <v>2097</v>
      </c>
      <c r="J6" s="2130"/>
      <c r="L6" s="2127"/>
      <c r="M6" s="2127"/>
      <c r="N6" s="2127"/>
      <c r="O6" s="2127"/>
      <c r="Q6" s="2117"/>
      <c r="R6" s="2128"/>
      <c r="S6" s="2141" t="s">
        <v>2098</v>
      </c>
      <c r="T6" s="2141" t="s">
        <v>2099</v>
      </c>
      <c r="U6" s="2141" t="s">
        <v>2100</v>
      </c>
      <c r="V6" s="2117"/>
      <c r="X6" s="2142" t="s">
        <v>2101</v>
      </c>
      <c r="Y6" s="2142" t="s">
        <v>2102</v>
      </c>
      <c r="Z6" s="2118"/>
      <c r="AA6" s="2118"/>
      <c r="AB6" s="2118"/>
      <c r="AD6" s="2117"/>
      <c r="AE6" s="2125"/>
      <c r="AF6" s="858">
        <v>1.5</v>
      </c>
      <c r="AG6" s="858"/>
      <c r="AH6" s="859" t="s">
        <v>4167</v>
      </c>
      <c r="AI6" s="859"/>
      <c r="AJ6" s="860" t="s">
        <v>4168</v>
      </c>
      <c r="AK6" s="860"/>
      <c r="AL6" s="859" t="s">
        <v>4169</v>
      </c>
      <c r="AM6" s="859"/>
      <c r="AN6" s="861" t="s">
        <v>2322</v>
      </c>
      <c r="AO6" s="860"/>
      <c r="AP6" s="2117"/>
      <c r="AQ6" s="2126" t="s">
        <v>2103</v>
      </c>
      <c r="AR6" s="862">
        <v>1.5</v>
      </c>
      <c r="AS6" s="862"/>
      <c r="AT6" s="862"/>
      <c r="AU6" s="862"/>
      <c r="AV6" s="863">
        <v>2.5</v>
      </c>
      <c r="AW6" s="863"/>
      <c r="AX6" s="863"/>
      <c r="AY6" s="863"/>
      <c r="AZ6" s="864" t="s">
        <v>2104</v>
      </c>
      <c r="BA6" s="862"/>
      <c r="BB6" s="865" t="s">
        <v>2105</v>
      </c>
      <c r="BC6" s="865"/>
      <c r="BD6" s="2120"/>
      <c r="BE6" s="2121"/>
      <c r="BF6" s="2122"/>
      <c r="BG6" s="2121"/>
      <c r="BH6" s="2122"/>
      <c r="BI6" s="2121"/>
      <c r="BJ6" s="2122"/>
      <c r="BK6" s="2121"/>
      <c r="BL6" s="2122"/>
      <c r="BM6" s="2121"/>
      <c r="BN6" s="2119" t="s">
        <v>2106</v>
      </c>
      <c r="BO6" s="2119" t="s">
        <v>2107</v>
      </c>
      <c r="BP6" s="855" t="s">
        <v>2108</v>
      </c>
      <c r="BQ6" s="2133"/>
      <c r="BR6" s="2133"/>
      <c r="BS6" s="2133"/>
      <c r="BT6" s="2133"/>
      <c r="BU6" s="2133"/>
      <c r="BV6" s="866" t="s">
        <v>2109</v>
      </c>
      <c r="BW6" s="866" t="s">
        <v>2110</v>
      </c>
      <c r="BX6" s="2131"/>
      <c r="BY6" s="2123"/>
      <c r="BZ6" s="2132"/>
      <c r="CA6" s="2132"/>
      <c r="CB6" s="2132"/>
      <c r="CC6" s="2132"/>
      <c r="CD6" s="2123"/>
      <c r="CE6" s="2116"/>
      <c r="CF6" s="1125">
        <v>1.5</v>
      </c>
      <c r="CG6" s="1126">
        <v>3</v>
      </c>
      <c r="CH6" s="1126">
        <v>4.5</v>
      </c>
      <c r="CI6" s="1127">
        <v>6</v>
      </c>
      <c r="CJ6" s="1125">
        <v>1.5</v>
      </c>
      <c r="CK6" s="1126">
        <v>3</v>
      </c>
      <c r="CL6" s="1126">
        <v>4.5</v>
      </c>
      <c r="CM6" s="1127">
        <v>6</v>
      </c>
      <c r="CN6" s="2116"/>
      <c r="CO6" s="867"/>
      <c r="CP6" s="867"/>
      <c r="CQ6" s="867"/>
    </row>
    <row r="7" spans="1:96" s="857" customFormat="1" x14ac:dyDescent="0.25">
      <c r="A7" s="2129"/>
      <c r="B7" s="2134"/>
      <c r="C7" s="2135"/>
      <c r="D7" s="2135"/>
      <c r="E7" s="2136"/>
      <c r="F7" s="2136"/>
      <c r="G7" s="2137"/>
      <c r="H7" s="2138"/>
      <c r="I7" s="2138"/>
      <c r="J7" s="868"/>
      <c r="L7" s="2127"/>
      <c r="M7" s="2127"/>
      <c r="N7" s="2127"/>
      <c r="O7" s="2127"/>
      <c r="Q7" s="2117"/>
      <c r="R7" s="2128"/>
      <c r="S7" s="2141"/>
      <c r="T7" s="2141"/>
      <c r="U7" s="2141"/>
      <c r="V7" s="2117"/>
      <c r="X7" s="2142"/>
      <c r="Y7" s="2142"/>
      <c r="Z7" s="2118"/>
      <c r="AA7" s="2118"/>
      <c r="AB7" s="2118"/>
      <c r="AD7" s="2117"/>
      <c r="AE7" s="2125"/>
      <c r="AF7" s="869">
        <v>1.5</v>
      </c>
      <c r="AG7" s="869" t="s">
        <v>2111</v>
      </c>
      <c r="AH7" s="870">
        <v>1.5</v>
      </c>
      <c r="AI7" s="870" t="s">
        <v>2111</v>
      </c>
      <c r="AJ7" s="869">
        <v>1.5</v>
      </c>
      <c r="AK7" s="869" t="s">
        <v>2111</v>
      </c>
      <c r="AL7" s="870">
        <v>1.5</v>
      </c>
      <c r="AM7" s="870" t="s">
        <v>2111</v>
      </c>
      <c r="AN7" s="1102" t="s">
        <v>2323</v>
      </c>
      <c r="AO7" s="1102"/>
      <c r="AP7" s="2117"/>
      <c r="AQ7" s="2126"/>
      <c r="AR7" s="871">
        <v>1.5</v>
      </c>
      <c r="AS7" s="872" t="s">
        <v>4170</v>
      </c>
      <c r="AT7" s="872" t="s">
        <v>4171</v>
      </c>
      <c r="AU7" s="873">
        <v>4.5</v>
      </c>
      <c r="AV7" s="874">
        <v>1.5</v>
      </c>
      <c r="AW7" s="875" t="s">
        <v>4170</v>
      </c>
      <c r="AX7" s="875" t="s">
        <v>4171</v>
      </c>
      <c r="AY7" s="876">
        <v>4.5</v>
      </c>
      <c r="AZ7" s="877" t="s">
        <v>2112</v>
      </c>
      <c r="BA7" s="872" t="s">
        <v>2112</v>
      </c>
      <c r="BB7" s="878">
        <v>1.5</v>
      </c>
      <c r="BC7" s="879">
        <v>1.5</v>
      </c>
      <c r="BD7" s="2120"/>
      <c r="BE7" s="2121"/>
      <c r="BF7" s="2122"/>
      <c r="BG7" s="2121"/>
      <c r="BH7" s="2122"/>
      <c r="BI7" s="2121"/>
      <c r="BJ7" s="2122"/>
      <c r="BK7" s="2121"/>
      <c r="BL7" s="2122"/>
      <c r="BM7" s="2121"/>
      <c r="BN7" s="2119"/>
      <c r="BO7" s="2119"/>
      <c r="BP7" s="855">
        <v>600</v>
      </c>
      <c r="BQ7" s="2133"/>
      <c r="BR7" s="2133"/>
      <c r="BS7" s="2133"/>
      <c r="BT7" s="2133"/>
      <c r="BU7" s="2133"/>
      <c r="BV7" s="856"/>
      <c r="BW7" s="856"/>
      <c r="BX7" s="2131"/>
      <c r="BY7" s="2123"/>
      <c r="BZ7" s="2132"/>
      <c r="CA7" s="2132"/>
      <c r="CB7" s="2132"/>
      <c r="CC7" s="2132"/>
      <c r="CD7" s="2123"/>
      <c r="CE7" s="2116"/>
      <c r="CF7" s="1124"/>
      <c r="CG7" s="1122" t="s">
        <v>4172</v>
      </c>
      <c r="CH7" s="1122" t="s">
        <v>4173</v>
      </c>
      <c r="CI7" s="1123" t="s">
        <v>4174</v>
      </c>
      <c r="CJ7" s="1124"/>
      <c r="CK7" s="1122" t="s">
        <v>4172</v>
      </c>
      <c r="CL7" s="1122" t="s">
        <v>4173</v>
      </c>
      <c r="CM7" s="1123" t="s">
        <v>4174</v>
      </c>
      <c r="CN7" s="2116"/>
      <c r="CO7" s="867"/>
      <c r="CP7" s="867"/>
      <c r="CQ7" s="867"/>
    </row>
    <row r="8" spans="1:96" s="887" customFormat="1" x14ac:dyDescent="0.25">
      <c r="A8" s="880" t="s">
        <v>35</v>
      </c>
      <c r="B8" s="881" t="s">
        <v>35</v>
      </c>
      <c r="C8" s="882" t="s">
        <v>2113</v>
      </c>
      <c r="D8" s="882" t="s">
        <v>35</v>
      </c>
      <c r="E8" s="883" t="s">
        <v>26</v>
      </c>
      <c r="F8" s="883" t="s">
        <v>26</v>
      </c>
      <c r="G8" s="884" t="s">
        <v>35</v>
      </c>
      <c r="H8" s="885" t="s">
        <v>26</v>
      </c>
      <c r="I8" s="885" t="s">
        <v>26</v>
      </c>
      <c r="J8" s="886" t="s">
        <v>26</v>
      </c>
      <c r="L8" s="888" t="s">
        <v>26</v>
      </c>
      <c r="M8" s="888" t="s">
        <v>26</v>
      </c>
      <c r="N8" s="888" t="s">
        <v>26</v>
      </c>
      <c r="O8" s="888" t="s">
        <v>26</v>
      </c>
      <c r="Q8" s="889" t="s">
        <v>26</v>
      </c>
      <c r="R8" s="890" t="s">
        <v>35</v>
      </c>
      <c r="S8" s="891" t="s">
        <v>26</v>
      </c>
      <c r="T8" s="891" t="s">
        <v>26</v>
      </c>
      <c r="U8" s="891" t="s">
        <v>26</v>
      </c>
      <c r="V8" s="889" t="s">
        <v>26</v>
      </c>
      <c r="X8" s="892" t="s">
        <v>20</v>
      </c>
      <c r="Y8" s="892" t="s">
        <v>20</v>
      </c>
      <c r="Z8" s="888" t="s">
        <v>20</v>
      </c>
      <c r="AA8" s="888" t="s">
        <v>20</v>
      </c>
      <c r="AB8" s="888" t="s">
        <v>20</v>
      </c>
      <c r="AD8" s="893" t="s">
        <v>20</v>
      </c>
      <c r="AE8" s="894" t="s">
        <v>28</v>
      </c>
      <c r="AF8" s="895" t="s">
        <v>28</v>
      </c>
      <c r="AG8" s="895"/>
      <c r="AH8" s="896" t="s">
        <v>28</v>
      </c>
      <c r="AI8" s="896"/>
      <c r="AJ8" s="895" t="s">
        <v>28</v>
      </c>
      <c r="AK8" s="895"/>
      <c r="AL8" s="896" t="s">
        <v>28</v>
      </c>
      <c r="AM8" s="896"/>
      <c r="AN8" s="895"/>
      <c r="AO8" s="895" t="s">
        <v>28</v>
      </c>
      <c r="AP8" s="893" t="s">
        <v>20</v>
      </c>
      <c r="AQ8" s="2126"/>
      <c r="AR8" s="895" t="s">
        <v>20</v>
      </c>
      <c r="AS8" s="895" t="s">
        <v>20</v>
      </c>
      <c r="AT8" s="895" t="s">
        <v>20</v>
      </c>
      <c r="AU8" s="895" t="s">
        <v>20</v>
      </c>
      <c r="AV8" s="897" t="s">
        <v>20</v>
      </c>
      <c r="AW8" s="897" t="s">
        <v>20</v>
      </c>
      <c r="AX8" s="897" t="s">
        <v>20</v>
      </c>
      <c r="AY8" s="897" t="s">
        <v>20</v>
      </c>
      <c r="AZ8" s="895" t="s">
        <v>20</v>
      </c>
      <c r="BA8" s="895" t="s">
        <v>20</v>
      </c>
      <c r="BB8" s="898" t="s">
        <v>28</v>
      </c>
      <c r="BC8" s="898"/>
      <c r="BD8" s="2120"/>
      <c r="BE8" s="897" t="s">
        <v>26</v>
      </c>
      <c r="BF8" s="899" t="s">
        <v>26</v>
      </c>
      <c r="BG8" s="897" t="s">
        <v>26</v>
      </c>
      <c r="BH8" s="899" t="s">
        <v>26</v>
      </c>
      <c r="BI8" s="897" t="s">
        <v>26</v>
      </c>
      <c r="BJ8" s="899" t="s">
        <v>26</v>
      </c>
      <c r="BK8" s="897" t="s">
        <v>26</v>
      </c>
      <c r="BL8" s="899" t="s">
        <v>26</v>
      </c>
      <c r="BM8" s="897" t="s">
        <v>26</v>
      </c>
      <c r="BN8" s="900" t="s">
        <v>39</v>
      </c>
      <c r="BO8" s="900" t="s">
        <v>39</v>
      </c>
      <c r="BP8" s="901" t="s">
        <v>39</v>
      </c>
      <c r="BQ8" s="901" t="s">
        <v>39</v>
      </c>
      <c r="BR8" s="901" t="s">
        <v>39</v>
      </c>
      <c r="BS8" s="901" t="s">
        <v>39</v>
      </c>
      <c r="BT8" s="901" t="s">
        <v>39</v>
      </c>
      <c r="BU8" s="901" t="s">
        <v>2114</v>
      </c>
      <c r="BV8" s="902" t="s">
        <v>26</v>
      </c>
      <c r="BW8" s="902" t="s">
        <v>26</v>
      </c>
      <c r="BX8" s="1103" t="s">
        <v>39</v>
      </c>
      <c r="BY8" s="901" t="s">
        <v>39</v>
      </c>
      <c r="BZ8" s="903" t="s">
        <v>39</v>
      </c>
      <c r="CA8" s="903" t="s">
        <v>39</v>
      </c>
      <c r="CB8" s="903" t="s">
        <v>39</v>
      </c>
      <c r="CC8" s="903"/>
      <c r="CD8" s="901" t="s">
        <v>28</v>
      </c>
      <c r="CE8" s="903" t="s">
        <v>28</v>
      </c>
      <c r="CF8" s="903"/>
      <c r="CG8" s="903"/>
      <c r="CH8" s="903"/>
      <c r="CI8" s="903"/>
      <c r="CJ8" s="903"/>
      <c r="CK8" s="903"/>
      <c r="CL8" s="903"/>
      <c r="CM8" s="903"/>
      <c r="CN8" s="903"/>
      <c r="CO8" s="904"/>
      <c r="CP8" s="904"/>
      <c r="CQ8" s="904"/>
    </row>
    <row r="9" spans="1:96" s="842" customFormat="1" x14ac:dyDescent="0.25">
      <c r="A9" s="905"/>
      <c r="B9" s="887"/>
      <c r="C9" s="905"/>
      <c r="D9" s="905"/>
      <c r="E9" s="848"/>
      <c r="F9" s="848"/>
      <c r="G9" s="887"/>
      <c r="H9" s="848"/>
      <c r="I9" s="848"/>
      <c r="J9" s="906"/>
      <c r="L9" s="848"/>
      <c r="M9" s="848"/>
      <c r="N9" s="848"/>
      <c r="O9" s="848"/>
      <c r="Q9" s="848"/>
      <c r="R9" s="887"/>
      <c r="S9" s="904"/>
      <c r="T9" s="904"/>
      <c r="U9" s="848"/>
      <c r="V9" s="848"/>
      <c r="X9" s="848"/>
      <c r="Y9" s="848"/>
      <c r="Z9" s="848"/>
      <c r="AA9" s="848"/>
      <c r="AB9" s="848"/>
      <c r="AD9" s="904"/>
      <c r="AE9" s="904"/>
      <c r="AF9" s="904"/>
      <c r="AG9" s="904"/>
      <c r="AH9" s="904"/>
      <c r="AI9" s="904"/>
      <c r="AJ9" s="904"/>
      <c r="AK9" s="904"/>
      <c r="AL9" s="904"/>
      <c r="AM9" s="904"/>
      <c r="AN9" s="904"/>
      <c r="AO9" s="904"/>
      <c r="AP9" s="904"/>
      <c r="AQ9" s="904"/>
      <c r="AR9" s="904"/>
      <c r="AS9" s="904"/>
      <c r="AT9" s="904"/>
      <c r="AU9" s="904"/>
      <c r="AV9" s="904"/>
      <c r="AW9" s="904"/>
      <c r="AX9" s="904"/>
      <c r="AY9" s="904"/>
      <c r="AZ9" s="904"/>
      <c r="BA9" s="904"/>
      <c r="BB9" s="904"/>
      <c r="BC9" s="904"/>
      <c r="BD9" s="904"/>
      <c r="BE9" s="848"/>
      <c r="BF9" s="848"/>
      <c r="BG9" s="848"/>
      <c r="BH9" s="848"/>
      <c r="BI9" s="848"/>
      <c r="BJ9" s="848"/>
      <c r="BK9" s="848"/>
      <c r="BL9" s="848"/>
      <c r="BM9" s="848"/>
      <c r="BN9" s="907"/>
      <c r="BO9" s="907"/>
      <c r="BP9" s="908"/>
      <c r="BQ9" s="908"/>
      <c r="BR9" s="908"/>
      <c r="BS9" s="908"/>
      <c r="BT9" s="908"/>
      <c r="BU9" s="908"/>
      <c r="BV9" s="908"/>
      <c r="BW9" s="908"/>
      <c r="BX9" s="907"/>
      <c r="BY9" s="907"/>
      <c r="BZ9" s="907"/>
      <c r="CA9" s="907"/>
      <c r="CB9" s="907"/>
      <c r="CC9" s="907"/>
      <c r="CD9" s="848"/>
      <c r="CE9" s="904"/>
      <c r="CF9" s="904"/>
      <c r="CG9" s="904"/>
      <c r="CH9" s="904"/>
      <c r="CI9" s="904"/>
      <c r="CJ9" s="904"/>
      <c r="CK9" s="904"/>
      <c r="CL9" s="904"/>
      <c r="CM9" s="904"/>
      <c r="CN9" s="904"/>
      <c r="CO9" s="848"/>
      <c r="CP9" s="848"/>
      <c r="CQ9" s="848"/>
    </row>
    <row r="10" spans="1:96" x14ac:dyDescent="0.25">
      <c r="A10" s="909" t="s">
        <v>2115</v>
      </c>
      <c r="B10" s="910"/>
      <c r="C10" s="911"/>
      <c r="D10" s="911"/>
      <c r="E10" s="912"/>
      <c r="F10" s="913"/>
      <c r="G10" s="910"/>
      <c r="H10" s="912"/>
      <c r="I10" s="913"/>
      <c r="J10" s="914"/>
      <c r="K10" s="915"/>
      <c r="L10" s="916" t="s">
        <v>21</v>
      </c>
      <c r="M10" s="916" t="s">
        <v>21</v>
      </c>
      <c r="N10" s="916" t="s">
        <v>21</v>
      </c>
      <c r="O10" s="916" t="s">
        <v>21</v>
      </c>
      <c r="P10" s="915"/>
      <c r="Q10" s="916" t="s">
        <v>21</v>
      </c>
      <c r="R10" s="917" t="s">
        <v>21</v>
      </c>
      <c r="S10" s="918" t="s">
        <v>21</v>
      </c>
      <c r="T10" s="918" t="s">
        <v>21</v>
      </c>
      <c r="U10" s="916" t="s">
        <v>21</v>
      </c>
      <c r="V10" s="916" t="s">
        <v>21</v>
      </c>
      <c r="W10" s="915"/>
      <c r="X10" s="916" t="s">
        <v>21</v>
      </c>
      <c r="Y10" s="916" t="s">
        <v>21</v>
      </c>
      <c r="Z10" s="916" t="s">
        <v>21</v>
      </c>
      <c r="AA10" s="916" t="s">
        <v>21</v>
      </c>
      <c r="AB10" s="916" t="s">
        <v>21</v>
      </c>
      <c r="AC10" s="915"/>
      <c r="AD10" s="919"/>
      <c r="AE10" s="920"/>
      <c r="AF10" s="920" t="s">
        <v>21</v>
      </c>
      <c r="AG10" s="920" t="s">
        <v>21</v>
      </c>
      <c r="AH10" s="921" t="s">
        <v>21</v>
      </c>
      <c r="AI10" s="921" t="s">
        <v>21</v>
      </c>
      <c r="AJ10" s="920" t="s">
        <v>21</v>
      </c>
      <c r="AK10" s="920" t="s">
        <v>21</v>
      </c>
      <c r="AL10" s="921" t="s">
        <v>21</v>
      </c>
      <c r="AM10" s="921" t="s">
        <v>21</v>
      </c>
      <c r="AN10" s="920"/>
      <c r="AO10" s="920" t="s">
        <v>21</v>
      </c>
      <c r="AP10" s="919" t="s">
        <v>21</v>
      </c>
      <c r="AQ10" s="922" t="s">
        <v>21</v>
      </c>
      <c r="AR10" s="923" t="s">
        <v>21</v>
      </c>
      <c r="AS10" s="923" t="s">
        <v>21</v>
      </c>
      <c r="AT10" s="923" t="s">
        <v>21</v>
      </c>
      <c r="AU10" s="923" t="s">
        <v>21</v>
      </c>
      <c r="AV10" s="924" t="s">
        <v>21</v>
      </c>
      <c r="AW10" s="924" t="s">
        <v>21</v>
      </c>
      <c r="AX10" s="924" t="s">
        <v>21</v>
      </c>
      <c r="AY10" s="924" t="s">
        <v>21</v>
      </c>
      <c r="AZ10" s="923" t="s">
        <v>21</v>
      </c>
      <c r="BA10" s="923"/>
      <c r="BB10" s="919" t="s">
        <v>21</v>
      </c>
      <c r="BC10" s="919" t="s">
        <v>21</v>
      </c>
      <c r="BD10" s="919" t="s">
        <v>21</v>
      </c>
      <c r="BE10" s="925" t="s">
        <v>21</v>
      </c>
      <c r="BF10" s="926" t="s">
        <v>21</v>
      </c>
      <c r="BG10" s="925" t="s">
        <v>21</v>
      </c>
      <c r="BH10" s="926" t="s">
        <v>21</v>
      </c>
      <c r="BI10" s="925" t="s">
        <v>21</v>
      </c>
      <c r="BJ10" s="926" t="s">
        <v>21</v>
      </c>
      <c r="BK10" s="925" t="s">
        <v>21</v>
      </c>
      <c r="BL10" s="926" t="s">
        <v>21</v>
      </c>
      <c r="BM10" s="925" t="s">
        <v>21</v>
      </c>
      <c r="BN10" s="927"/>
      <c r="BO10" s="927"/>
      <c r="BP10" s="928" t="s">
        <v>21</v>
      </c>
      <c r="BQ10" s="928" t="s">
        <v>21</v>
      </c>
      <c r="BR10" s="928" t="s">
        <v>21</v>
      </c>
      <c r="BS10" s="928" t="s">
        <v>21</v>
      </c>
      <c r="BT10" s="928" t="s">
        <v>21</v>
      </c>
      <c r="BU10" s="928" t="s">
        <v>21</v>
      </c>
      <c r="BV10" s="929" t="s">
        <v>21</v>
      </c>
      <c r="BW10" s="929" t="s">
        <v>21</v>
      </c>
      <c r="BX10" s="1104" t="s">
        <v>21</v>
      </c>
      <c r="BY10" s="931" t="s">
        <v>21</v>
      </c>
      <c r="BZ10" s="930" t="s">
        <v>21</v>
      </c>
      <c r="CA10" s="1074" t="s">
        <v>21</v>
      </c>
      <c r="CB10" s="930" t="s">
        <v>21</v>
      </c>
      <c r="CC10" s="930" t="s">
        <v>21</v>
      </c>
      <c r="CD10" s="925" t="s">
        <v>21</v>
      </c>
      <c r="CE10" s="1130" t="s">
        <v>21</v>
      </c>
      <c r="CF10" s="1129" t="s">
        <v>21</v>
      </c>
      <c r="CG10" s="1130" t="s">
        <v>21</v>
      </c>
      <c r="CH10" s="1130" t="s">
        <v>21</v>
      </c>
      <c r="CI10" s="1131" t="s">
        <v>21</v>
      </c>
      <c r="CJ10" s="1129" t="s">
        <v>21</v>
      </c>
      <c r="CK10" s="1130" t="s">
        <v>21</v>
      </c>
      <c r="CL10" s="1130" t="s">
        <v>21</v>
      </c>
      <c r="CM10" s="1131" t="s">
        <v>21</v>
      </c>
      <c r="CN10" s="1130" t="s">
        <v>21</v>
      </c>
      <c r="CR10" s="836"/>
    </row>
    <row r="11" spans="1:96" x14ac:dyDescent="0.25">
      <c r="A11" s="1075" t="s">
        <v>2479</v>
      </c>
      <c r="B11" s="932" t="s">
        <v>2225</v>
      </c>
      <c r="C11" s="911">
        <v>600</v>
      </c>
      <c r="D11" s="911" t="s">
        <v>2116</v>
      </c>
      <c r="E11" s="912">
        <v>1193.3499999999999</v>
      </c>
      <c r="F11" s="912">
        <v>1191.45</v>
      </c>
      <c r="G11" s="910" t="s">
        <v>2226</v>
      </c>
      <c r="H11" s="912">
        <v>1190.93</v>
      </c>
      <c r="I11" s="912">
        <v>1189.03</v>
      </c>
      <c r="J11" s="914">
        <v>50.8</v>
      </c>
      <c r="K11" s="915"/>
      <c r="L11" s="916">
        <v>0.1</v>
      </c>
      <c r="M11" s="916">
        <v>0.06</v>
      </c>
      <c r="N11" s="916">
        <v>0.2</v>
      </c>
      <c r="O11" s="916">
        <v>4.84</v>
      </c>
      <c r="P11" s="915"/>
      <c r="Q11" s="916">
        <v>2.16</v>
      </c>
      <c r="R11" s="917">
        <v>0.33333333333333331</v>
      </c>
      <c r="S11" s="918">
        <v>1.4</v>
      </c>
      <c r="T11" s="918">
        <v>2.84</v>
      </c>
      <c r="U11" s="916">
        <v>4.5540000000000003</v>
      </c>
      <c r="V11" s="916">
        <v>0.92</v>
      </c>
      <c r="W11" s="915"/>
      <c r="X11" s="916">
        <v>0.28299999999999997</v>
      </c>
      <c r="Y11" s="916">
        <v>0.40699999999999997</v>
      </c>
      <c r="Z11" s="916">
        <v>4.5789999999999997</v>
      </c>
      <c r="AA11" s="916">
        <v>1.0229999999999999</v>
      </c>
      <c r="AB11" s="916">
        <v>3.0089999999999999</v>
      </c>
      <c r="AC11" s="915"/>
      <c r="AD11" s="919">
        <v>245.87200000000001</v>
      </c>
      <c r="AE11" s="920">
        <v>232.613</v>
      </c>
      <c r="AF11" s="920" t="s">
        <v>21</v>
      </c>
      <c r="AG11" s="920" t="s">
        <v>21</v>
      </c>
      <c r="AH11" s="921">
        <v>232.613</v>
      </c>
      <c r="AI11" s="921" t="s">
        <v>21</v>
      </c>
      <c r="AJ11" s="920" t="s">
        <v>21</v>
      </c>
      <c r="AK11" s="920" t="s">
        <v>21</v>
      </c>
      <c r="AL11" s="921" t="s">
        <v>21</v>
      </c>
      <c r="AM11" s="921" t="s">
        <v>21</v>
      </c>
      <c r="AN11" s="920"/>
      <c r="AO11" s="920" t="s">
        <v>21</v>
      </c>
      <c r="AP11" s="919">
        <v>71.12</v>
      </c>
      <c r="AQ11" s="933">
        <v>231.3432</v>
      </c>
      <c r="AR11" s="925" t="s">
        <v>21</v>
      </c>
      <c r="AS11" s="925">
        <v>231.3432</v>
      </c>
      <c r="AT11" s="925" t="s">
        <v>21</v>
      </c>
      <c r="AU11" s="925" t="s">
        <v>21</v>
      </c>
      <c r="AV11" s="926" t="s">
        <v>21</v>
      </c>
      <c r="AW11" s="926" t="s">
        <v>21</v>
      </c>
      <c r="AX11" s="926" t="s">
        <v>21</v>
      </c>
      <c r="AY11" s="926" t="s">
        <v>21</v>
      </c>
      <c r="AZ11" s="925" t="s">
        <v>21</v>
      </c>
      <c r="BA11" s="925"/>
      <c r="BB11" s="919">
        <v>7.1120000000000001</v>
      </c>
      <c r="BC11" s="919" t="s">
        <v>21</v>
      </c>
      <c r="BD11" s="919" t="s">
        <v>2142</v>
      </c>
      <c r="BE11" s="925" t="s">
        <v>21</v>
      </c>
      <c r="BF11" s="926" t="s">
        <v>21</v>
      </c>
      <c r="BG11" s="925">
        <v>50.8</v>
      </c>
      <c r="BH11" s="926" t="s">
        <v>21</v>
      </c>
      <c r="BI11" s="925" t="s">
        <v>21</v>
      </c>
      <c r="BJ11" s="926" t="s">
        <v>21</v>
      </c>
      <c r="BK11" s="925" t="s">
        <v>21</v>
      </c>
      <c r="BL11" s="926" t="s">
        <v>21</v>
      </c>
      <c r="BM11" s="925" t="s">
        <v>21</v>
      </c>
      <c r="BN11" s="927"/>
      <c r="BO11" s="927"/>
      <c r="BP11" s="928">
        <v>1</v>
      </c>
      <c r="BQ11" s="928" t="s">
        <v>21</v>
      </c>
      <c r="BR11" s="928" t="s">
        <v>21</v>
      </c>
      <c r="BS11" s="928" t="s">
        <v>21</v>
      </c>
      <c r="BT11" s="928" t="s">
        <v>21</v>
      </c>
      <c r="BU11" s="928" t="s">
        <v>21</v>
      </c>
      <c r="BV11" s="934">
        <v>0.49999999999986366</v>
      </c>
      <c r="BW11" s="934">
        <v>0.5</v>
      </c>
      <c r="BX11" s="1104">
        <v>1</v>
      </c>
      <c r="BY11" s="931">
        <v>3</v>
      </c>
      <c r="BZ11" s="930" t="s">
        <v>21</v>
      </c>
      <c r="CA11" s="1074">
        <v>1</v>
      </c>
      <c r="CB11" s="930" t="s">
        <v>21</v>
      </c>
      <c r="CC11" s="930" t="s">
        <v>21</v>
      </c>
      <c r="CD11" s="925">
        <v>51.968000000000004</v>
      </c>
      <c r="CE11" s="1130">
        <v>152.857</v>
      </c>
      <c r="CF11" s="1129" t="s">
        <v>21</v>
      </c>
      <c r="CG11" s="1130" t="s">
        <v>21</v>
      </c>
      <c r="CH11" s="1130" t="s">
        <v>21</v>
      </c>
      <c r="CI11" s="1131" t="s">
        <v>21</v>
      </c>
      <c r="CJ11" s="1129" t="s">
        <v>21</v>
      </c>
      <c r="CK11" s="1130">
        <v>152.857</v>
      </c>
      <c r="CL11" s="1130" t="s">
        <v>21</v>
      </c>
      <c r="CM11" s="1131" t="s">
        <v>21</v>
      </c>
      <c r="CN11" s="1130" t="s">
        <v>21</v>
      </c>
      <c r="CP11" s="838" t="s">
        <v>21</v>
      </c>
      <c r="CQ11" s="838" t="s">
        <v>21</v>
      </c>
      <c r="CR11" s="836"/>
    </row>
    <row r="12" spans="1:96" x14ac:dyDescent="0.25">
      <c r="A12" s="935"/>
      <c r="B12" s="932" t="s">
        <v>2226</v>
      </c>
      <c r="C12" s="911">
        <v>600</v>
      </c>
      <c r="D12" s="911" t="s">
        <v>2116</v>
      </c>
      <c r="E12" s="912">
        <v>1190.93</v>
      </c>
      <c r="F12" s="912">
        <v>1188.93</v>
      </c>
      <c r="G12" s="910" t="s">
        <v>2227</v>
      </c>
      <c r="H12" s="912">
        <v>1189.8399999999999</v>
      </c>
      <c r="I12" s="912">
        <v>1187.94</v>
      </c>
      <c r="J12" s="914">
        <v>50.8</v>
      </c>
      <c r="K12" s="915"/>
      <c r="L12" s="916">
        <v>0.1</v>
      </c>
      <c r="M12" s="916">
        <v>0.06</v>
      </c>
      <c r="N12" s="916">
        <v>0.2</v>
      </c>
      <c r="O12" s="916">
        <v>4.8730000000000002</v>
      </c>
      <c r="P12" s="915"/>
      <c r="Q12" s="916">
        <v>2.21</v>
      </c>
      <c r="R12" s="917">
        <v>0.33333333333333331</v>
      </c>
      <c r="S12" s="918">
        <v>1.4</v>
      </c>
      <c r="T12" s="918">
        <v>2.8730000000000002</v>
      </c>
      <c r="U12" s="916">
        <v>4.6589999999999998</v>
      </c>
      <c r="V12" s="916">
        <v>0.92</v>
      </c>
      <c r="W12" s="915"/>
      <c r="X12" s="916">
        <v>0.28299999999999997</v>
      </c>
      <c r="Y12" s="916">
        <v>0.40699999999999997</v>
      </c>
      <c r="Z12" s="916">
        <v>4.7220000000000004</v>
      </c>
      <c r="AA12" s="916">
        <v>1.0229999999999999</v>
      </c>
      <c r="AB12" s="916">
        <v>3.1520000000000001</v>
      </c>
      <c r="AC12" s="915"/>
      <c r="AD12" s="919">
        <v>247.548</v>
      </c>
      <c r="AE12" s="920">
        <v>239.87799999999999</v>
      </c>
      <c r="AF12" s="920" t="s">
        <v>21</v>
      </c>
      <c r="AG12" s="920" t="s">
        <v>21</v>
      </c>
      <c r="AH12" s="921">
        <v>239.87799999999999</v>
      </c>
      <c r="AI12" s="921" t="s">
        <v>21</v>
      </c>
      <c r="AJ12" s="920" t="s">
        <v>21</v>
      </c>
      <c r="AK12" s="920" t="s">
        <v>21</v>
      </c>
      <c r="AL12" s="921" t="s">
        <v>21</v>
      </c>
      <c r="AM12" s="921" t="s">
        <v>21</v>
      </c>
      <c r="AN12" s="920"/>
      <c r="AO12" s="920" t="s">
        <v>21</v>
      </c>
      <c r="AP12" s="919">
        <v>71.12</v>
      </c>
      <c r="AQ12" s="933">
        <v>236.67719999999997</v>
      </c>
      <c r="AR12" s="925" t="s">
        <v>21</v>
      </c>
      <c r="AS12" s="925">
        <v>236.67719999999997</v>
      </c>
      <c r="AT12" s="925" t="s">
        <v>21</v>
      </c>
      <c r="AU12" s="925" t="s">
        <v>21</v>
      </c>
      <c r="AV12" s="926" t="s">
        <v>21</v>
      </c>
      <c r="AW12" s="926" t="s">
        <v>21</v>
      </c>
      <c r="AX12" s="926" t="s">
        <v>21</v>
      </c>
      <c r="AY12" s="926" t="s">
        <v>21</v>
      </c>
      <c r="AZ12" s="925" t="s">
        <v>21</v>
      </c>
      <c r="BA12" s="925"/>
      <c r="BB12" s="919">
        <v>7.1120000000000001</v>
      </c>
      <c r="BC12" s="919" t="s">
        <v>21</v>
      </c>
      <c r="BD12" s="919" t="s">
        <v>2142</v>
      </c>
      <c r="BE12" s="925" t="s">
        <v>21</v>
      </c>
      <c r="BF12" s="926" t="s">
        <v>21</v>
      </c>
      <c r="BG12" s="925">
        <v>50.8</v>
      </c>
      <c r="BH12" s="926" t="s">
        <v>21</v>
      </c>
      <c r="BI12" s="925" t="s">
        <v>21</v>
      </c>
      <c r="BJ12" s="926" t="s">
        <v>21</v>
      </c>
      <c r="BK12" s="925" t="s">
        <v>21</v>
      </c>
      <c r="BL12" s="926" t="s">
        <v>21</v>
      </c>
      <c r="BM12" s="925" t="s">
        <v>21</v>
      </c>
      <c r="BN12" s="927"/>
      <c r="BO12" s="927"/>
      <c r="BP12" s="928">
        <v>1</v>
      </c>
      <c r="BQ12" s="928" t="s">
        <v>21</v>
      </c>
      <c r="BR12" s="928" t="s">
        <v>21</v>
      </c>
      <c r="BS12" s="928" t="s">
        <v>21</v>
      </c>
      <c r="BT12" s="928" t="s">
        <v>21</v>
      </c>
      <c r="BU12" s="928" t="s">
        <v>21</v>
      </c>
      <c r="BV12" s="934">
        <v>0.60000000000000009</v>
      </c>
      <c r="BW12" s="934">
        <v>1</v>
      </c>
      <c r="BX12" s="1104">
        <v>2</v>
      </c>
      <c r="BY12" s="931">
        <v>4</v>
      </c>
      <c r="BZ12" s="930" t="s">
        <v>21</v>
      </c>
      <c r="CA12" s="1074">
        <v>1</v>
      </c>
      <c r="CB12" s="930" t="s">
        <v>21</v>
      </c>
      <c r="CC12" s="930" t="s">
        <v>21</v>
      </c>
      <c r="CD12" s="925">
        <v>51.968000000000004</v>
      </c>
      <c r="CE12" s="1130">
        <v>160.12200000000001</v>
      </c>
      <c r="CF12" s="1129" t="s">
        <v>21</v>
      </c>
      <c r="CG12" s="1130" t="s">
        <v>21</v>
      </c>
      <c r="CH12" s="1130" t="s">
        <v>21</v>
      </c>
      <c r="CI12" s="1131" t="s">
        <v>21</v>
      </c>
      <c r="CJ12" s="1129" t="s">
        <v>21</v>
      </c>
      <c r="CK12" s="1130">
        <v>160.12200000000001</v>
      </c>
      <c r="CL12" s="1130" t="s">
        <v>21</v>
      </c>
      <c r="CM12" s="1131" t="s">
        <v>21</v>
      </c>
      <c r="CN12" s="1130" t="s">
        <v>21</v>
      </c>
      <c r="CP12" s="838" t="s">
        <v>21</v>
      </c>
      <c r="CQ12" s="838" t="s">
        <v>21</v>
      </c>
      <c r="CR12" s="836"/>
    </row>
    <row r="13" spans="1:96" x14ac:dyDescent="0.25">
      <c r="A13" s="935"/>
      <c r="B13" s="932" t="s">
        <v>2227</v>
      </c>
      <c r="C13" s="911">
        <v>600</v>
      </c>
      <c r="D13" s="911" t="s">
        <v>2116</v>
      </c>
      <c r="E13" s="912">
        <v>1189.8399999999999</v>
      </c>
      <c r="F13" s="912">
        <v>1187.8900000000001</v>
      </c>
      <c r="G13" s="910" t="s">
        <v>2228</v>
      </c>
      <c r="H13" s="912">
        <v>1187.98</v>
      </c>
      <c r="I13" s="912">
        <v>1186.08</v>
      </c>
      <c r="J13" s="914">
        <v>50.8</v>
      </c>
      <c r="K13" s="915"/>
      <c r="L13" s="916">
        <v>0.1</v>
      </c>
      <c r="M13" s="916">
        <v>0.06</v>
      </c>
      <c r="N13" s="916">
        <v>0.2</v>
      </c>
      <c r="O13" s="916">
        <v>4.8570000000000002</v>
      </c>
      <c r="P13" s="915"/>
      <c r="Q13" s="916">
        <v>2.1850000000000001</v>
      </c>
      <c r="R13" s="917">
        <v>0.33333333333333331</v>
      </c>
      <c r="S13" s="918">
        <v>1.4</v>
      </c>
      <c r="T13" s="918">
        <v>2.8570000000000002</v>
      </c>
      <c r="U13" s="916">
        <v>4.6059999999999999</v>
      </c>
      <c r="V13" s="916">
        <v>0.92</v>
      </c>
      <c r="W13" s="915"/>
      <c r="X13" s="916">
        <v>0.28299999999999997</v>
      </c>
      <c r="Y13" s="916">
        <v>0.40699999999999997</v>
      </c>
      <c r="Z13" s="916">
        <v>4.6509999999999998</v>
      </c>
      <c r="AA13" s="916">
        <v>1.0229999999999999</v>
      </c>
      <c r="AB13" s="916">
        <v>3.081</v>
      </c>
      <c r="AC13" s="915"/>
      <c r="AD13" s="919">
        <v>246.73599999999999</v>
      </c>
      <c r="AE13" s="920">
        <v>236.27099999999999</v>
      </c>
      <c r="AF13" s="920" t="s">
        <v>21</v>
      </c>
      <c r="AG13" s="920" t="s">
        <v>21</v>
      </c>
      <c r="AH13" s="921">
        <v>236.27099999999999</v>
      </c>
      <c r="AI13" s="921" t="s">
        <v>21</v>
      </c>
      <c r="AJ13" s="920" t="s">
        <v>21</v>
      </c>
      <c r="AK13" s="920" t="s">
        <v>21</v>
      </c>
      <c r="AL13" s="921" t="s">
        <v>21</v>
      </c>
      <c r="AM13" s="921" t="s">
        <v>21</v>
      </c>
      <c r="AN13" s="920"/>
      <c r="AO13" s="920" t="s">
        <v>21</v>
      </c>
      <c r="AP13" s="919">
        <v>71.12</v>
      </c>
      <c r="AQ13" s="933">
        <v>233.98479999999998</v>
      </c>
      <c r="AR13" s="925" t="s">
        <v>21</v>
      </c>
      <c r="AS13" s="925">
        <v>233.98479999999998</v>
      </c>
      <c r="AT13" s="925" t="s">
        <v>21</v>
      </c>
      <c r="AU13" s="925" t="s">
        <v>21</v>
      </c>
      <c r="AV13" s="926" t="s">
        <v>21</v>
      </c>
      <c r="AW13" s="926" t="s">
        <v>21</v>
      </c>
      <c r="AX13" s="926" t="s">
        <v>21</v>
      </c>
      <c r="AY13" s="926" t="s">
        <v>21</v>
      </c>
      <c r="AZ13" s="925" t="s">
        <v>21</v>
      </c>
      <c r="BA13" s="925"/>
      <c r="BB13" s="919">
        <v>7.1120000000000001</v>
      </c>
      <c r="BC13" s="919" t="s">
        <v>21</v>
      </c>
      <c r="BD13" s="919" t="s">
        <v>2142</v>
      </c>
      <c r="BE13" s="925" t="s">
        <v>21</v>
      </c>
      <c r="BF13" s="926" t="s">
        <v>21</v>
      </c>
      <c r="BG13" s="925">
        <v>50.8</v>
      </c>
      <c r="BH13" s="926" t="s">
        <v>21</v>
      </c>
      <c r="BI13" s="925" t="s">
        <v>21</v>
      </c>
      <c r="BJ13" s="926" t="s">
        <v>21</v>
      </c>
      <c r="BK13" s="925" t="s">
        <v>21</v>
      </c>
      <c r="BL13" s="926" t="s">
        <v>21</v>
      </c>
      <c r="BM13" s="925" t="s">
        <v>21</v>
      </c>
      <c r="BN13" s="927"/>
      <c r="BO13" s="927"/>
      <c r="BP13" s="928">
        <v>1</v>
      </c>
      <c r="BQ13" s="928" t="s">
        <v>21</v>
      </c>
      <c r="BR13" s="928" t="s">
        <v>21</v>
      </c>
      <c r="BS13" s="928" t="s">
        <v>21</v>
      </c>
      <c r="BT13" s="928" t="s">
        <v>21</v>
      </c>
      <c r="BU13" s="928" t="s">
        <v>21</v>
      </c>
      <c r="BV13" s="934">
        <v>0.54999999999981819</v>
      </c>
      <c r="BW13" s="934">
        <v>1</v>
      </c>
      <c r="BX13" s="1104">
        <v>2</v>
      </c>
      <c r="BY13" s="931">
        <v>4</v>
      </c>
      <c r="BZ13" s="930" t="s">
        <v>21</v>
      </c>
      <c r="CA13" s="1074">
        <v>1</v>
      </c>
      <c r="CB13" s="930" t="s">
        <v>21</v>
      </c>
      <c r="CC13" s="930" t="s">
        <v>21</v>
      </c>
      <c r="CD13" s="925">
        <v>51.968000000000004</v>
      </c>
      <c r="CE13" s="1130">
        <v>156.51499999999999</v>
      </c>
      <c r="CF13" s="1129" t="s">
        <v>21</v>
      </c>
      <c r="CG13" s="1130" t="s">
        <v>21</v>
      </c>
      <c r="CH13" s="1130" t="s">
        <v>21</v>
      </c>
      <c r="CI13" s="1131" t="s">
        <v>21</v>
      </c>
      <c r="CJ13" s="1129" t="s">
        <v>21</v>
      </c>
      <c r="CK13" s="1130">
        <v>156.51499999999999</v>
      </c>
      <c r="CL13" s="1130" t="s">
        <v>21</v>
      </c>
      <c r="CM13" s="1131" t="s">
        <v>21</v>
      </c>
      <c r="CN13" s="1130" t="s">
        <v>21</v>
      </c>
      <c r="CP13" s="838" t="s">
        <v>21</v>
      </c>
      <c r="CQ13" s="838" t="s">
        <v>21</v>
      </c>
      <c r="CR13" s="836"/>
    </row>
    <row r="14" spans="1:96" x14ac:dyDescent="0.25">
      <c r="A14" s="935"/>
      <c r="B14" s="932" t="s">
        <v>2228</v>
      </c>
      <c r="C14" s="911">
        <v>600</v>
      </c>
      <c r="D14" s="911" t="s">
        <v>2116</v>
      </c>
      <c r="E14" s="936">
        <v>1187.98</v>
      </c>
      <c r="F14" s="936">
        <v>1186.03</v>
      </c>
      <c r="G14" s="910" t="s">
        <v>2229</v>
      </c>
      <c r="H14" s="936">
        <v>1186.54</v>
      </c>
      <c r="I14" s="936">
        <v>1184.6400000000001</v>
      </c>
      <c r="J14" s="914">
        <v>50.8</v>
      </c>
      <c r="K14" s="915"/>
      <c r="L14" s="916">
        <v>0.1</v>
      </c>
      <c r="M14" s="916">
        <v>0.06</v>
      </c>
      <c r="N14" s="916">
        <v>0.2</v>
      </c>
      <c r="O14" s="916">
        <v>4.8570000000000002</v>
      </c>
      <c r="P14" s="915"/>
      <c r="Q14" s="916">
        <v>2.1850000000000001</v>
      </c>
      <c r="R14" s="917">
        <v>0.33333333333333331</v>
      </c>
      <c r="S14" s="918">
        <v>1.4</v>
      </c>
      <c r="T14" s="918">
        <v>2.8570000000000002</v>
      </c>
      <c r="U14" s="916">
        <v>4.6059999999999999</v>
      </c>
      <c r="V14" s="916">
        <v>0.92</v>
      </c>
      <c r="W14" s="915"/>
      <c r="X14" s="916">
        <v>0.28299999999999997</v>
      </c>
      <c r="Y14" s="916">
        <v>0.40699999999999997</v>
      </c>
      <c r="Z14" s="916">
        <v>4.6509999999999998</v>
      </c>
      <c r="AA14" s="916">
        <v>1.0229999999999999</v>
      </c>
      <c r="AB14" s="916">
        <v>3.081</v>
      </c>
      <c r="AC14" s="915"/>
      <c r="AD14" s="919">
        <v>246.73599999999999</v>
      </c>
      <c r="AE14" s="920">
        <v>236.27099999999999</v>
      </c>
      <c r="AF14" s="920" t="s">
        <v>21</v>
      </c>
      <c r="AG14" s="920" t="s">
        <v>21</v>
      </c>
      <c r="AH14" s="921">
        <v>236.27099999999999</v>
      </c>
      <c r="AI14" s="921" t="s">
        <v>21</v>
      </c>
      <c r="AJ14" s="920" t="s">
        <v>21</v>
      </c>
      <c r="AK14" s="920" t="s">
        <v>21</v>
      </c>
      <c r="AL14" s="921" t="s">
        <v>21</v>
      </c>
      <c r="AM14" s="921" t="s">
        <v>21</v>
      </c>
      <c r="AN14" s="920"/>
      <c r="AO14" s="920" t="s">
        <v>21</v>
      </c>
      <c r="AP14" s="919">
        <v>71.12</v>
      </c>
      <c r="AQ14" s="933">
        <v>233.98479999999998</v>
      </c>
      <c r="AR14" s="925" t="s">
        <v>21</v>
      </c>
      <c r="AS14" s="925">
        <v>233.98479999999998</v>
      </c>
      <c r="AT14" s="925" t="s">
        <v>21</v>
      </c>
      <c r="AU14" s="925" t="s">
        <v>21</v>
      </c>
      <c r="AV14" s="926" t="s">
        <v>21</v>
      </c>
      <c r="AW14" s="926" t="s">
        <v>21</v>
      </c>
      <c r="AX14" s="926" t="s">
        <v>21</v>
      </c>
      <c r="AY14" s="926" t="s">
        <v>21</v>
      </c>
      <c r="AZ14" s="925" t="s">
        <v>21</v>
      </c>
      <c r="BA14" s="925"/>
      <c r="BB14" s="919">
        <v>7.1120000000000001</v>
      </c>
      <c r="BC14" s="919" t="s">
        <v>21</v>
      </c>
      <c r="BD14" s="919" t="s">
        <v>2142</v>
      </c>
      <c r="BE14" s="925" t="s">
        <v>21</v>
      </c>
      <c r="BF14" s="926" t="s">
        <v>21</v>
      </c>
      <c r="BG14" s="925">
        <v>50.8</v>
      </c>
      <c r="BH14" s="926" t="s">
        <v>21</v>
      </c>
      <c r="BI14" s="925" t="s">
        <v>21</v>
      </c>
      <c r="BJ14" s="926" t="s">
        <v>21</v>
      </c>
      <c r="BK14" s="925" t="s">
        <v>21</v>
      </c>
      <c r="BL14" s="926" t="s">
        <v>21</v>
      </c>
      <c r="BM14" s="925" t="s">
        <v>21</v>
      </c>
      <c r="BN14" s="927"/>
      <c r="BO14" s="927"/>
      <c r="BP14" s="928">
        <v>1</v>
      </c>
      <c r="BQ14" s="928" t="s">
        <v>21</v>
      </c>
      <c r="BR14" s="928" t="s">
        <v>21</v>
      </c>
      <c r="BS14" s="928" t="s">
        <v>21</v>
      </c>
      <c r="BT14" s="928" t="s">
        <v>21</v>
      </c>
      <c r="BU14" s="928" t="s">
        <v>21</v>
      </c>
      <c r="BV14" s="934">
        <v>0.55000000000004556</v>
      </c>
      <c r="BW14" s="934">
        <v>1</v>
      </c>
      <c r="BX14" s="1104">
        <v>2</v>
      </c>
      <c r="BY14" s="931">
        <v>4</v>
      </c>
      <c r="BZ14" s="930" t="s">
        <v>21</v>
      </c>
      <c r="CA14" s="1074">
        <v>1</v>
      </c>
      <c r="CB14" s="930" t="s">
        <v>21</v>
      </c>
      <c r="CC14" s="930" t="s">
        <v>21</v>
      </c>
      <c r="CD14" s="925">
        <v>51.968000000000004</v>
      </c>
      <c r="CE14" s="1130">
        <v>156.51499999999999</v>
      </c>
      <c r="CF14" s="1129" t="s">
        <v>21</v>
      </c>
      <c r="CG14" s="1130" t="s">
        <v>21</v>
      </c>
      <c r="CH14" s="1130" t="s">
        <v>21</v>
      </c>
      <c r="CI14" s="1131" t="s">
        <v>21</v>
      </c>
      <c r="CJ14" s="1129" t="s">
        <v>21</v>
      </c>
      <c r="CK14" s="1130">
        <v>156.51499999999999</v>
      </c>
      <c r="CL14" s="1130" t="s">
        <v>21</v>
      </c>
      <c r="CM14" s="1131" t="s">
        <v>21</v>
      </c>
      <c r="CN14" s="1130" t="s">
        <v>21</v>
      </c>
      <c r="CP14" s="838" t="s">
        <v>21</v>
      </c>
      <c r="CQ14" s="838" t="s">
        <v>21</v>
      </c>
      <c r="CR14" s="836"/>
    </row>
    <row r="15" spans="1:96" x14ac:dyDescent="0.25">
      <c r="A15" s="935"/>
      <c r="B15" s="932" t="s">
        <v>2229</v>
      </c>
      <c r="C15" s="911">
        <v>600</v>
      </c>
      <c r="D15" s="911" t="s">
        <v>2116</v>
      </c>
      <c r="E15" s="912">
        <v>1186.54</v>
      </c>
      <c r="F15" s="912">
        <v>1184.3900000000001</v>
      </c>
      <c r="G15" s="910" t="s">
        <v>2298</v>
      </c>
      <c r="H15" s="912">
        <v>1187.98</v>
      </c>
      <c r="I15" s="912">
        <v>1184.0550000000001</v>
      </c>
      <c r="J15" s="914">
        <v>46.98</v>
      </c>
      <c r="K15" s="915"/>
      <c r="L15" s="916">
        <v>0.1</v>
      </c>
      <c r="M15" s="916">
        <v>0.06</v>
      </c>
      <c r="N15" s="916">
        <v>0.2</v>
      </c>
      <c r="O15" s="916">
        <v>5.5979999999999999</v>
      </c>
      <c r="P15" s="915"/>
      <c r="Q15" s="916">
        <v>3.2970000000000002</v>
      </c>
      <c r="R15" s="917">
        <v>0.33333333333333331</v>
      </c>
      <c r="S15" s="918">
        <v>1.4</v>
      </c>
      <c r="T15" s="918">
        <v>3.5979999999999999</v>
      </c>
      <c r="U15" s="916">
        <v>6.9509999999999996</v>
      </c>
      <c r="V15" s="916">
        <v>0.92</v>
      </c>
      <c r="W15" s="915"/>
      <c r="X15" s="916">
        <v>0.28299999999999997</v>
      </c>
      <c r="Y15" s="916">
        <v>0.40699999999999997</v>
      </c>
      <c r="Z15" s="916">
        <v>8.2390000000000008</v>
      </c>
      <c r="AA15" s="916">
        <v>1.0229999999999999</v>
      </c>
      <c r="AB15" s="916">
        <v>6.6689999999999996</v>
      </c>
      <c r="AC15" s="915"/>
      <c r="AD15" s="919">
        <v>262.99400000000003</v>
      </c>
      <c r="AE15" s="920">
        <v>387.06799999999998</v>
      </c>
      <c r="AF15" s="920" t="s">
        <v>21</v>
      </c>
      <c r="AG15" s="920" t="s">
        <v>21</v>
      </c>
      <c r="AH15" s="921" t="s">
        <v>21</v>
      </c>
      <c r="AI15" s="921" t="s">
        <v>21</v>
      </c>
      <c r="AJ15" s="920">
        <v>387.06799999999998</v>
      </c>
      <c r="AK15" s="920" t="s">
        <v>21</v>
      </c>
      <c r="AL15" s="921" t="s">
        <v>21</v>
      </c>
      <c r="AM15" s="921" t="s">
        <v>21</v>
      </c>
      <c r="AN15" s="920"/>
      <c r="AO15" s="920" t="s">
        <v>21</v>
      </c>
      <c r="AP15" s="919">
        <v>65.772000000000006</v>
      </c>
      <c r="AQ15" s="933">
        <v>326.55797999999999</v>
      </c>
      <c r="AR15" s="925" t="s">
        <v>21</v>
      </c>
      <c r="AS15" s="925" t="s">
        <v>21</v>
      </c>
      <c r="AT15" s="925">
        <v>326.55797999999999</v>
      </c>
      <c r="AU15" s="925" t="s">
        <v>21</v>
      </c>
      <c r="AV15" s="926" t="s">
        <v>21</v>
      </c>
      <c r="AW15" s="926" t="s">
        <v>21</v>
      </c>
      <c r="AX15" s="926" t="s">
        <v>21</v>
      </c>
      <c r="AY15" s="926" t="s">
        <v>21</v>
      </c>
      <c r="AZ15" s="925" t="s">
        <v>21</v>
      </c>
      <c r="BA15" s="925"/>
      <c r="BB15" s="919">
        <v>6.577</v>
      </c>
      <c r="BC15" s="919" t="s">
        <v>21</v>
      </c>
      <c r="BD15" s="919" t="s">
        <v>2152</v>
      </c>
      <c r="BE15" s="925" t="s">
        <v>21</v>
      </c>
      <c r="BF15" s="926" t="s">
        <v>21</v>
      </c>
      <c r="BG15" s="925">
        <v>46.98</v>
      </c>
      <c r="BH15" s="926" t="s">
        <v>21</v>
      </c>
      <c r="BI15" s="925" t="s">
        <v>21</v>
      </c>
      <c r="BJ15" s="926" t="s">
        <v>21</v>
      </c>
      <c r="BK15" s="925" t="s">
        <v>21</v>
      </c>
      <c r="BL15" s="926" t="s">
        <v>21</v>
      </c>
      <c r="BM15" s="925" t="s">
        <v>21</v>
      </c>
      <c r="BN15" s="927"/>
      <c r="BO15" s="927"/>
      <c r="BP15" s="928">
        <v>1</v>
      </c>
      <c r="BQ15" s="928" t="s">
        <v>21</v>
      </c>
      <c r="BR15" s="928" t="s">
        <v>21</v>
      </c>
      <c r="BS15" s="928" t="s">
        <v>21</v>
      </c>
      <c r="BT15" s="928" t="s">
        <v>21</v>
      </c>
      <c r="BU15" s="928" t="s">
        <v>21</v>
      </c>
      <c r="BV15" s="934">
        <v>0.74999999999986366</v>
      </c>
      <c r="BW15" s="934">
        <v>1</v>
      </c>
      <c r="BX15" s="1104">
        <v>2</v>
      </c>
      <c r="BY15" s="931">
        <v>4</v>
      </c>
      <c r="BZ15" s="930">
        <v>2</v>
      </c>
      <c r="CA15" s="1074" t="s">
        <v>21</v>
      </c>
      <c r="CB15" s="930" t="s">
        <v>21</v>
      </c>
      <c r="CC15" s="930" t="s">
        <v>21</v>
      </c>
      <c r="CD15" s="925">
        <v>48.061</v>
      </c>
      <c r="CE15" s="1130">
        <v>313.31</v>
      </c>
      <c r="CF15" s="1129" t="s">
        <v>21</v>
      </c>
      <c r="CG15" s="1130" t="s">
        <v>21</v>
      </c>
      <c r="CH15" s="1130" t="s">
        <v>21</v>
      </c>
      <c r="CI15" s="1131" t="s">
        <v>21</v>
      </c>
      <c r="CJ15" s="1129" t="s">
        <v>21</v>
      </c>
      <c r="CK15" s="1130" t="s">
        <v>21</v>
      </c>
      <c r="CL15" s="1130">
        <v>313.31</v>
      </c>
      <c r="CM15" s="1131" t="s">
        <v>21</v>
      </c>
      <c r="CN15" s="1130" t="s">
        <v>21</v>
      </c>
      <c r="CP15" s="838" t="s">
        <v>21</v>
      </c>
      <c r="CQ15" s="838" t="s">
        <v>21</v>
      </c>
      <c r="CR15" s="836"/>
    </row>
    <row r="16" spans="1:96" x14ac:dyDescent="0.25">
      <c r="A16" s="935"/>
      <c r="B16" s="932"/>
      <c r="C16" s="911"/>
      <c r="D16" s="911"/>
      <c r="E16" s="912"/>
      <c r="F16" s="912"/>
      <c r="G16" s="910"/>
      <c r="H16" s="912"/>
      <c r="I16" s="912"/>
      <c r="J16" s="914"/>
      <c r="K16" s="915"/>
      <c r="L16" s="916" t="s">
        <v>21</v>
      </c>
      <c r="M16" s="916" t="s">
        <v>21</v>
      </c>
      <c r="N16" s="916" t="s">
        <v>21</v>
      </c>
      <c r="O16" s="916" t="s">
        <v>21</v>
      </c>
      <c r="P16" s="915"/>
      <c r="Q16" s="916" t="s">
        <v>21</v>
      </c>
      <c r="R16" s="917" t="s">
        <v>21</v>
      </c>
      <c r="S16" s="918" t="s">
        <v>21</v>
      </c>
      <c r="T16" s="918" t="s">
        <v>21</v>
      </c>
      <c r="U16" s="916" t="s">
        <v>21</v>
      </c>
      <c r="V16" s="916" t="s">
        <v>21</v>
      </c>
      <c r="W16" s="915"/>
      <c r="X16" s="916" t="s">
        <v>21</v>
      </c>
      <c r="Y16" s="916" t="s">
        <v>21</v>
      </c>
      <c r="Z16" s="916" t="s">
        <v>21</v>
      </c>
      <c r="AA16" s="916" t="s">
        <v>21</v>
      </c>
      <c r="AB16" s="916" t="s">
        <v>21</v>
      </c>
      <c r="AC16" s="915"/>
      <c r="AD16" s="919" t="s">
        <v>21</v>
      </c>
      <c r="AE16" s="920" t="s">
        <v>21</v>
      </c>
      <c r="AF16" s="920" t="s">
        <v>21</v>
      </c>
      <c r="AG16" s="920" t="s">
        <v>21</v>
      </c>
      <c r="AH16" s="921" t="s">
        <v>21</v>
      </c>
      <c r="AI16" s="921" t="s">
        <v>21</v>
      </c>
      <c r="AJ16" s="920" t="s">
        <v>21</v>
      </c>
      <c r="AK16" s="920" t="s">
        <v>21</v>
      </c>
      <c r="AL16" s="921" t="s">
        <v>21</v>
      </c>
      <c r="AM16" s="921" t="s">
        <v>21</v>
      </c>
      <c r="AN16" s="920"/>
      <c r="AO16" s="920" t="s">
        <v>21</v>
      </c>
      <c r="AP16" s="919" t="s">
        <v>21</v>
      </c>
      <c r="AQ16" s="933" t="s">
        <v>21</v>
      </c>
      <c r="AR16" s="925" t="s">
        <v>21</v>
      </c>
      <c r="AS16" s="925" t="s">
        <v>21</v>
      </c>
      <c r="AT16" s="925" t="s">
        <v>21</v>
      </c>
      <c r="AU16" s="925" t="s">
        <v>21</v>
      </c>
      <c r="AV16" s="926" t="s">
        <v>21</v>
      </c>
      <c r="AW16" s="926" t="s">
        <v>21</v>
      </c>
      <c r="AX16" s="926" t="s">
        <v>21</v>
      </c>
      <c r="AY16" s="926" t="s">
        <v>21</v>
      </c>
      <c r="AZ16" s="925" t="s">
        <v>21</v>
      </c>
      <c r="BA16" s="925"/>
      <c r="BB16" s="919" t="s">
        <v>21</v>
      </c>
      <c r="BC16" s="919" t="s">
        <v>21</v>
      </c>
      <c r="BD16" s="919" t="s">
        <v>21</v>
      </c>
      <c r="BE16" s="925" t="s">
        <v>21</v>
      </c>
      <c r="BF16" s="926" t="s">
        <v>21</v>
      </c>
      <c r="BG16" s="925" t="s">
        <v>21</v>
      </c>
      <c r="BH16" s="926" t="s">
        <v>21</v>
      </c>
      <c r="BI16" s="925" t="s">
        <v>21</v>
      </c>
      <c r="BJ16" s="926" t="s">
        <v>21</v>
      </c>
      <c r="BK16" s="925" t="s">
        <v>21</v>
      </c>
      <c r="BL16" s="926" t="s">
        <v>21</v>
      </c>
      <c r="BM16" s="925" t="s">
        <v>21</v>
      </c>
      <c r="BN16" s="927"/>
      <c r="BO16" s="927"/>
      <c r="BP16" s="928" t="s">
        <v>21</v>
      </c>
      <c r="BQ16" s="928" t="s">
        <v>21</v>
      </c>
      <c r="BR16" s="928" t="s">
        <v>21</v>
      </c>
      <c r="BS16" s="928" t="s">
        <v>21</v>
      </c>
      <c r="BT16" s="928" t="s">
        <v>21</v>
      </c>
      <c r="BU16" s="928" t="s">
        <v>21</v>
      </c>
      <c r="BV16" s="934" t="s">
        <v>21</v>
      </c>
      <c r="BW16" s="934" t="s">
        <v>21</v>
      </c>
      <c r="BX16" s="1104" t="s">
        <v>21</v>
      </c>
      <c r="BY16" s="931" t="s">
        <v>21</v>
      </c>
      <c r="BZ16" s="930" t="s">
        <v>21</v>
      </c>
      <c r="CA16" s="1074" t="s">
        <v>21</v>
      </c>
      <c r="CB16" s="930" t="s">
        <v>21</v>
      </c>
      <c r="CC16" s="930" t="s">
        <v>21</v>
      </c>
      <c r="CD16" s="925" t="s">
        <v>21</v>
      </c>
      <c r="CE16" s="1130" t="s">
        <v>21</v>
      </c>
      <c r="CF16" s="1129" t="s">
        <v>21</v>
      </c>
      <c r="CG16" s="1130" t="s">
        <v>21</v>
      </c>
      <c r="CH16" s="1130" t="s">
        <v>21</v>
      </c>
      <c r="CI16" s="1131" t="s">
        <v>21</v>
      </c>
      <c r="CJ16" s="1129" t="s">
        <v>21</v>
      </c>
      <c r="CK16" s="1130" t="s">
        <v>21</v>
      </c>
      <c r="CL16" s="1130" t="s">
        <v>21</v>
      </c>
      <c r="CM16" s="1131" t="s">
        <v>21</v>
      </c>
      <c r="CN16" s="1130" t="s">
        <v>21</v>
      </c>
      <c r="CP16" s="838" t="s">
        <v>21</v>
      </c>
      <c r="CQ16" s="838" t="s">
        <v>21</v>
      </c>
      <c r="CR16" s="836"/>
    </row>
    <row r="17" spans="1:96" x14ac:dyDescent="0.25">
      <c r="A17" s="935" t="s">
        <v>2480</v>
      </c>
      <c r="B17" s="932" t="s">
        <v>2230</v>
      </c>
      <c r="C17" s="911">
        <v>600</v>
      </c>
      <c r="D17" s="911" t="s">
        <v>2116</v>
      </c>
      <c r="E17" s="912">
        <v>1184.6500000000001</v>
      </c>
      <c r="F17" s="912">
        <v>1182.75</v>
      </c>
      <c r="G17" s="910" t="s">
        <v>2298</v>
      </c>
      <c r="H17" s="912">
        <v>1185.03</v>
      </c>
      <c r="I17" s="912">
        <v>1182.479</v>
      </c>
      <c r="J17" s="914">
        <v>54.27</v>
      </c>
      <c r="K17" s="915"/>
      <c r="L17" s="916">
        <v>0.1</v>
      </c>
      <c r="M17" s="916">
        <v>0.06</v>
      </c>
      <c r="N17" s="916">
        <v>0.2</v>
      </c>
      <c r="O17" s="916">
        <v>5.0570000000000004</v>
      </c>
      <c r="P17" s="915"/>
      <c r="Q17" s="916">
        <v>2.4860000000000002</v>
      </c>
      <c r="R17" s="917">
        <v>0.33333333333333331</v>
      </c>
      <c r="S17" s="918">
        <v>1.4</v>
      </c>
      <c r="T17" s="918">
        <v>3.0569999999999999</v>
      </c>
      <c r="U17" s="916">
        <v>5.2409999999999997</v>
      </c>
      <c r="V17" s="916">
        <v>0.92</v>
      </c>
      <c r="W17" s="915"/>
      <c r="X17" s="916">
        <v>0.28299999999999997</v>
      </c>
      <c r="Y17" s="916">
        <v>0.40699999999999997</v>
      </c>
      <c r="Z17" s="916">
        <v>5.54</v>
      </c>
      <c r="AA17" s="916">
        <v>1.0229999999999999</v>
      </c>
      <c r="AB17" s="916">
        <v>3.97</v>
      </c>
      <c r="AC17" s="915"/>
      <c r="AD17" s="919">
        <v>274.44299999999998</v>
      </c>
      <c r="AE17" s="920">
        <v>300.65600000000001</v>
      </c>
      <c r="AF17" s="920" t="s">
        <v>21</v>
      </c>
      <c r="AG17" s="920" t="s">
        <v>21</v>
      </c>
      <c r="AH17" s="921">
        <v>300.65600000000001</v>
      </c>
      <c r="AI17" s="921" t="s">
        <v>21</v>
      </c>
      <c r="AJ17" s="920" t="s">
        <v>21</v>
      </c>
      <c r="AK17" s="920" t="s">
        <v>21</v>
      </c>
      <c r="AL17" s="921" t="s">
        <v>21</v>
      </c>
      <c r="AM17" s="921" t="s">
        <v>21</v>
      </c>
      <c r="AN17" s="920"/>
      <c r="AO17" s="920" t="s">
        <v>21</v>
      </c>
      <c r="AP17" s="919">
        <v>75.977999999999994</v>
      </c>
      <c r="AQ17" s="933">
        <v>284.42907000000002</v>
      </c>
      <c r="AR17" s="925" t="s">
        <v>21</v>
      </c>
      <c r="AS17" s="925">
        <v>284.42907000000002</v>
      </c>
      <c r="AT17" s="925" t="s">
        <v>21</v>
      </c>
      <c r="AU17" s="925" t="s">
        <v>21</v>
      </c>
      <c r="AV17" s="926" t="s">
        <v>21</v>
      </c>
      <c r="AW17" s="926" t="s">
        <v>21</v>
      </c>
      <c r="AX17" s="926" t="s">
        <v>21</v>
      </c>
      <c r="AY17" s="926" t="s">
        <v>21</v>
      </c>
      <c r="AZ17" s="925" t="s">
        <v>21</v>
      </c>
      <c r="BA17" s="925"/>
      <c r="BB17" s="919">
        <v>7.5979999999999999</v>
      </c>
      <c r="BC17" s="919" t="s">
        <v>21</v>
      </c>
      <c r="BD17" s="919" t="s">
        <v>2142</v>
      </c>
      <c r="BE17" s="925" t="s">
        <v>21</v>
      </c>
      <c r="BF17" s="926" t="s">
        <v>21</v>
      </c>
      <c r="BG17" s="925">
        <v>54.27</v>
      </c>
      <c r="BH17" s="926" t="s">
        <v>21</v>
      </c>
      <c r="BI17" s="925" t="s">
        <v>21</v>
      </c>
      <c r="BJ17" s="926" t="s">
        <v>21</v>
      </c>
      <c r="BK17" s="925" t="s">
        <v>21</v>
      </c>
      <c r="BL17" s="926" t="s">
        <v>21</v>
      </c>
      <c r="BM17" s="925" t="s">
        <v>21</v>
      </c>
      <c r="BN17" s="927"/>
      <c r="BO17" s="927"/>
      <c r="BP17" s="928">
        <v>1</v>
      </c>
      <c r="BQ17" s="928" t="s">
        <v>21</v>
      </c>
      <c r="BR17" s="928" t="s">
        <v>21</v>
      </c>
      <c r="BS17" s="928" t="s">
        <v>21</v>
      </c>
      <c r="BT17" s="928" t="s">
        <v>21</v>
      </c>
      <c r="BU17" s="928" t="s">
        <v>21</v>
      </c>
      <c r="BV17" s="934">
        <v>0.50000000000009104</v>
      </c>
      <c r="BW17" s="934">
        <v>1</v>
      </c>
      <c r="BX17" s="1104">
        <v>2</v>
      </c>
      <c r="BY17" s="931">
        <v>4</v>
      </c>
      <c r="BZ17" s="930">
        <v>1</v>
      </c>
      <c r="CA17" s="1074">
        <v>1</v>
      </c>
      <c r="CB17" s="930" t="s">
        <v>21</v>
      </c>
      <c r="CC17" s="930" t="s">
        <v>21</v>
      </c>
      <c r="CD17" s="925">
        <v>55.518000000000001</v>
      </c>
      <c r="CE17" s="1130">
        <v>215.452</v>
      </c>
      <c r="CF17" s="1129" t="s">
        <v>21</v>
      </c>
      <c r="CG17" s="1130" t="s">
        <v>21</v>
      </c>
      <c r="CH17" s="1130" t="s">
        <v>21</v>
      </c>
      <c r="CI17" s="1131" t="s">
        <v>21</v>
      </c>
      <c r="CJ17" s="1129" t="s">
        <v>21</v>
      </c>
      <c r="CK17" s="1130">
        <v>215.452</v>
      </c>
      <c r="CL17" s="1130" t="s">
        <v>21</v>
      </c>
      <c r="CM17" s="1131" t="s">
        <v>21</v>
      </c>
      <c r="CN17" s="1130" t="s">
        <v>21</v>
      </c>
      <c r="CP17" s="838" t="s">
        <v>21</v>
      </c>
      <c r="CQ17" s="838" t="s">
        <v>21</v>
      </c>
      <c r="CR17" s="836"/>
    </row>
    <row r="18" spans="1:96" x14ac:dyDescent="0.25">
      <c r="A18" s="935"/>
      <c r="B18" s="932"/>
      <c r="C18" s="911"/>
      <c r="D18" s="911"/>
      <c r="E18" s="912"/>
      <c r="F18" s="912"/>
      <c r="G18" s="910"/>
      <c r="H18" s="912"/>
      <c r="I18" s="912"/>
      <c r="J18" s="914"/>
      <c r="K18" s="915"/>
      <c r="L18" s="916" t="s">
        <v>21</v>
      </c>
      <c r="M18" s="916" t="s">
        <v>21</v>
      </c>
      <c r="N18" s="916" t="s">
        <v>21</v>
      </c>
      <c r="O18" s="916" t="s">
        <v>21</v>
      </c>
      <c r="P18" s="915"/>
      <c r="Q18" s="916" t="s">
        <v>21</v>
      </c>
      <c r="R18" s="917" t="s">
        <v>21</v>
      </c>
      <c r="S18" s="918" t="s">
        <v>21</v>
      </c>
      <c r="T18" s="918" t="s">
        <v>21</v>
      </c>
      <c r="U18" s="916" t="s">
        <v>21</v>
      </c>
      <c r="V18" s="916" t="s">
        <v>21</v>
      </c>
      <c r="W18" s="915"/>
      <c r="X18" s="916" t="s">
        <v>21</v>
      </c>
      <c r="Y18" s="916" t="s">
        <v>21</v>
      </c>
      <c r="Z18" s="916" t="s">
        <v>21</v>
      </c>
      <c r="AA18" s="916" t="s">
        <v>21</v>
      </c>
      <c r="AB18" s="916" t="s">
        <v>21</v>
      </c>
      <c r="AC18" s="915"/>
      <c r="AD18" s="919" t="s">
        <v>21</v>
      </c>
      <c r="AE18" s="920" t="s">
        <v>21</v>
      </c>
      <c r="AF18" s="920" t="s">
        <v>21</v>
      </c>
      <c r="AG18" s="920" t="s">
        <v>21</v>
      </c>
      <c r="AH18" s="921" t="s">
        <v>21</v>
      </c>
      <c r="AI18" s="921" t="s">
        <v>21</v>
      </c>
      <c r="AJ18" s="920" t="s">
        <v>21</v>
      </c>
      <c r="AK18" s="920" t="s">
        <v>21</v>
      </c>
      <c r="AL18" s="921" t="s">
        <v>21</v>
      </c>
      <c r="AM18" s="921" t="s">
        <v>21</v>
      </c>
      <c r="AN18" s="920"/>
      <c r="AO18" s="920" t="s">
        <v>21</v>
      </c>
      <c r="AP18" s="919" t="s">
        <v>21</v>
      </c>
      <c r="AQ18" s="933" t="s">
        <v>21</v>
      </c>
      <c r="AR18" s="925" t="s">
        <v>21</v>
      </c>
      <c r="AS18" s="925" t="s">
        <v>21</v>
      </c>
      <c r="AT18" s="925" t="s">
        <v>21</v>
      </c>
      <c r="AU18" s="925" t="s">
        <v>21</v>
      </c>
      <c r="AV18" s="926" t="s">
        <v>21</v>
      </c>
      <c r="AW18" s="926" t="s">
        <v>21</v>
      </c>
      <c r="AX18" s="926" t="s">
        <v>21</v>
      </c>
      <c r="AY18" s="926" t="s">
        <v>21</v>
      </c>
      <c r="AZ18" s="925" t="s">
        <v>21</v>
      </c>
      <c r="BA18" s="925"/>
      <c r="BB18" s="919" t="s">
        <v>21</v>
      </c>
      <c r="BC18" s="919" t="s">
        <v>21</v>
      </c>
      <c r="BD18" s="919" t="s">
        <v>21</v>
      </c>
      <c r="BE18" s="925" t="s">
        <v>21</v>
      </c>
      <c r="BF18" s="926" t="s">
        <v>21</v>
      </c>
      <c r="BG18" s="925" t="s">
        <v>21</v>
      </c>
      <c r="BH18" s="926" t="s">
        <v>21</v>
      </c>
      <c r="BI18" s="925" t="s">
        <v>21</v>
      </c>
      <c r="BJ18" s="926" t="s">
        <v>21</v>
      </c>
      <c r="BK18" s="925" t="s">
        <v>21</v>
      </c>
      <c r="BL18" s="926" t="s">
        <v>21</v>
      </c>
      <c r="BM18" s="925" t="s">
        <v>21</v>
      </c>
      <c r="BN18" s="927"/>
      <c r="BO18" s="927"/>
      <c r="BP18" s="928" t="s">
        <v>21</v>
      </c>
      <c r="BQ18" s="928" t="s">
        <v>21</v>
      </c>
      <c r="BR18" s="928" t="s">
        <v>21</v>
      </c>
      <c r="BS18" s="928" t="s">
        <v>21</v>
      </c>
      <c r="BT18" s="928" t="s">
        <v>21</v>
      </c>
      <c r="BU18" s="928" t="s">
        <v>21</v>
      </c>
      <c r="BV18" s="934" t="s">
        <v>21</v>
      </c>
      <c r="BW18" s="934" t="s">
        <v>21</v>
      </c>
      <c r="BX18" s="1104" t="s">
        <v>21</v>
      </c>
      <c r="BY18" s="931" t="s">
        <v>21</v>
      </c>
      <c r="BZ18" s="930" t="s">
        <v>21</v>
      </c>
      <c r="CA18" s="1074" t="s">
        <v>21</v>
      </c>
      <c r="CB18" s="930" t="s">
        <v>21</v>
      </c>
      <c r="CC18" s="930" t="s">
        <v>21</v>
      </c>
      <c r="CD18" s="925" t="s">
        <v>21</v>
      </c>
      <c r="CE18" s="1130" t="s">
        <v>21</v>
      </c>
      <c r="CF18" s="1129" t="s">
        <v>21</v>
      </c>
      <c r="CG18" s="1130" t="s">
        <v>21</v>
      </c>
      <c r="CH18" s="1130" t="s">
        <v>21</v>
      </c>
      <c r="CI18" s="1131" t="s">
        <v>21</v>
      </c>
      <c r="CJ18" s="1129" t="s">
        <v>21</v>
      </c>
      <c r="CK18" s="1130" t="s">
        <v>21</v>
      </c>
      <c r="CL18" s="1130" t="s">
        <v>21</v>
      </c>
      <c r="CM18" s="1131" t="s">
        <v>21</v>
      </c>
      <c r="CN18" s="1130" t="s">
        <v>21</v>
      </c>
      <c r="CP18" s="838" t="s">
        <v>21</v>
      </c>
      <c r="CQ18" s="838" t="s">
        <v>21</v>
      </c>
      <c r="CR18" s="836"/>
    </row>
    <row r="19" spans="1:96" x14ac:dyDescent="0.25">
      <c r="A19" s="935" t="s">
        <v>2481</v>
      </c>
      <c r="B19" s="932" t="s">
        <v>2231</v>
      </c>
      <c r="C19" s="911">
        <v>600</v>
      </c>
      <c r="D19" s="911" t="s">
        <v>2116</v>
      </c>
      <c r="E19" s="912">
        <v>1183</v>
      </c>
      <c r="F19" s="912">
        <v>1181.0999999999999</v>
      </c>
      <c r="G19" s="910" t="s">
        <v>2232</v>
      </c>
      <c r="H19" s="912">
        <v>1182.8399999999999</v>
      </c>
      <c r="I19" s="912">
        <v>1180.94</v>
      </c>
      <c r="J19" s="914">
        <v>22.19</v>
      </c>
      <c r="K19" s="915"/>
      <c r="L19" s="916">
        <v>0.1</v>
      </c>
      <c r="M19" s="916">
        <v>0.06</v>
      </c>
      <c r="N19" s="916">
        <v>0.2</v>
      </c>
      <c r="O19" s="916">
        <v>4.84</v>
      </c>
      <c r="P19" s="915"/>
      <c r="Q19" s="916">
        <v>2.16</v>
      </c>
      <c r="R19" s="917">
        <v>0.33333333333333331</v>
      </c>
      <c r="S19" s="918">
        <v>1.4</v>
      </c>
      <c r="T19" s="918">
        <v>2.84</v>
      </c>
      <c r="U19" s="916">
        <v>4.5540000000000003</v>
      </c>
      <c r="V19" s="916">
        <v>0.92</v>
      </c>
      <c r="W19" s="915"/>
      <c r="X19" s="916">
        <v>0.28299999999999997</v>
      </c>
      <c r="Y19" s="916">
        <v>0.40699999999999997</v>
      </c>
      <c r="Z19" s="916">
        <v>4.5789999999999997</v>
      </c>
      <c r="AA19" s="916">
        <v>1.0229999999999999</v>
      </c>
      <c r="AB19" s="916">
        <v>3.0089999999999999</v>
      </c>
      <c r="AC19" s="915"/>
      <c r="AD19" s="919">
        <v>107.4</v>
      </c>
      <c r="AE19" s="920">
        <v>101.608</v>
      </c>
      <c r="AF19" s="920" t="s">
        <v>21</v>
      </c>
      <c r="AG19" s="920" t="s">
        <v>21</v>
      </c>
      <c r="AH19" s="921">
        <v>101.608</v>
      </c>
      <c r="AI19" s="921" t="s">
        <v>21</v>
      </c>
      <c r="AJ19" s="920" t="s">
        <v>21</v>
      </c>
      <c r="AK19" s="920" t="s">
        <v>21</v>
      </c>
      <c r="AL19" s="921" t="s">
        <v>21</v>
      </c>
      <c r="AM19" s="921" t="s">
        <v>21</v>
      </c>
      <c r="AN19" s="920"/>
      <c r="AO19" s="920" t="s">
        <v>21</v>
      </c>
      <c r="AP19" s="919">
        <v>31.065999999999999</v>
      </c>
      <c r="AQ19" s="933">
        <v>101.05326000000001</v>
      </c>
      <c r="AR19" s="925" t="s">
        <v>21</v>
      </c>
      <c r="AS19" s="925">
        <v>101.05326000000001</v>
      </c>
      <c r="AT19" s="925" t="s">
        <v>21</v>
      </c>
      <c r="AU19" s="925" t="s">
        <v>21</v>
      </c>
      <c r="AV19" s="926" t="s">
        <v>21</v>
      </c>
      <c r="AW19" s="926" t="s">
        <v>21</v>
      </c>
      <c r="AX19" s="926" t="s">
        <v>21</v>
      </c>
      <c r="AY19" s="926" t="s">
        <v>21</v>
      </c>
      <c r="AZ19" s="925" t="s">
        <v>21</v>
      </c>
      <c r="BA19" s="925"/>
      <c r="BB19" s="919">
        <v>3.1070000000000002</v>
      </c>
      <c r="BC19" s="919" t="s">
        <v>21</v>
      </c>
      <c r="BD19" s="919" t="s">
        <v>2142</v>
      </c>
      <c r="BE19" s="925" t="s">
        <v>21</v>
      </c>
      <c r="BF19" s="926" t="s">
        <v>21</v>
      </c>
      <c r="BG19" s="925">
        <v>22.19</v>
      </c>
      <c r="BH19" s="926" t="s">
        <v>21</v>
      </c>
      <c r="BI19" s="925" t="s">
        <v>21</v>
      </c>
      <c r="BJ19" s="926" t="s">
        <v>21</v>
      </c>
      <c r="BK19" s="925" t="s">
        <v>21</v>
      </c>
      <c r="BL19" s="926" t="s">
        <v>21</v>
      </c>
      <c r="BM19" s="925" t="s">
        <v>21</v>
      </c>
      <c r="BN19" s="927"/>
      <c r="BO19" s="927"/>
      <c r="BP19" s="928">
        <v>1</v>
      </c>
      <c r="BQ19" s="928" t="s">
        <v>21</v>
      </c>
      <c r="BR19" s="928" t="s">
        <v>21</v>
      </c>
      <c r="BS19" s="928" t="s">
        <v>21</v>
      </c>
      <c r="BT19" s="928" t="s">
        <v>21</v>
      </c>
      <c r="BU19" s="928" t="s">
        <v>21</v>
      </c>
      <c r="BV19" s="934">
        <v>0.50000000000009104</v>
      </c>
      <c r="BW19" s="934">
        <v>1</v>
      </c>
      <c r="BX19" s="1104">
        <v>2</v>
      </c>
      <c r="BY19" s="931">
        <v>4</v>
      </c>
      <c r="BZ19" s="930">
        <v>1</v>
      </c>
      <c r="CA19" s="1074" t="s">
        <v>21</v>
      </c>
      <c r="CB19" s="930" t="s">
        <v>21</v>
      </c>
      <c r="CC19" s="930" t="s">
        <v>21</v>
      </c>
      <c r="CD19" s="925">
        <v>22.7</v>
      </c>
      <c r="CE19" s="1130">
        <v>66.77</v>
      </c>
      <c r="CF19" s="1129" t="s">
        <v>21</v>
      </c>
      <c r="CG19" s="1130" t="s">
        <v>21</v>
      </c>
      <c r="CH19" s="1130" t="s">
        <v>21</v>
      </c>
      <c r="CI19" s="1131" t="s">
        <v>21</v>
      </c>
      <c r="CJ19" s="1129" t="s">
        <v>21</v>
      </c>
      <c r="CK19" s="1130">
        <v>66.77</v>
      </c>
      <c r="CL19" s="1130" t="s">
        <v>21</v>
      </c>
      <c r="CM19" s="1131" t="s">
        <v>21</v>
      </c>
      <c r="CN19" s="1130" t="s">
        <v>21</v>
      </c>
      <c r="CP19" s="838" t="s">
        <v>21</v>
      </c>
      <c r="CQ19" s="838" t="s">
        <v>21</v>
      </c>
      <c r="CR19" s="836"/>
    </row>
    <row r="20" spans="1:96" x14ac:dyDescent="0.25">
      <c r="A20" s="935"/>
      <c r="B20" s="932" t="s">
        <v>2232</v>
      </c>
      <c r="C20" s="911">
        <v>600</v>
      </c>
      <c r="D20" s="911" t="s">
        <v>2116</v>
      </c>
      <c r="E20" s="912">
        <v>1182.8399999999999</v>
      </c>
      <c r="F20" s="912">
        <v>1180.94</v>
      </c>
      <c r="G20" s="910" t="s">
        <v>2422</v>
      </c>
      <c r="H20" s="912">
        <v>1181</v>
      </c>
      <c r="I20" s="912">
        <v>1179.0999999999999</v>
      </c>
      <c r="J20" s="914">
        <v>4.93</v>
      </c>
      <c r="K20" s="915"/>
      <c r="L20" s="916">
        <v>0.1</v>
      </c>
      <c r="M20" s="916">
        <v>0.06</v>
      </c>
      <c r="N20" s="916">
        <v>0.2</v>
      </c>
      <c r="O20" s="916">
        <v>4.84</v>
      </c>
      <c r="P20" s="915"/>
      <c r="Q20" s="916">
        <v>2.16</v>
      </c>
      <c r="R20" s="917">
        <v>0.33333333333333331</v>
      </c>
      <c r="S20" s="918">
        <v>1.4</v>
      </c>
      <c r="T20" s="918">
        <v>2.84</v>
      </c>
      <c r="U20" s="916">
        <v>4.5540000000000003</v>
      </c>
      <c r="V20" s="916">
        <v>0.92</v>
      </c>
      <c r="W20" s="915"/>
      <c r="X20" s="916">
        <v>0.28299999999999997</v>
      </c>
      <c r="Y20" s="916">
        <v>0.40699999999999997</v>
      </c>
      <c r="Z20" s="916">
        <v>4.5789999999999997</v>
      </c>
      <c r="AA20" s="916">
        <v>1.0229999999999999</v>
      </c>
      <c r="AB20" s="916">
        <v>3.0089999999999999</v>
      </c>
      <c r="AC20" s="915"/>
      <c r="AD20" s="919">
        <v>23.861000000000001</v>
      </c>
      <c r="AE20" s="920">
        <v>22.574000000000002</v>
      </c>
      <c r="AF20" s="920" t="s">
        <v>21</v>
      </c>
      <c r="AG20" s="920" t="s">
        <v>21</v>
      </c>
      <c r="AH20" s="921">
        <v>22.574000000000002</v>
      </c>
      <c r="AI20" s="921" t="s">
        <v>21</v>
      </c>
      <c r="AJ20" s="920" t="s">
        <v>21</v>
      </c>
      <c r="AK20" s="920" t="s">
        <v>21</v>
      </c>
      <c r="AL20" s="921" t="s">
        <v>21</v>
      </c>
      <c r="AM20" s="921" t="s">
        <v>21</v>
      </c>
      <c r="AN20" s="920"/>
      <c r="AO20" s="920" t="s">
        <v>21</v>
      </c>
      <c r="AP20" s="919">
        <v>6.9020000000000001</v>
      </c>
      <c r="AQ20" s="933">
        <v>22.451219999999999</v>
      </c>
      <c r="AR20" s="925" t="s">
        <v>21</v>
      </c>
      <c r="AS20" s="925">
        <v>22.451219999999999</v>
      </c>
      <c r="AT20" s="925" t="s">
        <v>21</v>
      </c>
      <c r="AU20" s="925" t="s">
        <v>21</v>
      </c>
      <c r="AV20" s="926" t="s">
        <v>21</v>
      </c>
      <c r="AW20" s="926" t="s">
        <v>21</v>
      </c>
      <c r="AX20" s="926" t="s">
        <v>21</v>
      </c>
      <c r="AY20" s="926" t="s">
        <v>21</v>
      </c>
      <c r="AZ20" s="925" t="s">
        <v>21</v>
      </c>
      <c r="BA20" s="925"/>
      <c r="BB20" s="919">
        <v>0.69</v>
      </c>
      <c r="BC20" s="919" t="s">
        <v>21</v>
      </c>
      <c r="BD20" s="919" t="s">
        <v>2142</v>
      </c>
      <c r="BE20" s="925" t="s">
        <v>21</v>
      </c>
      <c r="BF20" s="926" t="s">
        <v>21</v>
      </c>
      <c r="BG20" s="925">
        <v>4.93</v>
      </c>
      <c r="BH20" s="926" t="s">
        <v>21</v>
      </c>
      <c r="BI20" s="925" t="s">
        <v>21</v>
      </c>
      <c r="BJ20" s="926" t="s">
        <v>21</v>
      </c>
      <c r="BK20" s="925" t="s">
        <v>21</v>
      </c>
      <c r="BL20" s="926" t="s">
        <v>21</v>
      </c>
      <c r="BM20" s="925" t="s">
        <v>21</v>
      </c>
      <c r="BN20" s="927"/>
      <c r="BO20" s="927"/>
      <c r="BP20" s="928">
        <v>1</v>
      </c>
      <c r="BQ20" s="928" t="s">
        <v>21</v>
      </c>
      <c r="BR20" s="928" t="s">
        <v>21</v>
      </c>
      <c r="BS20" s="928" t="s">
        <v>21</v>
      </c>
      <c r="BT20" s="928" t="s">
        <v>21</v>
      </c>
      <c r="BU20" s="928" t="s">
        <v>21</v>
      </c>
      <c r="BV20" s="934">
        <v>0.49999999999986366</v>
      </c>
      <c r="BW20" s="934">
        <v>0.5</v>
      </c>
      <c r="BX20" s="1104">
        <v>1</v>
      </c>
      <c r="BY20" s="931">
        <v>3</v>
      </c>
      <c r="BZ20" s="930">
        <v>2</v>
      </c>
      <c r="CA20" s="1074" t="s">
        <v>21</v>
      </c>
      <c r="CB20" s="930" t="s">
        <v>21</v>
      </c>
      <c r="CC20" s="930" t="s">
        <v>21</v>
      </c>
      <c r="CD20" s="925">
        <v>5.0430000000000001</v>
      </c>
      <c r="CE20" s="1130">
        <v>14.834</v>
      </c>
      <c r="CF20" s="1129" t="s">
        <v>21</v>
      </c>
      <c r="CG20" s="1130" t="s">
        <v>21</v>
      </c>
      <c r="CH20" s="1130" t="s">
        <v>21</v>
      </c>
      <c r="CI20" s="1131" t="s">
        <v>21</v>
      </c>
      <c r="CJ20" s="1129" t="s">
        <v>21</v>
      </c>
      <c r="CK20" s="1130">
        <v>14.834</v>
      </c>
      <c r="CL20" s="1130" t="s">
        <v>21</v>
      </c>
      <c r="CM20" s="1131" t="s">
        <v>21</v>
      </c>
      <c r="CN20" s="1130" t="s">
        <v>21</v>
      </c>
      <c r="CP20" s="838" t="s">
        <v>21</v>
      </c>
      <c r="CQ20" s="838" t="s">
        <v>21</v>
      </c>
      <c r="CR20" s="836"/>
    </row>
    <row r="21" spans="1:96" x14ac:dyDescent="0.25">
      <c r="A21" s="935"/>
      <c r="B21" s="932"/>
      <c r="C21" s="911"/>
      <c r="D21" s="911"/>
      <c r="E21" s="936"/>
      <c r="F21" s="936"/>
      <c r="G21" s="937"/>
      <c r="H21" s="936"/>
      <c r="I21" s="936"/>
      <c r="J21" s="914"/>
      <c r="K21" s="915"/>
      <c r="L21" s="916" t="s">
        <v>21</v>
      </c>
      <c r="M21" s="916" t="s">
        <v>21</v>
      </c>
      <c r="N21" s="916" t="s">
        <v>21</v>
      </c>
      <c r="O21" s="916" t="s">
        <v>21</v>
      </c>
      <c r="P21" s="915"/>
      <c r="Q21" s="916" t="s">
        <v>21</v>
      </c>
      <c r="R21" s="917" t="s">
        <v>21</v>
      </c>
      <c r="S21" s="918" t="s">
        <v>21</v>
      </c>
      <c r="T21" s="918" t="s">
        <v>21</v>
      </c>
      <c r="U21" s="916" t="s">
        <v>21</v>
      </c>
      <c r="V21" s="916" t="s">
        <v>21</v>
      </c>
      <c r="W21" s="915"/>
      <c r="X21" s="916" t="s">
        <v>21</v>
      </c>
      <c r="Y21" s="916" t="s">
        <v>21</v>
      </c>
      <c r="Z21" s="916" t="s">
        <v>21</v>
      </c>
      <c r="AA21" s="916" t="s">
        <v>21</v>
      </c>
      <c r="AB21" s="916" t="s">
        <v>21</v>
      </c>
      <c r="AC21" s="915"/>
      <c r="AD21" s="919" t="s">
        <v>21</v>
      </c>
      <c r="AE21" s="920" t="s">
        <v>21</v>
      </c>
      <c r="AF21" s="920" t="s">
        <v>21</v>
      </c>
      <c r="AG21" s="920" t="s">
        <v>21</v>
      </c>
      <c r="AH21" s="921" t="s">
        <v>21</v>
      </c>
      <c r="AI21" s="921" t="s">
        <v>21</v>
      </c>
      <c r="AJ21" s="920" t="s">
        <v>21</v>
      </c>
      <c r="AK21" s="920" t="s">
        <v>21</v>
      </c>
      <c r="AL21" s="921" t="s">
        <v>21</v>
      </c>
      <c r="AM21" s="921" t="s">
        <v>21</v>
      </c>
      <c r="AN21" s="920"/>
      <c r="AO21" s="920" t="s">
        <v>21</v>
      </c>
      <c r="AP21" s="919" t="s">
        <v>21</v>
      </c>
      <c r="AQ21" s="933" t="s">
        <v>21</v>
      </c>
      <c r="AR21" s="925" t="s">
        <v>21</v>
      </c>
      <c r="AS21" s="925" t="s">
        <v>21</v>
      </c>
      <c r="AT21" s="925" t="s">
        <v>21</v>
      </c>
      <c r="AU21" s="925" t="s">
        <v>21</v>
      </c>
      <c r="AV21" s="926" t="s">
        <v>21</v>
      </c>
      <c r="AW21" s="926" t="s">
        <v>21</v>
      </c>
      <c r="AX21" s="926" t="s">
        <v>21</v>
      </c>
      <c r="AY21" s="926" t="s">
        <v>21</v>
      </c>
      <c r="AZ21" s="925" t="s">
        <v>21</v>
      </c>
      <c r="BA21" s="925"/>
      <c r="BB21" s="919" t="s">
        <v>21</v>
      </c>
      <c r="BC21" s="919" t="s">
        <v>21</v>
      </c>
      <c r="BD21" s="919" t="s">
        <v>21</v>
      </c>
      <c r="BE21" s="925" t="s">
        <v>21</v>
      </c>
      <c r="BF21" s="926" t="s">
        <v>21</v>
      </c>
      <c r="BG21" s="925" t="s">
        <v>21</v>
      </c>
      <c r="BH21" s="926" t="s">
        <v>21</v>
      </c>
      <c r="BI21" s="925" t="s">
        <v>21</v>
      </c>
      <c r="BJ21" s="926" t="s">
        <v>21</v>
      </c>
      <c r="BK21" s="925" t="s">
        <v>21</v>
      </c>
      <c r="BL21" s="926" t="s">
        <v>21</v>
      </c>
      <c r="BM21" s="925" t="s">
        <v>21</v>
      </c>
      <c r="BN21" s="927"/>
      <c r="BO21" s="927"/>
      <c r="BP21" s="928" t="s">
        <v>21</v>
      </c>
      <c r="BQ21" s="928" t="s">
        <v>21</v>
      </c>
      <c r="BR21" s="928" t="s">
        <v>21</v>
      </c>
      <c r="BS21" s="928" t="s">
        <v>21</v>
      </c>
      <c r="BT21" s="928" t="s">
        <v>21</v>
      </c>
      <c r="BU21" s="928" t="s">
        <v>21</v>
      </c>
      <c r="BV21" s="934" t="s">
        <v>21</v>
      </c>
      <c r="BW21" s="934" t="s">
        <v>21</v>
      </c>
      <c r="BX21" s="1104" t="s">
        <v>21</v>
      </c>
      <c r="BY21" s="931" t="s">
        <v>21</v>
      </c>
      <c r="BZ21" s="930" t="s">
        <v>21</v>
      </c>
      <c r="CA21" s="1074" t="s">
        <v>21</v>
      </c>
      <c r="CB21" s="930" t="s">
        <v>21</v>
      </c>
      <c r="CC21" s="930" t="s">
        <v>21</v>
      </c>
      <c r="CD21" s="925" t="s">
        <v>21</v>
      </c>
      <c r="CE21" s="1130" t="s">
        <v>21</v>
      </c>
      <c r="CF21" s="1129" t="s">
        <v>21</v>
      </c>
      <c r="CG21" s="1130" t="s">
        <v>21</v>
      </c>
      <c r="CH21" s="1130" t="s">
        <v>21</v>
      </c>
      <c r="CI21" s="1131" t="s">
        <v>21</v>
      </c>
      <c r="CJ21" s="1129" t="s">
        <v>21</v>
      </c>
      <c r="CK21" s="1130" t="s">
        <v>21</v>
      </c>
      <c r="CL21" s="1130" t="s">
        <v>21</v>
      </c>
      <c r="CM21" s="1131" t="s">
        <v>21</v>
      </c>
      <c r="CN21" s="1130" t="s">
        <v>21</v>
      </c>
      <c r="CP21" s="838" t="s">
        <v>21</v>
      </c>
      <c r="CQ21" s="838" t="s">
        <v>21</v>
      </c>
      <c r="CR21" s="836"/>
    </row>
    <row r="22" spans="1:96" x14ac:dyDescent="0.25">
      <c r="A22" s="935" t="s">
        <v>2482</v>
      </c>
      <c r="B22" s="932" t="s">
        <v>2234</v>
      </c>
      <c r="C22" s="911">
        <v>600</v>
      </c>
      <c r="D22" s="911" t="s">
        <v>2116</v>
      </c>
      <c r="E22" s="912">
        <v>1181.29</v>
      </c>
      <c r="F22" s="912">
        <v>1179.3900000000001</v>
      </c>
      <c r="G22" s="910" t="s">
        <v>2422</v>
      </c>
      <c r="H22" s="912">
        <v>1180</v>
      </c>
      <c r="I22" s="912">
        <v>1178.0999999999999</v>
      </c>
      <c r="J22" s="914">
        <v>18.57</v>
      </c>
      <c r="K22" s="915"/>
      <c r="L22" s="916">
        <v>0.1</v>
      </c>
      <c r="M22" s="916">
        <v>0.06</v>
      </c>
      <c r="N22" s="916">
        <v>0.2</v>
      </c>
      <c r="O22" s="916">
        <v>4.84</v>
      </c>
      <c r="P22" s="915"/>
      <c r="Q22" s="916">
        <v>2.16</v>
      </c>
      <c r="R22" s="917">
        <v>0.33333333333333331</v>
      </c>
      <c r="S22" s="918">
        <v>1.4</v>
      </c>
      <c r="T22" s="918">
        <v>2.84</v>
      </c>
      <c r="U22" s="916">
        <v>4.5540000000000003</v>
      </c>
      <c r="V22" s="916">
        <v>0.92</v>
      </c>
      <c r="W22" s="915"/>
      <c r="X22" s="916">
        <v>0.28299999999999997</v>
      </c>
      <c r="Y22" s="916">
        <v>0.40699999999999997</v>
      </c>
      <c r="Z22" s="916">
        <v>4.5789999999999997</v>
      </c>
      <c r="AA22" s="916">
        <v>1.0229999999999999</v>
      </c>
      <c r="AB22" s="916">
        <v>3.0089999999999999</v>
      </c>
      <c r="AC22" s="915"/>
      <c r="AD22" s="919">
        <v>89.879000000000005</v>
      </c>
      <c r="AE22" s="920">
        <v>85.031999999999996</v>
      </c>
      <c r="AF22" s="920" t="s">
        <v>21</v>
      </c>
      <c r="AG22" s="920" t="s">
        <v>21</v>
      </c>
      <c r="AH22" s="921">
        <v>85.031999999999996</v>
      </c>
      <c r="AI22" s="921" t="s">
        <v>21</v>
      </c>
      <c r="AJ22" s="920" t="s">
        <v>21</v>
      </c>
      <c r="AK22" s="920" t="s">
        <v>21</v>
      </c>
      <c r="AL22" s="921" t="s">
        <v>21</v>
      </c>
      <c r="AM22" s="921" t="s">
        <v>21</v>
      </c>
      <c r="AN22" s="920"/>
      <c r="AO22" s="920" t="s">
        <v>21</v>
      </c>
      <c r="AP22" s="919">
        <v>25.998000000000001</v>
      </c>
      <c r="AQ22" s="933">
        <v>84.567780000000013</v>
      </c>
      <c r="AR22" s="925" t="s">
        <v>21</v>
      </c>
      <c r="AS22" s="925">
        <v>84.567780000000013</v>
      </c>
      <c r="AT22" s="925" t="s">
        <v>21</v>
      </c>
      <c r="AU22" s="925" t="s">
        <v>21</v>
      </c>
      <c r="AV22" s="926" t="s">
        <v>21</v>
      </c>
      <c r="AW22" s="926" t="s">
        <v>21</v>
      </c>
      <c r="AX22" s="926" t="s">
        <v>21</v>
      </c>
      <c r="AY22" s="926" t="s">
        <v>21</v>
      </c>
      <c r="AZ22" s="925" t="s">
        <v>21</v>
      </c>
      <c r="BA22" s="925"/>
      <c r="BB22" s="919">
        <v>2.6</v>
      </c>
      <c r="BC22" s="919" t="s">
        <v>21</v>
      </c>
      <c r="BD22" s="919" t="s">
        <v>2142</v>
      </c>
      <c r="BE22" s="925" t="s">
        <v>21</v>
      </c>
      <c r="BF22" s="926" t="s">
        <v>21</v>
      </c>
      <c r="BG22" s="925">
        <v>18.57</v>
      </c>
      <c r="BH22" s="926" t="s">
        <v>21</v>
      </c>
      <c r="BI22" s="925" t="s">
        <v>21</v>
      </c>
      <c r="BJ22" s="926" t="s">
        <v>21</v>
      </c>
      <c r="BK22" s="925" t="s">
        <v>21</v>
      </c>
      <c r="BL22" s="926" t="s">
        <v>21</v>
      </c>
      <c r="BM22" s="925" t="s">
        <v>21</v>
      </c>
      <c r="BN22" s="927"/>
      <c r="BO22" s="927"/>
      <c r="BP22" s="928">
        <v>1</v>
      </c>
      <c r="BQ22" s="928" t="s">
        <v>21</v>
      </c>
      <c r="BR22" s="928" t="s">
        <v>21</v>
      </c>
      <c r="BS22" s="928" t="s">
        <v>21</v>
      </c>
      <c r="BT22" s="928" t="s">
        <v>21</v>
      </c>
      <c r="BU22" s="928" t="s">
        <v>21</v>
      </c>
      <c r="BV22" s="934">
        <v>0.49999999999986366</v>
      </c>
      <c r="BW22" s="934">
        <v>0.5</v>
      </c>
      <c r="BX22" s="1104">
        <v>1</v>
      </c>
      <c r="BY22" s="931">
        <v>3</v>
      </c>
      <c r="BZ22" s="930" t="s">
        <v>21</v>
      </c>
      <c r="CA22" s="1074" t="s">
        <v>21</v>
      </c>
      <c r="CB22" s="930" t="s">
        <v>21</v>
      </c>
      <c r="CC22" s="930" t="s">
        <v>21</v>
      </c>
      <c r="CD22" s="925">
        <v>18.997</v>
      </c>
      <c r="CE22" s="1130">
        <v>55.877000000000002</v>
      </c>
      <c r="CF22" s="1129" t="s">
        <v>21</v>
      </c>
      <c r="CG22" s="1130" t="s">
        <v>21</v>
      </c>
      <c r="CH22" s="1130" t="s">
        <v>21</v>
      </c>
      <c r="CI22" s="1131" t="s">
        <v>21</v>
      </c>
      <c r="CJ22" s="1129" t="s">
        <v>21</v>
      </c>
      <c r="CK22" s="1130">
        <v>55.877000000000002</v>
      </c>
      <c r="CL22" s="1130" t="s">
        <v>21</v>
      </c>
      <c r="CM22" s="1131" t="s">
        <v>21</v>
      </c>
      <c r="CN22" s="1130" t="s">
        <v>21</v>
      </c>
      <c r="CP22" s="838" t="s">
        <v>21</v>
      </c>
      <c r="CQ22" s="838" t="s">
        <v>21</v>
      </c>
      <c r="CR22" s="836"/>
    </row>
    <row r="23" spans="1:96" x14ac:dyDescent="0.25">
      <c r="A23" s="935"/>
      <c r="B23" s="932"/>
      <c r="C23" s="911"/>
      <c r="D23" s="911"/>
      <c r="E23" s="912"/>
      <c r="F23" s="912"/>
      <c r="G23" s="910"/>
      <c r="H23" s="912"/>
      <c r="I23" s="912"/>
      <c r="J23" s="914"/>
      <c r="K23" s="915"/>
      <c r="L23" s="916" t="s">
        <v>21</v>
      </c>
      <c r="M23" s="916" t="s">
        <v>21</v>
      </c>
      <c r="N23" s="916" t="s">
        <v>21</v>
      </c>
      <c r="O23" s="916" t="s">
        <v>21</v>
      </c>
      <c r="P23" s="915"/>
      <c r="Q23" s="916" t="s">
        <v>21</v>
      </c>
      <c r="R23" s="917" t="s">
        <v>21</v>
      </c>
      <c r="S23" s="918" t="s">
        <v>21</v>
      </c>
      <c r="T23" s="918" t="s">
        <v>21</v>
      </c>
      <c r="U23" s="916" t="s">
        <v>21</v>
      </c>
      <c r="V23" s="916" t="s">
        <v>21</v>
      </c>
      <c r="W23" s="915"/>
      <c r="X23" s="916" t="s">
        <v>21</v>
      </c>
      <c r="Y23" s="916" t="s">
        <v>21</v>
      </c>
      <c r="Z23" s="916" t="s">
        <v>21</v>
      </c>
      <c r="AA23" s="916" t="s">
        <v>21</v>
      </c>
      <c r="AB23" s="916" t="s">
        <v>21</v>
      </c>
      <c r="AC23" s="915"/>
      <c r="AD23" s="919" t="s">
        <v>21</v>
      </c>
      <c r="AE23" s="920" t="s">
        <v>21</v>
      </c>
      <c r="AF23" s="920" t="s">
        <v>21</v>
      </c>
      <c r="AG23" s="920" t="s">
        <v>21</v>
      </c>
      <c r="AH23" s="921" t="s">
        <v>21</v>
      </c>
      <c r="AI23" s="921" t="s">
        <v>21</v>
      </c>
      <c r="AJ23" s="920" t="s">
        <v>21</v>
      </c>
      <c r="AK23" s="920" t="s">
        <v>21</v>
      </c>
      <c r="AL23" s="921" t="s">
        <v>21</v>
      </c>
      <c r="AM23" s="921" t="s">
        <v>21</v>
      </c>
      <c r="AN23" s="920"/>
      <c r="AO23" s="920" t="s">
        <v>21</v>
      </c>
      <c r="AP23" s="919" t="s">
        <v>21</v>
      </c>
      <c r="AQ23" s="933" t="s">
        <v>21</v>
      </c>
      <c r="AR23" s="925" t="s">
        <v>21</v>
      </c>
      <c r="AS23" s="925" t="s">
        <v>21</v>
      </c>
      <c r="AT23" s="925" t="s">
        <v>21</v>
      </c>
      <c r="AU23" s="925" t="s">
        <v>21</v>
      </c>
      <c r="AV23" s="926" t="s">
        <v>21</v>
      </c>
      <c r="AW23" s="926" t="s">
        <v>21</v>
      </c>
      <c r="AX23" s="926" t="s">
        <v>21</v>
      </c>
      <c r="AY23" s="926" t="s">
        <v>21</v>
      </c>
      <c r="AZ23" s="925" t="s">
        <v>21</v>
      </c>
      <c r="BA23" s="925"/>
      <c r="BB23" s="919" t="s">
        <v>21</v>
      </c>
      <c r="BC23" s="919" t="s">
        <v>21</v>
      </c>
      <c r="BD23" s="919" t="s">
        <v>21</v>
      </c>
      <c r="BE23" s="925" t="s">
        <v>21</v>
      </c>
      <c r="BF23" s="926" t="s">
        <v>21</v>
      </c>
      <c r="BG23" s="925" t="s">
        <v>21</v>
      </c>
      <c r="BH23" s="926" t="s">
        <v>21</v>
      </c>
      <c r="BI23" s="925" t="s">
        <v>21</v>
      </c>
      <c r="BJ23" s="926" t="s">
        <v>21</v>
      </c>
      <c r="BK23" s="925" t="s">
        <v>21</v>
      </c>
      <c r="BL23" s="926" t="s">
        <v>21</v>
      </c>
      <c r="BM23" s="925" t="s">
        <v>21</v>
      </c>
      <c r="BN23" s="927"/>
      <c r="BO23" s="927"/>
      <c r="BP23" s="928" t="s">
        <v>21</v>
      </c>
      <c r="BQ23" s="928" t="s">
        <v>21</v>
      </c>
      <c r="BR23" s="928" t="s">
        <v>21</v>
      </c>
      <c r="BS23" s="928" t="s">
        <v>21</v>
      </c>
      <c r="BT23" s="928" t="s">
        <v>21</v>
      </c>
      <c r="BU23" s="928" t="s">
        <v>21</v>
      </c>
      <c r="BV23" s="934" t="s">
        <v>21</v>
      </c>
      <c r="BW23" s="934" t="s">
        <v>21</v>
      </c>
      <c r="BX23" s="1104" t="s">
        <v>21</v>
      </c>
      <c r="BY23" s="931" t="s">
        <v>21</v>
      </c>
      <c r="BZ23" s="930" t="s">
        <v>21</v>
      </c>
      <c r="CA23" s="1074" t="s">
        <v>21</v>
      </c>
      <c r="CB23" s="930" t="s">
        <v>21</v>
      </c>
      <c r="CC23" s="930" t="s">
        <v>21</v>
      </c>
      <c r="CD23" s="925" t="s">
        <v>21</v>
      </c>
      <c r="CE23" s="1130" t="s">
        <v>21</v>
      </c>
      <c r="CF23" s="1129" t="s">
        <v>21</v>
      </c>
      <c r="CG23" s="1130" t="s">
        <v>21</v>
      </c>
      <c r="CH23" s="1130" t="s">
        <v>21</v>
      </c>
      <c r="CI23" s="1131" t="s">
        <v>21</v>
      </c>
      <c r="CJ23" s="1129" t="s">
        <v>21</v>
      </c>
      <c r="CK23" s="1130" t="s">
        <v>21</v>
      </c>
      <c r="CL23" s="1130" t="s">
        <v>21</v>
      </c>
      <c r="CM23" s="1131" t="s">
        <v>21</v>
      </c>
      <c r="CN23" s="1130" t="s">
        <v>21</v>
      </c>
      <c r="CP23" s="838" t="s">
        <v>21</v>
      </c>
      <c r="CQ23" s="838" t="s">
        <v>21</v>
      </c>
      <c r="CR23" s="836"/>
    </row>
    <row r="24" spans="1:96" x14ac:dyDescent="0.25">
      <c r="A24" s="935" t="s">
        <v>2483</v>
      </c>
      <c r="B24" s="932" t="s">
        <v>2235</v>
      </c>
      <c r="C24" s="911">
        <v>600</v>
      </c>
      <c r="D24" s="911" t="s">
        <v>2116</v>
      </c>
      <c r="E24" s="912">
        <v>1179.3800000000001</v>
      </c>
      <c r="F24" s="912">
        <v>1177.48</v>
      </c>
      <c r="G24" s="910" t="s">
        <v>2422</v>
      </c>
      <c r="H24" s="912">
        <v>1178</v>
      </c>
      <c r="I24" s="912">
        <v>1176.0999999999999</v>
      </c>
      <c r="J24" s="914">
        <v>13.75</v>
      </c>
      <c r="K24" s="915"/>
      <c r="L24" s="916">
        <v>0.1</v>
      </c>
      <c r="M24" s="916">
        <v>0.06</v>
      </c>
      <c r="N24" s="916">
        <v>0.2</v>
      </c>
      <c r="O24" s="916">
        <v>4.84</v>
      </c>
      <c r="P24" s="915"/>
      <c r="Q24" s="916">
        <v>2.16</v>
      </c>
      <c r="R24" s="917">
        <v>0.33333333333333331</v>
      </c>
      <c r="S24" s="918">
        <v>1.4</v>
      </c>
      <c r="T24" s="918">
        <v>2.84</v>
      </c>
      <c r="U24" s="916">
        <v>4.5540000000000003</v>
      </c>
      <c r="V24" s="916">
        <v>0.92</v>
      </c>
      <c r="W24" s="915"/>
      <c r="X24" s="916">
        <v>0.28299999999999997</v>
      </c>
      <c r="Y24" s="916">
        <v>0.40699999999999997</v>
      </c>
      <c r="Z24" s="916">
        <v>4.5789999999999997</v>
      </c>
      <c r="AA24" s="916">
        <v>1.0229999999999999</v>
      </c>
      <c r="AB24" s="916">
        <v>3.0089999999999999</v>
      </c>
      <c r="AC24" s="915"/>
      <c r="AD24" s="919">
        <v>66.55</v>
      </c>
      <c r="AE24" s="920">
        <v>62.960999999999999</v>
      </c>
      <c r="AF24" s="920" t="s">
        <v>21</v>
      </c>
      <c r="AG24" s="920" t="s">
        <v>21</v>
      </c>
      <c r="AH24" s="921">
        <v>62.960999999999999</v>
      </c>
      <c r="AI24" s="921" t="s">
        <v>21</v>
      </c>
      <c r="AJ24" s="920" t="s">
        <v>21</v>
      </c>
      <c r="AK24" s="920" t="s">
        <v>21</v>
      </c>
      <c r="AL24" s="921" t="s">
        <v>21</v>
      </c>
      <c r="AM24" s="921" t="s">
        <v>21</v>
      </c>
      <c r="AN24" s="920"/>
      <c r="AO24" s="920" t="s">
        <v>21</v>
      </c>
      <c r="AP24" s="919">
        <v>19.25</v>
      </c>
      <c r="AQ24" s="933">
        <v>62.617500000000007</v>
      </c>
      <c r="AR24" s="925" t="s">
        <v>21</v>
      </c>
      <c r="AS24" s="925">
        <v>62.617500000000007</v>
      </c>
      <c r="AT24" s="925" t="s">
        <v>21</v>
      </c>
      <c r="AU24" s="925" t="s">
        <v>21</v>
      </c>
      <c r="AV24" s="926" t="s">
        <v>21</v>
      </c>
      <c r="AW24" s="926" t="s">
        <v>21</v>
      </c>
      <c r="AX24" s="926" t="s">
        <v>21</v>
      </c>
      <c r="AY24" s="926" t="s">
        <v>21</v>
      </c>
      <c r="AZ24" s="925" t="s">
        <v>21</v>
      </c>
      <c r="BA24" s="925"/>
      <c r="BB24" s="919">
        <v>1.925</v>
      </c>
      <c r="BC24" s="919" t="s">
        <v>21</v>
      </c>
      <c r="BD24" s="919" t="s">
        <v>2142</v>
      </c>
      <c r="BE24" s="925" t="s">
        <v>21</v>
      </c>
      <c r="BF24" s="926" t="s">
        <v>21</v>
      </c>
      <c r="BG24" s="925">
        <v>13.75</v>
      </c>
      <c r="BH24" s="926" t="s">
        <v>21</v>
      </c>
      <c r="BI24" s="925" t="s">
        <v>21</v>
      </c>
      <c r="BJ24" s="926" t="s">
        <v>21</v>
      </c>
      <c r="BK24" s="925" t="s">
        <v>21</v>
      </c>
      <c r="BL24" s="926" t="s">
        <v>21</v>
      </c>
      <c r="BM24" s="925" t="s">
        <v>21</v>
      </c>
      <c r="BN24" s="927"/>
      <c r="BO24" s="927"/>
      <c r="BP24" s="928">
        <v>1</v>
      </c>
      <c r="BQ24" s="928" t="s">
        <v>21</v>
      </c>
      <c r="BR24" s="928" t="s">
        <v>21</v>
      </c>
      <c r="BS24" s="928" t="s">
        <v>21</v>
      </c>
      <c r="BT24" s="928" t="s">
        <v>21</v>
      </c>
      <c r="BU24" s="928" t="s">
        <v>21</v>
      </c>
      <c r="BV24" s="934">
        <v>0.50000000000009104</v>
      </c>
      <c r="BW24" s="934">
        <v>1</v>
      </c>
      <c r="BX24" s="1104">
        <v>2</v>
      </c>
      <c r="BY24" s="931">
        <v>4</v>
      </c>
      <c r="BZ24" s="930" t="s">
        <v>21</v>
      </c>
      <c r="CA24" s="1074" t="s">
        <v>21</v>
      </c>
      <c r="CB24" s="930" t="s">
        <v>21</v>
      </c>
      <c r="CC24" s="930" t="s">
        <v>21</v>
      </c>
      <c r="CD24" s="925">
        <v>14.066000000000001</v>
      </c>
      <c r="CE24" s="1130">
        <v>41.374000000000002</v>
      </c>
      <c r="CF24" s="1129" t="s">
        <v>21</v>
      </c>
      <c r="CG24" s="1130" t="s">
        <v>21</v>
      </c>
      <c r="CH24" s="1130" t="s">
        <v>21</v>
      </c>
      <c r="CI24" s="1131" t="s">
        <v>21</v>
      </c>
      <c r="CJ24" s="1129" t="s">
        <v>21</v>
      </c>
      <c r="CK24" s="1130">
        <v>41.374000000000002</v>
      </c>
      <c r="CL24" s="1130" t="s">
        <v>21</v>
      </c>
      <c r="CM24" s="1131" t="s">
        <v>21</v>
      </c>
      <c r="CN24" s="1130" t="s">
        <v>21</v>
      </c>
      <c r="CP24" s="838" t="s">
        <v>21</v>
      </c>
      <c r="CQ24" s="838" t="s">
        <v>21</v>
      </c>
      <c r="CR24" s="836"/>
    </row>
    <row r="25" spans="1:96" x14ac:dyDescent="0.25">
      <c r="A25" s="935"/>
      <c r="B25" s="932"/>
      <c r="C25" s="911"/>
      <c r="D25" s="911"/>
      <c r="E25" s="912"/>
      <c r="F25" s="912"/>
      <c r="G25" s="910"/>
      <c r="H25" s="912"/>
      <c r="I25" s="912"/>
      <c r="J25" s="914"/>
      <c r="K25" s="915"/>
      <c r="L25" s="916" t="s">
        <v>21</v>
      </c>
      <c r="M25" s="916" t="s">
        <v>21</v>
      </c>
      <c r="N25" s="916" t="s">
        <v>21</v>
      </c>
      <c r="O25" s="916" t="s">
        <v>21</v>
      </c>
      <c r="P25" s="915"/>
      <c r="Q25" s="916" t="s">
        <v>21</v>
      </c>
      <c r="R25" s="917" t="s">
        <v>21</v>
      </c>
      <c r="S25" s="918" t="s">
        <v>21</v>
      </c>
      <c r="T25" s="918" t="s">
        <v>21</v>
      </c>
      <c r="U25" s="916" t="s">
        <v>21</v>
      </c>
      <c r="V25" s="916" t="s">
        <v>21</v>
      </c>
      <c r="W25" s="915"/>
      <c r="X25" s="916" t="s">
        <v>21</v>
      </c>
      <c r="Y25" s="916" t="s">
        <v>21</v>
      </c>
      <c r="Z25" s="916" t="s">
        <v>21</v>
      </c>
      <c r="AA25" s="916" t="s">
        <v>21</v>
      </c>
      <c r="AB25" s="916" t="s">
        <v>21</v>
      </c>
      <c r="AC25" s="915"/>
      <c r="AD25" s="919" t="s">
        <v>21</v>
      </c>
      <c r="AE25" s="920" t="s">
        <v>21</v>
      </c>
      <c r="AF25" s="920" t="s">
        <v>21</v>
      </c>
      <c r="AG25" s="920" t="s">
        <v>21</v>
      </c>
      <c r="AH25" s="921" t="s">
        <v>21</v>
      </c>
      <c r="AI25" s="921" t="s">
        <v>21</v>
      </c>
      <c r="AJ25" s="920" t="s">
        <v>21</v>
      </c>
      <c r="AK25" s="920" t="s">
        <v>21</v>
      </c>
      <c r="AL25" s="921" t="s">
        <v>21</v>
      </c>
      <c r="AM25" s="921" t="s">
        <v>21</v>
      </c>
      <c r="AN25" s="920"/>
      <c r="AO25" s="920" t="s">
        <v>21</v>
      </c>
      <c r="AP25" s="919" t="s">
        <v>21</v>
      </c>
      <c r="AQ25" s="933" t="s">
        <v>21</v>
      </c>
      <c r="AR25" s="925" t="s">
        <v>21</v>
      </c>
      <c r="AS25" s="925" t="s">
        <v>21</v>
      </c>
      <c r="AT25" s="925" t="s">
        <v>21</v>
      </c>
      <c r="AU25" s="925" t="s">
        <v>21</v>
      </c>
      <c r="AV25" s="926" t="s">
        <v>21</v>
      </c>
      <c r="AW25" s="926" t="s">
        <v>21</v>
      </c>
      <c r="AX25" s="926" t="s">
        <v>21</v>
      </c>
      <c r="AY25" s="926" t="s">
        <v>21</v>
      </c>
      <c r="AZ25" s="925" t="s">
        <v>21</v>
      </c>
      <c r="BA25" s="925"/>
      <c r="BB25" s="919" t="s">
        <v>21</v>
      </c>
      <c r="BC25" s="919" t="s">
        <v>21</v>
      </c>
      <c r="BD25" s="919" t="s">
        <v>21</v>
      </c>
      <c r="BE25" s="925" t="s">
        <v>21</v>
      </c>
      <c r="BF25" s="926" t="s">
        <v>21</v>
      </c>
      <c r="BG25" s="925" t="s">
        <v>21</v>
      </c>
      <c r="BH25" s="926" t="s">
        <v>21</v>
      </c>
      <c r="BI25" s="925" t="s">
        <v>21</v>
      </c>
      <c r="BJ25" s="926" t="s">
        <v>21</v>
      </c>
      <c r="BK25" s="925" t="s">
        <v>21</v>
      </c>
      <c r="BL25" s="926" t="s">
        <v>21</v>
      </c>
      <c r="BM25" s="925" t="s">
        <v>21</v>
      </c>
      <c r="BN25" s="927"/>
      <c r="BO25" s="927"/>
      <c r="BP25" s="928" t="s">
        <v>21</v>
      </c>
      <c r="BQ25" s="928" t="s">
        <v>21</v>
      </c>
      <c r="BR25" s="928" t="s">
        <v>21</v>
      </c>
      <c r="BS25" s="928" t="s">
        <v>21</v>
      </c>
      <c r="BT25" s="928" t="s">
        <v>21</v>
      </c>
      <c r="BU25" s="928" t="s">
        <v>21</v>
      </c>
      <c r="BV25" s="934" t="s">
        <v>21</v>
      </c>
      <c r="BW25" s="934" t="s">
        <v>21</v>
      </c>
      <c r="BX25" s="1104" t="s">
        <v>21</v>
      </c>
      <c r="BY25" s="931" t="s">
        <v>21</v>
      </c>
      <c r="BZ25" s="930" t="s">
        <v>21</v>
      </c>
      <c r="CA25" s="1074" t="s">
        <v>21</v>
      </c>
      <c r="CB25" s="930" t="s">
        <v>21</v>
      </c>
      <c r="CC25" s="930" t="s">
        <v>21</v>
      </c>
      <c r="CD25" s="925" t="s">
        <v>21</v>
      </c>
      <c r="CE25" s="1130" t="s">
        <v>21</v>
      </c>
      <c r="CF25" s="1129" t="s">
        <v>21</v>
      </c>
      <c r="CG25" s="1130" t="s">
        <v>21</v>
      </c>
      <c r="CH25" s="1130" t="s">
        <v>21</v>
      </c>
      <c r="CI25" s="1131" t="s">
        <v>21</v>
      </c>
      <c r="CJ25" s="1129" t="s">
        <v>21</v>
      </c>
      <c r="CK25" s="1130" t="s">
        <v>21</v>
      </c>
      <c r="CL25" s="1130" t="s">
        <v>21</v>
      </c>
      <c r="CM25" s="1131" t="s">
        <v>21</v>
      </c>
      <c r="CN25" s="1130" t="s">
        <v>21</v>
      </c>
      <c r="CP25" s="838" t="s">
        <v>21</v>
      </c>
      <c r="CQ25" s="838" t="s">
        <v>21</v>
      </c>
      <c r="CR25" s="836"/>
    </row>
    <row r="26" spans="1:96" x14ac:dyDescent="0.25">
      <c r="A26" s="935" t="s">
        <v>2484</v>
      </c>
      <c r="B26" s="932" t="s">
        <v>2236</v>
      </c>
      <c r="C26" s="911">
        <v>600</v>
      </c>
      <c r="D26" s="911" t="s">
        <v>2116</v>
      </c>
      <c r="E26" s="912">
        <v>1175.06</v>
      </c>
      <c r="F26" s="912">
        <v>1173.1600000000001</v>
      </c>
      <c r="G26" s="910" t="s">
        <v>2237</v>
      </c>
      <c r="H26" s="912">
        <v>1175.3699999999999</v>
      </c>
      <c r="I26" s="912">
        <v>1173.0409999999999</v>
      </c>
      <c r="J26" s="914">
        <v>23.79</v>
      </c>
      <c r="K26" s="915"/>
      <c r="L26" s="916">
        <v>0.1</v>
      </c>
      <c r="M26" s="916">
        <v>0.06</v>
      </c>
      <c r="N26" s="916">
        <v>0.2</v>
      </c>
      <c r="O26" s="916">
        <v>4.9830000000000005</v>
      </c>
      <c r="P26" s="915"/>
      <c r="Q26" s="916">
        <v>2.3740000000000001</v>
      </c>
      <c r="R26" s="917">
        <v>0.33333333333333331</v>
      </c>
      <c r="S26" s="918">
        <v>1.4</v>
      </c>
      <c r="T26" s="918">
        <v>2.9830000000000001</v>
      </c>
      <c r="U26" s="916">
        <v>5.0049999999999999</v>
      </c>
      <c r="V26" s="916">
        <v>0.92</v>
      </c>
      <c r="W26" s="915"/>
      <c r="X26" s="916">
        <v>0.28299999999999997</v>
      </c>
      <c r="Y26" s="916">
        <v>0.40699999999999997</v>
      </c>
      <c r="Z26" s="916">
        <v>5.2030000000000003</v>
      </c>
      <c r="AA26" s="916">
        <v>1.0229999999999999</v>
      </c>
      <c r="AB26" s="916">
        <v>3.633</v>
      </c>
      <c r="AC26" s="915"/>
      <c r="AD26" s="919">
        <v>118.54600000000001</v>
      </c>
      <c r="AE26" s="920">
        <v>123.779</v>
      </c>
      <c r="AF26" s="920" t="s">
        <v>21</v>
      </c>
      <c r="AG26" s="920" t="s">
        <v>21</v>
      </c>
      <c r="AH26" s="921">
        <v>123.779</v>
      </c>
      <c r="AI26" s="921" t="s">
        <v>21</v>
      </c>
      <c r="AJ26" s="920" t="s">
        <v>21</v>
      </c>
      <c r="AK26" s="920" t="s">
        <v>21</v>
      </c>
      <c r="AL26" s="921" t="s">
        <v>21</v>
      </c>
      <c r="AM26" s="921" t="s">
        <v>21</v>
      </c>
      <c r="AN26" s="920"/>
      <c r="AO26" s="920" t="s">
        <v>21</v>
      </c>
      <c r="AP26" s="919">
        <v>33.305999999999997</v>
      </c>
      <c r="AQ26" s="933">
        <v>119.06894999999999</v>
      </c>
      <c r="AR26" s="925" t="s">
        <v>21</v>
      </c>
      <c r="AS26" s="925">
        <v>119.06894999999999</v>
      </c>
      <c r="AT26" s="925" t="s">
        <v>21</v>
      </c>
      <c r="AU26" s="925" t="s">
        <v>21</v>
      </c>
      <c r="AV26" s="926" t="s">
        <v>21</v>
      </c>
      <c r="AW26" s="926" t="s">
        <v>21</v>
      </c>
      <c r="AX26" s="926" t="s">
        <v>21</v>
      </c>
      <c r="AY26" s="926" t="s">
        <v>21</v>
      </c>
      <c r="AZ26" s="925" t="s">
        <v>21</v>
      </c>
      <c r="BA26" s="925"/>
      <c r="BB26" s="919">
        <v>3.331</v>
      </c>
      <c r="BC26" s="919" t="s">
        <v>21</v>
      </c>
      <c r="BD26" s="919" t="s">
        <v>2142</v>
      </c>
      <c r="BE26" s="925" t="s">
        <v>21</v>
      </c>
      <c r="BF26" s="926" t="s">
        <v>21</v>
      </c>
      <c r="BG26" s="925">
        <v>23.79</v>
      </c>
      <c r="BH26" s="926" t="s">
        <v>21</v>
      </c>
      <c r="BI26" s="925" t="s">
        <v>21</v>
      </c>
      <c r="BJ26" s="926" t="s">
        <v>21</v>
      </c>
      <c r="BK26" s="925" t="s">
        <v>21</v>
      </c>
      <c r="BL26" s="926" t="s">
        <v>21</v>
      </c>
      <c r="BM26" s="925" t="s">
        <v>21</v>
      </c>
      <c r="BN26" s="927"/>
      <c r="BO26" s="927"/>
      <c r="BP26" s="928">
        <v>1</v>
      </c>
      <c r="BQ26" s="928" t="s">
        <v>21</v>
      </c>
      <c r="BR26" s="928" t="s">
        <v>21</v>
      </c>
      <c r="BS26" s="928" t="s">
        <v>21</v>
      </c>
      <c r="BT26" s="928" t="s">
        <v>21</v>
      </c>
      <c r="BU26" s="928" t="s">
        <v>21</v>
      </c>
      <c r="BV26" s="934">
        <v>0.49999999999986366</v>
      </c>
      <c r="BW26" s="934">
        <v>0.5</v>
      </c>
      <c r="BX26" s="1104">
        <v>1</v>
      </c>
      <c r="BY26" s="931">
        <v>3</v>
      </c>
      <c r="BZ26" s="930" t="s">
        <v>21</v>
      </c>
      <c r="CA26" s="1074">
        <v>1</v>
      </c>
      <c r="CB26" s="930" t="s">
        <v>21</v>
      </c>
      <c r="CC26" s="930" t="s">
        <v>21</v>
      </c>
      <c r="CD26" s="925">
        <v>24.337</v>
      </c>
      <c r="CE26" s="1130">
        <v>86.429000000000002</v>
      </c>
      <c r="CF26" s="1129" t="s">
        <v>21</v>
      </c>
      <c r="CG26" s="1130" t="s">
        <v>21</v>
      </c>
      <c r="CH26" s="1130" t="s">
        <v>21</v>
      </c>
      <c r="CI26" s="1131" t="s">
        <v>21</v>
      </c>
      <c r="CJ26" s="1129" t="s">
        <v>21</v>
      </c>
      <c r="CK26" s="1130">
        <v>86.429000000000002</v>
      </c>
      <c r="CL26" s="1130" t="s">
        <v>21</v>
      </c>
      <c r="CM26" s="1131" t="s">
        <v>21</v>
      </c>
      <c r="CN26" s="1130" t="s">
        <v>21</v>
      </c>
      <c r="CP26" s="838" t="s">
        <v>21</v>
      </c>
      <c r="CQ26" s="838" t="s">
        <v>21</v>
      </c>
      <c r="CR26" s="836"/>
    </row>
    <row r="27" spans="1:96" x14ac:dyDescent="0.25">
      <c r="A27" s="935"/>
      <c r="B27" s="932" t="s">
        <v>2237</v>
      </c>
      <c r="C27" s="911">
        <v>600</v>
      </c>
      <c r="D27" s="911" t="s">
        <v>2116</v>
      </c>
      <c r="E27" s="912">
        <v>1175.3699999999999</v>
      </c>
      <c r="F27" s="912">
        <v>1173.0409999999999</v>
      </c>
      <c r="G27" s="910" t="s">
        <v>2238</v>
      </c>
      <c r="H27" s="912">
        <v>1175.72</v>
      </c>
      <c r="I27" s="912">
        <v>1172.922</v>
      </c>
      <c r="J27" s="914">
        <v>23.79</v>
      </c>
      <c r="K27" s="915"/>
      <c r="L27" s="916">
        <v>0.1</v>
      </c>
      <c r="M27" s="916">
        <v>0.06</v>
      </c>
      <c r="N27" s="916">
        <v>0.2</v>
      </c>
      <c r="O27" s="916">
        <v>5.282</v>
      </c>
      <c r="P27" s="915"/>
      <c r="Q27" s="916">
        <v>2.823</v>
      </c>
      <c r="R27" s="917">
        <v>0.33333333333333331</v>
      </c>
      <c r="S27" s="918">
        <v>1.4</v>
      </c>
      <c r="T27" s="918">
        <v>3.282</v>
      </c>
      <c r="U27" s="916">
        <v>5.9509999999999996</v>
      </c>
      <c r="V27" s="916">
        <v>0.92</v>
      </c>
      <c r="W27" s="915"/>
      <c r="X27" s="916">
        <v>0.28299999999999997</v>
      </c>
      <c r="Y27" s="916">
        <v>0.40699999999999997</v>
      </c>
      <c r="Z27" s="916">
        <v>6.609</v>
      </c>
      <c r="AA27" s="916">
        <v>1.0229999999999999</v>
      </c>
      <c r="AB27" s="916">
        <v>5.0389999999999997</v>
      </c>
      <c r="AC27" s="915"/>
      <c r="AD27" s="919">
        <v>125.65900000000001</v>
      </c>
      <c r="AE27" s="920">
        <v>157.22800000000001</v>
      </c>
      <c r="AF27" s="920" t="s">
        <v>21</v>
      </c>
      <c r="AG27" s="920" t="s">
        <v>21</v>
      </c>
      <c r="AH27" s="921">
        <v>157.22800000000001</v>
      </c>
      <c r="AI27" s="921" t="s">
        <v>21</v>
      </c>
      <c r="AJ27" s="920" t="s">
        <v>21</v>
      </c>
      <c r="AK27" s="920" t="s">
        <v>21</v>
      </c>
      <c r="AL27" s="921" t="s">
        <v>21</v>
      </c>
      <c r="AM27" s="921" t="s">
        <v>21</v>
      </c>
      <c r="AN27" s="920"/>
      <c r="AO27" s="920" t="s">
        <v>21</v>
      </c>
      <c r="AP27" s="919">
        <v>33.305999999999997</v>
      </c>
      <c r="AQ27" s="933">
        <v>141.57428999999999</v>
      </c>
      <c r="AR27" s="925" t="s">
        <v>21</v>
      </c>
      <c r="AS27" s="925">
        <v>141.57428999999999</v>
      </c>
      <c r="AT27" s="925" t="s">
        <v>21</v>
      </c>
      <c r="AU27" s="925" t="s">
        <v>21</v>
      </c>
      <c r="AV27" s="926" t="s">
        <v>21</v>
      </c>
      <c r="AW27" s="926" t="s">
        <v>21</v>
      </c>
      <c r="AX27" s="926" t="s">
        <v>21</v>
      </c>
      <c r="AY27" s="926" t="s">
        <v>21</v>
      </c>
      <c r="AZ27" s="925" t="s">
        <v>21</v>
      </c>
      <c r="BA27" s="925"/>
      <c r="BB27" s="919">
        <v>3.331</v>
      </c>
      <c r="BC27" s="919" t="s">
        <v>21</v>
      </c>
      <c r="BD27" s="919" t="s">
        <v>2142</v>
      </c>
      <c r="BE27" s="925" t="s">
        <v>21</v>
      </c>
      <c r="BF27" s="926" t="s">
        <v>21</v>
      </c>
      <c r="BG27" s="925">
        <v>23.79</v>
      </c>
      <c r="BH27" s="926" t="s">
        <v>21</v>
      </c>
      <c r="BI27" s="925" t="s">
        <v>21</v>
      </c>
      <c r="BJ27" s="926" t="s">
        <v>21</v>
      </c>
      <c r="BK27" s="925" t="s">
        <v>21</v>
      </c>
      <c r="BL27" s="926" t="s">
        <v>21</v>
      </c>
      <c r="BM27" s="925" t="s">
        <v>21</v>
      </c>
      <c r="BN27" s="927"/>
      <c r="BO27" s="927"/>
      <c r="BP27" s="928">
        <v>1</v>
      </c>
      <c r="BQ27" s="928" t="s">
        <v>21</v>
      </c>
      <c r="BR27" s="928" t="s">
        <v>21</v>
      </c>
      <c r="BS27" s="928" t="s">
        <v>21</v>
      </c>
      <c r="BT27" s="928" t="s">
        <v>21</v>
      </c>
      <c r="BU27" s="928" t="s">
        <v>21</v>
      </c>
      <c r="BV27" s="934">
        <v>0.92899999999995098</v>
      </c>
      <c r="BW27" s="934">
        <v>1</v>
      </c>
      <c r="BX27" s="1104">
        <v>2</v>
      </c>
      <c r="BY27" s="931">
        <v>4</v>
      </c>
      <c r="BZ27" s="930" t="s">
        <v>21</v>
      </c>
      <c r="CA27" s="1074">
        <v>1</v>
      </c>
      <c r="CB27" s="930" t="s">
        <v>21</v>
      </c>
      <c r="CC27" s="930" t="s">
        <v>21</v>
      </c>
      <c r="CD27" s="925">
        <v>24.337</v>
      </c>
      <c r="CE27" s="1130">
        <v>119.878</v>
      </c>
      <c r="CF27" s="1129" t="s">
        <v>21</v>
      </c>
      <c r="CG27" s="1130" t="s">
        <v>21</v>
      </c>
      <c r="CH27" s="1130" t="s">
        <v>21</v>
      </c>
      <c r="CI27" s="1131" t="s">
        <v>21</v>
      </c>
      <c r="CJ27" s="1129" t="s">
        <v>21</v>
      </c>
      <c r="CK27" s="1130">
        <v>119.878</v>
      </c>
      <c r="CL27" s="1130" t="s">
        <v>21</v>
      </c>
      <c r="CM27" s="1131" t="s">
        <v>21</v>
      </c>
      <c r="CN27" s="1130" t="s">
        <v>21</v>
      </c>
      <c r="CP27" s="838" t="s">
        <v>21</v>
      </c>
      <c r="CQ27" s="838" t="s">
        <v>21</v>
      </c>
      <c r="CR27" s="836"/>
    </row>
    <row r="28" spans="1:96" x14ac:dyDescent="0.25">
      <c r="A28" s="935"/>
      <c r="B28" s="932" t="s">
        <v>2238</v>
      </c>
      <c r="C28" s="911">
        <v>600</v>
      </c>
      <c r="D28" s="911" t="s">
        <v>2116</v>
      </c>
      <c r="E28" s="912">
        <v>1175.72</v>
      </c>
      <c r="F28" s="912">
        <v>1172.922</v>
      </c>
      <c r="G28" s="910" t="s">
        <v>2239</v>
      </c>
      <c r="H28" s="912">
        <v>1174.8499999999999</v>
      </c>
      <c r="I28" s="912">
        <v>1172.7929999999999</v>
      </c>
      <c r="J28" s="914">
        <v>25.65</v>
      </c>
      <c r="K28" s="915"/>
      <c r="L28" s="916">
        <v>0.1</v>
      </c>
      <c r="M28" s="916">
        <v>0.06</v>
      </c>
      <c r="N28" s="916">
        <v>0.2</v>
      </c>
      <c r="O28" s="916">
        <v>5.1920000000000002</v>
      </c>
      <c r="P28" s="915"/>
      <c r="Q28" s="916">
        <v>2.6880000000000002</v>
      </c>
      <c r="R28" s="917">
        <v>0.33333333333333331</v>
      </c>
      <c r="S28" s="918">
        <v>1.4</v>
      </c>
      <c r="T28" s="918">
        <v>3.1920000000000002</v>
      </c>
      <c r="U28" s="916">
        <v>5.6669999999999998</v>
      </c>
      <c r="V28" s="916">
        <v>0.92</v>
      </c>
      <c r="W28" s="915"/>
      <c r="X28" s="916">
        <v>0.28299999999999997</v>
      </c>
      <c r="Y28" s="916">
        <v>0.40699999999999997</v>
      </c>
      <c r="Z28" s="916">
        <v>6.1719999999999997</v>
      </c>
      <c r="AA28" s="916">
        <v>1.0229999999999999</v>
      </c>
      <c r="AB28" s="916">
        <v>4.6020000000000003</v>
      </c>
      <c r="AC28" s="915"/>
      <c r="AD28" s="919">
        <v>133.17500000000001</v>
      </c>
      <c r="AE28" s="920">
        <v>158.31200000000001</v>
      </c>
      <c r="AF28" s="920" t="s">
        <v>21</v>
      </c>
      <c r="AG28" s="920" t="s">
        <v>21</v>
      </c>
      <c r="AH28" s="921">
        <v>158.31200000000001</v>
      </c>
      <c r="AI28" s="921" t="s">
        <v>21</v>
      </c>
      <c r="AJ28" s="920" t="s">
        <v>21</v>
      </c>
      <c r="AK28" s="920" t="s">
        <v>21</v>
      </c>
      <c r="AL28" s="921" t="s">
        <v>21</v>
      </c>
      <c r="AM28" s="921" t="s">
        <v>21</v>
      </c>
      <c r="AN28" s="920"/>
      <c r="AO28" s="920" t="s">
        <v>21</v>
      </c>
      <c r="AP28" s="919">
        <v>35.909999999999997</v>
      </c>
      <c r="AQ28" s="933">
        <v>145.35854999999998</v>
      </c>
      <c r="AR28" s="925" t="s">
        <v>21</v>
      </c>
      <c r="AS28" s="925">
        <v>145.35854999999998</v>
      </c>
      <c r="AT28" s="925" t="s">
        <v>21</v>
      </c>
      <c r="AU28" s="925" t="s">
        <v>21</v>
      </c>
      <c r="AV28" s="926" t="s">
        <v>21</v>
      </c>
      <c r="AW28" s="926" t="s">
        <v>21</v>
      </c>
      <c r="AX28" s="926" t="s">
        <v>21</v>
      </c>
      <c r="AY28" s="926" t="s">
        <v>21</v>
      </c>
      <c r="AZ28" s="925" t="s">
        <v>21</v>
      </c>
      <c r="BA28" s="925"/>
      <c r="BB28" s="919">
        <v>3.5910000000000002</v>
      </c>
      <c r="BC28" s="919" t="s">
        <v>21</v>
      </c>
      <c r="BD28" s="919" t="s">
        <v>2142</v>
      </c>
      <c r="BE28" s="925" t="s">
        <v>21</v>
      </c>
      <c r="BF28" s="926" t="s">
        <v>21</v>
      </c>
      <c r="BG28" s="925">
        <v>25.65</v>
      </c>
      <c r="BH28" s="926" t="s">
        <v>21</v>
      </c>
      <c r="BI28" s="925" t="s">
        <v>21</v>
      </c>
      <c r="BJ28" s="926" t="s">
        <v>21</v>
      </c>
      <c r="BK28" s="925" t="s">
        <v>21</v>
      </c>
      <c r="BL28" s="926" t="s">
        <v>21</v>
      </c>
      <c r="BM28" s="925" t="s">
        <v>21</v>
      </c>
      <c r="BN28" s="927"/>
      <c r="BO28" s="927"/>
      <c r="BP28" s="928">
        <v>1</v>
      </c>
      <c r="BQ28" s="928" t="s">
        <v>21</v>
      </c>
      <c r="BR28" s="928" t="s">
        <v>21</v>
      </c>
      <c r="BS28" s="928" t="s">
        <v>21</v>
      </c>
      <c r="BT28" s="928" t="s">
        <v>21</v>
      </c>
      <c r="BU28" s="928" t="s">
        <v>21</v>
      </c>
      <c r="BV28" s="934">
        <v>1.3980000000000019</v>
      </c>
      <c r="BW28" s="934">
        <v>1.5</v>
      </c>
      <c r="BX28" s="1104">
        <v>3</v>
      </c>
      <c r="BY28" s="931">
        <v>5</v>
      </c>
      <c r="BZ28" s="930">
        <v>1</v>
      </c>
      <c r="CA28" s="1074" t="s">
        <v>21</v>
      </c>
      <c r="CB28" s="930" t="s">
        <v>21</v>
      </c>
      <c r="CC28" s="930" t="s">
        <v>21</v>
      </c>
      <c r="CD28" s="925">
        <v>26.24</v>
      </c>
      <c r="CE28" s="1130">
        <v>118.041</v>
      </c>
      <c r="CF28" s="1129" t="s">
        <v>21</v>
      </c>
      <c r="CG28" s="1130" t="s">
        <v>21</v>
      </c>
      <c r="CH28" s="1130" t="s">
        <v>21</v>
      </c>
      <c r="CI28" s="1131" t="s">
        <v>21</v>
      </c>
      <c r="CJ28" s="1129" t="s">
        <v>21</v>
      </c>
      <c r="CK28" s="1130">
        <v>118.041</v>
      </c>
      <c r="CL28" s="1130" t="s">
        <v>21</v>
      </c>
      <c r="CM28" s="1131" t="s">
        <v>21</v>
      </c>
      <c r="CN28" s="1130" t="s">
        <v>21</v>
      </c>
      <c r="CP28" s="838" t="s">
        <v>21</v>
      </c>
      <c r="CQ28" s="838" t="s">
        <v>21</v>
      </c>
      <c r="CR28" s="836"/>
    </row>
    <row r="29" spans="1:96" x14ac:dyDescent="0.25">
      <c r="A29" s="935"/>
      <c r="B29" s="932" t="s">
        <v>2239</v>
      </c>
      <c r="C29" s="911">
        <v>600</v>
      </c>
      <c r="D29" s="911" t="s">
        <v>2116</v>
      </c>
      <c r="E29" s="912">
        <v>1174.8499999999999</v>
      </c>
      <c r="F29" s="912">
        <v>1172.7429999999999</v>
      </c>
      <c r="G29" s="910" t="s">
        <v>2298</v>
      </c>
      <c r="H29" s="912">
        <v>1174.7</v>
      </c>
      <c r="I29" s="912">
        <v>1172.5899999999999</v>
      </c>
      <c r="J29" s="914">
        <v>30.74</v>
      </c>
      <c r="K29" s="915"/>
      <c r="L29" s="916">
        <v>0.1</v>
      </c>
      <c r="M29" s="916">
        <v>0.06</v>
      </c>
      <c r="N29" s="916">
        <v>0.2</v>
      </c>
      <c r="O29" s="916">
        <v>4.9790000000000001</v>
      </c>
      <c r="P29" s="915"/>
      <c r="Q29" s="916">
        <v>2.3690000000000002</v>
      </c>
      <c r="R29" s="917">
        <v>0.33333333333333331</v>
      </c>
      <c r="S29" s="918">
        <v>1.4</v>
      </c>
      <c r="T29" s="918">
        <v>2.9790000000000001</v>
      </c>
      <c r="U29" s="916">
        <v>4.9939999999999998</v>
      </c>
      <c r="V29" s="916">
        <v>0.92</v>
      </c>
      <c r="W29" s="915"/>
      <c r="X29" s="916">
        <v>0.28299999999999997</v>
      </c>
      <c r="Y29" s="916">
        <v>0.40699999999999997</v>
      </c>
      <c r="Z29" s="916">
        <v>5.1870000000000003</v>
      </c>
      <c r="AA29" s="916">
        <v>1.0229999999999999</v>
      </c>
      <c r="AB29" s="916">
        <v>3.617</v>
      </c>
      <c r="AC29" s="915"/>
      <c r="AD29" s="919">
        <v>153.054</v>
      </c>
      <c r="AE29" s="920">
        <v>159.44800000000001</v>
      </c>
      <c r="AF29" s="920" t="s">
        <v>21</v>
      </c>
      <c r="AG29" s="920" t="s">
        <v>21</v>
      </c>
      <c r="AH29" s="921">
        <v>159.44800000000001</v>
      </c>
      <c r="AI29" s="921" t="s">
        <v>21</v>
      </c>
      <c r="AJ29" s="920" t="s">
        <v>21</v>
      </c>
      <c r="AK29" s="920" t="s">
        <v>21</v>
      </c>
      <c r="AL29" s="921" t="s">
        <v>21</v>
      </c>
      <c r="AM29" s="921" t="s">
        <v>21</v>
      </c>
      <c r="AN29" s="920"/>
      <c r="AO29" s="920" t="s">
        <v>21</v>
      </c>
      <c r="AP29" s="919">
        <v>43.036000000000001</v>
      </c>
      <c r="AQ29" s="933">
        <v>153.51555999999999</v>
      </c>
      <c r="AR29" s="925" t="s">
        <v>21</v>
      </c>
      <c r="AS29" s="925">
        <v>153.51555999999999</v>
      </c>
      <c r="AT29" s="925" t="s">
        <v>21</v>
      </c>
      <c r="AU29" s="925" t="s">
        <v>21</v>
      </c>
      <c r="AV29" s="926" t="s">
        <v>21</v>
      </c>
      <c r="AW29" s="926" t="s">
        <v>21</v>
      </c>
      <c r="AX29" s="926" t="s">
        <v>21</v>
      </c>
      <c r="AY29" s="926" t="s">
        <v>21</v>
      </c>
      <c r="AZ29" s="925" t="s">
        <v>21</v>
      </c>
      <c r="BA29" s="925"/>
      <c r="BB29" s="919">
        <v>4.3040000000000003</v>
      </c>
      <c r="BC29" s="919" t="s">
        <v>21</v>
      </c>
      <c r="BD29" s="919" t="s">
        <v>2142</v>
      </c>
      <c r="BE29" s="925" t="s">
        <v>21</v>
      </c>
      <c r="BF29" s="926" t="s">
        <v>21</v>
      </c>
      <c r="BG29" s="925">
        <v>30.74</v>
      </c>
      <c r="BH29" s="926" t="s">
        <v>21</v>
      </c>
      <c r="BI29" s="925" t="s">
        <v>21</v>
      </c>
      <c r="BJ29" s="926" t="s">
        <v>21</v>
      </c>
      <c r="BK29" s="925" t="s">
        <v>21</v>
      </c>
      <c r="BL29" s="926" t="s">
        <v>21</v>
      </c>
      <c r="BM29" s="925" t="s">
        <v>21</v>
      </c>
      <c r="BN29" s="927"/>
      <c r="BO29" s="927"/>
      <c r="BP29" s="928">
        <v>1</v>
      </c>
      <c r="BQ29" s="928" t="s">
        <v>21</v>
      </c>
      <c r="BR29" s="928" t="s">
        <v>21</v>
      </c>
      <c r="BS29" s="928" t="s">
        <v>21</v>
      </c>
      <c r="BT29" s="928" t="s">
        <v>21</v>
      </c>
      <c r="BU29" s="928" t="s">
        <v>21</v>
      </c>
      <c r="BV29" s="934">
        <v>0.70699999999997098</v>
      </c>
      <c r="BW29" s="934">
        <v>1</v>
      </c>
      <c r="BX29" s="1104">
        <v>2</v>
      </c>
      <c r="BY29" s="931">
        <v>4</v>
      </c>
      <c r="BZ29" s="930">
        <v>2</v>
      </c>
      <c r="CA29" s="1074" t="s">
        <v>21</v>
      </c>
      <c r="CB29" s="930" t="s">
        <v>21</v>
      </c>
      <c r="CC29" s="930" t="s">
        <v>21</v>
      </c>
      <c r="CD29" s="925">
        <v>31.446999999999999</v>
      </c>
      <c r="CE29" s="1130">
        <v>111.187</v>
      </c>
      <c r="CF29" s="1129" t="s">
        <v>21</v>
      </c>
      <c r="CG29" s="1130" t="s">
        <v>21</v>
      </c>
      <c r="CH29" s="1130" t="s">
        <v>21</v>
      </c>
      <c r="CI29" s="1131" t="s">
        <v>21</v>
      </c>
      <c r="CJ29" s="1129" t="s">
        <v>21</v>
      </c>
      <c r="CK29" s="1130">
        <v>111.187</v>
      </c>
      <c r="CL29" s="1130" t="s">
        <v>21</v>
      </c>
      <c r="CM29" s="1131" t="s">
        <v>21</v>
      </c>
      <c r="CN29" s="1130" t="s">
        <v>21</v>
      </c>
      <c r="CP29" s="838" t="s">
        <v>21</v>
      </c>
      <c r="CQ29" s="838" t="s">
        <v>21</v>
      </c>
      <c r="CR29" s="836"/>
    </row>
    <row r="30" spans="1:96" x14ac:dyDescent="0.25">
      <c r="A30" s="935"/>
      <c r="B30" s="932"/>
      <c r="C30" s="911"/>
      <c r="D30" s="911"/>
      <c r="E30" s="912"/>
      <c r="F30" s="912"/>
      <c r="G30" s="910"/>
      <c r="H30" s="912"/>
      <c r="I30" s="912"/>
      <c r="J30" s="914"/>
      <c r="K30" s="915"/>
      <c r="L30" s="916" t="s">
        <v>21</v>
      </c>
      <c r="M30" s="916" t="s">
        <v>21</v>
      </c>
      <c r="N30" s="916" t="s">
        <v>21</v>
      </c>
      <c r="O30" s="916" t="s">
        <v>21</v>
      </c>
      <c r="P30" s="915"/>
      <c r="Q30" s="916" t="s">
        <v>21</v>
      </c>
      <c r="R30" s="917" t="s">
        <v>21</v>
      </c>
      <c r="S30" s="918" t="s">
        <v>21</v>
      </c>
      <c r="T30" s="918" t="s">
        <v>21</v>
      </c>
      <c r="U30" s="916" t="s">
        <v>21</v>
      </c>
      <c r="V30" s="916" t="s">
        <v>21</v>
      </c>
      <c r="W30" s="915"/>
      <c r="X30" s="916" t="s">
        <v>21</v>
      </c>
      <c r="Y30" s="916" t="s">
        <v>21</v>
      </c>
      <c r="Z30" s="916" t="s">
        <v>21</v>
      </c>
      <c r="AA30" s="916" t="s">
        <v>21</v>
      </c>
      <c r="AB30" s="916" t="s">
        <v>21</v>
      </c>
      <c r="AC30" s="915"/>
      <c r="AD30" s="919" t="s">
        <v>21</v>
      </c>
      <c r="AE30" s="920" t="s">
        <v>21</v>
      </c>
      <c r="AF30" s="920" t="s">
        <v>21</v>
      </c>
      <c r="AG30" s="920" t="s">
        <v>21</v>
      </c>
      <c r="AH30" s="921" t="s">
        <v>21</v>
      </c>
      <c r="AI30" s="921" t="s">
        <v>21</v>
      </c>
      <c r="AJ30" s="920" t="s">
        <v>21</v>
      </c>
      <c r="AK30" s="920" t="s">
        <v>21</v>
      </c>
      <c r="AL30" s="921" t="s">
        <v>21</v>
      </c>
      <c r="AM30" s="921" t="s">
        <v>21</v>
      </c>
      <c r="AN30" s="920"/>
      <c r="AO30" s="920" t="s">
        <v>21</v>
      </c>
      <c r="AP30" s="919" t="s">
        <v>21</v>
      </c>
      <c r="AQ30" s="933" t="s">
        <v>21</v>
      </c>
      <c r="AR30" s="925" t="s">
        <v>21</v>
      </c>
      <c r="AS30" s="925" t="s">
        <v>21</v>
      </c>
      <c r="AT30" s="925" t="s">
        <v>21</v>
      </c>
      <c r="AU30" s="925" t="s">
        <v>21</v>
      </c>
      <c r="AV30" s="926" t="s">
        <v>21</v>
      </c>
      <c r="AW30" s="926" t="s">
        <v>21</v>
      </c>
      <c r="AX30" s="926" t="s">
        <v>21</v>
      </c>
      <c r="AY30" s="926" t="s">
        <v>21</v>
      </c>
      <c r="AZ30" s="925" t="s">
        <v>21</v>
      </c>
      <c r="BA30" s="925"/>
      <c r="BB30" s="919" t="s">
        <v>21</v>
      </c>
      <c r="BC30" s="919" t="s">
        <v>21</v>
      </c>
      <c r="BD30" s="919" t="s">
        <v>21</v>
      </c>
      <c r="BE30" s="925" t="s">
        <v>21</v>
      </c>
      <c r="BF30" s="926" t="s">
        <v>21</v>
      </c>
      <c r="BG30" s="925" t="s">
        <v>21</v>
      </c>
      <c r="BH30" s="926" t="s">
        <v>21</v>
      </c>
      <c r="BI30" s="925" t="s">
        <v>21</v>
      </c>
      <c r="BJ30" s="926" t="s">
        <v>21</v>
      </c>
      <c r="BK30" s="925" t="s">
        <v>21</v>
      </c>
      <c r="BL30" s="926" t="s">
        <v>21</v>
      </c>
      <c r="BM30" s="925" t="s">
        <v>21</v>
      </c>
      <c r="BN30" s="927"/>
      <c r="BO30" s="927"/>
      <c r="BP30" s="928" t="s">
        <v>21</v>
      </c>
      <c r="BQ30" s="928" t="s">
        <v>21</v>
      </c>
      <c r="BR30" s="928" t="s">
        <v>21</v>
      </c>
      <c r="BS30" s="928" t="s">
        <v>21</v>
      </c>
      <c r="BT30" s="928" t="s">
        <v>21</v>
      </c>
      <c r="BU30" s="928" t="s">
        <v>21</v>
      </c>
      <c r="BV30" s="934" t="s">
        <v>21</v>
      </c>
      <c r="BW30" s="934" t="s">
        <v>21</v>
      </c>
      <c r="BX30" s="1104" t="s">
        <v>21</v>
      </c>
      <c r="BY30" s="931" t="s">
        <v>21</v>
      </c>
      <c r="BZ30" s="930" t="s">
        <v>21</v>
      </c>
      <c r="CA30" s="1074" t="s">
        <v>21</v>
      </c>
      <c r="CB30" s="930" t="s">
        <v>21</v>
      </c>
      <c r="CC30" s="930" t="s">
        <v>21</v>
      </c>
      <c r="CD30" s="925" t="s">
        <v>21</v>
      </c>
      <c r="CE30" s="1130" t="s">
        <v>21</v>
      </c>
      <c r="CF30" s="1129" t="s">
        <v>21</v>
      </c>
      <c r="CG30" s="1130" t="s">
        <v>21</v>
      </c>
      <c r="CH30" s="1130" t="s">
        <v>21</v>
      </c>
      <c r="CI30" s="1131" t="s">
        <v>21</v>
      </c>
      <c r="CJ30" s="1129" t="s">
        <v>21</v>
      </c>
      <c r="CK30" s="1130" t="s">
        <v>21</v>
      </c>
      <c r="CL30" s="1130" t="s">
        <v>21</v>
      </c>
      <c r="CM30" s="1131" t="s">
        <v>21</v>
      </c>
      <c r="CN30" s="1130" t="s">
        <v>21</v>
      </c>
      <c r="CP30" s="838" t="s">
        <v>21</v>
      </c>
      <c r="CQ30" s="838" t="s">
        <v>21</v>
      </c>
      <c r="CR30" s="836"/>
    </row>
    <row r="31" spans="1:96" x14ac:dyDescent="0.25">
      <c r="A31" s="935" t="s">
        <v>2485</v>
      </c>
      <c r="B31" s="932" t="s">
        <v>2423</v>
      </c>
      <c r="C31" s="911"/>
      <c r="D31" s="911"/>
      <c r="E31" s="912"/>
      <c r="F31" s="912"/>
      <c r="G31" s="910"/>
      <c r="H31" s="912"/>
      <c r="I31" s="912"/>
      <c r="J31" s="914"/>
      <c r="K31" s="915"/>
      <c r="L31" s="916" t="s">
        <v>21</v>
      </c>
      <c r="M31" s="916" t="s">
        <v>21</v>
      </c>
      <c r="N31" s="916" t="s">
        <v>21</v>
      </c>
      <c r="O31" s="916" t="s">
        <v>21</v>
      </c>
      <c r="P31" s="915"/>
      <c r="Q31" s="916" t="s">
        <v>21</v>
      </c>
      <c r="R31" s="917" t="s">
        <v>21</v>
      </c>
      <c r="S31" s="918" t="s">
        <v>21</v>
      </c>
      <c r="T31" s="918" t="s">
        <v>21</v>
      </c>
      <c r="U31" s="916" t="s">
        <v>21</v>
      </c>
      <c r="V31" s="916" t="s">
        <v>21</v>
      </c>
      <c r="W31" s="915"/>
      <c r="X31" s="916" t="s">
        <v>21</v>
      </c>
      <c r="Y31" s="916" t="s">
        <v>21</v>
      </c>
      <c r="Z31" s="916" t="s">
        <v>21</v>
      </c>
      <c r="AA31" s="916" t="s">
        <v>21</v>
      </c>
      <c r="AB31" s="916" t="s">
        <v>21</v>
      </c>
      <c r="AC31" s="915"/>
      <c r="AD31" s="919" t="s">
        <v>21</v>
      </c>
      <c r="AE31" s="920" t="s">
        <v>21</v>
      </c>
      <c r="AF31" s="920" t="s">
        <v>21</v>
      </c>
      <c r="AG31" s="920" t="s">
        <v>21</v>
      </c>
      <c r="AH31" s="921" t="s">
        <v>21</v>
      </c>
      <c r="AI31" s="921" t="s">
        <v>21</v>
      </c>
      <c r="AJ31" s="920" t="s">
        <v>21</v>
      </c>
      <c r="AK31" s="920" t="s">
        <v>21</v>
      </c>
      <c r="AL31" s="921" t="s">
        <v>21</v>
      </c>
      <c r="AM31" s="921" t="s">
        <v>21</v>
      </c>
      <c r="AN31" s="920"/>
      <c r="AO31" s="920" t="s">
        <v>21</v>
      </c>
      <c r="AP31" s="919" t="s">
        <v>21</v>
      </c>
      <c r="AQ31" s="933" t="s">
        <v>21</v>
      </c>
      <c r="AR31" s="925" t="s">
        <v>21</v>
      </c>
      <c r="AS31" s="925" t="s">
        <v>21</v>
      </c>
      <c r="AT31" s="925" t="s">
        <v>21</v>
      </c>
      <c r="AU31" s="925" t="s">
        <v>21</v>
      </c>
      <c r="AV31" s="926" t="s">
        <v>21</v>
      </c>
      <c r="AW31" s="926" t="s">
        <v>21</v>
      </c>
      <c r="AX31" s="926" t="s">
        <v>21</v>
      </c>
      <c r="AY31" s="926" t="s">
        <v>21</v>
      </c>
      <c r="AZ31" s="925" t="s">
        <v>21</v>
      </c>
      <c r="BA31" s="925"/>
      <c r="BB31" s="919" t="s">
        <v>21</v>
      </c>
      <c r="BC31" s="919" t="s">
        <v>21</v>
      </c>
      <c r="BD31" s="919" t="s">
        <v>21</v>
      </c>
      <c r="BE31" s="925" t="s">
        <v>21</v>
      </c>
      <c r="BF31" s="926" t="s">
        <v>21</v>
      </c>
      <c r="BG31" s="925" t="s">
        <v>21</v>
      </c>
      <c r="BH31" s="926" t="s">
        <v>21</v>
      </c>
      <c r="BI31" s="925" t="s">
        <v>21</v>
      </c>
      <c r="BJ31" s="926" t="s">
        <v>21</v>
      </c>
      <c r="BK31" s="925" t="s">
        <v>21</v>
      </c>
      <c r="BL31" s="926" t="s">
        <v>21</v>
      </c>
      <c r="BM31" s="925" t="s">
        <v>21</v>
      </c>
      <c r="BN31" s="927"/>
      <c r="BO31" s="927"/>
      <c r="BP31" s="928" t="s">
        <v>21</v>
      </c>
      <c r="BQ31" s="928" t="s">
        <v>21</v>
      </c>
      <c r="BR31" s="928" t="s">
        <v>21</v>
      </c>
      <c r="BS31" s="928" t="s">
        <v>21</v>
      </c>
      <c r="BT31" s="928" t="s">
        <v>21</v>
      </c>
      <c r="BU31" s="928" t="s">
        <v>21</v>
      </c>
      <c r="BV31" s="934" t="s">
        <v>21</v>
      </c>
      <c r="BW31" s="934" t="s">
        <v>21</v>
      </c>
      <c r="BX31" s="1104" t="s">
        <v>21</v>
      </c>
      <c r="BY31" s="931" t="s">
        <v>21</v>
      </c>
      <c r="BZ31" s="930" t="s">
        <v>21</v>
      </c>
      <c r="CA31" s="1074" t="s">
        <v>21</v>
      </c>
      <c r="CB31" s="930" t="s">
        <v>21</v>
      </c>
      <c r="CC31" s="930" t="s">
        <v>21</v>
      </c>
      <c r="CD31" s="925" t="s">
        <v>21</v>
      </c>
      <c r="CE31" s="1130" t="s">
        <v>21</v>
      </c>
      <c r="CF31" s="1129" t="s">
        <v>21</v>
      </c>
      <c r="CG31" s="1130" t="s">
        <v>21</v>
      </c>
      <c r="CH31" s="1130" t="s">
        <v>21</v>
      </c>
      <c r="CI31" s="1131" t="s">
        <v>21</v>
      </c>
      <c r="CJ31" s="1129" t="s">
        <v>21</v>
      </c>
      <c r="CK31" s="1130" t="s">
        <v>21</v>
      </c>
      <c r="CL31" s="1130" t="s">
        <v>21</v>
      </c>
      <c r="CM31" s="1131" t="s">
        <v>21</v>
      </c>
      <c r="CN31" s="1130" t="s">
        <v>21</v>
      </c>
      <c r="CP31" s="838" t="s">
        <v>21</v>
      </c>
      <c r="CQ31" s="838" t="s">
        <v>21</v>
      </c>
      <c r="CR31" s="836"/>
    </row>
    <row r="32" spans="1:96" x14ac:dyDescent="0.25">
      <c r="A32" s="935"/>
      <c r="B32" s="932"/>
      <c r="C32" s="911"/>
      <c r="D32" s="911"/>
      <c r="E32" s="912"/>
      <c r="F32" s="912"/>
      <c r="G32" s="910"/>
      <c r="H32" s="912"/>
      <c r="I32" s="912"/>
      <c r="J32" s="914"/>
      <c r="K32" s="915"/>
      <c r="L32" s="916" t="s">
        <v>21</v>
      </c>
      <c r="M32" s="916" t="s">
        <v>21</v>
      </c>
      <c r="N32" s="916" t="s">
        <v>21</v>
      </c>
      <c r="O32" s="916" t="s">
        <v>21</v>
      </c>
      <c r="P32" s="915"/>
      <c r="Q32" s="916" t="s">
        <v>21</v>
      </c>
      <c r="R32" s="917" t="s">
        <v>21</v>
      </c>
      <c r="S32" s="918" t="s">
        <v>21</v>
      </c>
      <c r="T32" s="918" t="s">
        <v>21</v>
      </c>
      <c r="U32" s="916" t="s">
        <v>21</v>
      </c>
      <c r="V32" s="916" t="s">
        <v>21</v>
      </c>
      <c r="W32" s="915"/>
      <c r="X32" s="916" t="s">
        <v>21</v>
      </c>
      <c r="Y32" s="916" t="s">
        <v>21</v>
      </c>
      <c r="Z32" s="916" t="s">
        <v>21</v>
      </c>
      <c r="AA32" s="916" t="s">
        <v>21</v>
      </c>
      <c r="AB32" s="916" t="s">
        <v>21</v>
      </c>
      <c r="AC32" s="915"/>
      <c r="AD32" s="919" t="s">
        <v>21</v>
      </c>
      <c r="AE32" s="920" t="s">
        <v>21</v>
      </c>
      <c r="AF32" s="920" t="s">
        <v>21</v>
      </c>
      <c r="AG32" s="920" t="s">
        <v>21</v>
      </c>
      <c r="AH32" s="921" t="s">
        <v>21</v>
      </c>
      <c r="AI32" s="921" t="s">
        <v>21</v>
      </c>
      <c r="AJ32" s="920" t="s">
        <v>21</v>
      </c>
      <c r="AK32" s="920" t="s">
        <v>21</v>
      </c>
      <c r="AL32" s="921" t="s">
        <v>21</v>
      </c>
      <c r="AM32" s="921" t="s">
        <v>21</v>
      </c>
      <c r="AN32" s="920"/>
      <c r="AO32" s="920" t="s">
        <v>21</v>
      </c>
      <c r="AP32" s="919" t="s">
        <v>21</v>
      </c>
      <c r="AQ32" s="933" t="s">
        <v>21</v>
      </c>
      <c r="AR32" s="925" t="s">
        <v>21</v>
      </c>
      <c r="AS32" s="925" t="s">
        <v>21</v>
      </c>
      <c r="AT32" s="925" t="s">
        <v>21</v>
      </c>
      <c r="AU32" s="925" t="s">
        <v>21</v>
      </c>
      <c r="AV32" s="926" t="s">
        <v>21</v>
      </c>
      <c r="AW32" s="926" t="s">
        <v>21</v>
      </c>
      <c r="AX32" s="926" t="s">
        <v>21</v>
      </c>
      <c r="AY32" s="926" t="s">
        <v>21</v>
      </c>
      <c r="AZ32" s="925" t="s">
        <v>21</v>
      </c>
      <c r="BA32" s="925"/>
      <c r="BB32" s="919" t="s">
        <v>21</v>
      </c>
      <c r="BC32" s="919" t="s">
        <v>21</v>
      </c>
      <c r="BD32" s="919" t="s">
        <v>21</v>
      </c>
      <c r="BE32" s="925" t="s">
        <v>21</v>
      </c>
      <c r="BF32" s="926" t="s">
        <v>21</v>
      </c>
      <c r="BG32" s="925" t="s">
        <v>21</v>
      </c>
      <c r="BH32" s="926" t="s">
        <v>21</v>
      </c>
      <c r="BI32" s="925" t="s">
        <v>21</v>
      </c>
      <c r="BJ32" s="926" t="s">
        <v>21</v>
      </c>
      <c r="BK32" s="925" t="s">
        <v>21</v>
      </c>
      <c r="BL32" s="926" t="s">
        <v>21</v>
      </c>
      <c r="BM32" s="925" t="s">
        <v>21</v>
      </c>
      <c r="BN32" s="927"/>
      <c r="BO32" s="927"/>
      <c r="BP32" s="928" t="s">
        <v>21</v>
      </c>
      <c r="BQ32" s="928" t="s">
        <v>21</v>
      </c>
      <c r="BR32" s="928" t="s">
        <v>21</v>
      </c>
      <c r="BS32" s="928" t="s">
        <v>21</v>
      </c>
      <c r="BT32" s="928" t="s">
        <v>21</v>
      </c>
      <c r="BU32" s="928" t="s">
        <v>21</v>
      </c>
      <c r="BV32" s="934" t="s">
        <v>21</v>
      </c>
      <c r="BW32" s="934" t="s">
        <v>21</v>
      </c>
      <c r="BX32" s="1104" t="s">
        <v>21</v>
      </c>
      <c r="BY32" s="931" t="s">
        <v>21</v>
      </c>
      <c r="BZ32" s="930" t="s">
        <v>21</v>
      </c>
      <c r="CA32" s="1074" t="s">
        <v>21</v>
      </c>
      <c r="CB32" s="930" t="s">
        <v>21</v>
      </c>
      <c r="CC32" s="930" t="s">
        <v>21</v>
      </c>
      <c r="CD32" s="925" t="s">
        <v>21</v>
      </c>
      <c r="CE32" s="1130" t="s">
        <v>21</v>
      </c>
      <c r="CF32" s="1129" t="s">
        <v>21</v>
      </c>
      <c r="CG32" s="1130" t="s">
        <v>21</v>
      </c>
      <c r="CH32" s="1130" t="s">
        <v>21</v>
      </c>
      <c r="CI32" s="1131" t="s">
        <v>21</v>
      </c>
      <c r="CJ32" s="1129" t="s">
        <v>21</v>
      </c>
      <c r="CK32" s="1130" t="s">
        <v>21</v>
      </c>
      <c r="CL32" s="1130" t="s">
        <v>21</v>
      </c>
      <c r="CM32" s="1131" t="s">
        <v>21</v>
      </c>
      <c r="CN32" s="1130" t="s">
        <v>21</v>
      </c>
      <c r="CP32" s="838" t="s">
        <v>21</v>
      </c>
      <c r="CQ32" s="838" t="s">
        <v>21</v>
      </c>
      <c r="CR32" s="836"/>
    </row>
    <row r="33" spans="1:96" x14ac:dyDescent="0.25">
      <c r="A33" s="935" t="s">
        <v>2486</v>
      </c>
      <c r="B33" s="932" t="s">
        <v>2240</v>
      </c>
      <c r="C33" s="911">
        <v>600</v>
      </c>
      <c r="D33" s="911" t="s">
        <v>2116</v>
      </c>
      <c r="E33" s="912">
        <v>1167.0899999999999</v>
      </c>
      <c r="F33" s="912">
        <v>1165.19</v>
      </c>
      <c r="G33" s="932" t="s">
        <v>2241</v>
      </c>
      <c r="H33" s="912">
        <v>1165.1400000000001</v>
      </c>
      <c r="I33" s="912">
        <v>1163.24</v>
      </c>
      <c r="J33" s="914">
        <v>45.62</v>
      </c>
      <c r="K33" s="915"/>
      <c r="L33" s="916">
        <v>0.1</v>
      </c>
      <c r="M33" s="916">
        <v>0.06</v>
      </c>
      <c r="N33" s="916">
        <v>0.2</v>
      </c>
      <c r="O33" s="916">
        <v>4.84</v>
      </c>
      <c r="P33" s="915"/>
      <c r="Q33" s="916">
        <v>2.16</v>
      </c>
      <c r="R33" s="917">
        <v>0.33333333333333331</v>
      </c>
      <c r="S33" s="918">
        <v>1.4</v>
      </c>
      <c r="T33" s="918">
        <v>2.84</v>
      </c>
      <c r="U33" s="916">
        <v>4.5540000000000003</v>
      </c>
      <c r="V33" s="916">
        <v>0.92</v>
      </c>
      <c r="W33" s="915"/>
      <c r="X33" s="916">
        <v>0.28299999999999997</v>
      </c>
      <c r="Y33" s="916">
        <v>0.40699999999999997</v>
      </c>
      <c r="Z33" s="916">
        <v>4.5789999999999997</v>
      </c>
      <c r="AA33" s="916">
        <v>1.0229999999999999</v>
      </c>
      <c r="AB33" s="916">
        <v>3.0089999999999999</v>
      </c>
      <c r="AC33" s="915"/>
      <c r="AD33" s="919">
        <v>220.80099999999999</v>
      </c>
      <c r="AE33" s="920">
        <v>208.89400000000001</v>
      </c>
      <c r="AF33" s="920" t="s">
        <v>21</v>
      </c>
      <c r="AG33" s="920" t="s">
        <v>21</v>
      </c>
      <c r="AH33" s="921">
        <v>208.89400000000001</v>
      </c>
      <c r="AI33" s="921" t="s">
        <v>21</v>
      </c>
      <c r="AJ33" s="920" t="s">
        <v>21</v>
      </c>
      <c r="AK33" s="920" t="s">
        <v>21</v>
      </c>
      <c r="AL33" s="921" t="s">
        <v>21</v>
      </c>
      <c r="AM33" s="921" t="s">
        <v>21</v>
      </c>
      <c r="AN33" s="920"/>
      <c r="AO33" s="920" t="s">
        <v>21</v>
      </c>
      <c r="AP33" s="919">
        <v>63.868000000000002</v>
      </c>
      <c r="AQ33" s="933">
        <v>207.75348</v>
      </c>
      <c r="AR33" s="925" t="s">
        <v>21</v>
      </c>
      <c r="AS33" s="925">
        <v>207.75348</v>
      </c>
      <c r="AT33" s="925" t="s">
        <v>21</v>
      </c>
      <c r="AU33" s="925" t="s">
        <v>21</v>
      </c>
      <c r="AV33" s="926" t="s">
        <v>21</v>
      </c>
      <c r="AW33" s="926" t="s">
        <v>21</v>
      </c>
      <c r="AX33" s="926" t="s">
        <v>21</v>
      </c>
      <c r="AY33" s="926" t="s">
        <v>21</v>
      </c>
      <c r="AZ33" s="925" t="s">
        <v>21</v>
      </c>
      <c r="BA33" s="925"/>
      <c r="BB33" s="919">
        <v>6.3869999999999996</v>
      </c>
      <c r="BC33" s="919" t="s">
        <v>21</v>
      </c>
      <c r="BD33" s="919" t="s">
        <v>2142</v>
      </c>
      <c r="BE33" s="925" t="s">
        <v>21</v>
      </c>
      <c r="BF33" s="926" t="s">
        <v>21</v>
      </c>
      <c r="BG33" s="925">
        <v>45.62</v>
      </c>
      <c r="BH33" s="926" t="s">
        <v>21</v>
      </c>
      <c r="BI33" s="925" t="s">
        <v>21</v>
      </c>
      <c r="BJ33" s="926" t="s">
        <v>21</v>
      </c>
      <c r="BK33" s="925" t="s">
        <v>21</v>
      </c>
      <c r="BL33" s="926" t="s">
        <v>21</v>
      </c>
      <c r="BM33" s="925" t="s">
        <v>21</v>
      </c>
      <c r="BN33" s="927"/>
      <c r="BO33" s="927"/>
      <c r="BP33" s="928">
        <v>1</v>
      </c>
      <c r="BQ33" s="928" t="s">
        <v>21</v>
      </c>
      <c r="BR33" s="928" t="s">
        <v>21</v>
      </c>
      <c r="BS33" s="928" t="s">
        <v>21</v>
      </c>
      <c r="BT33" s="928" t="s">
        <v>21</v>
      </c>
      <c r="BU33" s="928" t="s">
        <v>21</v>
      </c>
      <c r="BV33" s="934">
        <v>0.49999999999986366</v>
      </c>
      <c r="BW33" s="934">
        <v>0.5</v>
      </c>
      <c r="BX33" s="1104">
        <v>1</v>
      </c>
      <c r="BY33" s="931">
        <v>3</v>
      </c>
      <c r="BZ33" s="930" t="s">
        <v>21</v>
      </c>
      <c r="CA33" s="1074">
        <v>1</v>
      </c>
      <c r="CB33" s="930" t="s">
        <v>21</v>
      </c>
      <c r="CC33" s="930" t="s">
        <v>21</v>
      </c>
      <c r="CD33" s="925">
        <v>46.668999999999997</v>
      </c>
      <c r="CE33" s="1130">
        <v>137.27099999999999</v>
      </c>
      <c r="CF33" s="1129" t="s">
        <v>21</v>
      </c>
      <c r="CG33" s="1130" t="s">
        <v>21</v>
      </c>
      <c r="CH33" s="1130" t="s">
        <v>21</v>
      </c>
      <c r="CI33" s="1131" t="s">
        <v>21</v>
      </c>
      <c r="CJ33" s="1129" t="s">
        <v>21</v>
      </c>
      <c r="CK33" s="1130">
        <v>137.27099999999999</v>
      </c>
      <c r="CL33" s="1130" t="s">
        <v>21</v>
      </c>
      <c r="CM33" s="1131" t="s">
        <v>21</v>
      </c>
      <c r="CN33" s="1130" t="s">
        <v>21</v>
      </c>
      <c r="CP33" s="838" t="s">
        <v>21</v>
      </c>
      <c r="CQ33" s="838" t="s">
        <v>21</v>
      </c>
      <c r="CR33" s="836"/>
    </row>
    <row r="34" spans="1:96" x14ac:dyDescent="0.25">
      <c r="A34" s="935"/>
      <c r="B34" s="932" t="s">
        <v>2241</v>
      </c>
      <c r="C34" s="911">
        <v>600</v>
      </c>
      <c r="D34" s="911" t="s">
        <v>2116</v>
      </c>
      <c r="E34" s="912">
        <v>1165.1400000000001</v>
      </c>
      <c r="F34" s="912">
        <v>1163.19</v>
      </c>
      <c r="G34" s="932" t="s">
        <v>2242</v>
      </c>
      <c r="H34" s="912">
        <v>1162.3699999999999</v>
      </c>
      <c r="I34" s="912">
        <v>1160.47</v>
      </c>
      <c r="J34" s="914">
        <v>45.23</v>
      </c>
      <c r="K34" s="915"/>
      <c r="L34" s="916">
        <v>0.1</v>
      </c>
      <c r="M34" s="916">
        <v>0.06</v>
      </c>
      <c r="N34" s="916">
        <v>0.2</v>
      </c>
      <c r="O34" s="916">
        <v>4.8570000000000002</v>
      </c>
      <c r="P34" s="915"/>
      <c r="Q34" s="916">
        <v>2.1850000000000001</v>
      </c>
      <c r="R34" s="917">
        <v>0.33333333333333331</v>
      </c>
      <c r="S34" s="918">
        <v>1.4</v>
      </c>
      <c r="T34" s="918">
        <v>2.8570000000000002</v>
      </c>
      <c r="U34" s="916">
        <v>4.6059999999999999</v>
      </c>
      <c r="V34" s="916">
        <v>0.92</v>
      </c>
      <c r="W34" s="915"/>
      <c r="X34" s="916">
        <v>0.28299999999999997</v>
      </c>
      <c r="Y34" s="916">
        <v>0.40699999999999997</v>
      </c>
      <c r="Z34" s="916">
        <v>4.6509999999999998</v>
      </c>
      <c r="AA34" s="916">
        <v>1.0229999999999999</v>
      </c>
      <c r="AB34" s="916">
        <v>3.081</v>
      </c>
      <c r="AC34" s="915"/>
      <c r="AD34" s="919">
        <v>219.68199999999999</v>
      </c>
      <c r="AE34" s="920">
        <v>210.36500000000001</v>
      </c>
      <c r="AF34" s="920" t="s">
        <v>21</v>
      </c>
      <c r="AG34" s="920" t="s">
        <v>21</v>
      </c>
      <c r="AH34" s="921">
        <v>210.36500000000001</v>
      </c>
      <c r="AI34" s="921" t="s">
        <v>21</v>
      </c>
      <c r="AJ34" s="920" t="s">
        <v>21</v>
      </c>
      <c r="AK34" s="920" t="s">
        <v>21</v>
      </c>
      <c r="AL34" s="921" t="s">
        <v>21</v>
      </c>
      <c r="AM34" s="921" t="s">
        <v>21</v>
      </c>
      <c r="AN34" s="920"/>
      <c r="AO34" s="920" t="s">
        <v>21</v>
      </c>
      <c r="AP34" s="919">
        <v>63.322000000000003</v>
      </c>
      <c r="AQ34" s="933">
        <v>208.32937999999999</v>
      </c>
      <c r="AR34" s="925" t="s">
        <v>21</v>
      </c>
      <c r="AS34" s="925">
        <v>208.32937999999999</v>
      </c>
      <c r="AT34" s="925" t="s">
        <v>21</v>
      </c>
      <c r="AU34" s="925" t="s">
        <v>21</v>
      </c>
      <c r="AV34" s="926" t="s">
        <v>21</v>
      </c>
      <c r="AW34" s="926" t="s">
        <v>21</v>
      </c>
      <c r="AX34" s="926" t="s">
        <v>21</v>
      </c>
      <c r="AY34" s="926" t="s">
        <v>21</v>
      </c>
      <c r="AZ34" s="925" t="s">
        <v>21</v>
      </c>
      <c r="BA34" s="925"/>
      <c r="BB34" s="919">
        <v>6.3319999999999999</v>
      </c>
      <c r="BC34" s="919" t="s">
        <v>21</v>
      </c>
      <c r="BD34" s="919" t="s">
        <v>2142</v>
      </c>
      <c r="BE34" s="925" t="s">
        <v>21</v>
      </c>
      <c r="BF34" s="926" t="s">
        <v>21</v>
      </c>
      <c r="BG34" s="925">
        <v>45.23</v>
      </c>
      <c r="BH34" s="926" t="s">
        <v>21</v>
      </c>
      <c r="BI34" s="925" t="s">
        <v>21</v>
      </c>
      <c r="BJ34" s="926" t="s">
        <v>21</v>
      </c>
      <c r="BK34" s="925" t="s">
        <v>21</v>
      </c>
      <c r="BL34" s="926" t="s">
        <v>21</v>
      </c>
      <c r="BM34" s="925" t="s">
        <v>21</v>
      </c>
      <c r="BN34" s="927"/>
      <c r="BO34" s="927"/>
      <c r="BP34" s="928">
        <v>1</v>
      </c>
      <c r="BQ34" s="928" t="s">
        <v>21</v>
      </c>
      <c r="BR34" s="928" t="s">
        <v>21</v>
      </c>
      <c r="BS34" s="928" t="s">
        <v>21</v>
      </c>
      <c r="BT34" s="928" t="s">
        <v>21</v>
      </c>
      <c r="BU34" s="928" t="s">
        <v>21</v>
      </c>
      <c r="BV34" s="934">
        <v>0.55000000000004556</v>
      </c>
      <c r="BW34" s="934">
        <v>1</v>
      </c>
      <c r="BX34" s="1104">
        <v>2</v>
      </c>
      <c r="BY34" s="931">
        <v>4</v>
      </c>
      <c r="BZ34" s="930" t="s">
        <v>21</v>
      </c>
      <c r="CA34" s="1074">
        <v>1</v>
      </c>
      <c r="CB34" s="930" t="s">
        <v>21</v>
      </c>
      <c r="CC34" s="930" t="s">
        <v>21</v>
      </c>
      <c r="CD34" s="925">
        <v>46.27</v>
      </c>
      <c r="CE34" s="1130">
        <v>139.35400000000001</v>
      </c>
      <c r="CF34" s="1129" t="s">
        <v>21</v>
      </c>
      <c r="CG34" s="1130" t="s">
        <v>21</v>
      </c>
      <c r="CH34" s="1130" t="s">
        <v>21</v>
      </c>
      <c r="CI34" s="1131" t="s">
        <v>21</v>
      </c>
      <c r="CJ34" s="1129" t="s">
        <v>21</v>
      </c>
      <c r="CK34" s="1130">
        <v>139.35400000000001</v>
      </c>
      <c r="CL34" s="1130" t="s">
        <v>21</v>
      </c>
      <c r="CM34" s="1131" t="s">
        <v>21</v>
      </c>
      <c r="CN34" s="1130" t="s">
        <v>21</v>
      </c>
      <c r="CP34" s="838" t="s">
        <v>21</v>
      </c>
      <c r="CQ34" s="838" t="s">
        <v>21</v>
      </c>
      <c r="CR34" s="836"/>
    </row>
    <row r="35" spans="1:96" x14ac:dyDescent="0.25">
      <c r="A35" s="935"/>
      <c r="B35" s="932" t="s">
        <v>2242</v>
      </c>
      <c r="C35" s="911">
        <v>600</v>
      </c>
      <c r="D35" s="911" t="s">
        <v>2116</v>
      </c>
      <c r="E35" s="912">
        <v>1162.3699999999999</v>
      </c>
      <c r="F35" s="912">
        <v>1159.67</v>
      </c>
      <c r="G35" s="910" t="s">
        <v>2233</v>
      </c>
      <c r="H35" s="912">
        <v>1159</v>
      </c>
      <c r="I35" s="912">
        <v>1157.0999999999999</v>
      </c>
      <c r="J35" s="914">
        <v>14.81</v>
      </c>
      <c r="K35" s="915"/>
      <c r="L35" s="916">
        <v>0.1</v>
      </c>
      <c r="M35" s="916">
        <v>0.06</v>
      </c>
      <c r="N35" s="916">
        <v>0.2</v>
      </c>
      <c r="O35" s="916">
        <v>5.1070000000000002</v>
      </c>
      <c r="P35" s="915"/>
      <c r="Q35" s="916">
        <v>2.56</v>
      </c>
      <c r="R35" s="917">
        <v>0.33333333333333331</v>
      </c>
      <c r="S35" s="918">
        <v>1.4</v>
      </c>
      <c r="T35" s="918">
        <v>3.1070000000000002</v>
      </c>
      <c r="U35" s="916">
        <v>5.3970000000000002</v>
      </c>
      <c r="V35" s="916">
        <v>0.92</v>
      </c>
      <c r="W35" s="915"/>
      <c r="X35" s="916">
        <v>0.28299999999999997</v>
      </c>
      <c r="Y35" s="916">
        <v>0.40699999999999997</v>
      </c>
      <c r="Z35" s="916">
        <v>5.7690000000000001</v>
      </c>
      <c r="AA35" s="916">
        <v>1.0229999999999999</v>
      </c>
      <c r="AB35" s="916">
        <v>4.1989999999999998</v>
      </c>
      <c r="AC35" s="915"/>
      <c r="AD35" s="919">
        <v>75.635000000000005</v>
      </c>
      <c r="AE35" s="920">
        <v>85.438999999999993</v>
      </c>
      <c r="AF35" s="920" t="s">
        <v>21</v>
      </c>
      <c r="AG35" s="920" t="s">
        <v>21</v>
      </c>
      <c r="AH35" s="921">
        <v>85.438999999999993</v>
      </c>
      <c r="AI35" s="921" t="s">
        <v>21</v>
      </c>
      <c r="AJ35" s="920" t="s">
        <v>21</v>
      </c>
      <c r="AK35" s="920" t="s">
        <v>21</v>
      </c>
      <c r="AL35" s="921" t="s">
        <v>21</v>
      </c>
      <c r="AM35" s="921" t="s">
        <v>21</v>
      </c>
      <c r="AN35" s="920"/>
      <c r="AO35" s="920" t="s">
        <v>21</v>
      </c>
      <c r="AP35" s="919">
        <v>20.734000000000002</v>
      </c>
      <c r="AQ35" s="933">
        <v>79.929570000000012</v>
      </c>
      <c r="AR35" s="925" t="s">
        <v>21</v>
      </c>
      <c r="AS35" s="925">
        <v>79.929570000000012</v>
      </c>
      <c r="AT35" s="925" t="s">
        <v>21</v>
      </c>
      <c r="AU35" s="925" t="s">
        <v>21</v>
      </c>
      <c r="AV35" s="926" t="s">
        <v>21</v>
      </c>
      <c r="AW35" s="926" t="s">
        <v>21</v>
      </c>
      <c r="AX35" s="926" t="s">
        <v>21</v>
      </c>
      <c r="AY35" s="926" t="s">
        <v>21</v>
      </c>
      <c r="AZ35" s="925" t="s">
        <v>21</v>
      </c>
      <c r="BA35" s="925"/>
      <c r="BB35" s="919">
        <v>2.073</v>
      </c>
      <c r="BC35" s="919" t="s">
        <v>21</v>
      </c>
      <c r="BD35" s="919" t="s">
        <v>2142</v>
      </c>
      <c r="BE35" s="925" t="s">
        <v>21</v>
      </c>
      <c r="BF35" s="926" t="s">
        <v>21</v>
      </c>
      <c r="BG35" s="925">
        <v>14.81</v>
      </c>
      <c r="BH35" s="926" t="s">
        <v>21</v>
      </c>
      <c r="BI35" s="925" t="s">
        <v>21</v>
      </c>
      <c r="BJ35" s="926" t="s">
        <v>21</v>
      </c>
      <c r="BK35" s="925" t="s">
        <v>21</v>
      </c>
      <c r="BL35" s="926" t="s">
        <v>21</v>
      </c>
      <c r="BM35" s="925" t="s">
        <v>21</v>
      </c>
      <c r="BN35" s="927"/>
      <c r="BO35" s="927"/>
      <c r="BP35" s="928">
        <v>1</v>
      </c>
      <c r="BQ35" s="928" t="s">
        <v>21</v>
      </c>
      <c r="BR35" s="928" t="s">
        <v>21</v>
      </c>
      <c r="BS35" s="928" t="s">
        <v>21</v>
      </c>
      <c r="BT35" s="928" t="s">
        <v>21</v>
      </c>
      <c r="BU35" s="928" t="s">
        <v>21</v>
      </c>
      <c r="BV35" s="934">
        <v>1.2999999999998182</v>
      </c>
      <c r="BW35" s="934">
        <v>1.5</v>
      </c>
      <c r="BX35" s="1104">
        <v>3</v>
      </c>
      <c r="BY35" s="931">
        <v>5</v>
      </c>
      <c r="BZ35" s="930" t="s">
        <v>21</v>
      </c>
      <c r="CA35" s="1074">
        <v>1</v>
      </c>
      <c r="CB35" s="930" t="s">
        <v>21</v>
      </c>
      <c r="CC35" s="930" t="s">
        <v>21</v>
      </c>
      <c r="CD35" s="925">
        <v>15.151</v>
      </c>
      <c r="CE35" s="1130">
        <v>62.186999999999998</v>
      </c>
      <c r="CF35" s="1129" t="s">
        <v>21</v>
      </c>
      <c r="CG35" s="1130" t="s">
        <v>21</v>
      </c>
      <c r="CH35" s="1130" t="s">
        <v>21</v>
      </c>
      <c r="CI35" s="1131" t="s">
        <v>21</v>
      </c>
      <c r="CJ35" s="1129" t="s">
        <v>21</v>
      </c>
      <c r="CK35" s="1130">
        <v>62.186999999999998</v>
      </c>
      <c r="CL35" s="1130" t="s">
        <v>21</v>
      </c>
      <c r="CM35" s="1131" t="s">
        <v>21</v>
      </c>
      <c r="CN35" s="1130" t="s">
        <v>21</v>
      </c>
      <c r="CP35" s="838" t="s">
        <v>21</v>
      </c>
      <c r="CQ35" s="838" t="s">
        <v>21</v>
      </c>
      <c r="CR35" s="836"/>
    </row>
    <row r="36" spans="1:96" x14ac:dyDescent="0.25">
      <c r="A36" s="935"/>
      <c r="B36" s="932"/>
      <c r="C36" s="911"/>
      <c r="D36" s="911"/>
      <c r="E36" s="912"/>
      <c r="F36" s="912"/>
      <c r="G36" s="910"/>
      <c r="H36" s="912"/>
      <c r="I36" s="912"/>
      <c r="J36" s="914"/>
      <c r="K36" s="915"/>
      <c r="L36" s="916" t="s">
        <v>21</v>
      </c>
      <c r="M36" s="916" t="s">
        <v>21</v>
      </c>
      <c r="N36" s="916" t="s">
        <v>21</v>
      </c>
      <c r="O36" s="916" t="s">
        <v>21</v>
      </c>
      <c r="P36" s="915"/>
      <c r="Q36" s="916" t="s">
        <v>21</v>
      </c>
      <c r="R36" s="917" t="s">
        <v>21</v>
      </c>
      <c r="S36" s="918" t="s">
        <v>21</v>
      </c>
      <c r="T36" s="918" t="s">
        <v>21</v>
      </c>
      <c r="U36" s="916" t="s">
        <v>21</v>
      </c>
      <c r="V36" s="916" t="s">
        <v>21</v>
      </c>
      <c r="W36" s="915"/>
      <c r="X36" s="916" t="s">
        <v>21</v>
      </c>
      <c r="Y36" s="916" t="s">
        <v>21</v>
      </c>
      <c r="Z36" s="916" t="s">
        <v>21</v>
      </c>
      <c r="AA36" s="916" t="s">
        <v>21</v>
      </c>
      <c r="AB36" s="916" t="s">
        <v>21</v>
      </c>
      <c r="AC36" s="915"/>
      <c r="AD36" s="919" t="s">
        <v>21</v>
      </c>
      <c r="AE36" s="920" t="s">
        <v>21</v>
      </c>
      <c r="AF36" s="920" t="s">
        <v>21</v>
      </c>
      <c r="AG36" s="920" t="s">
        <v>21</v>
      </c>
      <c r="AH36" s="921" t="s">
        <v>21</v>
      </c>
      <c r="AI36" s="921" t="s">
        <v>21</v>
      </c>
      <c r="AJ36" s="920" t="s">
        <v>21</v>
      </c>
      <c r="AK36" s="920" t="s">
        <v>21</v>
      </c>
      <c r="AL36" s="921" t="s">
        <v>21</v>
      </c>
      <c r="AM36" s="921" t="s">
        <v>21</v>
      </c>
      <c r="AN36" s="920"/>
      <c r="AO36" s="920" t="s">
        <v>21</v>
      </c>
      <c r="AP36" s="919" t="s">
        <v>21</v>
      </c>
      <c r="AQ36" s="933" t="s">
        <v>21</v>
      </c>
      <c r="AR36" s="925" t="s">
        <v>21</v>
      </c>
      <c r="AS36" s="925" t="s">
        <v>21</v>
      </c>
      <c r="AT36" s="925" t="s">
        <v>21</v>
      </c>
      <c r="AU36" s="925" t="s">
        <v>21</v>
      </c>
      <c r="AV36" s="926" t="s">
        <v>21</v>
      </c>
      <c r="AW36" s="926" t="s">
        <v>21</v>
      </c>
      <c r="AX36" s="926" t="s">
        <v>21</v>
      </c>
      <c r="AY36" s="926" t="s">
        <v>21</v>
      </c>
      <c r="AZ36" s="925" t="s">
        <v>21</v>
      </c>
      <c r="BA36" s="925"/>
      <c r="BB36" s="919" t="s">
        <v>21</v>
      </c>
      <c r="BC36" s="919" t="s">
        <v>21</v>
      </c>
      <c r="BD36" s="919" t="s">
        <v>21</v>
      </c>
      <c r="BE36" s="925" t="s">
        <v>21</v>
      </c>
      <c r="BF36" s="926" t="s">
        <v>21</v>
      </c>
      <c r="BG36" s="925" t="s">
        <v>21</v>
      </c>
      <c r="BH36" s="926" t="s">
        <v>21</v>
      </c>
      <c r="BI36" s="925" t="s">
        <v>21</v>
      </c>
      <c r="BJ36" s="926" t="s">
        <v>21</v>
      </c>
      <c r="BK36" s="925" t="s">
        <v>21</v>
      </c>
      <c r="BL36" s="926" t="s">
        <v>21</v>
      </c>
      <c r="BM36" s="925" t="s">
        <v>21</v>
      </c>
      <c r="BN36" s="927"/>
      <c r="BO36" s="927"/>
      <c r="BP36" s="928" t="s">
        <v>21</v>
      </c>
      <c r="BQ36" s="928" t="s">
        <v>21</v>
      </c>
      <c r="BR36" s="928" t="s">
        <v>21</v>
      </c>
      <c r="BS36" s="928" t="s">
        <v>21</v>
      </c>
      <c r="BT36" s="928" t="s">
        <v>21</v>
      </c>
      <c r="BU36" s="928" t="s">
        <v>21</v>
      </c>
      <c r="BV36" s="934" t="s">
        <v>21</v>
      </c>
      <c r="BW36" s="934" t="s">
        <v>21</v>
      </c>
      <c r="BX36" s="1104" t="s">
        <v>21</v>
      </c>
      <c r="BY36" s="931" t="s">
        <v>21</v>
      </c>
      <c r="BZ36" s="930" t="s">
        <v>21</v>
      </c>
      <c r="CA36" s="1074" t="s">
        <v>21</v>
      </c>
      <c r="CB36" s="930" t="s">
        <v>21</v>
      </c>
      <c r="CC36" s="930" t="s">
        <v>21</v>
      </c>
      <c r="CD36" s="925" t="s">
        <v>21</v>
      </c>
      <c r="CE36" s="1130" t="s">
        <v>21</v>
      </c>
      <c r="CF36" s="1129" t="s">
        <v>21</v>
      </c>
      <c r="CG36" s="1130" t="s">
        <v>21</v>
      </c>
      <c r="CH36" s="1130" t="s">
        <v>21</v>
      </c>
      <c r="CI36" s="1131" t="s">
        <v>21</v>
      </c>
      <c r="CJ36" s="1129" t="s">
        <v>21</v>
      </c>
      <c r="CK36" s="1130" t="s">
        <v>21</v>
      </c>
      <c r="CL36" s="1130" t="s">
        <v>21</v>
      </c>
      <c r="CM36" s="1131" t="s">
        <v>21</v>
      </c>
      <c r="CN36" s="1130" t="s">
        <v>21</v>
      </c>
      <c r="CP36" s="838" t="s">
        <v>21</v>
      </c>
      <c r="CQ36" s="838" t="s">
        <v>21</v>
      </c>
      <c r="CR36" s="836"/>
    </row>
    <row r="37" spans="1:96" x14ac:dyDescent="0.25">
      <c r="A37" s="935" t="s">
        <v>2487</v>
      </c>
      <c r="B37" s="932" t="s">
        <v>2243</v>
      </c>
      <c r="C37" s="911">
        <v>600</v>
      </c>
      <c r="D37" s="911" t="s">
        <v>2116</v>
      </c>
      <c r="E37" s="912">
        <v>1163.74</v>
      </c>
      <c r="F37" s="912">
        <v>1161.8399999999999</v>
      </c>
      <c r="G37" s="910" t="s">
        <v>2242</v>
      </c>
      <c r="H37" s="912">
        <v>1162.3699999999999</v>
      </c>
      <c r="I37" s="912">
        <v>1160.47</v>
      </c>
      <c r="J37" s="914">
        <v>26.03</v>
      </c>
      <c r="K37" s="915"/>
      <c r="L37" s="916">
        <v>0.1</v>
      </c>
      <c r="M37" s="916">
        <v>0.06</v>
      </c>
      <c r="N37" s="916">
        <v>0.2</v>
      </c>
      <c r="O37" s="916">
        <v>4.84</v>
      </c>
      <c r="P37" s="915"/>
      <c r="Q37" s="916">
        <v>2.16</v>
      </c>
      <c r="R37" s="917">
        <v>0.33333333333333331</v>
      </c>
      <c r="S37" s="918">
        <v>1.4</v>
      </c>
      <c r="T37" s="918">
        <v>2.84</v>
      </c>
      <c r="U37" s="916">
        <v>4.5540000000000003</v>
      </c>
      <c r="V37" s="916">
        <v>0.92</v>
      </c>
      <c r="W37" s="915"/>
      <c r="X37" s="916">
        <v>0.28299999999999997</v>
      </c>
      <c r="Y37" s="916">
        <v>0.40699999999999997</v>
      </c>
      <c r="Z37" s="916">
        <v>4.5789999999999997</v>
      </c>
      <c r="AA37" s="916">
        <v>1.0229999999999999</v>
      </c>
      <c r="AB37" s="916">
        <v>3.0089999999999999</v>
      </c>
      <c r="AC37" s="915"/>
      <c r="AD37" s="919">
        <v>125.985</v>
      </c>
      <c r="AE37" s="920">
        <v>119.191</v>
      </c>
      <c r="AF37" s="920" t="s">
        <v>21</v>
      </c>
      <c r="AG37" s="920" t="s">
        <v>21</v>
      </c>
      <c r="AH37" s="921">
        <v>119.191</v>
      </c>
      <c r="AI37" s="921" t="s">
        <v>21</v>
      </c>
      <c r="AJ37" s="920" t="s">
        <v>21</v>
      </c>
      <c r="AK37" s="920" t="s">
        <v>21</v>
      </c>
      <c r="AL37" s="921" t="s">
        <v>21</v>
      </c>
      <c r="AM37" s="921" t="s">
        <v>21</v>
      </c>
      <c r="AN37" s="920"/>
      <c r="AO37" s="920" t="s">
        <v>21</v>
      </c>
      <c r="AP37" s="919">
        <v>36.442</v>
      </c>
      <c r="AQ37" s="933">
        <v>118.54062000000002</v>
      </c>
      <c r="AR37" s="925" t="s">
        <v>21</v>
      </c>
      <c r="AS37" s="925">
        <v>118.54062000000002</v>
      </c>
      <c r="AT37" s="925" t="s">
        <v>21</v>
      </c>
      <c r="AU37" s="925" t="s">
        <v>21</v>
      </c>
      <c r="AV37" s="926" t="s">
        <v>21</v>
      </c>
      <c r="AW37" s="926" t="s">
        <v>21</v>
      </c>
      <c r="AX37" s="926" t="s">
        <v>21</v>
      </c>
      <c r="AY37" s="926" t="s">
        <v>21</v>
      </c>
      <c r="AZ37" s="925" t="s">
        <v>21</v>
      </c>
      <c r="BA37" s="925"/>
      <c r="BB37" s="919">
        <v>3.6440000000000001</v>
      </c>
      <c r="BC37" s="919" t="s">
        <v>21</v>
      </c>
      <c r="BD37" s="919" t="s">
        <v>2142</v>
      </c>
      <c r="BE37" s="925" t="s">
        <v>21</v>
      </c>
      <c r="BF37" s="926" t="s">
        <v>21</v>
      </c>
      <c r="BG37" s="925">
        <v>26.03</v>
      </c>
      <c r="BH37" s="926" t="s">
        <v>21</v>
      </c>
      <c r="BI37" s="925" t="s">
        <v>21</v>
      </c>
      <c r="BJ37" s="926" t="s">
        <v>21</v>
      </c>
      <c r="BK37" s="925" t="s">
        <v>21</v>
      </c>
      <c r="BL37" s="926" t="s">
        <v>21</v>
      </c>
      <c r="BM37" s="925" t="s">
        <v>21</v>
      </c>
      <c r="BN37" s="927"/>
      <c r="BO37" s="927"/>
      <c r="BP37" s="928">
        <v>1</v>
      </c>
      <c r="BQ37" s="928" t="s">
        <v>21</v>
      </c>
      <c r="BR37" s="928" t="s">
        <v>21</v>
      </c>
      <c r="BS37" s="928" t="s">
        <v>21</v>
      </c>
      <c r="BT37" s="928" t="s">
        <v>21</v>
      </c>
      <c r="BU37" s="928" t="s">
        <v>21</v>
      </c>
      <c r="BV37" s="934">
        <v>0.50000000000009104</v>
      </c>
      <c r="BW37" s="934">
        <v>1</v>
      </c>
      <c r="BX37" s="1104">
        <v>2</v>
      </c>
      <c r="BY37" s="931">
        <v>4</v>
      </c>
      <c r="BZ37" s="930" t="s">
        <v>21</v>
      </c>
      <c r="CA37" s="1074">
        <v>1</v>
      </c>
      <c r="CB37" s="930" t="s">
        <v>21</v>
      </c>
      <c r="CC37" s="930" t="s">
        <v>21</v>
      </c>
      <c r="CD37" s="925">
        <v>26.629000000000001</v>
      </c>
      <c r="CE37" s="1130">
        <v>78.323999999999998</v>
      </c>
      <c r="CF37" s="1129" t="s">
        <v>21</v>
      </c>
      <c r="CG37" s="1130" t="s">
        <v>21</v>
      </c>
      <c r="CH37" s="1130" t="s">
        <v>21</v>
      </c>
      <c r="CI37" s="1131" t="s">
        <v>21</v>
      </c>
      <c r="CJ37" s="1129" t="s">
        <v>21</v>
      </c>
      <c r="CK37" s="1130">
        <v>78.323999999999998</v>
      </c>
      <c r="CL37" s="1130" t="s">
        <v>21</v>
      </c>
      <c r="CM37" s="1131" t="s">
        <v>21</v>
      </c>
      <c r="CN37" s="1130" t="s">
        <v>21</v>
      </c>
      <c r="CP37" s="838" t="s">
        <v>21</v>
      </c>
      <c r="CQ37" s="838" t="s">
        <v>21</v>
      </c>
      <c r="CR37" s="836"/>
    </row>
    <row r="38" spans="1:96" x14ac:dyDescent="0.25">
      <c r="A38" s="935"/>
      <c r="B38" s="932"/>
      <c r="C38" s="911"/>
      <c r="D38" s="911"/>
      <c r="E38" s="912"/>
      <c r="F38" s="912"/>
      <c r="G38" s="910"/>
      <c r="H38" s="912"/>
      <c r="I38" s="912"/>
      <c r="J38" s="914"/>
      <c r="K38" s="915"/>
      <c r="L38" s="916" t="s">
        <v>21</v>
      </c>
      <c r="M38" s="916" t="s">
        <v>21</v>
      </c>
      <c r="N38" s="916" t="s">
        <v>21</v>
      </c>
      <c r="O38" s="916" t="s">
        <v>21</v>
      </c>
      <c r="P38" s="915"/>
      <c r="Q38" s="916" t="s">
        <v>21</v>
      </c>
      <c r="R38" s="917" t="s">
        <v>21</v>
      </c>
      <c r="S38" s="918" t="s">
        <v>21</v>
      </c>
      <c r="T38" s="918" t="s">
        <v>21</v>
      </c>
      <c r="U38" s="916" t="s">
        <v>21</v>
      </c>
      <c r="V38" s="916" t="s">
        <v>21</v>
      </c>
      <c r="W38" s="915"/>
      <c r="X38" s="916" t="s">
        <v>21</v>
      </c>
      <c r="Y38" s="916" t="s">
        <v>21</v>
      </c>
      <c r="Z38" s="916" t="s">
        <v>21</v>
      </c>
      <c r="AA38" s="916" t="s">
        <v>21</v>
      </c>
      <c r="AB38" s="916" t="s">
        <v>21</v>
      </c>
      <c r="AC38" s="915"/>
      <c r="AD38" s="919" t="s">
        <v>21</v>
      </c>
      <c r="AE38" s="920" t="s">
        <v>21</v>
      </c>
      <c r="AF38" s="920" t="s">
        <v>21</v>
      </c>
      <c r="AG38" s="920" t="s">
        <v>21</v>
      </c>
      <c r="AH38" s="921" t="s">
        <v>21</v>
      </c>
      <c r="AI38" s="921" t="s">
        <v>21</v>
      </c>
      <c r="AJ38" s="920" t="s">
        <v>21</v>
      </c>
      <c r="AK38" s="920" t="s">
        <v>21</v>
      </c>
      <c r="AL38" s="921" t="s">
        <v>21</v>
      </c>
      <c r="AM38" s="921" t="s">
        <v>21</v>
      </c>
      <c r="AN38" s="920"/>
      <c r="AO38" s="920" t="s">
        <v>21</v>
      </c>
      <c r="AP38" s="919" t="s">
        <v>21</v>
      </c>
      <c r="AQ38" s="933" t="s">
        <v>21</v>
      </c>
      <c r="AR38" s="925" t="s">
        <v>21</v>
      </c>
      <c r="AS38" s="925" t="s">
        <v>21</v>
      </c>
      <c r="AT38" s="925" t="s">
        <v>21</v>
      </c>
      <c r="AU38" s="925" t="s">
        <v>21</v>
      </c>
      <c r="AV38" s="926" t="s">
        <v>21</v>
      </c>
      <c r="AW38" s="926" t="s">
        <v>21</v>
      </c>
      <c r="AX38" s="926" t="s">
        <v>21</v>
      </c>
      <c r="AY38" s="926" t="s">
        <v>21</v>
      </c>
      <c r="AZ38" s="925" t="s">
        <v>21</v>
      </c>
      <c r="BA38" s="925"/>
      <c r="BB38" s="919" t="s">
        <v>21</v>
      </c>
      <c r="BC38" s="919" t="s">
        <v>21</v>
      </c>
      <c r="BD38" s="919" t="s">
        <v>21</v>
      </c>
      <c r="BE38" s="925" t="s">
        <v>21</v>
      </c>
      <c r="BF38" s="926" t="s">
        <v>21</v>
      </c>
      <c r="BG38" s="925" t="s">
        <v>21</v>
      </c>
      <c r="BH38" s="926" t="s">
        <v>21</v>
      </c>
      <c r="BI38" s="925" t="s">
        <v>21</v>
      </c>
      <c r="BJ38" s="926" t="s">
        <v>21</v>
      </c>
      <c r="BK38" s="925" t="s">
        <v>21</v>
      </c>
      <c r="BL38" s="926" t="s">
        <v>21</v>
      </c>
      <c r="BM38" s="925" t="s">
        <v>21</v>
      </c>
      <c r="BN38" s="927"/>
      <c r="BO38" s="927"/>
      <c r="BP38" s="928" t="s">
        <v>21</v>
      </c>
      <c r="BQ38" s="928" t="s">
        <v>21</v>
      </c>
      <c r="BR38" s="928" t="s">
        <v>21</v>
      </c>
      <c r="BS38" s="928" t="s">
        <v>21</v>
      </c>
      <c r="BT38" s="928" t="s">
        <v>21</v>
      </c>
      <c r="BU38" s="928" t="s">
        <v>21</v>
      </c>
      <c r="BV38" s="934" t="s">
        <v>21</v>
      </c>
      <c r="BW38" s="934" t="s">
        <v>21</v>
      </c>
      <c r="BX38" s="1104" t="s">
        <v>21</v>
      </c>
      <c r="BY38" s="931" t="s">
        <v>21</v>
      </c>
      <c r="BZ38" s="930" t="s">
        <v>21</v>
      </c>
      <c r="CA38" s="1074" t="s">
        <v>21</v>
      </c>
      <c r="CB38" s="930" t="s">
        <v>21</v>
      </c>
      <c r="CC38" s="930" t="s">
        <v>21</v>
      </c>
      <c r="CD38" s="925" t="s">
        <v>21</v>
      </c>
      <c r="CE38" s="1130" t="s">
        <v>21</v>
      </c>
      <c r="CF38" s="1129" t="s">
        <v>21</v>
      </c>
      <c r="CG38" s="1130" t="s">
        <v>21</v>
      </c>
      <c r="CH38" s="1130" t="s">
        <v>21</v>
      </c>
      <c r="CI38" s="1131" t="s">
        <v>21</v>
      </c>
      <c r="CJ38" s="1129" t="s">
        <v>21</v>
      </c>
      <c r="CK38" s="1130" t="s">
        <v>21</v>
      </c>
      <c r="CL38" s="1130" t="s">
        <v>21</v>
      </c>
      <c r="CM38" s="1131" t="s">
        <v>21</v>
      </c>
      <c r="CN38" s="1130" t="s">
        <v>21</v>
      </c>
      <c r="CP38" s="838" t="s">
        <v>21</v>
      </c>
      <c r="CQ38" s="838" t="s">
        <v>21</v>
      </c>
      <c r="CR38" s="836"/>
    </row>
    <row r="39" spans="1:96" x14ac:dyDescent="0.25">
      <c r="A39" s="935" t="s">
        <v>2488</v>
      </c>
      <c r="B39" s="932" t="s">
        <v>2245</v>
      </c>
      <c r="C39" s="911">
        <v>600</v>
      </c>
      <c r="D39" s="911" t="s">
        <v>2116</v>
      </c>
      <c r="E39" s="912">
        <v>1161.98</v>
      </c>
      <c r="F39" s="912">
        <v>1160.08</v>
      </c>
      <c r="G39" s="910" t="s">
        <v>2246</v>
      </c>
      <c r="H39" s="912">
        <v>1161.0899999999999</v>
      </c>
      <c r="I39" s="912">
        <v>1159.19</v>
      </c>
      <c r="J39" s="914">
        <v>18.03</v>
      </c>
      <c r="K39" s="915"/>
      <c r="L39" s="916">
        <v>0.1</v>
      </c>
      <c r="M39" s="916">
        <v>0.06</v>
      </c>
      <c r="N39" s="916">
        <v>0.2</v>
      </c>
      <c r="O39" s="916">
        <v>4.84</v>
      </c>
      <c r="P39" s="915"/>
      <c r="Q39" s="916">
        <v>2.16</v>
      </c>
      <c r="R39" s="917">
        <v>0.33333333333333331</v>
      </c>
      <c r="S39" s="918">
        <v>1.4</v>
      </c>
      <c r="T39" s="918">
        <v>2.84</v>
      </c>
      <c r="U39" s="916">
        <v>4.5540000000000003</v>
      </c>
      <c r="V39" s="916">
        <v>0.92</v>
      </c>
      <c r="W39" s="915"/>
      <c r="X39" s="916">
        <v>0.28299999999999997</v>
      </c>
      <c r="Y39" s="916">
        <v>0.40699999999999997</v>
      </c>
      <c r="Z39" s="916">
        <v>4.5789999999999997</v>
      </c>
      <c r="AA39" s="916">
        <v>1.0229999999999999</v>
      </c>
      <c r="AB39" s="916">
        <v>3.0089999999999999</v>
      </c>
      <c r="AC39" s="915"/>
      <c r="AD39" s="919">
        <v>87.265000000000001</v>
      </c>
      <c r="AE39" s="920">
        <v>82.558999999999997</v>
      </c>
      <c r="AF39" s="920" t="s">
        <v>21</v>
      </c>
      <c r="AG39" s="920" t="s">
        <v>21</v>
      </c>
      <c r="AH39" s="921">
        <v>82.558999999999997</v>
      </c>
      <c r="AI39" s="921" t="s">
        <v>21</v>
      </c>
      <c r="AJ39" s="920" t="s">
        <v>21</v>
      </c>
      <c r="AK39" s="920" t="s">
        <v>21</v>
      </c>
      <c r="AL39" s="921" t="s">
        <v>21</v>
      </c>
      <c r="AM39" s="921" t="s">
        <v>21</v>
      </c>
      <c r="AN39" s="920"/>
      <c r="AO39" s="920" t="s">
        <v>21</v>
      </c>
      <c r="AP39" s="919">
        <v>25.242000000000001</v>
      </c>
      <c r="AQ39" s="933">
        <v>82.108620000000016</v>
      </c>
      <c r="AR39" s="925" t="s">
        <v>21</v>
      </c>
      <c r="AS39" s="925">
        <v>82.108620000000016</v>
      </c>
      <c r="AT39" s="925" t="s">
        <v>21</v>
      </c>
      <c r="AU39" s="925" t="s">
        <v>21</v>
      </c>
      <c r="AV39" s="926" t="s">
        <v>21</v>
      </c>
      <c r="AW39" s="926" t="s">
        <v>21</v>
      </c>
      <c r="AX39" s="926" t="s">
        <v>21</v>
      </c>
      <c r="AY39" s="926" t="s">
        <v>21</v>
      </c>
      <c r="AZ39" s="925" t="s">
        <v>21</v>
      </c>
      <c r="BA39" s="925"/>
      <c r="BB39" s="919">
        <v>2.524</v>
      </c>
      <c r="BC39" s="919" t="s">
        <v>21</v>
      </c>
      <c r="BD39" s="919" t="s">
        <v>2142</v>
      </c>
      <c r="BE39" s="925" t="s">
        <v>21</v>
      </c>
      <c r="BF39" s="926" t="s">
        <v>21</v>
      </c>
      <c r="BG39" s="925">
        <v>18.03</v>
      </c>
      <c r="BH39" s="926" t="s">
        <v>21</v>
      </c>
      <c r="BI39" s="925" t="s">
        <v>21</v>
      </c>
      <c r="BJ39" s="926" t="s">
        <v>21</v>
      </c>
      <c r="BK39" s="925" t="s">
        <v>21</v>
      </c>
      <c r="BL39" s="926" t="s">
        <v>21</v>
      </c>
      <c r="BM39" s="925" t="s">
        <v>21</v>
      </c>
      <c r="BN39" s="927"/>
      <c r="BO39" s="927"/>
      <c r="BP39" s="928">
        <v>1</v>
      </c>
      <c r="BQ39" s="928" t="s">
        <v>21</v>
      </c>
      <c r="BR39" s="928" t="s">
        <v>21</v>
      </c>
      <c r="BS39" s="928" t="s">
        <v>21</v>
      </c>
      <c r="BT39" s="928" t="s">
        <v>21</v>
      </c>
      <c r="BU39" s="928" t="s">
        <v>21</v>
      </c>
      <c r="BV39" s="934">
        <v>0.50000000000009104</v>
      </c>
      <c r="BW39" s="934">
        <v>1</v>
      </c>
      <c r="BX39" s="1104">
        <v>2</v>
      </c>
      <c r="BY39" s="931">
        <v>4</v>
      </c>
      <c r="BZ39" s="930" t="s">
        <v>21</v>
      </c>
      <c r="CA39" s="1074" t="s">
        <v>21</v>
      </c>
      <c r="CB39" s="930">
        <v>1</v>
      </c>
      <c r="CC39" s="930" t="s">
        <v>21</v>
      </c>
      <c r="CD39" s="925">
        <v>18.445</v>
      </c>
      <c r="CE39" s="1130">
        <v>54.252000000000002</v>
      </c>
      <c r="CF39" s="1129" t="s">
        <v>21</v>
      </c>
      <c r="CG39" s="1130" t="s">
        <v>21</v>
      </c>
      <c r="CH39" s="1130" t="s">
        <v>21</v>
      </c>
      <c r="CI39" s="1131" t="s">
        <v>21</v>
      </c>
      <c r="CJ39" s="1129" t="s">
        <v>21</v>
      </c>
      <c r="CK39" s="1130">
        <v>54.252000000000002</v>
      </c>
      <c r="CL39" s="1130" t="s">
        <v>21</v>
      </c>
      <c r="CM39" s="1131" t="s">
        <v>21</v>
      </c>
      <c r="CN39" s="1130" t="s">
        <v>21</v>
      </c>
      <c r="CP39" s="838" t="s">
        <v>21</v>
      </c>
      <c r="CQ39" s="838" t="s">
        <v>21</v>
      </c>
      <c r="CR39" s="836"/>
    </row>
    <row r="40" spans="1:96" x14ac:dyDescent="0.25">
      <c r="A40" s="935"/>
      <c r="B40" s="932" t="s">
        <v>2246</v>
      </c>
      <c r="C40" s="911">
        <v>600</v>
      </c>
      <c r="D40" s="911" t="s">
        <v>2116</v>
      </c>
      <c r="E40" s="912">
        <v>1161.0899999999999</v>
      </c>
      <c r="F40" s="912">
        <v>1157.8399999999999</v>
      </c>
      <c r="G40" s="910" t="s">
        <v>2233</v>
      </c>
      <c r="H40" s="912">
        <v>1156</v>
      </c>
      <c r="I40" s="912">
        <v>1154.0999999999999</v>
      </c>
      <c r="J40" s="914">
        <v>13.09</v>
      </c>
      <c r="K40" s="915"/>
      <c r="L40" s="916">
        <v>0.1</v>
      </c>
      <c r="M40" s="916">
        <v>0.06</v>
      </c>
      <c r="N40" s="916">
        <v>0.2</v>
      </c>
      <c r="O40" s="916">
        <v>5.29</v>
      </c>
      <c r="P40" s="915"/>
      <c r="Q40" s="916">
        <v>2.835</v>
      </c>
      <c r="R40" s="917">
        <v>0.33333333333333331</v>
      </c>
      <c r="S40" s="918">
        <v>1.4</v>
      </c>
      <c r="T40" s="918">
        <v>3.29</v>
      </c>
      <c r="U40" s="916">
        <v>5.9770000000000003</v>
      </c>
      <c r="V40" s="916">
        <v>0.92</v>
      </c>
      <c r="W40" s="915"/>
      <c r="X40" s="916">
        <v>0.28299999999999997</v>
      </c>
      <c r="Y40" s="916">
        <v>0.40699999999999997</v>
      </c>
      <c r="Z40" s="916">
        <v>6.6479999999999997</v>
      </c>
      <c r="AA40" s="916">
        <v>1.0229999999999999</v>
      </c>
      <c r="AB40" s="916">
        <v>5.0780000000000003</v>
      </c>
      <c r="AC40" s="915"/>
      <c r="AD40" s="919">
        <v>69.245999999999995</v>
      </c>
      <c r="AE40" s="920">
        <v>87.022000000000006</v>
      </c>
      <c r="AF40" s="920" t="s">
        <v>21</v>
      </c>
      <c r="AG40" s="920" t="s">
        <v>21</v>
      </c>
      <c r="AH40" s="921">
        <v>87.022000000000006</v>
      </c>
      <c r="AI40" s="921" t="s">
        <v>21</v>
      </c>
      <c r="AJ40" s="920" t="s">
        <v>21</v>
      </c>
      <c r="AK40" s="920" t="s">
        <v>21</v>
      </c>
      <c r="AL40" s="921" t="s">
        <v>21</v>
      </c>
      <c r="AM40" s="921" t="s">
        <v>21</v>
      </c>
      <c r="AN40" s="920"/>
      <c r="AO40" s="920" t="s">
        <v>21</v>
      </c>
      <c r="AP40" s="919">
        <v>18.326000000000001</v>
      </c>
      <c r="AQ40" s="933">
        <v>78.238929999999996</v>
      </c>
      <c r="AR40" s="925" t="s">
        <v>21</v>
      </c>
      <c r="AS40" s="925">
        <v>78.238929999999996</v>
      </c>
      <c r="AT40" s="925" t="s">
        <v>21</v>
      </c>
      <c r="AU40" s="925" t="s">
        <v>21</v>
      </c>
      <c r="AV40" s="926" t="s">
        <v>21</v>
      </c>
      <c r="AW40" s="926" t="s">
        <v>21</v>
      </c>
      <c r="AX40" s="926" t="s">
        <v>21</v>
      </c>
      <c r="AY40" s="926" t="s">
        <v>21</v>
      </c>
      <c r="AZ40" s="925" t="s">
        <v>21</v>
      </c>
      <c r="BA40" s="925"/>
      <c r="BB40" s="919">
        <v>1.833</v>
      </c>
      <c r="BC40" s="919" t="s">
        <v>21</v>
      </c>
      <c r="BD40" s="919" t="s">
        <v>2142</v>
      </c>
      <c r="BE40" s="925" t="s">
        <v>21</v>
      </c>
      <c r="BF40" s="926" t="s">
        <v>21</v>
      </c>
      <c r="BG40" s="925">
        <v>13.09</v>
      </c>
      <c r="BH40" s="926" t="s">
        <v>21</v>
      </c>
      <c r="BI40" s="925" t="s">
        <v>21</v>
      </c>
      <c r="BJ40" s="926" t="s">
        <v>21</v>
      </c>
      <c r="BK40" s="925" t="s">
        <v>21</v>
      </c>
      <c r="BL40" s="926" t="s">
        <v>21</v>
      </c>
      <c r="BM40" s="925" t="s">
        <v>21</v>
      </c>
      <c r="BN40" s="927"/>
      <c r="BO40" s="927"/>
      <c r="BP40" s="928">
        <v>1</v>
      </c>
      <c r="BQ40" s="928" t="s">
        <v>21</v>
      </c>
      <c r="BR40" s="928" t="s">
        <v>21</v>
      </c>
      <c r="BS40" s="928" t="s">
        <v>21</v>
      </c>
      <c r="BT40" s="928" t="s">
        <v>21</v>
      </c>
      <c r="BU40" s="928" t="s">
        <v>21</v>
      </c>
      <c r="BV40" s="934">
        <v>1.85</v>
      </c>
      <c r="BW40" s="934">
        <v>2</v>
      </c>
      <c r="BX40" s="1104">
        <v>4</v>
      </c>
      <c r="BY40" s="931">
        <v>6</v>
      </c>
      <c r="BZ40" s="930">
        <v>1</v>
      </c>
      <c r="CA40" s="1074" t="s">
        <v>21</v>
      </c>
      <c r="CB40" s="930" t="s">
        <v>21</v>
      </c>
      <c r="CC40" s="930" t="s">
        <v>21</v>
      </c>
      <c r="CD40" s="925">
        <v>13.391</v>
      </c>
      <c r="CE40" s="1130">
        <v>66.471000000000004</v>
      </c>
      <c r="CF40" s="1129" t="s">
        <v>21</v>
      </c>
      <c r="CG40" s="1130" t="s">
        <v>21</v>
      </c>
      <c r="CH40" s="1130" t="s">
        <v>21</v>
      </c>
      <c r="CI40" s="1131" t="s">
        <v>21</v>
      </c>
      <c r="CJ40" s="1129" t="s">
        <v>21</v>
      </c>
      <c r="CK40" s="1130">
        <v>66.471000000000004</v>
      </c>
      <c r="CL40" s="1130" t="s">
        <v>21</v>
      </c>
      <c r="CM40" s="1131" t="s">
        <v>21</v>
      </c>
      <c r="CN40" s="1130" t="s">
        <v>21</v>
      </c>
      <c r="CP40" s="838" t="s">
        <v>21</v>
      </c>
      <c r="CQ40" s="838" t="s">
        <v>21</v>
      </c>
      <c r="CR40" s="836"/>
    </row>
    <row r="41" spans="1:96" x14ac:dyDescent="0.25">
      <c r="A41" s="935"/>
      <c r="B41" s="932"/>
      <c r="C41" s="911"/>
      <c r="D41" s="911"/>
      <c r="E41" s="912"/>
      <c r="F41" s="912"/>
      <c r="G41" s="910"/>
      <c r="H41" s="912"/>
      <c r="I41" s="912"/>
      <c r="J41" s="914"/>
      <c r="K41" s="915"/>
      <c r="L41" s="916" t="s">
        <v>21</v>
      </c>
      <c r="M41" s="916" t="s">
        <v>21</v>
      </c>
      <c r="N41" s="916" t="s">
        <v>21</v>
      </c>
      <c r="O41" s="916" t="s">
        <v>21</v>
      </c>
      <c r="P41" s="915"/>
      <c r="Q41" s="916" t="s">
        <v>21</v>
      </c>
      <c r="R41" s="917" t="s">
        <v>21</v>
      </c>
      <c r="S41" s="918" t="s">
        <v>21</v>
      </c>
      <c r="T41" s="918" t="s">
        <v>21</v>
      </c>
      <c r="U41" s="916" t="s">
        <v>21</v>
      </c>
      <c r="V41" s="916" t="s">
        <v>21</v>
      </c>
      <c r="W41" s="915"/>
      <c r="X41" s="916" t="s">
        <v>21</v>
      </c>
      <c r="Y41" s="916" t="s">
        <v>21</v>
      </c>
      <c r="Z41" s="916" t="s">
        <v>21</v>
      </c>
      <c r="AA41" s="916" t="s">
        <v>21</v>
      </c>
      <c r="AB41" s="916" t="s">
        <v>21</v>
      </c>
      <c r="AC41" s="915"/>
      <c r="AD41" s="919" t="s">
        <v>21</v>
      </c>
      <c r="AE41" s="920" t="s">
        <v>21</v>
      </c>
      <c r="AF41" s="920" t="s">
        <v>21</v>
      </c>
      <c r="AG41" s="920" t="s">
        <v>21</v>
      </c>
      <c r="AH41" s="921" t="s">
        <v>21</v>
      </c>
      <c r="AI41" s="921" t="s">
        <v>21</v>
      </c>
      <c r="AJ41" s="920" t="s">
        <v>21</v>
      </c>
      <c r="AK41" s="920" t="s">
        <v>21</v>
      </c>
      <c r="AL41" s="921" t="s">
        <v>21</v>
      </c>
      <c r="AM41" s="921" t="s">
        <v>21</v>
      </c>
      <c r="AN41" s="920"/>
      <c r="AO41" s="920" t="s">
        <v>21</v>
      </c>
      <c r="AP41" s="919" t="s">
        <v>21</v>
      </c>
      <c r="AQ41" s="933" t="s">
        <v>21</v>
      </c>
      <c r="AR41" s="925" t="s">
        <v>21</v>
      </c>
      <c r="AS41" s="925" t="s">
        <v>21</v>
      </c>
      <c r="AT41" s="925" t="s">
        <v>21</v>
      </c>
      <c r="AU41" s="925" t="s">
        <v>21</v>
      </c>
      <c r="AV41" s="926" t="s">
        <v>21</v>
      </c>
      <c r="AW41" s="926" t="s">
        <v>21</v>
      </c>
      <c r="AX41" s="926" t="s">
        <v>21</v>
      </c>
      <c r="AY41" s="926" t="s">
        <v>21</v>
      </c>
      <c r="AZ41" s="925" t="s">
        <v>21</v>
      </c>
      <c r="BA41" s="925"/>
      <c r="BB41" s="919" t="s">
        <v>21</v>
      </c>
      <c r="BC41" s="919" t="s">
        <v>21</v>
      </c>
      <c r="BD41" s="919" t="s">
        <v>21</v>
      </c>
      <c r="BE41" s="925" t="s">
        <v>21</v>
      </c>
      <c r="BF41" s="926" t="s">
        <v>21</v>
      </c>
      <c r="BG41" s="925" t="s">
        <v>21</v>
      </c>
      <c r="BH41" s="926" t="s">
        <v>21</v>
      </c>
      <c r="BI41" s="925" t="s">
        <v>21</v>
      </c>
      <c r="BJ41" s="926" t="s">
        <v>21</v>
      </c>
      <c r="BK41" s="925" t="s">
        <v>21</v>
      </c>
      <c r="BL41" s="926" t="s">
        <v>21</v>
      </c>
      <c r="BM41" s="925" t="s">
        <v>21</v>
      </c>
      <c r="BN41" s="927"/>
      <c r="BO41" s="927"/>
      <c r="BP41" s="928" t="s">
        <v>21</v>
      </c>
      <c r="BQ41" s="928" t="s">
        <v>21</v>
      </c>
      <c r="BR41" s="928" t="s">
        <v>21</v>
      </c>
      <c r="BS41" s="928" t="s">
        <v>21</v>
      </c>
      <c r="BT41" s="928" t="s">
        <v>21</v>
      </c>
      <c r="BU41" s="928" t="s">
        <v>21</v>
      </c>
      <c r="BV41" s="934" t="s">
        <v>21</v>
      </c>
      <c r="BW41" s="934" t="s">
        <v>21</v>
      </c>
      <c r="BX41" s="1104" t="s">
        <v>21</v>
      </c>
      <c r="BY41" s="931" t="s">
        <v>21</v>
      </c>
      <c r="BZ41" s="930" t="s">
        <v>21</v>
      </c>
      <c r="CA41" s="1074" t="s">
        <v>21</v>
      </c>
      <c r="CB41" s="930" t="s">
        <v>21</v>
      </c>
      <c r="CC41" s="930" t="s">
        <v>21</v>
      </c>
      <c r="CD41" s="925" t="s">
        <v>21</v>
      </c>
      <c r="CE41" s="1130" t="s">
        <v>21</v>
      </c>
      <c r="CF41" s="1129" t="s">
        <v>21</v>
      </c>
      <c r="CG41" s="1130" t="s">
        <v>21</v>
      </c>
      <c r="CH41" s="1130" t="s">
        <v>21</v>
      </c>
      <c r="CI41" s="1131" t="s">
        <v>21</v>
      </c>
      <c r="CJ41" s="1129" t="s">
        <v>21</v>
      </c>
      <c r="CK41" s="1130" t="s">
        <v>21</v>
      </c>
      <c r="CL41" s="1130" t="s">
        <v>21</v>
      </c>
      <c r="CM41" s="1131" t="s">
        <v>21</v>
      </c>
      <c r="CN41" s="1130" t="s">
        <v>21</v>
      </c>
      <c r="CP41" s="838" t="s">
        <v>21</v>
      </c>
      <c r="CQ41" s="838" t="s">
        <v>21</v>
      </c>
      <c r="CR41" s="836"/>
    </row>
    <row r="42" spans="1:96" x14ac:dyDescent="0.25">
      <c r="A42" s="935" t="s">
        <v>2489</v>
      </c>
      <c r="B42" s="932" t="s">
        <v>2247</v>
      </c>
      <c r="C42" s="911">
        <v>600</v>
      </c>
      <c r="D42" s="911" t="s">
        <v>2116</v>
      </c>
      <c r="E42" s="912">
        <v>1160.69</v>
      </c>
      <c r="F42" s="912">
        <v>1158.79</v>
      </c>
      <c r="G42" s="932" t="s">
        <v>2248</v>
      </c>
      <c r="H42" s="912">
        <v>1160.17</v>
      </c>
      <c r="I42" s="912">
        <v>1158.27</v>
      </c>
      <c r="J42" s="914">
        <v>42.74</v>
      </c>
      <c r="K42" s="915"/>
      <c r="L42" s="916">
        <v>0.1</v>
      </c>
      <c r="M42" s="916">
        <v>0.06</v>
      </c>
      <c r="N42" s="916">
        <v>0.2</v>
      </c>
      <c r="O42" s="916">
        <v>4.84</v>
      </c>
      <c r="P42" s="915"/>
      <c r="Q42" s="916">
        <v>2.16</v>
      </c>
      <c r="R42" s="917">
        <v>0.33333333333333331</v>
      </c>
      <c r="S42" s="918">
        <v>1.4</v>
      </c>
      <c r="T42" s="918">
        <v>2.84</v>
      </c>
      <c r="U42" s="916">
        <v>4.5540000000000003</v>
      </c>
      <c r="V42" s="916">
        <v>0.92</v>
      </c>
      <c r="W42" s="915"/>
      <c r="X42" s="916">
        <v>0.28299999999999997</v>
      </c>
      <c r="Y42" s="916">
        <v>0.40699999999999997</v>
      </c>
      <c r="Z42" s="916">
        <v>4.5789999999999997</v>
      </c>
      <c r="AA42" s="916">
        <v>1.0229999999999999</v>
      </c>
      <c r="AB42" s="916">
        <v>3.0089999999999999</v>
      </c>
      <c r="AC42" s="915"/>
      <c r="AD42" s="919">
        <v>206.86199999999999</v>
      </c>
      <c r="AE42" s="920">
        <v>195.70599999999999</v>
      </c>
      <c r="AF42" s="920" t="s">
        <v>21</v>
      </c>
      <c r="AG42" s="920" t="s">
        <v>21</v>
      </c>
      <c r="AH42" s="921">
        <v>195.70599999999999</v>
      </c>
      <c r="AI42" s="921" t="s">
        <v>21</v>
      </c>
      <c r="AJ42" s="920" t="s">
        <v>21</v>
      </c>
      <c r="AK42" s="920" t="s">
        <v>21</v>
      </c>
      <c r="AL42" s="921" t="s">
        <v>21</v>
      </c>
      <c r="AM42" s="921" t="s">
        <v>21</v>
      </c>
      <c r="AN42" s="920"/>
      <c r="AO42" s="920" t="s">
        <v>21</v>
      </c>
      <c r="AP42" s="919">
        <v>59.835999999999999</v>
      </c>
      <c r="AQ42" s="933">
        <v>194.63796000000002</v>
      </c>
      <c r="AR42" s="925" t="s">
        <v>21</v>
      </c>
      <c r="AS42" s="925">
        <v>194.63796000000002</v>
      </c>
      <c r="AT42" s="925" t="s">
        <v>21</v>
      </c>
      <c r="AU42" s="925" t="s">
        <v>21</v>
      </c>
      <c r="AV42" s="926" t="s">
        <v>21</v>
      </c>
      <c r="AW42" s="926" t="s">
        <v>21</v>
      </c>
      <c r="AX42" s="926" t="s">
        <v>21</v>
      </c>
      <c r="AY42" s="926" t="s">
        <v>21</v>
      </c>
      <c r="AZ42" s="925" t="s">
        <v>21</v>
      </c>
      <c r="BA42" s="925"/>
      <c r="BB42" s="919">
        <v>5.984</v>
      </c>
      <c r="BC42" s="919" t="s">
        <v>21</v>
      </c>
      <c r="BD42" s="919" t="s">
        <v>2142</v>
      </c>
      <c r="BE42" s="925" t="s">
        <v>21</v>
      </c>
      <c r="BF42" s="926" t="s">
        <v>21</v>
      </c>
      <c r="BG42" s="925">
        <v>42.74</v>
      </c>
      <c r="BH42" s="926" t="s">
        <v>21</v>
      </c>
      <c r="BI42" s="925" t="s">
        <v>21</v>
      </c>
      <c r="BJ42" s="926" t="s">
        <v>21</v>
      </c>
      <c r="BK42" s="925" t="s">
        <v>21</v>
      </c>
      <c r="BL42" s="926" t="s">
        <v>21</v>
      </c>
      <c r="BM42" s="925" t="s">
        <v>21</v>
      </c>
      <c r="BN42" s="927"/>
      <c r="BO42" s="927"/>
      <c r="BP42" s="928">
        <v>1</v>
      </c>
      <c r="BQ42" s="928" t="s">
        <v>21</v>
      </c>
      <c r="BR42" s="928" t="s">
        <v>21</v>
      </c>
      <c r="BS42" s="928" t="s">
        <v>21</v>
      </c>
      <c r="BT42" s="928" t="s">
        <v>21</v>
      </c>
      <c r="BU42" s="928" t="s">
        <v>21</v>
      </c>
      <c r="BV42" s="934">
        <v>0.50000000000009104</v>
      </c>
      <c r="BW42" s="934">
        <v>1</v>
      </c>
      <c r="BX42" s="1104">
        <v>2</v>
      </c>
      <c r="BY42" s="931">
        <v>4</v>
      </c>
      <c r="BZ42" s="930" t="s">
        <v>21</v>
      </c>
      <c r="CA42" s="1074">
        <v>1</v>
      </c>
      <c r="CB42" s="930" t="s">
        <v>21</v>
      </c>
      <c r="CC42" s="930" t="s">
        <v>21</v>
      </c>
      <c r="CD42" s="925">
        <v>43.722999999999999</v>
      </c>
      <c r="CE42" s="1130">
        <v>128.60499999999999</v>
      </c>
      <c r="CF42" s="1129" t="s">
        <v>21</v>
      </c>
      <c r="CG42" s="1130" t="s">
        <v>21</v>
      </c>
      <c r="CH42" s="1130" t="s">
        <v>21</v>
      </c>
      <c r="CI42" s="1131" t="s">
        <v>21</v>
      </c>
      <c r="CJ42" s="1129" t="s">
        <v>21</v>
      </c>
      <c r="CK42" s="1130">
        <v>128.60499999999999</v>
      </c>
      <c r="CL42" s="1130" t="s">
        <v>21</v>
      </c>
      <c r="CM42" s="1131" t="s">
        <v>21</v>
      </c>
      <c r="CN42" s="1130" t="s">
        <v>21</v>
      </c>
      <c r="CP42" s="838" t="s">
        <v>21</v>
      </c>
      <c r="CQ42" s="838" t="s">
        <v>21</v>
      </c>
      <c r="CR42" s="836"/>
    </row>
    <row r="43" spans="1:96" x14ac:dyDescent="0.25">
      <c r="A43" s="935"/>
      <c r="B43" s="932" t="s">
        <v>2248</v>
      </c>
      <c r="C43" s="911">
        <v>600</v>
      </c>
      <c r="D43" s="911" t="s">
        <v>2116</v>
      </c>
      <c r="E43" s="912">
        <v>1160.17</v>
      </c>
      <c r="F43" s="912">
        <v>1158.27</v>
      </c>
      <c r="G43" s="932" t="s">
        <v>2249</v>
      </c>
      <c r="H43" s="912">
        <v>1157.1500000000001</v>
      </c>
      <c r="I43" s="912">
        <v>1155.25</v>
      </c>
      <c r="J43" s="914">
        <v>42.74</v>
      </c>
      <c r="K43" s="915"/>
      <c r="L43" s="916">
        <v>0.1</v>
      </c>
      <c r="M43" s="916">
        <v>0.06</v>
      </c>
      <c r="N43" s="916">
        <v>0.2</v>
      </c>
      <c r="O43" s="916">
        <v>4.84</v>
      </c>
      <c r="P43" s="915"/>
      <c r="Q43" s="916">
        <v>2.16</v>
      </c>
      <c r="R43" s="917">
        <v>0.33333333333333331</v>
      </c>
      <c r="S43" s="918">
        <v>1.4</v>
      </c>
      <c r="T43" s="918">
        <v>2.84</v>
      </c>
      <c r="U43" s="916">
        <v>4.5540000000000003</v>
      </c>
      <c r="V43" s="916">
        <v>0.92</v>
      </c>
      <c r="W43" s="915"/>
      <c r="X43" s="916">
        <v>0.28299999999999997</v>
      </c>
      <c r="Y43" s="916">
        <v>0.40699999999999997</v>
      </c>
      <c r="Z43" s="916">
        <v>4.5789999999999997</v>
      </c>
      <c r="AA43" s="916">
        <v>1.0229999999999999</v>
      </c>
      <c r="AB43" s="916">
        <v>3.0089999999999999</v>
      </c>
      <c r="AC43" s="915"/>
      <c r="AD43" s="919">
        <v>206.86199999999999</v>
      </c>
      <c r="AE43" s="920">
        <v>195.70599999999999</v>
      </c>
      <c r="AF43" s="920" t="s">
        <v>21</v>
      </c>
      <c r="AG43" s="920" t="s">
        <v>21</v>
      </c>
      <c r="AH43" s="921">
        <v>195.70599999999999</v>
      </c>
      <c r="AI43" s="921" t="s">
        <v>21</v>
      </c>
      <c r="AJ43" s="920" t="s">
        <v>21</v>
      </c>
      <c r="AK43" s="920" t="s">
        <v>21</v>
      </c>
      <c r="AL43" s="921" t="s">
        <v>21</v>
      </c>
      <c r="AM43" s="921" t="s">
        <v>21</v>
      </c>
      <c r="AN43" s="920"/>
      <c r="AO43" s="920" t="s">
        <v>21</v>
      </c>
      <c r="AP43" s="919">
        <v>59.835999999999999</v>
      </c>
      <c r="AQ43" s="933">
        <v>194.63796000000002</v>
      </c>
      <c r="AR43" s="925" t="s">
        <v>21</v>
      </c>
      <c r="AS43" s="925">
        <v>194.63796000000002</v>
      </c>
      <c r="AT43" s="925" t="s">
        <v>21</v>
      </c>
      <c r="AU43" s="925" t="s">
        <v>21</v>
      </c>
      <c r="AV43" s="926" t="s">
        <v>21</v>
      </c>
      <c r="AW43" s="926" t="s">
        <v>21</v>
      </c>
      <c r="AX43" s="926" t="s">
        <v>21</v>
      </c>
      <c r="AY43" s="926" t="s">
        <v>21</v>
      </c>
      <c r="AZ43" s="925" t="s">
        <v>21</v>
      </c>
      <c r="BA43" s="925"/>
      <c r="BB43" s="919">
        <v>5.984</v>
      </c>
      <c r="BC43" s="919" t="s">
        <v>21</v>
      </c>
      <c r="BD43" s="919" t="s">
        <v>2142</v>
      </c>
      <c r="BE43" s="925" t="s">
        <v>21</v>
      </c>
      <c r="BF43" s="926" t="s">
        <v>21</v>
      </c>
      <c r="BG43" s="925">
        <v>42.74</v>
      </c>
      <c r="BH43" s="926" t="s">
        <v>21</v>
      </c>
      <c r="BI43" s="925" t="s">
        <v>21</v>
      </c>
      <c r="BJ43" s="926" t="s">
        <v>21</v>
      </c>
      <c r="BK43" s="925" t="s">
        <v>21</v>
      </c>
      <c r="BL43" s="926" t="s">
        <v>21</v>
      </c>
      <c r="BM43" s="925" t="s">
        <v>21</v>
      </c>
      <c r="BN43" s="927"/>
      <c r="BO43" s="927"/>
      <c r="BP43" s="928">
        <v>1</v>
      </c>
      <c r="BQ43" s="928" t="s">
        <v>21</v>
      </c>
      <c r="BR43" s="928" t="s">
        <v>21</v>
      </c>
      <c r="BS43" s="928" t="s">
        <v>21</v>
      </c>
      <c r="BT43" s="928" t="s">
        <v>21</v>
      </c>
      <c r="BU43" s="928" t="s">
        <v>21</v>
      </c>
      <c r="BV43" s="934">
        <v>0.50000000000009104</v>
      </c>
      <c r="BW43" s="934">
        <v>1</v>
      </c>
      <c r="BX43" s="1104">
        <v>2</v>
      </c>
      <c r="BY43" s="931">
        <v>4</v>
      </c>
      <c r="BZ43" s="930">
        <v>1</v>
      </c>
      <c r="CA43" s="1074" t="s">
        <v>21</v>
      </c>
      <c r="CB43" s="930" t="s">
        <v>21</v>
      </c>
      <c r="CC43" s="930" t="s">
        <v>21</v>
      </c>
      <c r="CD43" s="925">
        <v>43.722999999999999</v>
      </c>
      <c r="CE43" s="1130">
        <v>128.60499999999999</v>
      </c>
      <c r="CF43" s="1129" t="s">
        <v>21</v>
      </c>
      <c r="CG43" s="1130" t="s">
        <v>21</v>
      </c>
      <c r="CH43" s="1130" t="s">
        <v>21</v>
      </c>
      <c r="CI43" s="1131" t="s">
        <v>21</v>
      </c>
      <c r="CJ43" s="1129" t="s">
        <v>21</v>
      </c>
      <c r="CK43" s="1130">
        <v>128.60499999999999</v>
      </c>
      <c r="CL43" s="1130" t="s">
        <v>21</v>
      </c>
      <c r="CM43" s="1131" t="s">
        <v>21</v>
      </c>
      <c r="CN43" s="1130" t="s">
        <v>21</v>
      </c>
      <c r="CP43" s="838" t="s">
        <v>21</v>
      </c>
      <c r="CQ43" s="838" t="s">
        <v>21</v>
      </c>
      <c r="CR43" s="836"/>
    </row>
    <row r="44" spans="1:96" x14ac:dyDescent="0.25">
      <c r="A44" s="935"/>
      <c r="B44" s="932" t="s">
        <v>2249</v>
      </c>
      <c r="C44" s="911">
        <v>600</v>
      </c>
      <c r="D44" s="911" t="s">
        <v>2116</v>
      </c>
      <c r="E44" s="912">
        <v>1157.1500000000001</v>
      </c>
      <c r="F44" s="912">
        <v>1154.95</v>
      </c>
      <c r="G44" s="910" t="s">
        <v>2250</v>
      </c>
      <c r="H44" s="912">
        <v>1157.01</v>
      </c>
      <c r="I44" s="912">
        <v>1154.7829999999999</v>
      </c>
      <c r="J44" s="914">
        <v>43.32</v>
      </c>
      <c r="K44" s="915"/>
      <c r="L44" s="916">
        <v>0.1</v>
      </c>
      <c r="M44" s="916">
        <v>0.06</v>
      </c>
      <c r="N44" s="916">
        <v>0.2</v>
      </c>
      <c r="O44" s="916">
        <v>5.0489999999999995</v>
      </c>
      <c r="P44" s="915"/>
      <c r="Q44" s="916">
        <v>2.4740000000000002</v>
      </c>
      <c r="R44" s="917">
        <v>0.33333333333333331</v>
      </c>
      <c r="S44" s="918">
        <v>1.4</v>
      </c>
      <c r="T44" s="918">
        <v>3.0489999999999999</v>
      </c>
      <c r="U44" s="916">
        <v>5.2160000000000002</v>
      </c>
      <c r="V44" s="916">
        <v>0.92</v>
      </c>
      <c r="W44" s="915"/>
      <c r="X44" s="916">
        <v>0.28299999999999997</v>
      </c>
      <c r="Y44" s="916">
        <v>0.40699999999999997</v>
      </c>
      <c r="Z44" s="916">
        <v>5.5030000000000001</v>
      </c>
      <c r="AA44" s="916">
        <v>1.0229999999999999</v>
      </c>
      <c r="AB44" s="916">
        <v>3.9329999999999998</v>
      </c>
      <c r="AC44" s="915"/>
      <c r="AD44" s="919">
        <v>218.72300000000001</v>
      </c>
      <c r="AE44" s="920">
        <v>238.39</v>
      </c>
      <c r="AF44" s="920" t="s">
        <v>21</v>
      </c>
      <c r="AG44" s="920" t="s">
        <v>21</v>
      </c>
      <c r="AH44" s="921">
        <v>238.39</v>
      </c>
      <c r="AI44" s="921" t="s">
        <v>21</v>
      </c>
      <c r="AJ44" s="920" t="s">
        <v>21</v>
      </c>
      <c r="AK44" s="920" t="s">
        <v>21</v>
      </c>
      <c r="AL44" s="921" t="s">
        <v>21</v>
      </c>
      <c r="AM44" s="921" t="s">
        <v>21</v>
      </c>
      <c r="AN44" s="920"/>
      <c r="AO44" s="920" t="s">
        <v>21</v>
      </c>
      <c r="AP44" s="919">
        <v>60.648000000000003</v>
      </c>
      <c r="AQ44" s="933">
        <v>225.95712</v>
      </c>
      <c r="AR44" s="925" t="s">
        <v>21</v>
      </c>
      <c r="AS44" s="925">
        <v>225.95712</v>
      </c>
      <c r="AT44" s="925" t="s">
        <v>21</v>
      </c>
      <c r="AU44" s="925" t="s">
        <v>21</v>
      </c>
      <c r="AV44" s="926" t="s">
        <v>21</v>
      </c>
      <c r="AW44" s="926" t="s">
        <v>21</v>
      </c>
      <c r="AX44" s="926" t="s">
        <v>21</v>
      </c>
      <c r="AY44" s="926" t="s">
        <v>21</v>
      </c>
      <c r="AZ44" s="925" t="s">
        <v>21</v>
      </c>
      <c r="BA44" s="925"/>
      <c r="BB44" s="919">
        <v>6.0650000000000004</v>
      </c>
      <c r="BC44" s="919" t="s">
        <v>21</v>
      </c>
      <c r="BD44" s="919" t="s">
        <v>2142</v>
      </c>
      <c r="BE44" s="925" t="s">
        <v>21</v>
      </c>
      <c r="BF44" s="926" t="s">
        <v>21</v>
      </c>
      <c r="BG44" s="925">
        <v>43.32</v>
      </c>
      <c r="BH44" s="926" t="s">
        <v>21</v>
      </c>
      <c r="BI44" s="925" t="s">
        <v>21</v>
      </c>
      <c r="BJ44" s="926" t="s">
        <v>21</v>
      </c>
      <c r="BK44" s="925" t="s">
        <v>21</v>
      </c>
      <c r="BL44" s="926" t="s">
        <v>21</v>
      </c>
      <c r="BM44" s="925" t="s">
        <v>21</v>
      </c>
      <c r="BN44" s="927"/>
      <c r="BO44" s="927"/>
      <c r="BP44" s="928">
        <v>1</v>
      </c>
      <c r="BQ44" s="928" t="s">
        <v>21</v>
      </c>
      <c r="BR44" s="928" t="s">
        <v>21</v>
      </c>
      <c r="BS44" s="928" t="s">
        <v>21</v>
      </c>
      <c r="BT44" s="928" t="s">
        <v>21</v>
      </c>
      <c r="BU44" s="928" t="s">
        <v>21</v>
      </c>
      <c r="BV44" s="934">
        <v>0.80000000000004556</v>
      </c>
      <c r="BW44" s="934">
        <v>1</v>
      </c>
      <c r="BX44" s="1104">
        <v>2</v>
      </c>
      <c r="BY44" s="931">
        <v>4</v>
      </c>
      <c r="BZ44" s="930">
        <v>1</v>
      </c>
      <c r="CA44" s="1074" t="s">
        <v>21</v>
      </c>
      <c r="CB44" s="930" t="s">
        <v>21</v>
      </c>
      <c r="CC44" s="930" t="s">
        <v>21</v>
      </c>
      <c r="CD44" s="925">
        <v>44.316000000000003</v>
      </c>
      <c r="CE44" s="1130">
        <v>170.37799999999999</v>
      </c>
      <c r="CF44" s="1129" t="s">
        <v>21</v>
      </c>
      <c r="CG44" s="1130" t="s">
        <v>21</v>
      </c>
      <c r="CH44" s="1130" t="s">
        <v>21</v>
      </c>
      <c r="CI44" s="1131" t="s">
        <v>21</v>
      </c>
      <c r="CJ44" s="1129" t="s">
        <v>21</v>
      </c>
      <c r="CK44" s="1130">
        <v>170.37799999999999</v>
      </c>
      <c r="CL44" s="1130" t="s">
        <v>21</v>
      </c>
      <c r="CM44" s="1131" t="s">
        <v>21</v>
      </c>
      <c r="CN44" s="1130" t="s">
        <v>21</v>
      </c>
      <c r="CP44" s="838" t="s">
        <v>21</v>
      </c>
      <c r="CQ44" s="838" t="s">
        <v>21</v>
      </c>
      <c r="CR44" s="836"/>
    </row>
    <row r="45" spans="1:96" x14ac:dyDescent="0.25">
      <c r="A45" s="935"/>
      <c r="B45" s="932" t="s">
        <v>2250</v>
      </c>
      <c r="C45" s="911">
        <v>600</v>
      </c>
      <c r="D45" s="911" t="s">
        <v>2116</v>
      </c>
      <c r="E45" s="912">
        <v>1157.01</v>
      </c>
      <c r="F45" s="912">
        <v>1153.6099999999999</v>
      </c>
      <c r="G45" s="910" t="s">
        <v>2233</v>
      </c>
      <c r="H45" s="912">
        <v>1155.9100000000001</v>
      </c>
      <c r="I45" s="912">
        <v>1154.4000000000001</v>
      </c>
      <c r="J45" s="914">
        <v>8.51</v>
      </c>
      <c r="K45" s="915"/>
      <c r="L45" s="916">
        <v>0.1</v>
      </c>
      <c r="M45" s="916">
        <v>0.06</v>
      </c>
      <c r="N45" s="916">
        <v>0.2</v>
      </c>
      <c r="O45" s="916">
        <v>5.21</v>
      </c>
      <c r="P45" s="915"/>
      <c r="Q45" s="916">
        <v>2.7149999999999999</v>
      </c>
      <c r="R45" s="917">
        <v>0.33333333333333331</v>
      </c>
      <c r="S45" s="918">
        <v>1.4</v>
      </c>
      <c r="T45" s="918">
        <v>3.21</v>
      </c>
      <c r="U45" s="916">
        <v>5.7240000000000002</v>
      </c>
      <c r="V45" s="916">
        <v>0.92</v>
      </c>
      <c r="W45" s="915"/>
      <c r="X45" s="916">
        <v>0.28299999999999997</v>
      </c>
      <c r="Y45" s="916">
        <v>0.40699999999999997</v>
      </c>
      <c r="Z45" s="916">
        <v>6.258</v>
      </c>
      <c r="AA45" s="916">
        <v>1.0229999999999999</v>
      </c>
      <c r="AB45" s="916">
        <v>4.6879999999999997</v>
      </c>
      <c r="AC45" s="915"/>
      <c r="AD45" s="919">
        <v>44.337000000000003</v>
      </c>
      <c r="AE45" s="920">
        <v>53.256</v>
      </c>
      <c r="AF45" s="920" t="s">
        <v>21</v>
      </c>
      <c r="AG45" s="920" t="s">
        <v>21</v>
      </c>
      <c r="AH45" s="921">
        <v>53.256</v>
      </c>
      <c r="AI45" s="921" t="s">
        <v>21</v>
      </c>
      <c r="AJ45" s="920" t="s">
        <v>21</v>
      </c>
      <c r="AK45" s="920" t="s">
        <v>21</v>
      </c>
      <c r="AL45" s="921" t="s">
        <v>21</v>
      </c>
      <c r="AM45" s="921" t="s">
        <v>21</v>
      </c>
      <c r="AN45" s="920"/>
      <c r="AO45" s="920" t="s">
        <v>21</v>
      </c>
      <c r="AP45" s="919">
        <v>11.914</v>
      </c>
      <c r="AQ45" s="933">
        <v>48.711240000000004</v>
      </c>
      <c r="AR45" s="925" t="s">
        <v>21</v>
      </c>
      <c r="AS45" s="925">
        <v>48.711240000000004</v>
      </c>
      <c r="AT45" s="925" t="s">
        <v>21</v>
      </c>
      <c r="AU45" s="925" t="s">
        <v>21</v>
      </c>
      <c r="AV45" s="926" t="s">
        <v>21</v>
      </c>
      <c r="AW45" s="926" t="s">
        <v>21</v>
      </c>
      <c r="AX45" s="926" t="s">
        <v>21</v>
      </c>
      <c r="AY45" s="926" t="s">
        <v>21</v>
      </c>
      <c r="AZ45" s="925" t="s">
        <v>21</v>
      </c>
      <c r="BA45" s="925"/>
      <c r="BB45" s="919">
        <v>1.1910000000000001</v>
      </c>
      <c r="BC45" s="919" t="s">
        <v>21</v>
      </c>
      <c r="BD45" s="919" t="s">
        <v>2142</v>
      </c>
      <c r="BE45" s="925" t="s">
        <v>21</v>
      </c>
      <c r="BF45" s="926" t="s">
        <v>21</v>
      </c>
      <c r="BG45" s="925">
        <v>8.51</v>
      </c>
      <c r="BH45" s="926" t="s">
        <v>21</v>
      </c>
      <c r="BI45" s="925" t="s">
        <v>21</v>
      </c>
      <c r="BJ45" s="926" t="s">
        <v>21</v>
      </c>
      <c r="BK45" s="925" t="s">
        <v>21</v>
      </c>
      <c r="BL45" s="926" t="s">
        <v>21</v>
      </c>
      <c r="BM45" s="925" t="s">
        <v>21</v>
      </c>
      <c r="BN45" s="927"/>
      <c r="BO45" s="927"/>
      <c r="BP45" s="928">
        <v>1</v>
      </c>
      <c r="BQ45" s="928" t="s">
        <v>21</v>
      </c>
      <c r="BR45" s="928" t="s">
        <v>21</v>
      </c>
      <c r="BS45" s="928" t="s">
        <v>21</v>
      </c>
      <c r="BT45" s="928" t="s">
        <v>21</v>
      </c>
      <c r="BU45" s="928" t="s">
        <v>21</v>
      </c>
      <c r="BV45" s="934">
        <v>2.000000000000091</v>
      </c>
      <c r="BW45" s="934">
        <v>2.5</v>
      </c>
      <c r="BX45" s="1104">
        <v>5</v>
      </c>
      <c r="BY45" s="931">
        <v>7</v>
      </c>
      <c r="BZ45" s="930" t="s">
        <v>21</v>
      </c>
      <c r="CA45" s="1074">
        <v>2</v>
      </c>
      <c r="CB45" s="930" t="s">
        <v>21</v>
      </c>
      <c r="CC45" s="930" t="s">
        <v>21</v>
      </c>
      <c r="CD45" s="925">
        <v>8.7059999999999995</v>
      </c>
      <c r="CE45" s="1130">
        <v>39.895000000000003</v>
      </c>
      <c r="CF45" s="1129" t="s">
        <v>21</v>
      </c>
      <c r="CG45" s="1130" t="s">
        <v>21</v>
      </c>
      <c r="CH45" s="1130" t="s">
        <v>21</v>
      </c>
      <c r="CI45" s="1131" t="s">
        <v>21</v>
      </c>
      <c r="CJ45" s="1129" t="s">
        <v>21</v>
      </c>
      <c r="CK45" s="1130">
        <v>39.895000000000003</v>
      </c>
      <c r="CL45" s="1130" t="s">
        <v>21</v>
      </c>
      <c r="CM45" s="1131" t="s">
        <v>21</v>
      </c>
      <c r="CN45" s="1130" t="s">
        <v>21</v>
      </c>
      <c r="CP45" s="838" t="s">
        <v>21</v>
      </c>
      <c r="CQ45" s="838" t="s">
        <v>21</v>
      </c>
      <c r="CR45" s="836"/>
    </row>
    <row r="46" spans="1:96" x14ac:dyDescent="0.25">
      <c r="A46" s="935"/>
      <c r="B46" s="932"/>
      <c r="C46" s="911"/>
      <c r="D46" s="911"/>
      <c r="E46" s="912"/>
      <c r="F46" s="912"/>
      <c r="G46" s="910"/>
      <c r="H46" s="912"/>
      <c r="I46" s="912"/>
      <c r="J46" s="914"/>
      <c r="K46" s="915"/>
      <c r="L46" s="916" t="s">
        <v>21</v>
      </c>
      <c r="M46" s="916" t="s">
        <v>21</v>
      </c>
      <c r="N46" s="916" t="s">
        <v>21</v>
      </c>
      <c r="O46" s="916" t="s">
        <v>21</v>
      </c>
      <c r="P46" s="915"/>
      <c r="Q46" s="916" t="s">
        <v>21</v>
      </c>
      <c r="R46" s="917" t="s">
        <v>21</v>
      </c>
      <c r="S46" s="918" t="s">
        <v>21</v>
      </c>
      <c r="T46" s="918" t="s">
        <v>21</v>
      </c>
      <c r="U46" s="916" t="s">
        <v>21</v>
      </c>
      <c r="V46" s="916" t="s">
        <v>21</v>
      </c>
      <c r="W46" s="915"/>
      <c r="X46" s="916" t="s">
        <v>21</v>
      </c>
      <c r="Y46" s="916" t="s">
        <v>21</v>
      </c>
      <c r="Z46" s="916" t="s">
        <v>21</v>
      </c>
      <c r="AA46" s="916" t="s">
        <v>21</v>
      </c>
      <c r="AB46" s="916" t="s">
        <v>21</v>
      </c>
      <c r="AC46" s="915"/>
      <c r="AD46" s="919" t="s">
        <v>21</v>
      </c>
      <c r="AE46" s="920" t="s">
        <v>21</v>
      </c>
      <c r="AF46" s="920" t="s">
        <v>21</v>
      </c>
      <c r="AG46" s="920" t="s">
        <v>21</v>
      </c>
      <c r="AH46" s="921" t="s">
        <v>21</v>
      </c>
      <c r="AI46" s="921" t="s">
        <v>21</v>
      </c>
      <c r="AJ46" s="920" t="s">
        <v>21</v>
      </c>
      <c r="AK46" s="920" t="s">
        <v>21</v>
      </c>
      <c r="AL46" s="921" t="s">
        <v>21</v>
      </c>
      <c r="AM46" s="921" t="s">
        <v>21</v>
      </c>
      <c r="AN46" s="920"/>
      <c r="AO46" s="920" t="s">
        <v>21</v>
      </c>
      <c r="AP46" s="919" t="s">
        <v>21</v>
      </c>
      <c r="AQ46" s="933" t="s">
        <v>21</v>
      </c>
      <c r="AR46" s="925" t="s">
        <v>21</v>
      </c>
      <c r="AS46" s="925" t="s">
        <v>21</v>
      </c>
      <c r="AT46" s="925" t="s">
        <v>21</v>
      </c>
      <c r="AU46" s="925" t="s">
        <v>21</v>
      </c>
      <c r="AV46" s="926" t="s">
        <v>21</v>
      </c>
      <c r="AW46" s="926" t="s">
        <v>21</v>
      </c>
      <c r="AX46" s="926" t="s">
        <v>21</v>
      </c>
      <c r="AY46" s="926" t="s">
        <v>21</v>
      </c>
      <c r="AZ46" s="925" t="s">
        <v>21</v>
      </c>
      <c r="BA46" s="925"/>
      <c r="BB46" s="919" t="s">
        <v>21</v>
      </c>
      <c r="BC46" s="919" t="s">
        <v>21</v>
      </c>
      <c r="BD46" s="919" t="s">
        <v>21</v>
      </c>
      <c r="BE46" s="925" t="s">
        <v>21</v>
      </c>
      <c r="BF46" s="926" t="s">
        <v>21</v>
      </c>
      <c r="BG46" s="925" t="s">
        <v>21</v>
      </c>
      <c r="BH46" s="926" t="s">
        <v>21</v>
      </c>
      <c r="BI46" s="925" t="s">
        <v>21</v>
      </c>
      <c r="BJ46" s="926" t="s">
        <v>21</v>
      </c>
      <c r="BK46" s="925" t="s">
        <v>21</v>
      </c>
      <c r="BL46" s="926" t="s">
        <v>21</v>
      </c>
      <c r="BM46" s="925" t="s">
        <v>21</v>
      </c>
      <c r="BN46" s="927"/>
      <c r="BO46" s="927"/>
      <c r="BP46" s="928" t="s">
        <v>21</v>
      </c>
      <c r="BQ46" s="928" t="s">
        <v>21</v>
      </c>
      <c r="BR46" s="928" t="s">
        <v>21</v>
      </c>
      <c r="BS46" s="928" t="s">
        <v>21</v>
      </c>
      <c r="BT46" s="928" t="s">
        <v>21</v>
      </c>
      <c r="BU46" s="928" t="s">
        <v>21</v>
      </c>
      <c r="BV46" s="934" t="s">
        <v>21</v>
      </c>
      <c r="BW46" s="934" t="s">
        <v>21</v>
      </c>
      <c r="BX46" s="1104" t="s">
        <v>21</v>
      </c>
      <c r="BY46" s="931" t="s">
        <v>21</v>
      </c>
      <c r="BZ46" s="930" t="s">
        <v>21</v>
      </c>
      <c r="CA46" s="1074" t="s">
        <v>21</v>
      </c>
      <c r="CB46" s="930" t="s">
        <v>21</v>
      </c>
      <c r="CC46" s="930" t="s">
        <v>21</v>
      </c>
      <c r="CD46" s="925" t="s">
        <v>21</v>
      </c>
      <c r="CE46" s="1130" t="s">
        <v>21</v>
      </c>
      <c r="CF46" s="1129" t="s">
        <v>21</v>
      </c>
      <c r="CG46" s="1130" t="s">
        <v>21</v>
      </c>
      <c r="CH46" s="1130" t="s">
        <v>21</v>
      </c>
      <c r="CI46" s="1131" t="s">
        <v>21</v>
      </c>
      <c r="CJ46" s="1129" t="s">
        <v>21</v>
      </c>
      <c r="CK46" s="1130" t="s">
        <v>21</v>
      </c>
      <c r="CL46" s="1130" t="s">
        <v>21</v>
      </c>
      <c r="CM46" s="1131" t="s">
        <v>21</v>
      </c>
      <c r="CN46" s="1130" t="s">
        <v>21</v>
      </c>
      <c r="CP46" s="838" t="s">
        <v>21</v>
      </c>
      <c r="CQ46" s="838" t="s">
        <v>21</v>
      </c>
      <c r="CR46" s="836"/>
    </row>
    <row r="47" spans="1:96" x14ac:dyDescent="0.25">
      <c r="A47" s="935" t="s">
        <v>2490</v>
      </c>
      <c r="B47" s="932" t="s">
        <v>2251</v>
      </c>
      <c r="C47" s="911">
        <v>600</v>
      </c>
      <c r="D47" s="911" t="s">
        <v>2116</v>
      </c>
      <c r="E47" s="912">
        <v>1158.72</v>
      </c>
      <c r="F47" s="912">
        <v>1156.82</v>
      </c>
      <c r="G47" s="932" t="s">
        <v>2252</v>
      </c>
      <c r="H47" s="912">
        <v>1157.98</v>
      </c>
      <c r="I47" s="912">
        <v>1158.08</v>
      </c>
      <c r="J47" s="914">
        <v>37.369999999999997</v>
      </c>
      <c r="K47" s="915"/>
      <c r="L47" s="916">
        <v>0.1</v>
      </c>
      <c r="M47" s="916">
        <v>0.06</v>
      </c>
      <c r="N47" s="916">
        <v>0.2</v>
      </c>
      <c r="O47" s="916">
        <v>4.173</v>
      </c>
      <c r="P47" s="915"/>
      <c r="Q47" s="916">
        <v>1.1599999999999999</v>
      </c>
      <c r="R47" s="917">
        <v>0.33333333333333331</v>
      </c>
      <c r="S47" s="918">
        <v>1.4</v>
      </c>
      <c r="T47" s="918">
        <v>2.173</v>
      </c>
      <c r="U47" s="916">
        <v>2.4449999999999998</v>
      </c>
      <c r="V47" s="916">
        <v>0.92</v>
      </c>
      <c r="W47" s="915"/>
      <c r="X47" s="916">
        <v>0.28299999999999997</v>
      </c>
      <c r="Y47" s="916">
        <v>0.40699999999999997</v>
      </c>
      <c r="Z47" s="916">
        <v>2.0720000000000001</v>
      </c>
      <c r="AA47" s="916">
        <v>1.0229999999999999</v>
      </c>
      <c r="AB47" s="916">
        <v>0.502</v>
      </c>
      <c r="AC47" s="915"/>
      <c r="AD47" s="919">
        <v>155.94499999999999</v>
      </c>
      <c r="AE47" s="920">
        <v>77.430999999999997</v>
      </c>
      <c r="AF47" s="920">
        <v>77.430999999999997</v>
      </c>
      <c r="AG47" s="920" t="s">
        <v>21</v>
      </c>
      <c r="AH47" s="921" t="s">
        <v>21</v>
      </c>
      <c r="AI47" s="921" t="s">
        <v>21</v>
      </c>
      <c r="AJ47" s="920" t="s">
        <v>21</v>
      </c>
      <c r="AK47" s="920" t="s">
        <v>21</v>
      </c>
      <c r="AL47" s="921" t="s">
        <v>21</v>
      </c>
      <c r="AM47" s="921" t="s">
        <v>21</v>
      </c>
      <c r="AN47" s="920"/>
      <c r="AO47" s="920" t="s">
        <v>21</v>
      </c>
      <c r="AP47" s="919">
        <v>52.317999999999998</v>
      </c>
      <c r="AQ47" s="933">
        <v>91.369649999999993</v>
      </c>
      <c r="AR47" s="925">
        <v>91.369649999999993</v>
      </c>
      <c r="AS47" s="925" t="s">
        <v>21</v>
      </c>
      <c r="AT47" s="925" t="s">
        <v>21</v>
      </c>
      <c r="AU47" s="925" t="s">
        <v>21</v>
      </c>
      <c r="AV47" s="926" t="s">
        <v>21</v>
      </c>
      <c r="AW47" s="926" t="s">
        <v>21</v>
      </c>
      <c r="AX47" s="926" t="s">
        <v>21</v>
      </c>
      <c r="AY47" s="926" t="s">
        <v>21</v>
      </c>
      <c r="AZ47" s="925" t="s">
        <v>21</v>
      </c>
      <c r="BA47" s="925"/>
      <c r="BB47" s="919">
        <v>5.2320000000000002</v>
      </c>
      <c r="BC47" s="919" t="s">
        <v>21</v>
      </c>
      <c r="BD47" s="919" t="s">
        <v>2137</v>
      </c>
      <c r="BE47" s="925" t="s">
        <v>21</v>
      </c>
      <c r="BF47" s="926" t="s">
        <v>21</v>
      </c>
      <c r="BG47" s="925">
        <v>37.369999999999997</v>
      </c>
      <c r="BH47" s="926" t="s">
        <v>21</v>
      </c>
      <c r="BI47" s="925" t="s">
        <v>21</v>
      </c>
      <c r="BJ47" s="926" t="s">
        <v>21</v>
      </c>
      <c r="BK47" s="925" t="s">
        <v>21</v>
      </c>
      <c r="BL47" s="926" t="s">
        <v>21</v>
      </c>
      <c r="BM47" s="925" t="s">
        <v>21</v>
      </c>
      <c r="BN47" s="927"/>
      <c r="BO47" s="927"/>
      <c r="BP47" s="928">
        <v>1</v>
      </c>
      <c r="BQ47" s="928" t="s">
        <v>21</v>
      </c>
      <c r="BR47" s="928" t="s">
        <v>21</v>
      </c>
      <c r="BS47" s="928" t="s">
        <v>21</v>
      </c>
      <c r="BT47" s="928" t="s">
        <v>21</v>
      </c>
      <c r="BU47" s="928" t="s">
        <v>21</v>
      </c>
      <c r="BV47" s="934">
        <v>0.50000000000009104</v>
      </c>
      <c r="BW47" s="934">
        <v>1</v>
      </c>
      <c r="BX47" s="1104">
        <v>2</v>
      </c>
      <c r="BY47" s="931">
        <v>4</v>
      </c>
      <c r="BZ47" s="930" t="s">
        <v>21</v>
      </c>
      <c r="CA47" s="1074">
        <v>1</v>
      </c>
      <c r="CB47" s="930" t="s">
        <v>21</v>
      </c>
      <c r="CC47" s="930" t="s">
        <v>21</v>
      </c>
      <c r="CD47" s="925">
        <v>38.229999999999997</v>
      </c>
      <c r="CE47" s="1130">
        <v>18.760000000000002</v>
      </c>
      <c r="CF47" s="1129" t="s">
        <v>21</v>
      </c>
      <c r="CG47" s="1130" t="s">
        <v>21</v>
      </c>
      <c r="CH47" s="1130" t="s">
        <v>21</v>
      </c>
      <c r="CI47" s="1131" t="s">
        <v>21</v>
      </c>
      <c r="CJ47" s="1129">
        <v>18.760000000000002</v>
      </c>
      <c r="CK47" s="1130" t="s">
        <v>21</v>
      </c>
      <c r="CL47" s="1130" t="s">
        <v>21</v>
      </c>
      <c r="CM47" s="1131" t="s">
        <v>21</v>
      </c>
      <c r="CN47" s="1130" t="s">
        <v>21</v>
      </c>
      <c r="CP47" s="838" t="s">
        <v>21</v>
      </c>
      <c r="CQ47" s="838" t="s">
        <v>21</v>
      </c>
      <c r="CR47" s="836"/>
    </row>
    <row r="48" spans="1:96" x14ac:dyDescent="0.25">
      <c r="A48" s="935"/>
      <c r="B48" s="932" t="s">
        <v>2252</v>
      </c>
      <c r="C48" s="911">
        <v>600</v>
      </c>
      <c r="D48" s="911" t="s">
        <v>2116</v>
      </c>
      <c r="E48" s="912">
        <v>1157.98</v>
      </c>
      <c r="F48" s="912">
        <v>1156.03</v>
      </c>
      <c r="G48" s="910" t="s">
        <v>2250</v>
      </c>
      <c r="H48" s="912">
        <v>1157.01</v>
      </c>
      <c r="I48" s="912">
        <v>1155.1099999999999</v>
      </c>
      <c r="J48" s="914">
        <v>37.369999999999997</v>
      </c>
      <c r="K48" s="915"/>
      <c r="L48" s="916">
        <v>0.1</v>
      </c>
      <c r="M48" s="916">
        <v>0.06</v>
      </c>
      <c r="N48" s="916">
        <v>0.2</v>
      </c>
      <c r="O48" s="916">
        <v>4.8570000000000002</v>
      </c>
      <c r="P48" s="915"/>
      <c r="Q48" s="916">
        <v>2.1850000000000001</v>
      </c>
      <c r="R48" s="917">
        <v>0.33333333333333331</v>
      </c>
      <c r="S48" s="918">
        <v>1.4</v>
      </c>
      <c r="T48" s="918">
        <v>2.8570000000000002</v>
      </c>
      <c r="U48" s="916">
        <v>4.6059999999999999</v>
      </c>
      <c r="V48" s="916">
        <v>0.92</v>
      </c>
      <c r="W48" s="915"/>
      <c r="X48" s="916">
        <v>0.28299999999999997</v>
      </c>
      <c r="Y48" s="916">
        <v>0.40699999999999997</v>
      </c>
      <c r="Z48" s="916">
        <v>4.6509999999999998</v>
      </c>
      <c r="AA48" s="916">
        <v>1.0229999999999999</v>
      </c>
      <c r="AB48" s="916">
        <v>3.081</v>
      </c>
      <c r="AC48" s="915"/>
      <c r="AD48" s="919">
        <v>181.506</v>
      </c>
      <c r="AE48" s="920">
        <v>173.80799999999999</v>
      </c>
      <c r="AF48" s="920" t="s">
        <v>21</v>
      </c>
      <c r="AG48" s="920" t="s">
        <v>21</v>
      </c>
      <c r="AH48" s="921">
        <v>173.80799999999999</v>
      </c>
      <c r="AI48" s="921" t="s">
        <v>21</v>
      </c>
      <c r="AJ48" s="920" t="s">
        <v>21</v>
      </c>
      <c r="AK48" s="920" t="s">
        <v>21</v>
      </c>
      <c r="AL48" s="921" t="s">
        <v>21</v>
      </c>
      <c r="AM48" s="921" t="s">
        <v>21</v>
      </c>
      <c r="AN48" s="920"/>
      <c r="AO48" s="920" t="s">
        <v>21</v>
      </c>
      <c r="AP48" s="919">
        <v>52.317999999999998</v>
      </c>
      <c r="AQ48" s="933">
        <v>172.12621999999999</v>
      </c>
      <c r="AR48" s="925" t="s">
        <v>21</v>
      </c>
      <c r="AS48" s="925">
        <v>172.12621999999999</v>
      </c>
      <c r="AT48" s="925" t="s">
        <v>21</v>
      </c>
      <c r="AU48" s="925" t="s">
        <v>21</v>
      </c>
      <c r="AV48" s="926" t="s">
        <v>21</v>
      </c>
      <c r="AW48" s="926" t="s">
        <v>21</v>
      </c>
      <c r="AX48" s="926" t="s">
        <v>21</v>
      </c>
      <c r="AY48" s="926" t="s">
        <v>21</v>
      </c>
      <c r="AZ48" s="925" t="s">
        <v>21</v>
      </c>
      <c r="BA48" s="925"/>
      <c r="BB48" s="919">
        <v>5.2320000000000002</v>
      </c>
      <c r="BC48" s="919" t="s">
        <v>21</v>
      </c>
      <c r="BD48" s="919" t="s">
        <v>2142</v>
      </c>
      <c r="BE48" s="925" t="s">
        <v>21</v>
      </c>
      <c r="BF48" s="926" t="s">
        <v>21</v>
      </c>
      <c r="BG48" s="925">
        <v>37.369999999999997</v>
      </c>
      <c r="BH48" s="926" t="s">
        <v>21</v>
      </c>
      <c r="BI48" s="925" t="s">
        <v>21</v>
      </c>
      <c r="BJ48" s="926" t="s">
        <v>21</v>
      </c>
      <c r="BK48" s="925" t="s">
        <v>21</v>
      </c>
      <c r="BL48" s="926" t="s">
        <v>21</v>
      </c>
      <c r="BM48" s="925" t="s">
        <v>21</v>
      </c>
      <c r="BN48" s="927"/>
      <c r="BO48" s="927"/>
      <c r="BP48" s="928">
        <v>1</v>
      </c>
      <c r="BQ48" s="928" t="s">
        <v>21</v>
      </c>
      <c r="BR48" s="928" t="s">
        <v>21</v>
      </c>
      <c r="BS48" s="928" t="s">
        <v>21</v>
      </c>
      <c r="BT48" s="928" t="s">
        <v>21</v>
      </c>
      <c r="BU48" s="928" t="s">
        <v>21</v>
      </c>
      <c r="BV48" s="934">
        <v>0.55000000000004556</v>
      </c>
      <c r="BW48" s="934">
        <v>1</v>
      </c>
      <c r="BX48" s="1104">
        <v>2</v>
      </c>
      <c r="BY48" s="931">
        <v>4</v>
      </c>
      <c r="BZ48" s="930">
        <v>1</v>
      </c>
      <c r="CA48" s="1074" t="s">
        <v>21</v>
      </c>
      <c r="CB48" s="930" t="s">
        <v>21</v>
      </c>
      <c r="CC48" s="930" t="s">
        <v>21</v>
      </c>
      <c r="CD48" s="925">
        <v>38.229999999999997</v>
      </c>
      <c r="CE48" s="1130">
        <v>115.137</v>
      </c>
      <c r="CF48" s="1129" t="s">
        <v>21</v>
      </c>
      <c r="CG48" s="1130" t="s">
        <v>21</v>
      </c>
      <c r="CH48" s="1130" t="s">
        <v>21</v>
      </c>
      <c r="CI48" s="1131" t="s">
        <v>21</v>
      </c>
      <c r="CJ48" s="1129" t="s">
        <v>21</v>
      </c>
      <c r="CK48" s="1130">
        <v>115.137</v>
      </c>
      <c r="CL48" s="1130" t="s">
        <v>21</v>
      </c>
      <c r="CM48" s="1131" t="s">
        <v>21</v>
      </c>
      <c r="CN48" s="1130" t="s">
        <v>21</v>
      </c>
      <c r="CP48" s="838" t="s">
        <v>21</v>
      </c>
      <c r="CQ48" s="838" t="s">
        <v>21</v>
      </c>
      <c r="CR48" s="836"/>
    </row>
    <row r="49" spans="1:96" x14ac:dyDescent="0.25">
      <c r="A49" s="935"/>
      <c r="B49" s="932"/>
      <c r="C49" s="911"/>
      <c r="D49" s="911"/>
      <c r="E49" s="912"/>
      <c r="F49" s="912"/>
      <c r="G49" s="910"/>
      <c r="H49" s="912"/>
      <c r="I49" s="912"/>
      <c r="J49" s="914"/>
      <c r="K49" s="915"/>
      <c r="L49" s="916" t="s">
        <v>21</v>
      </c>
      <c r="M49" s="916" t="s">
        <v>21</v>
      </c>
      <c r="N49" s="916" t="s">
        <v>21</v>
      </c>
      <c r="O49" s="916" t="s">
        <v>21</v>
      </c>
      <c r="P49" s="915"/>
      <c r="Q49" s="916" t="s">
        <v>21</v>
      </c>
      <c r="R49" s="917" t="s">
        <v>21</v>
      </c>
      <c r="S49" s="918" t="s">
        <v>21</v>
      </c>
      <c r="T49" s="918" t="s">
        <v>21</v>
      </c>
      <c r="U49" s="916" t="s">
        <v>21</v>
      </c>
      <c r="V49" s="916" t="s">
        <v>21</v>
      </c>
      <c r="W49" s="915"/>
      <c r="X49" s="916" t="s">
        <v>21</v>
      </c>
      <c r="Y49" s="916" t="s">
        <v>21</v>
      </c>
      <c r="Z49" s="916" t="s">
        <v>21</v>
      </c>
      <c r="AA49" s="916" t="s">
        <v>21</v>
      </c>
      <c r="AB49" s="916" t="s">
        <v>21</v>
      </c>
      <c r="AC49" s="915"/>
      <c r="AD49" s="919" t="s">
        <v>21</v>
      </c>
      <c r="AE49" s="920" t="s">
        <v>21</v>
      </c>
      <c r="AF49" s="920" t="s">
        <v>21</v>
      </c>
      <c r="AG49" s="920" t="s">
        <v>21</v>
      </c>
      <c r="AH49" s="921" t="s">
        <v>21</v>
      </c>
      <c r="AI49" s="921" t="s">
        <v>21</v>
      </c>
      <c r="AJ49" s="920" t="s">
        <v>21</v>
      </c>
      <c r="AK49" s="920" t="s">
        <v>21</v>
      </c>
      <c r="AL49" s="921" t="s">
        <v>21</v>
      </c>
      <c r="AM49" s="921" t="s">
        <v>21</v>
      </c>
      <c r="AN49" s="920"/>
      <c r="AO49" s="920" t="s">
        <v>21</v>
      </c>
      <c r="AP49" s="919" t="s">
        <v>21</v>
      </c>
      <c r="AQ49" s="933" t="s">
        <v>21</v>
      </c>
      <c r="AR49" s="925" t="s">
        <v>21</v>
      </c>
      <c r="AS49" s="925" t="s">
        <v>21</v>
      </c>
      <c r="AT49" s="925" t="s">
        <v>21</v>
      </c>
      <c r="AU49" s="925" t="s">
        <v>21</v>
      </c>
      <c r="AV49" s="926" t="s">
        <v>21</v>
      </c>
      <c r="AW49" s="926" t="s">
        <v>21</v>
      </c>
      <c r="AX49" s="926" t="s">
        <v>21</v>
      </c>
      <c r="AY49" s="926" t="s">
        <v>21</v>
      </c>
      <c r="AZ49" s="925" t="s">
        <v>21</v>
      </c>
      <c r="BA49" s="925"/>
      <c r="BB49" s="919" t="s">
        <v>21</v>
      </c>
      <c r="BC49" s="919" t="s">
        <v>21</v>
      </c>
      <c r="BD49" s="919" t="s">
        <v>21</v>
      </c>
      <c r="BE49" s="925" t="s">
        <v>21</v>
      </c>
      <c r="BF49" s="926" t="s">
        <v>21</v>
      </c>
      <c r="BG49" s="925" t="s">
        <v>21</v>
      </c>
      <c r="BH49" s="926" t="s">
        <v>21</v>
      </c>
      <c r="BI49" s="925" t="s">
        <v>21</v>
      </c>
      <c r="BJ49" s="926" t="s">
        <v>21</v>
      </c>
      <c r="BK49" s="925" t="s">
        <v>21</v>
      </c>
      <c r="BL49" s="926" t="s">
        <v>21</v>
      </c>
      <c r="BM49" s="925" t="s">
        <v>21</v>
      </c>
      <c r="BN49" s="927"/>
      <c r="BO49" s="927"/>
      <c r="BP49" s="928" t="s">
        <v>21</v>
      </c>
      <c r="BQ49" s="928" t="s">
        <v>21</v>
      </c>
      <c r="BR49" s="928" t="s">
        <v>21</v>
      </c>
      <c r="BS49" s="928" t="s">
        <v>21</v>
      </c>
      <c r="BT49" s="928" t="s">
        <v>21</v>
      </c>
      <c r="BU49" s="928" t="s">
        <v>21</v>
      </c>
      <c r="BV49" s="934" t="s">
        <v>21</v>
      </c>
      <c r="BW49" s="934" t="s">
        <v>21</v>
      </c>
      <c r="BX49" s="1104" t="s">
        <v>21</v>
      </c>
      <c r="BY49" s="931" t="s">
        <v>21</v>
      </c>
      <c r="BZ49" s="930" t="s">
        <v>21</v>
      </c>
      <c r="CA49" s="1074" t="s">
        <v>21</v>
      </c>
      <c r="CB49" s="930" t="s">
        <v>21</v>
      </c>
      <c r="CC49" s="930" t="s">
        <v>21</v>
      </c>
      <c r="CD49" s="925" t="s">
        <v>21</v>
      </c>
      <c r="CE49" s="1130" t="s">
        <v>21</v>
      </c>
      <c r="CF49" s="1129" t="s">
        <v>21</v>
      </c>
      <c r="CG49" s="1130" t="s">
        <v>21</v>
      </c>
      <c r="CH49" s="1130" t="s">
        <v>21</v>
      </c>
      <c r="CI49" s="1131" t="s">
        <v>21</v>
      </c>
      <c r="CJ49" s="1129" t="s">
        <v>21</v>
      </c>
      <c r="CK49" s="1130" t="s">
        <v>21</v>
      </c>
      <c r="CL49" s="1130" t="s">
        <v>21</v>
      </c>
      <c r="CM49" s="1131" t="s">
        <v>21</v>
      </c>
      <c r="CN49" s="1130" t="s">
        <v>21</v>
      </c>
      <c r="CP49" s="838" t="s">
        <v>21</v>
      </c>
      <c r="CQ49" s="838" t="s">
        <v>21</v>
      </c>
      <c r="CR49" s="836"/>
    </row>
    <row r="50" spans="1:96" s="1097" customFormat="1" x14ac:dyDescent="0.25">
      <c r="A50" s="1079" t="s">
        <v>2265</v>
      </c>
      <c r="B50" s="1078"/>
      <c r="C50" s="1076"/>
      <c r="D50" s="1076"/>
      <c r="E50" s="1077"/>
      <c r="F50" s="1077"/>
      <c r="G50" s="1078"/>
      <c r="H50" s="1077"/>
      <c r="I50" s="1077"/>
      <c r="J50" s="1080">
        <v>842.72</v>
      </c>
      <c r="K50" s="1081"/>
      <c r="L50" s="1082"/>
      <c r="M50" s="1082"/>
      <c r="N50" s="1082"/>
      <c r="O50" s="1082"/>
      <c r="P50" s="1081"/>
      <c r="Q50" s="1082"/>
      <c r="R50" s="1083"/>
      <c r="S50" s="976"/>
      <c r="T50" s="976"/>
      <c r="U50" s="1082"/>
      <c r="V50" s="1082"/>
      <c r="W50" s="1081"/>
      <c r="X50" s="1082"/>
      <c r="Y50" s="1082"/>
      <c r="Z50" s="1082"/>
      <c r="AA50" s="1082"/>
      <c r="AB50" s="1082"/>
      <c r="AC50" s="1081"/>
      <c r="AD50" s="1084">
        <v>4155.3020000000006</v>
      </c>
      <c r="AE50" s="1085">
        <v>4231.4659999999994</v>
      </c>
      <c r="AF50" s="1085">
        <v>77.430999999999997</v>
      </c>
      <c r="AG50" s="1085">
        <v>0</v>
      </c>
      <c r="AH50" s="1086">
        <v>3766.9669999999992</v>
      </c>
      <c r="AI50" s="1086">
        <v>0</v>
      </c>
      <c r="AJ50" s="1085">
        <v>387.06799999999998</v>
      </c>
      <c r="AK50" s="1085">
        <v>0</v>
      </c>
      <c r="AL50" s="1086">
        <v>0</v>
      </c>
      <c r="AM50" s="1086">
        <v>0</v>
      </c>
      <c r="AN50" s="1085">
        <v>0</v>
      </c>
      <c r="AO50" s="1085">
        <v>0</v>
      </c>
      <c r="AP50" s="1084">
        <v>1179.808</v>
      </c>
      <c r="AQ50" s="1087">
        <v>4079.5249100000001</v>
      </c>
      <c r="AR50" s="1088">
        <v>91.369649999999993</v>
      </c>
      <c r="AS50" s="1088">
        <v>3661.5972800000004</v>
      </c>
      <c r="AT50" s="1088">
        <v>326.55797999999999</v>
      </c>
      <c r="AU50" s="1088">
        <v>0</v>
      </c>
      <c r="AV50" s="1089">
        <v>0</v>
      </c>
      <c r="AW50" s="1089">
        <v>0</v>
      </c>
      <c r="AX50" s="1089">
        <v>0</v>
      </c>
      <c r="AY50" s="1089">
        <v>0</v>
      </c>
      <c r="AZ50" s="1088">
        <v>0</v>
      </c>
      <c r="BA50" s="1088">
        <v>0</v>
      </c>
      <c r="BB50" s="1084">
        <v>117.98299999999998</v>
      </c>
      <c r="BC50" s="1084">
        <v>0</v>
      </c>
      <c r="BD50" s="1090"/>
      <c r="BE50" s="1088">
        <v>0</v>
      </c>
      <c r="BF50" s="1089">
        <v>0</v>
      </c>
      <c r="BG50" s="1088">
        <v>842.72</v>
      </c>
      <c r="BH50" s="1089">
        <v>0</v>
      </c>
      <c r="BI50" s="1088">
        <v>0</v>
      </c>
      <c r="BJ50" s="1089">
        <v>0</v>
      </c>
      <c r="BK50" s="1088">
        <v>0</v>
      </c>
      <c r="BL50" s="1089">
        <v>0</v>
      </c>
      <c r="BM50" s="1088">
        <v>0</v>
      </c>
      <c r="BN50" s="1091">
        <v>0</v>
      </c>
      <c r="BO50" s="1091">
        <v>0</v>
      </c>
      <c r="BP50" s="1092">
        <v>26</v>
      </c>
      <c r="BQ50" s="1092">
        <v>0</v>
      </c>
      <c r="BR50" s="1092">
        <v>0</v>
      </c>
      <c r="BS50" s="1092">
        <v>0</v>
      </c>
      <c r="BT50" s="1092">
        <v>0</v>
      </c>
      <c r="BU50" s="1092">
        <v>0</v>
      </c>
      <c r="BV50" s="1093">
        <v>19.03399999999974</v>
      </c>
      <c r="BW50" s="1093">
        <v>27</v>
      </c>
      <c r="BX50" s="1105">
        <v>54</v>
      </c>
      <c r="BY50" s="1095">
        <v>106</v>
      </c>
      <c r="BZ50" s="1094">
        <v>13</v>
      </c>
      <c r="CA50" s="1094">
        <v>15</v>
      </c>
      <c r="CB50" s="1094">
        <v>1</v>
      </c>
      <c r="CC50" s="1094">
        <v>0</v>
      </c>
      <c r="CD50" s="1088">
        <v>862.101</v>
      </c>
      <c r="CE50" s="1133">
        <v>2908.4000000000005</v>
      </c>
      <c r="CF50" s="1132">
        <v>0</v>
      </c>
      <c r="CG50" s="1133">
        <v>0</v>
      </c>
      <c r="CH50" s="1133">
        <v>0</v>
      </c>
      <c r="CI50" s="1134">
        <v>0</v>
      </c>
      <c r="CJ50" s="1132">
        <v>18.760000000000002</v>
      </c>
      <c r="CK50" s="1133">
        <v>2576.33</v>
      </c>
      <c r="CL50" s="1133">
        <v>313.31</v>
      </c>
      <c r="CM50" s="1134">
        <v>0</v>
      </c>
      <c r="CN50" s="1133">
        <v>0</v>
      </c>
      <c r="CO50" s="1096"/>
      <c r="CP50" s="1096" t="s">
        <v>21</v>
      </c>
      <c r="CQ50" s="1096" t="s">
        <v>21</v>
      </c>
    </row>
    <row r="51" spans="1:96" x14ac:dyDescent="0.25">
      <c r="A51" s="935"/>
      <c r="B51" s="932"/>
      <c r="C51" s="911"/>
      <c r="D51" s="911"/>
      <c r="E51" s="912"/>
      <c r="F51" s="912"/>
      <c r="G51" s="910"/>
      <c r="H51" s="912"/>
      <c r="I51" s="912"/>
      <c r="J51" s="914"/>
      <c r="K51" s="915"/>
      <c r="L51" s="916" t="s">
        <v>21</v>
      </c>
      <c r="M51" s="916" t="s">
        <v>21</v>
      </c>
      <c r="N51" s="916" t="s">
        <v>21</v>
      </c>
      <c r="O51" s="916" t="s">
        <v>21</v>
      </c>
      <c r="P51" s="915"/>
      <c r="Q51" s="916" t="s">
        <v>21</v>
      </c>
      <c r="R51" s="917" t="s">
        <v>21</v>
      </c>
      <c r="S51" s="918" t="s">
        <v>21</v>
      </c>
      <c r="T51" s="918" t="s">
        <v>21</v>
      </c>
      <c r="U51" s="916" t="s">
        <v>21</v>
      </c>
      <c r="V51" s="916" t="s">
        <v>21</v>
      </c>
      <c r="W51" s="915"/>
      <c r="X51" s="916" t="s">
        <v>21</v>
      </c>
      <c r="Y51" s="916" t="s">
        <v>21</v>
      </c>
      <c r="Z51" s="916" t="s">
        <v>21</v>
      </c>
      <c r="AA51" s="916" t="s">
        <v>21</v>
      </c>
      <c r="AB51" s="916" t="s">
        <v>21</v>
      </c>
      <c r="AC51" s="915"/>
      <c r="AD51" s="919" t="s">
        <v>21</v>
      </c>
      <c r="AE51" s="920" t="s">
        <v>21</v>
      </c>
      <c r="AF51" s="920" t="s">
        <v>21</v>
      </c>
      <c r="AG51" s="920" t="s">
        <v>21</v>
      </c>
      <c r="AH51" s="921" t="s">
        <v>21</v>
      </c>
      <c r="AI51" s="921" t="s">
        <v>21</v>
      </c>
      <c r="AJ51" s="920" t="s">
        <v>21</v>
      </c>
      <c r="AK51" s="920" t="s">
        <v>21</v>
      </c>
      <c r="AL51" s="921" t="s">
        <v>21</v>
      </c>
      <c r="AM51" s="921" t="s">
        <v>21</v>
      </c>
      <c r="AN51" s="920"/>
      <c r="AO51" s="920" t="s">
        <v>21</v>
      </c>
      <c r="AP51" s="919" t="s">
        <v>21</v>
      </c>
      <c r="AQ51" s="933" t="s">
        <v>21</v>
      </c>
      <c r="AR51" s="925" t="s">
        <v>21</v>
      </c>
      <c r="AS51" s="925" t="s">
        <v>21</v>
      </c>
      <c r="AT51" s="925" t="s">
        <v>21</v>
      </c>
      <c r="AU51" s="925" t="s">
        <v>21</v>
      </c>
      <c r="AV51" s="926" t="s">
        <v>21</v>
      </c>
      <c r="AW51" s="926" t="s">
        <v>21</v>
      </c>
      <c r="AX51" s="926" t="s">
        <v>21</v>
      </c>
      <c r="AY51" s="926" t="s">
        <v>21</v>
      </c>
      <c r="AZ51" s="925" t="s">
        <v>21</v>
      </c>
      <c r="BA51" s="925"/>
      <c r="BB51" s="919" t="s">
        <v>21</v>
      </c>
      <c r="BC51" s="919" t="s">
        <v>21</v>
      </c>
      <c r="BD51" s="919" t="s">
        <v>21</v>
      </c>
      <c r="BE51" s="925" t="s">
        <v>21</v>
      </c>
      <c r="BF51" s="926" t="s">
        <v>21</v>
      </c>
      <c r="BG51" s="925" t="s">
        <v>21</v>
      </c>
      <c r="BH51" s="926" t="s">
        <v>21</v>
      </c>
      <c r="BI51" s="925" t="s">
        <v>21</v>
      </c>
      <c r="BJ51" s="926" t="s">
        <v>21</v>
      </c>
      <c r="BK51" s="925" t="s">
        <v>21</v>
      </c>
      <c r="BL51" s="926" t="s">
        <v>21</v>
      </c>
      <c r="BM51" s="925" t="s">
        <v>21</v>
      </c>
      <c r="BN51" s="927"/>
      <c r="BO51" s="927"/>
      <c r="BP51" s="928" t="s">
        <v>21</v>
      </c>
      <c r="BQ51" s="928" t="s">
        <v>21</v>
      </c>
      <c r="BR51" s="928" t="s">
        <v>21</v>
      </c>
      <c r="BS51" s="928" t="s">
        <v>21</v>
      </c>
      <c r="BT51" s="928" t="s">
        <v>21</v>
      </c>
      <c r="BU51" s="928" t="s">
        <v>21</v>
      </c>
      <c r="BV51" s="934" t="s">
        <v>21</v>
      </c>
      <c r="BW51" s="934" t="s">
        <v>21</v>
      </c>
      <c r="BX51" s="1104" t="s">
        <v>21</v>
      </c>
      <c r="BY51" s="931" t="s">
        <v>21</v>
      </c>
      <c r="BZ51" s="930" t="s">
        <v>21</v>
      </c>
      <c r="CA51" s="1074" t="s">
        <v>21</v>
      </c>
      <c r="CB51" s="930" t="s">
        <v>21</v>
      </c>
      <c r="CC51" s="930" t="s">
        <v>21</v>
      </c>
      <c r="CD51" s="925" t="s">
        <v>21</v>
      </c>
      <c r="CE51" s="1130" t="s">
        <v>21</v>
      </c>
      <c r="CF51" s="1129" t="s">
        <v>21</v>
      </c>
      <c r="CG51" s="1130" t="s">
        <v>21</v>
      </c>
      <c r="CH51" s="1130" t="s">
        <v>21</v>
      </c>
      <c r="CI51" s="1131" t="s">
        <v>21</v>
      </c>
      <c r="CJ51" s="1129" t="s">
        <v>21</v>
      </c>
      <c r="CK51" s="1130" t="s">
        <v>21</v>
      </c>
      <c r="CL51" s="1130" t="s">
        <v>21</v>
      </c>
      <c r="CM51" s="1131" t="s">
        <v>21</v>
      </c>
      <c r="CN51" s="1130" t="s">
        <v>21</v>
      </c>
      <c r="CP51" s="838" t="s">
        <v>21</v>
      </c>
      <c r="CQ51" s="838" t="s">
        <v>21</v>
      </c>
      <c r="CR51" s="836"/>
    </row>
    <row r="52" spans="1:96" x14ac:dyDescent="0.25">
      <c r="A52" s="935" t="s">
        <v>2491</v>
      </c>
      <c r="B52" s="932" t="s">
        <v>2225</v>
      </c>
      <c r="C52" s="911">
        <v>600</v>
      </c>
      <c r="D52" s="911" t="s">
        <v>2116</v>
      </c>
      <c r="E52" s="912">
        <v>1152.01</v>
      </c>
      <c r="F52" s="912">
        <v>1150.1099999999999</v>
      </c>
      <c r="G52" s="910" t="s">
        <v>2226</v>
      </c>
      <c r="H52" s="912">
        <v>1149.43</v>
      </c>
      <c r="I52" s="912">
        <v>1147.53</v>
      </c>
      <c r="J52" s="914">
        <v>50.01</v>
      </c>
      <c r="K52" s="915"/>
      <c r="L52" s="916">
        <v>0.1</v>
      </c>
      <c r="M52" s="916">
        <v>0.06</v>
      </c>
      <c r="N52" s="916">
        <v>0.2</v>
      </c>
      <c r="O52" s="916">
        <v>4.84</v>
      </c>
      <c r="P52" s="915"/>
      <c r="Q52" s="916">
        <v>2.16</v>
      </c>
      <c r="R52" s="917">
        <v>0.33333333333333331</v>
      </c>
      <c r="S52" s="918">
        <v>1.4</v>
      </c>
      <c r="T52" s="918">
        <v>2.84</v>
      </c>
      <c r="U52" s="916">
        <v>4.5540000000000003</v>
      </c>
      <c r="V52" s="916">
        <v>0.92</v>
      </c>
      <c r="W52" s="915"/>
      <c r="X52" s="916">
        <v>0.28299999999999997</v>
      </c>
      <c r="Y52" s="916">
        <v>0.40699999999999997</v>
      </c>
      <c r="Z52" s="916">
        <v>4.5789999999999997</v>
      </c>
      <c r="AA52" s="916">
        <v>1.0229999999999999</v>
      </c>
      <c r="AB52" s="916">
        <v>3.0089999999999999</v>
      </c>
      <c r="AC52" s="915"/>
      <c r="AD52" s="919">
        <v>242.048</v>
      </c>
      <c r="AE52" s="920">
        <v>228.99600000000001</v>
      </c>
      <c r="AF52" s="920" t="s">
        <v>21</v>
      </c>
      <c r="AG52" s="920" t="s">
        <v>21</v>
      </c>
      <c r="AH52" s="921">
        <v>228.99600000000001</v>
      </c>
      <c r="AI52" s="921" t="s">
        <v>21</v>
      </c>
      <c r="AJ52" s="920" t="s">
        <v>21</v>
      </c>
      <c r="AK52" s="920" t="s">
        <v>21</v>
      </c>
      <c r="AL52" s="921" t="s">
        <v>21</v>
      </c>
      <c r="AM52" s="921" t="s">
        <v>21</v>
      </c>
      <c r="AN52" s="920"/>
      <c r="AO52" s="920" t="s">
        <v>21</v>
      </c>
      <c r="AP52" s="919">
        <v>70.013999999999996</v>
      </c>
      <c r="AQ52" s="933">
        <v>227.74554000000001</v>
      </c>
      <c r="AR52" s="925" t="s">
        <v>21</v>
      </c>
      <c r="AS52" s="925">
        <v>227.74554000000001</v>
      </c>
      <c r="AT52" s="925" t="s">
        <v>21</v>
      </c>
      <c r="AU52" s="925" t="s">
        <v>21</v>
      </c>
      <c r="AV52" s="926" t="s">
        <v>21</v>
      </c>
      <c r="AW52" s="926" t="s">
        <v>21</v>
      </c>
      <c r="AX52" s="926" t="s">
        <v>21</v>
      </c>
      <c r="AY52" s="926" t="s">
        <v>21</v>
      </c>
      <c r="AZ52" s="925" t="s">
        <v>21</v>
      </c>
      <c r="BA52" s="925"/>
      <c r="BB52" s="919">
        <v>7.0010000000000003</v>
      </c>
      <c r="BC52" s="919" t="s">
        <v>21</v>
      </c>
      <c r="BD52" s="919" t="s">
        <v>2142</v>
      </c>
      <c r="BE52" s="925" t="s">
        <v>21</v>
      </c>
      <c r="BF52" s="926" t="s">
        <v>21</v>
      </c>
      <c r="BG52" s="925">
        <v>50.01</v>
      </c>
      <c r="BH52" s="926" t="s">
        <v>21</v>
      </c>
      <c r="BI52" s="925" t="s">
        <v>21</v>
      </c>
      <c r="BJ52" s="926" t="s">
        <v>21</v>
      </c>
      <c r="BK52" s="925" t="s">
        <v>21</v>
      </c>
      <c r="BL52" s="926" t="s">
        <v>21</v>
      </c>
      <c r="BM52" s="925" t="s">
        <v>21</v>
      </c>
      <c r="BN52" s="927"/>
      <c r="BO52" s="927"/>
      <c r="BP52" s="928">
        <v>1</v>
      </c>
      <c r="BQ52" s="928" t="s">
        <v>21</v>
      </c>
      <c r="BR52" s="928" t="s">
        <v>21</v>
      </c>
      <c r="BS52" s="928" t="s">
        <v>21</v>
      </c>
      <c r="BT52" s="928" t="s">
        <v>21</v>
      </c>
      <c r="BU52" s="928" t="s">
        <v>21</v>
      </c>
      <c r="BV52" s="934">
        <v>0.50000000000009104</v>
      </c>
      <c r="BW52" s="934">
        <v>1</v>
      </c>
      <c r="BX52" s="1104">
        <v>2</v>
      </c>
      <c r="BY52" s="931">
        <v>4</v>
      </c>
      <c r="BZ52" s="930" t="s">
        <v>21</v>
      </c>
      <c r="CA52" s="1074">
        <v>2</v>
      </c>
      <c r="CB52" s="930" t="s">
        <v>21</v>
      </c>
      <c r="CC52" s="930" t="s">
        <v>21</v>
      </c>
      <c r="CD52" s="925">
        <v>51.16</v>
      </c>
      <c r="CE52" s="1130">
        <v>150.47999999999999</v>
      </c>
      <c r="CF52" s="1129" t="s">
        <v>21</v>
      </c>
      <c r="CG52" s="1130" t="s">
        <v>21</v>
      </c>
      <c r="CH52" s="1130" t="s">
        <v>21</v>
      </c>
      <c r="CI52" s="1131" t="s">
        <v>21</v>
      </c>
      <c r="CJ52" s="1129" t="s">
        <v>21</v>
      </c>
      <c r="CK52" s="1130">
        <v>150.47999999999999</v>
      </c>
      <c r="CL52" s="1130" t="s">
        <v>21</v>
      </c>
      <c r="CM52" s="1131" t="s">
        <v>21</v>
      </c>
      <c r="CN52" s="1130" t="s">
        <v>21</v>
      </c>
      <c r="CP52" s="838" t="s">
        <v>21</v>
      </c>
      <c r="CQ52" s="838" t="s">
        <v>21</v>
      </c>
      <c r="CR52" s="836"/>
    </row>
    <row r="53" spans="1:96" x14ac:dyDescent="0.25">
      <c r="A53" s="935"/>
      <c r="B53" s="932" t="s">
        <v>2226</v>
      </c>
      <c r="C53" s="911">
        <v>600</v>
      </c>
      <c r="D53" s="911" t="s">
        <v>2116</v>
      </c>
      <c r="E53" s="912">
        <v>1149.43</v>
      </c>
      <c r="F53" s="912">
        <v>1147.53</v>
      </c>
      <c r="G53" s="910" t="s">
        <v>2227</v>
      </c>
      <c r="H53" s="912">
        <v>1149.3499999999999</v>
      </c>
      <c r="I53" s="912">
        <v>1147.3599999999999</v>
      </c>
      <c r="J53" s="914">
        <v>33.950000000000003</v>
      </c>
      <c r="K53" s="915"/>
      <c r="L53" s="916">
        <v>0.1</v>
      </c>
      <c r="M53" s="916">
        <v>0.06</v>
      </c>
      <c r="N53" s="916">
        <v>0.2</v>
      </c>
      <c r="O53" s="916">
        <v>4.87</v>
      </c>
      <c r="P53" s="915"/>
      <c r="Q53" s="916">
        <v>2.2050000000000001</v>
      </c>
      <c r="R53" s="917">
        <v>0.33333333333333331</v>
      </c>
      <c r="S53" s="918">
        <v>1.4</v>
      </c>
      <c r="T53" s="918">
        <v>2.87</v>
      </c>
      <c r="U53" s="916">
        <v>4.649</v>
      </c>
      <c r="V53" s="916">
        <v>0.92</v>
      </c>
      <c r="W53" s="915"/>
      <c r="X53" s="916">
        <v>0.28299999999999997</v>
      </c>
      <c r="Y53" s="916">
        <v>0.40699999999999997</v>
      </c>
      <c r="Z53" s="916">
        <v>4.7080000000000002</v>
      </c>
      <c r="AA53" s="916">
        <v>1.0229999999999999</v>
      </c>
      <c r="AB53" s="916">
        <v>3.1379999999999999</v>
      </c>
      <c r="AC53" s="915"/>
      <c r="AD53" s="919">
        <v>165.33699999999999</v>
      </c>
      <c r="AE53" s="920">
        <v>159.83699999999999</v>
      </c>
      <c r="AF53" s="920" t="s">
        <v>21</v>
      </c>
      <c r="AG53" s="920" t="s">
        <v>21</v>
      </c>
      <c r="AH53" s="921">
        <v>159.83699999999999</v>
      </c>
      <c r="AI53" s="921" t="s">
        <v>21</v>
      </c>
      <c r="AJ53" s="920" t="s">
        <v>21</v>
      </c>
      <c r="AK53" s="920" t="s">
        <v>21</v>
      </c>
      <c r="AL53" s="921" t="s">
        <v>21</v>
      </c>
      <c r="AM53" s="921" t="s">
        <v>21</v>
      </c>
      <c r="AN53" s="920"/>
      <c r="AO53" s="920" t="s">
        <v>21</v>
      </c>
      <c r="AP53" s="919">
        <v>47.53</v>
      </c>
      <c r="AQ53" s="933">
        <v>157.83355</v>
      </c>
      <c r="AR53" s="925" t="s">
        <v>21</v>
      </c>
      <c r="AS53" s="925">
        <v>157.83355</v>
      </c>
      <c r="AT53" s="925" t="s">
        <v>21</v>
      </c>
      <c r="AU53" s="925" t="s">
        <v>21</v>
      </c>
      <c r="AV53" s="926" t="s">
        <v>21</v>
      </c>
      <c r="AW53" s="926" t="s">
        <v>21</v>
      </c>
      <c r="AX53" s="926" t="s">
        <v>21</v>
      </c>
      <c r="AY53" s="926" t="s">
        <v>21</v>
      </c>
      <c r="AZ53" s="925" t="s">
        <v>21</v>
      </c>
      <c r="BA53" s="925"/>
      <c r="BB53" s="919">
        <v>4.7530000000000001</v>
      </c>
      <c r="BC53" s="919" t="s">
        <v>21</v>
      </c>
      <c r="BD53" s="919" t="s">
        <v>2142</v>
      </c>
      <c r="BE53" s="925" t="s">
        <v>21</v>
      </c>
      <c r="BF53" s="926" t="s">
        <v>21</v>
      </c>
      <c r="BG53" s="925">
        <v>33.950000000000003</v>
      </c>
      <c r="BH53" s="926" t="s">
        <v>21</v>
      </c>
      <c r="BI53" s="925" t="s">
        <v>21</v>
      </c>
      <c r="BJ53" s="926" t="s">
        <v>21</v>
      </c>
      <c r="BK53" s="925" t="s">
        <v>21</v>
      </c>
      <c r="BL53" s="926" t="s">
        <v>21</v>
      </c>
      <c r="BM53" s="925" t="s">
        <v>21</v>
      </c>
      <c r="BN53" s="927"/>
      <c r="BO53" s="927"/>
      <c r="BP53" s="928">
        <v>1</v>
      </c>
      <c r="BQ53" s="928" t="s">
        <v>21</v>
      </c>
      <c r="BR53" s="928" t="s">
        <v>21</v>
      </c>
      <c r="BS53" s="928" t="s">
        <v>21</v>
      </c>
      <c r="BT53" s="928" t="s">
        <v>21</v>
      </c>
      <c r="BU53" s="928" t="s">
        <v>21</v>
      </c>
      <c r="BV53" s="934">
        <v>0.50000000000009104</v>
      </c>
      <c r="BW53" s="934">
        <v>1</v>
      </c>
      <c r="BX53" s="1104">
        <v>2</v>
      </c>
      <c r="BY53" s="931">
        <v>4</v>
      </c>
      <c r="BZ53" s="930">
        <v>1</v>
      </c>
      <c r="CA53" s="1074" t="s">
        <v>21</v>
      </c>
      <c r="CB53" s="930" t="s">
        <v>21</v>
      </c>
      <c r="CC53" s="930" t="s">
        <v>21</v>
      </c>
      <c r="CD53" s="925">
        <v>34.731000000000002</v>
      </c>
      <c r="CE53" s="1130">
        <v>106.535</v>
      </c>
      <c r="CF53" s="1129" t="s">
        <v>21</v>
      </c>
      <c r="CG53" s="1130" t="s">
        <v>21</v>
      </c>
      <c r="CH53" s="1130" t="s">
        <v>21</v>
      </c>
      <c r="CI53" s="1131" t="s">
        <v>21</v>
      </c>
      <c r="CJ53" s="1129" t="s">
        <v>21</v>
      </c>
      <c r="CK53" s="1130">
        <v>106.535</v>
      </c>
      <c r="CL53" s="1130" t="s">
        <v>21</v>
      </c>
      <c r="CM53" s="1131" t="s">
        <v>21</v>
      </c>
      <c r="CN53" s="1130" t="s">
        <v>21</v>
      </c>
      <c r="CP53" s="838" t="s">
        <v>21</v>
      </c>
      <c r="CQ53" s="838" t="s">
        <v>21</v>
      </c>
      <c r="CR53" s="836"/>
    </row>
    <row r="54" spans="1:96" x14ac:dyDescent="0.25">
      <c r="A54" s="935"/>
      <c r="B54" s="932" t="s">
        <v>2227</v>
      </c>
      <c r="C54" s="911">
        <v>600</v>
      </c>
      <c r="D54" s="911" t="s">
        <v>2116</v>
      </c>
      <c r="E54" s="912">
        <v>1149.3499999999999</v>
      </c>
      <c r="F54" s="912">
        <v>1147.3599999999999</v>
      </c>
      <c r="G54" s="910" t="s">
        <v>2228</v>
      </c>
      <c r="H54" s="912">
        <v>1149.3499999999999</v>
      </c>
      <c r="I54" s="912">
        <v>1147.326</v>
      </c>
      <c r="J54" s="914">
        <v>6.71</v>
      </c>
      <c r="K54" s="915"/>
      <c r="L54" s="916">
        <v>0.1</v>
      </c>
      <c r="M54" s="916">
        <v>0.06</v>
      </c>
      <c r="N54" s="916">
        <v>0.2</v>
      </c>
      <c r="O54" s="916">
        <v>4.9109999999999996</v>
      </c>
      <c r="P54" s="915"/>
      <c r="Q54" s="916">
        <v>2.2669999999999999</v>
      </c>
      <c r="R54" s="917">
        <v>0.33333333333333331</v>
      </c>
      <c r="S54" s="918">
        <v>1.4</v>
      </c>
      <c r="T54" s="918">
        <v>2.911</v>
      </c>
      <c r="U54" s="916">
        <v>4.7789999999999999</v>
      </c>
      <c r="V54" s="916">
        <v>0.92</v>
      </c>
      <c r="W54" s="915"/>
      <c r="X54" s="916">
        <v>0.28299999999999997</v>
      </c>
      <c r="Y54" s="916">
        <v>0.40699999999999997</v>
      </c>
      <c r="Z54" s="916">
        <v>4.8869999999999996</v>
      </c>
      <c r="AA54" s="916">
        <v>1.0229999999999999</v>
      </c>
      <c r="AB54" s="916">
        <v>3.3170000000000002</v>
      </c>
      <c r="AC54" s="915"/>
      <c r="AD54" s="919">
        <v>32.953000000000003</v>
      </c>
      <c r="AE54" s="920">
        <v>32.792000000000002</v>
      </c>
      <c r="AF54" s="920" t="s">
        <v>21</v>
      </c>
      <c r="AG54" s="920" t="s">
        <v>21</v>
      </c>
      <c r="AH54" s="921">
        <v>32.792000000000002</v>
      </c>
      <c r="AI54" s="921" t="s">
        <v>21</v>
      </c>
      <c r="AJ54" s="920" t="s">
        <v>21</v>
      </c>
      <c r="AK54" s="920" t="s">
        <v>21</v>
      </c>
      <c r="AL54" s="921" t="s">
        <v>21</v>
      </c>
      <c r="AM54" s="921" t="s">
        <v>21</v>
      </c>
      <c r="AN54" s="920"/>
      <c r="AO54" s="920" t="s">
        <v>21</v>
      </c>
      <c r="AP54" s="919">
        <v>9.3940000000000001</v>
      </c>
      <c r="AQ54" s="933">
        <v>32.06709</v>
      </c>
      <c r="AR54" s="925" t="s">
        <v>21</v>
      </c>
      <c r="AS54" s="925">
        <v>32.06709</v>
      </c>
      <c r="AT54" s="925" t="s">
        <v>21</v>
      </c>
      <c r="AU54" s="925" t="s">
        <v>21</v>
      </c>
      <c r="AV54" s="926" t="s">
        <v>21</v>
      </c>
      <c r="AW54" s="926" t="s">
        <v>21</v>
      </c>
      <c r="AX54" s="926" t="s">
        <v>21</v>
      </c>
      <c r="AY54" s="926" t="s">
        <v>21</v>
      </c>
      <c r="AZ54" s="925" t="s">
        <v>21</v>
      </c>
      <c r="BA54" s="925"/>
      <c r="BB54" s="919">
        <v>0.93899999999999995</v>
      </c>
      <c r="BC54" s="919" t="s">
        <v>21</v>
      </c>
      <c r="BD54" s="919" t="s">
        <v>2142</v>
      </c>
      <c r="BE54" s="925" t="s">
        <v>21</v>
      </c>
      <c r="BF54" s="926" t="s">
        <v>21</v>
      </c>
      <c r="BG54" s="925">
        <v>6.71</v>
      </c>
      <c r="BH54" s="926" t="s">
        <v>21</v>
      </c>
      <c r="BI54" s="925" t="s">
        <v>21</v>
      </c>
      <c r="BJ54" s="926" t="s">
        <v>21</v>
      </c>
      <c r="BK54" s="925" t="s">
        <v>21</v>
      </c>
      <c r="BL54" s="926" t="s">
        <v>21</v>
      </c>
      <c r="BM54" s="925" t="s">
        <v>21</v>
      </c>
      <c r="BN54" s="927"/>
      <c r="BO54" s="927"/>
      <c r="BP54" s="928">
        <v>1</v>
      </c>
      <c r="BQ54" s="928" t="s">
        <v>21</v>
      </c>
      <c r="BR54" s="928" t="s">
        <v>21</v>
      </c>
      <c r="BS54" s="928" t="s">
        <v>21</v>
      </c>
      <c r="BT54" s="928" t="s">
        <v>21</v>
      </c>
      <c r="BU54" s="928" t="s">
        <v>21</v>
      </c>
      <c r="BV54" s="934">
        <v>0.59000000000000918</v>
      </c>
      <c r="BW54" s="934">
        <v>1</v>
      </c>
      <c r="BX54" s="1104">
        <v>2</v>
      </c>
      <c r="BY54" s="931">
        <v>4</v>
      </c>
      <c r="BZ54" s="930" t="s">
        <v>21</v>
      </c>
      <c r="CA54" s="1074" t="s">
        <v>21</v>
      </c>
      <c r="CB54" s="930" t="s">
        <v>21</v>
      </c>
      <c r="CC54" s="930" t="s">
        <v>21</v>
      </c>
      <c r="CD54" s="925">
        <v>6.8639999999999999</v>
      </c>
      <c r="CE54" s="1130">
        <v>22.257000000000001</v>
      </c>
      <c r="CF54" s="1129" t="s">
        <v>21</v>
      </c>
      <c r="CG54" s="1130" t="s">
        <v>21</v>
      </c>
      <c r="CH54" s="1130" t="s">
        <v>21</v>
      </c>
      <c r="CI54" s="1131" t="s">
        <v>21</v>
      </c>
      <c r="CJ54" s="1129" t="s">
        <v>21</v>
      </c>
      <c r="CK54" s="1130">
        <v>22.257000000000001</v>
      </c>
      <c r="CL54" s="1130" t="s">
        <v>21</v>
      </c>
      <c r="CM54" s="1131" t="s">
        <v>21</v>
      </c>
      <c r="CN54" s="1130" t="s">
        <v>21</v>
      </c>
      <c r="CP54" s="838" t="s">
        <v>21</v>
      </c>
      <c r="CQ54" s="838" t="s">
        <v>21</v>
      </c>
      <c r="CR54" s="836"/>
    </row>
    <row r="55" spans="1:96" x14ac:dyDescent="0.25">
      <c r="A55" s="938"/>
      <c r="B55" s="932" t="s">
        <v>2228</v>
      </c>
      <c r="C55" s="911">
        <v>600</v>
      </c>
      <c r="D55" s="911" t="s">
        <v>2116</v>
      </c>
      <c r="E55" s="912">
        <v>1149.3499999999999</v>
      </c>
      <c r="F55" s="912">
        <v>1147.2760000000001</v>
      </c>
      <c r="G55" s="910" t="s">
        <v>2229</v>
      </c>
      <c r="H55" s="912">
        <v>1148.83</v>
      </c>
      <c r="I55" s="912">
        <v>1146.93</v>
      </c>
      <c r="J55" s="914">
        <v>34.56</v>
      </c>
      <c r="K55" s="915"/>
      <c r="L55" s="916">
        <v>0.1</v>
      </c>
      <c r="M55" s="916">
        <v>0.06</v>
      </c>
      <c r="N55" s="916">
        <v>0.2</v>
      </c>
      <c r="O55" s="916">
        <v>4.8979999999999997</v>
      </c>
      <c r="P55" s="915"/>
      <c r="Q55" s="916">
        <v>2.2469999999999999</v>
      </c>
      <c r="R55" s="917">
        <v>0.33333333333333331</v>
      </c>
      <c r="S55" s="918">
        <v>1.4</v>
      </c>
      <c r="T55" s="918">
        <v>2.8980000000000001</v>
      </c>
      <c r="U55" s="916">
        <v>4.7370000000000001</v>
      </c>
      <c r="V55" s="916">
        <v>0.92</v>
      </c>
      <c r="W55" s="915"/>
      <c r="X55" s="916">
        <v>0.28299999999999997</v>
      </c>
      <c r="Y55" s="916">
        <v>0.40699999999999997</v>
      </c>
      <c r="Z55" s="916">
        <v>4.8289999999999997</v>
      </c>
      <c r="AA55" s="916">
        <v>1.0229999999999999</v>
      </c>
      <c r="AB55" s="916">
        <v>3.2589999999999999</v>
      </c>
      <c r="AC55" s="915"/>
      <c r="AD55" s="919">
        <v>169.27500000000001</v>
      </c>
      <c r="AE55" s="920">
        <v>166.89</v>
      </c>
      <c r="AF55" s="920" t="s">
        <v>21</v>
      </c>
      <c r="AG55" s="920" t="s">
        <v>21</v>
      </c>
      <c r="AH55" s="921">
        <v>166.89</v>
      </c>
      <c r="AI55" s="921" t="s">
        <v>21</v>
      </c>
      <c r="AJ55" s="920" t="s">
        <v>21</v>
      </c>
      <c r="AK55" s="920" t="s">
        <v>21</v>
      </c>
      <c r="AL55" s="921" t="s">
        <v>21</v>
      </c>
      <c r="AM55" s="921" t="s">
        <v>21</v>
      </c>
      <c r="AN55" s="920"/>
      <c r="AO55" s="920" t="s">
        <v>21</v>
      </c>
      <c r="AP55" s="919">
        <v>48.384</v>
      </c>
      <c r="AQ55" s="933">
        <v>163.71072000000001</v>
      </c>
      <c r="AR55" s="925" t="s">
        <v>21</v>
      </c>
      <c r="AS55" s="925">
        <v>163.71072000000001</v>
      </c>
      <c r="AT55" s="925" t="s">
        <v>21</v>
      </c>
      <c r="AU55" s="925" t="s">
        <v>21</v>
      </c>
      <c r="AV55" s="926" t="s">
        <v>21</v>
      </c>
      <c r="AW55" s="926" t="s">
        <v>21</v>
      </c>
      <c r="AX55" s="926" t="s">
        <v>21</v>
      </c>
      <c r="AY55" s="926" t="s">
        <v>21</v>
      </c>
      <c r="AZ55" s="925" t="s">
        <v>21</v>
      </c>
      <c r="BA55" s="925"/>
      <c r="BB55" s="919">
        <v>4.8380000000000001</v>
      </c>
      <c r="BC55" s="919" t="s">
        <v>21</v>
      </c>
      <c r="BD55" s="919" t="s">
        <v>2142</v>
      </c>
      <c r="BE55" s="925" t="s">
        <v>21</v>
      </c>
      <c r="BF55" s="926" t="s">
        <v>21</v>
      </c>
      <c r="BG55" s="925">
        <v>34.56</v>
      </c>
      <c r="BH55" s="926" t="s">
        <v>21</v>
      </c>
      <c r="BI55" s="925" t="s">
        <v>21</v>
      </c>
      <c r="BJ55" s="926" t="s">
        <v>21</v>
      </c>
      <c r="BK55" s="925" t="s">
        <v>21</v>
      </c>
      <c r="BL55" s="926" t="s">
        <v>21</v>
      </c>
      <c r="BM55" s="925" t="s">
        <v>21</v>
      </c>
      <c r="BN55" s="927"/>
      <c r="BO55" s="927"/>
      <c r="BP55" s="928">
        <v>1</v>
      </c>
      <c r="BQ55" s="928" t="s">
        <v>21</v>
      </c>
      <c r="BR55" s="928" t="s">
        <v>21</v>
      </c>
      <c r="BS55" s="928" t="s">
        <v>21</v>
      </c>
      <c r="BT55" s="928" t="s">
        <v>21</v>
      </c>
      <c r="BU55" s="928" t="s">
        <v>21</v>
      </c>
      <c r="BV55" s="934">
        <v>0.67399999999984184</v>
      </c>
      <c r="BW55" s="934">
        <v>1</v>
      </c>
      <c r="BX55" s="1104">
        <v>2</v>
      </c>
      <c r="BY55" s="931">
        <v>4</v>
      </c>
      <c r="BZ55" s="930">
        <v>1</v>
      </c>
      <c r="CA55" s="1074" t="s">
        <v>21</v>
      </c>
      <c r="CB55" s="930" t="s">
        <v>21</v>
      </c>
      <c r="CC55" s="930" t="s">
        <v>21</v>
      </c>
      <c r="CD55" s="925">
        <v>35.354999999999997</v>
      </c>
      <c r="CE55" s="1130">
        <v>112.631</v>
      </c>
      <c r="CF55" s="1129" t="s">
        <v>21</v>
      </c>
      <c r="CG55" s="1130" t="s">
        <v>21</v>
      </c>
      <c r="CH55" s="1130" t="s">
        <v>21</v>
      </c>
      <c r="CI55" s="1131" t="s">
        <v>21</v>
      </c>
      <c r="CJ55" s="1129" t="s">
        <v>21</v>
      </c>
      <c r="CK55" s="1130">
        <v>112.631</v>
      </c>
      <c r="CL55" s="1130" t="s">
        <v>21</v>
      </c>
      <c r="CM55" s="1131" t="s">
        <v>21</v>
      </c>
      <c r="CN55" s="1130" t="s">
        <v>21</v>
      </c>
      <c r="CP55" s="838" t="s">
        <v>21</v>
      </c>
      <c r="CQ55" s="838" t="s">
        <v>21</v>
      </c>
      <c r="CR55" s="836"/>
    </row>
    <row r="56" spans="1:96" x14ac:dyDescent="0.25">
      <c r="A56" s="935"/>
      <c r="B56" s="932" t="s">
        <v>2229</v>
      </c>
      <c r="C56" s="911">
        <v>600</v>
      </c>
      <c r="D56" s="911" t="s">
        <v>2116</v>
      </c>
      <c r="E56" s="912">
        <v>1148.83</v>
      </c>
      <c r="F56" s="912">
        <v>1146.93</v>
      </c>
      <c r="G56" s="910" t="s">
        <v>2253</v>
      </c>
      <c r="H56" s="912">
        <v>1148.26</v>
      </c>
      <c r="I56" s="912">
        <v>1146.3599999999999</v>
      </c>
      <c r="J56" s="914">
        <v>29.68</v>
      </c>
      <c r="K56" s="915"/>
      <c r="L56" s="916">
        <v>0.1</v>
      </c>
      <c r="M56" s="916">
        <v>0.06</v>
      </c>
      <c r="N56" s="916">
        <v>0.2</v>
      </c>
      <c r="O56" s="916">
        <v>4.84</v>
      </c>
      <c r="P56" s="915"/>
      <c r="Q56" s="916">
        <v>2.16</v>
      </c>
      <c r="R56" s="917">
        <v>0.33333333333333331</v>
      </c>
      <c r="S56" s="918">
        <v>1.4</v>
      </c>
      <c r="T56" s="918">
        <v>2.84</v>
      </c>
      <c r="U56" s="916">
        <v>4.5540000000000003</v>
      </c>
      <c r="V56" s="916">
        <v>0.92</v>
      </c>
      <c r="W56" s="915"/>
      <c r="X56" s="916">
        <v>0.28299999999999997</v>
      </c>
      <c r="Y56" s="916">
        <v>0.40699999999999997</v>
      </c>
      <c r="Z56" s="916">
        <v>4.5789999999999997</v>
      </c>
      <c r="AA56" s="916">
        <v>1.0229999999999999</v>
      </c>
      <c r="AB56" s="916">
        <v>3.0089999999999999</v>
      </c>
      <c r="AC56" s="915"/>
      <c r="AD56" s="919">
        <v>143.65100000000001</v>
      </c>
      <c r="AE56" s="920">
        <v>135.905</v>
      </c>
      <c r="AF56" s="920" t="s">
        <v>21</v>
      </c>
      <c r="AG56" s="920" t="s">
        <v>21</v>
      </c>
      <c r="AH56" s="921">
        <v>135.905</v>
      </c>
      <c r="AI56" s="921" t="s">
        <v>21</v>
      </c>
      <c r="AJ56" s="920" t="s">
        <v>21</v>
      </c>
      <c r="AK56" s="920" t="s">
        <v>21</v>
      </c>
      <c r="AL56" s="921" t="s">
        <v>21</v>
      </c>
      <c r="AM56" s="921" t="s">
        <v>21</v>
      </c>
      <c r="AN56" s="920"/>
      <c r="AO56" s="920" t="s">
        <v>21</v>
      </c>
      <c r="AP56" s="919">
        <v>41.552</v>
      </c>
      <c r="AQ56" s="933">
        <v>135.16272000000001</v>
      </c>
      <c r="AR56" s="925" t="s">
        <v>21</v>
      </c>
      <c r="AS56" s="925">
        <v>135.16272000000001</v>
      </c>
      <c r="AT56" s="925" t="s">
        <v>21</v>
      </c>
      <c r="AU56" s="925" t="s">
        <v>21</v>
      </c>
      <c r="AV56" s="926" t="s">
        <v>21</v>
      </c>
      <c r="AW56" s="926" t="s">
        <v>21</v>
      </c>
      <c r="AX56" s="926" t="s">
        <v>21</v>
      </c>
      <c r="AY56" s="926" t="s">
        <v>21</v>
      </c>
      <c r="AZ56" s="925" t="s">
        <v>21</v>
      </c>
      <c r="BA56" s="925"/>
      <c r="BB56" s="919">
        <v>4.1550000000000002</v>
      </c>
      <c r="BC56" s="919" t="s">
        <v>21</v>
      </c>
      <c r="BD56" s="919" t="s">
        <v>2142</v>
      </c>
      <c r="BE56" s="925" t="s">
        <v>21</v>
      </c>
      <c r="BF56" s="926" t="s">
        <v>21</v>
      </c>
      <c r="BG56" s="925">
        <v>29.68</v>
      </c>
      <c r="BH56" s="926" t="s">
        <v>21</v>
      </c>
      <c r="BI56" s="925" t="s">
        <v>21</v>
      </c>
      <c r="BJ56" s="926" t="s">
        <v>21</v>
      </c>
      <c r="BK56" s="925" t="s">
        <v>21</v>
      </c>
      <c r="BL56" s="926" t="s">
        <v>21</v>
      </c>
      <c r="BM56" s="925" t="s">
        <v>21</v>
      </c>
      <c r="BN56" s="927"/>
      <c r="BO56" s="927"/>
      <c r="BP56" s="928">
        <v>1</v>
      </c>
      <c r="BQ56" s="928" t="s">
        <v>21</v>
      </c>
      <c r="BR56" s="928" t="s">
        <v>21</v>
      </c>
      <c r="BS56" s="928" t="s">
        <v>21</v>
      </c>
      <c r="BT56" s="928" t="s">
        <v>21</v>
      </c>
      <c r="BU56" s="928" t="s">
        <v>21</v>
      </c>
      <c r="BV56" s="934">
        <v>0.49999999999986366</v>
      </c>
      <c r="BW56" s="934">
        <v>0.5</v>
      </c>
      <c r="BX56" s="1104">
        <v>1</v>
      </c>
      <c r="BY56" s="931">
        <v>3</v>
      </c>
      <c r="BZ56" s="930">
        <v>1</v>
      </c>
      <c r="CA56" s="1074" t="s">
        <v>21</v>
      </c>
      <c r="CB56" s="930" t="s">
        <v>21</v>
      </c>
      <c r="CC56" s="930" t="s">
        <v>21</v>
      </c>
      <c r="CD56" s="925">
        <v>30.363</v>
      </c>
      <c r="CE56" s="1130">
        <v>89.307000000000002</v>
      </c>
      <c r="CF56" s="1129" t="s">
        <v>21</v>
      </c>
      <c r="CG56" s="1130" t="s">
        <v>21</v>
      </c>
      <c r="CH56" s="1130" t="s">
        <v>21</v>
      </c>
      <c r="CI56" s="1131" t="s">
        <v>21</v>
      </c>
      <c r="CJ56" s="1129" t="s">
        <v>21</v>
      </c>
      <c r="CK56" s="1130">
        <v>89.307000000000002</v>
      </c>
      <c r="CL56" s="1130" t="s">
        <v>21</v>
      </c>
      <c r="CM56" s="1131" t="s">
        <v>21</v>
      </c>
      <c r="CN56" s="1130" t="s">
        <v>21</v>
      </c>
      <c r="CP56" s="838" t="s">
        <v>21</v>
      </c>
      <c r="CQ56" s="838" t="s">
        <v>21</v>
      </c>
      <c r="CR56" s="836"/>
    </row>
    <row r="57" spans="1:96" x14ac:dyDescent="0.25">
      <c r="A57" s="935"/>
      <c r="B57" s="932" t="s">
        <v>2253</v>
      </c>
      <c r="C57" s="911">
        <v>600</v>
      </c>
      <c r="D57" s="911" t="s">
        <v>2116</v>
      </c>
      <c r="E57" s="912">
        <v>1148.26</v>
      </c>
      <c r="F57" s="912">
        <v>1146.3599999999999</v>
      </c>
      <c r="G57" s="910" t="s">
        <v>2254</v>
      </c>
      <c r="H57" s="912">
        <v>1146.8800000000001</v>
      </c>
      <c r="I57" s="912">
        <v>1144.98</v>
      </c>
      <c r="J57" s="914">
        <v>33.42</v>
      </c>
      <c r="K57" s="915"/>
      <c r="L57" s="916">
        <v>0.1</v>
      </c>
      <c r="M57" s="916">
        <v>0.06</v>
      </c>
      <c r="N57" s="916">
        <v>0.2</v>
      </c>
      <c r="O57" s="916">
        <v>4.84</v>
      </c>
      <c r="P57" s="915"/>
      <c r="Q57" s="916">
        <v>2.16</v>
      </c>
      <c r="R57" s="917">
        <v>0.33333333333333331</v>
      </c>
      <c r="S57" s="918">
        <v>1.4</v>
      </c>
      <c r="T57" s="918">
        <v>2.84</v>
      </c>
      <c r="U57" s="916">
        <v>4.5540000000000003</v>
      </c>
      <c r="V57" s="916">
        <v>0.92</v>
      </c>
      <c r="W57" s="915"/>
      <c r="X57" s="916">
        <v>0.28299999999999997</v>
      </c>
      <c r="Y57" s="916">
        <v>0.40699999999999997</v>
      </c>
      <c r="Z57" s="916">
        <v>4.5789999999999997</v>
      </c>
      <c r="AA57" s="916">
        <v>1.0229999999999999</v>
      </c>
      <c r="AB57" s="916">
        <v>3.0089999999999999</v>
      </c>
      <c r="AC57" s="915"/>
      <c r="AD57" s="919">
        <v>161.75299999999999</v>
      </c>
      <c r="AE57" s="920">
        <v>153.03</v>
      </c>
      <c r="AF57" s="920" t="s">
        <v>21</v>
      </c>
      <c r="AG57" s="920" t="s">
        <v>21</v>
      </c>
      <c r="AH57" s="921">
        <v>153.03</v>
      </c>
      <c r="AI57" s="921" t="s">
        <v>21</v>
      </c>
      <c r="AJ57" s="920" t="s">
        <v>21</v>
      </c>
      <c r="AK57" s="920" t="s">
        <v>21</v>
      </c>
      <c r="AL57" s="921" t="s">
        <v>21</v>
      </c>
      <c r="AM57" s="921" t="s">
        <v>21</v>
      </c>
      <c r="AN57" s="920"/>
      <c r="AO57" s="920" t="s">
        <v>21</v>
      </c>
      <c r="AP57" s="919">
        <v>46.787999999999997</v>
      </c>
      <c r="AQ57" s="933">
        <v>152.19468000000001</v>
      </c>
      <c r="AR57" s="925" t="s">
        <v>21</v>
      </c>
      <c r="AS57" s="925">
        <v>152.19468000000001</v>
      </c>
      <c r="AT57" s="925" t="s">
        <v>21</v>
      </c>
      <c r="AU57" s="925" t="s">
        <v>21</v>
      </c>
      <c r="AV57" s="926" t="s">
        <v>21</v>
      </c>
      <c r="AW57" s="926" t="s">
        <v>21</v>
      </c>
      <c r="AX57" s="926" t="s">
        <v>21</v>
      </c>
      <c r="AY57" s="926" t="s">
        <v>21</v>
      </c>
      <c r="AZ57" s="925" t="s">
        <v>21</v>
      </c>
      <c r="BA57" s="925"/>
      <c r="BB57" s="919">
        <v>4.6790000000000003</v>
      </c>
      <c r="BC57" s="919" t="s">
        <v>21</v>
      </c>
      <c r="BD57" s="919" t="s">
        <v>2142</v>
      </c>
      <c r="BE57" s="925" t="s">
        <v>21</v>
      </c>
      <c r="BF57" s="926" t="s">
        <v>21</v>
      </c>
      <c r="BG57" s="925">
        <v>33.42</v>
      </c>
      <c r="BH57" s="926" t="s">
        <v>21</v>
      </c>
      <c r="BI57" s="925" t="s">
        <v>21</v>
      </c>
      <c r="BJ57" s="926" t="s">
        <v>21</v>
      </c>
      <c r="BK57" s="925" t="s">
        <v>21</v>
      </c>
      <c r="BL57" s="926" t="s">
        <v>21</v>
      </c>
      <c r="BM57" s="925" t="s">
        <v>21</v>
      </c>
      <c r="BN57" s="927"/>
      <c r="BO57" s="927"/>
      <c r="BP57" s="928">
        <v>1</v>
      </c>
      <c r="BQ57" s="928" t="s">
        <v>21</v>
      </c>
      <c r="BR57" s="928" t="s">
        <v>21</v>
      </c>
      <c r="BS57" s="928" t="s">
        <v>21</v>
      </c>
      <c r="BT57" s="928" t="s">
        <v>21</v>
      </c>
      <c r="BU57" s="928" t="s">
        <v>21</v>
      </c>
      <c r="BV57" s="934">
        <v>0.50000000000009104</v>
      </c>
      <c r="BW57" s="934">
        <v>1</v>
      </c>
      <c r="BX57" s="1104">
        <v>2</v>
      </c>
      <c r="BY57" s="931">
        <v>4</v>
      </c>
      <c r="BZ57" s="930" t="s">
        <v>21</v>
      </c>
      <c r="CA57" s="1074">
        <v>1</v>
      </c>
      <c r="CB57" s="930" t="s">
        <v>21</v>
      </c>
      <c r="CC57" s="930" t="s">
        <v>21</v>
      </c>
      <c r="CD57" s="925">
        <v>34.189</v>
      </c>
      <c r="CE57" s="1130">
        <v>100.56100000000001</v>
      </c>
      <c r="CF57" s="1129" t="s">
        <v>21</v>
      </c>
      <c r="CG57" s="1130" t="s">
        <v>21</v>
      </c>
      <c r="CH57" s="1130" t="s">
        <v>21</v>
      </c>
      <c r="CI57" s="1131" t="s">
        <v>21</v>
      </c>
      <c r="CJ57" s="1129" t="s">
        <v>21</v>
      </c>
      <c r="CK57" s="1130">
        <v>100.56100000000001</v>
      </c>
      <c r="CL57" s="1130" t="s">
        <v>21</v>
      </c>
      <c r="CM57" s="1131" t="s">
        <v>21</v>
      </c>
      <c r="CN57" s="1130" t="s">
        <v>21</v>
      </c>
      <c r="CP57" s="838" t="s">
        <v>21</v>
      </c>
      <c r="CQ57" s="838" t="s">
        <v>21</v>
      </c>
      <c r="CR57" s="836"/>
    </row>
    <row r="58" spans="1:96" x14ac:dyDescent="0.25">
      <c r="A58" s="935"/>
      <c r="B58" s="932" t="s">
        <v>2254</v>
      </c>
      <c r="C58" s="911">
        <v>600</v>
      </c>
      <c r="D58" s="911" t="s">
        <v>2116</v>
      </c>
      <c r="E58" s="912">
        <v>1146.8800000000001</v>
      </c>
      <c r="F58" s="912">
        <v>1144.73</v>
      </c>
      <c r="G58" s="910" t="s">
        <v>2255</v>
      </c>
      <c r="H58" s="912">
        <v>1146.2</v>
      </c>
      <c r="I58" s="912">
        <v>1144.0999999999999</v>
      </c>
      <c r="J58" s="914">
        <v>57.07</v>
      </c>
      <c r="K58" s="915"/>
      <c r="L58" s="916">
        <v>0.1</v>
      </c>
      <c r="M58" s="916">
        <v>0.06</v>
      </c>
      <c r="N58" s="916">
        <v>0.2</v>
      </c>
      <c r="O58" s="916">
        <v>4.99</v>
      </c>
      <c r="P58" s="915"/>
      <c r="Q58" s="916">
        <v>2.3849999999999998</v>
      </c>
      <c r="R58" s="917">
        <v>0.33333333333333331</v>
      </c>
      <c r="S58" s="918">
        <v>1.4</v>
      </c>
      <c r="T58" s="918">
        <v>2.99</v>
      </c>
      <c r="U58" s="916">
        <v>5.0279999999999996</v>
      </c>
      <c r="V58" s="916">
        <v>0.92</v>
      </c>
      <c r="W58" s="915"/>
      <c r="X58" s="916">
        <v>0.28299999999999997</v>
      </c>
      <c r="Y58" s="916">
        <v>0.40699999999999997</v>
      </c>
      <c r="Z58" s="916">
        <v>5.2350000000000003</v>
      </c>
      <c r="AA58" s="916">
        <v>1.0229999999999999</v>
      </c>
      <c r="AB58" s="916">
        <v>3.665</v>
      </c>
      <c r="AC58" s="915"/>
      <c r="AD58" s="919">
        <v>284.779</v>
      </c>
      <c r="AE58" s="920">
        <v>298.76100000000002</v>
      </c>
      <c r="AF58" s="920" t="s">
        <v>21</v>
      </c>
      <c r="AG58" s="920" t="s">
        <v>21</v>
      </c>
      <c r="AH58" s="921">
        <v>298.76100000000002</v>
      </c>
      <c r="AI58" s="921" t="s">
        <v>21</v>
      </c>
      <c r="AJ58" s="920" t="s">
        <v>21</v>
      </c>
      <c r="AK58" s="920" t="s">
        <v>21</v>
      </c>
      <c r="AL58" s="921" t="s">
        <v>21</v>
      </c>
      <c r="AM58" s="921" t="s">
        <v>21</v>
      </c>
      <c r="AN58" s="920"/>
      <c r="AO58" s="920" t="s">
        <v>21</v>
      </c>
      <c r="AP58" s="919">
        <v>79.897999999999996</v>
      </c>
      <c r="AQ58" s="933">
        <v>286.94795999999997</v>
      </c>
      <c r="AR58" s="925" t="s">
        <v>21</v>
      </c>
      <c r="AS58" s="925">
        <v>286.94795999999997</v>
      </c>
      <c r="AT58" s="925" t="s">
        <v>21</v>
      </c>
      <c r="AU58" s="925" t="s">
        <v>21</v>
      </c>
      <c r="AV58" s="926" t="s">
        <v>21</v>
      </c>
      <c r="AW58" s="926" t="s">
        <v>21</v>
      </c>
      <c r="AX58" s="926" t="s">
        <v>21</v>
      </c>
      <c r="AY58" s="926" t="s">
        <v>21</v>
      </c>
      <c r="AZ58" s="925" t="s">
        <v>21</v>
      </c>
      <c r="BA58" s="925"/>
      <c r="BB58" s="919">
        <v>7.99</v>
      </c>
      <c r="BC58" s="919" t="s">
        <v>21</v>
      </c>
      <c r="BD58" s="919" t="s">
        <v>2142</v>
      </c>
      <c r="BE58" s="925" t="s">
        <v>21</v>
      </c>
      <c r="BF58" s="926" t="s">
        <v>21</v>
      </c>
      <c r="BG58" s="925">
        <v>57.07</v>
      </c>
      <c r="BH58" s="926" t="s">
        <v>21</v>
      </c>
      <c r="BI58" s="925" t="s">
        <v>21</v>
      </c>
      <c r="BJ58" s="926" t="s">
        <v>21</v>
      </c>
      <c r="BK58" s="925" t="s">
        <v>21</v>
      </c>
      <c r="BL58" s="926" t="s">
        <v>21</v>
      </c>
      <c r="BM58" s="925" t="s">
        <v>21</v>
      </c>
      <c r="BN58" s="927"/>
      <c r="BO58" s="927"/>
      <c r="BP58" s="928">
        <v>1</v>
      </c>
      <c r="BQ58" s="928" t="s">
        <v>21</v>
      </c>
      <c r="BR58" s="928" t="s">
        <v>21</v>
      </c>
      <c r="BS58" s="928" t="s">
        <v>21</v>
      </c>
      <c r="BT58" s="928" t="s">
        <v>21</v>
      </c>
      <c r="BU58" s="928" t="s">
        <v>21</v>
      </c>
      <c r="BV58" s="934">
        <v>0.75000000000009104</v>
      </c>
      <c r="BW58" s="934">
        <v>1</v>
      </c>
      <c r="BX58" s="1104">
        <v>2</v>
      </c>
      <c r="BY58" s="931">
        <v>4</v>
      </c>
      <c r="BZ58" s="930" t="s">
        <v>21</v>
      </c>
      <c r="CA58" s="1074" t="s">
        <v>21</v>
      </c>
      <c r="CB58" s="930" t="s">
        <v>21</v>
      </c>
      <c r="CC58" s="930" t="s">
        <v>21</v>
      </c>
      <c r="CD58" s="925">
        <v>58.383000000000003</v>
      </c>
      <c r="CE58" s="1130">
        <v>209.16200000000001</v>
      </c>
      <c r="CF58" s="1129" t="s">
        <v>21</v>
      </c>
      <c r="CG58" s="1130" t="s">
        <v>21</v>
      </c>
      <c r="CH58" s="1130" t="s">
        <v>21</v>
      </c>
      <c r="CI58" s="1131" t="s">
        <v>21</v>
      </c>
      <c r="CJ58" s="1129" t="s">
        <v>21</v>
      </c>
      <c r="CK58" s="1130">
        <v>209.16200000000001</v>
      </c>
      <c r="CL58" s="1130" t="s">
        <v>21</v>
      </c>
      <c r="CM58" s="1131" t="s">
        <v>21</v>
      </c>
      <c r="CN58" s="1130" t="s">
        <v>21</v>
      </c>
      <c r="CP58" s="838" t="s">
        <v>21</v>
      </c>
      <c r="CQ58" s="838" t="s">
        <v>21</v>
      </c>
      <c r="CR58" s="836"/>
    </row>
    <row r="59" spans="1:96" x14ac:dyDescent="0.25">
      <c r="A59" s="935"/>
      <c r="B59" s="932" t="s">
        <v>2255</v>
      </c>
      <c r="C59" s="911">
        <v>600</v>
      </c>
      <c r="D59" s="911" t="s">
        <v>2116</v>
      </c>
      <c r="E59" s="912">
        <v>1146.2</v>
      </c>
      <c r="F59" s="912">
        <v>1143.0999999999999</v>
      </c>
      <c r="G59" s="910" t="s">
        <v>2256</v>
      </c>
      <c r="H59" s="912">
        <v>1142.32</v>
      </c>
      <c r="I59" s="912">
        <v>1140.42</v>
      </c>
      <c r="J59" s="914">
        <v>23.6</v>
      </c>
      <c r="K59" s="915"/>
      <c r="L59" s="916">
        <v>0.1</v>
      </c>
      <c r="M59" s="916">
        <v>0.06</v>
      </c>
      <c r="N59" s="916">
        <v>0.2</v>
      </c>
      <c r="O59" s="916">
        <v>5.24</v>
      </c>
      <c r="P59" s="915"/>
      <c r="Q59" s="916">
        <v>2.76</v>
      </c>
      <c r="R59" s="917">
        <v>0.33333333333333331</v>
      </c>
      <c r="S59" s="918">
        <v>1.4</v>
      </c>
      <c r="T59" s="918">
        <v>3.24</v>
      </c>
      <c r="U59" s="916">
        <v>5.819</v>
      </c>
      <c r="V59" s="916">
        <v>0.92</v>
      </c>
      <c r="W59" s="915"/>
      <c r="X59" s="916">
        <v>0.28299999999999997</v>
      </c>
      <c r="Y59" s="916">
        <v>0.40699999999999997</v>
      </c>
      <c r="Z59" s="916">
        <v>6.4029999999999996</v>
      </c>
      <c r="AA59" s="916">
        <v>1.0229999999999999</v>
      </c>
      <c r="AB59" s="916">
        <v>4.8330000000000002</v>
      </c>
      <c r="AC59" s="915"/>
      <c r="AD59" s="919">
        <v>123.664</v>
      </c>
      <c r="AE59" s="920">
        <v>151.11099999999999</v>
      </c>
      <c r="AF59" s="920" t="s">
        <v>21</v>
      </c>
      <c r="AG59" s="920" t="s">
        <v>21</v>
      </c>
      <c r="AH59" s="921">
        <v>151.11099999999999</v>
      </c>
      <c r="AI59" s="921" t="s">
        <v>21</v>
      </c>
      <c r="AJ59" s="920" t="s">
        <v>21</v>
      </c>
      <c r="AK59" s="920" t="s">
        <v>21</v>
      </c>
      <c r="AL59" s="921" t="s">
        <v>21</v>
      </c>
      <c r="AM59" s="921" t="s">
        <v>21</v>
      </c>
      <c r="AN59" s="920"/>
      <c r="AO59" s="920" t="s">
        <v>21</v>
      </c>
      <c r="AP59" s="919">
        <v>33.04</v>
      </c>
      <c r="AQ59" s="933">
        <v>137.32840000000002</v>
      </c>
      <c r="AR59" s="925" t="s">
        <v>21</v>
      </c>
      <c r="AS59" s="925">
        <v>137.32840000000002</v>
      </c>
      <c r="AT59" s="925" t="s">
        <v>21</v>
      </c>
      <c r="AU59" s="925" t="s">
        <v>21</v>
      </c>
      <c r="AV59" s="926" t="s">
        <v>21</v>
      </c>
      <c r="AW59" s="926" t="s">
        <v>21</v>
      </c>
      <c r="AX59" s="926" t="s">
        <v>21</v>
      </c>
      <c r="AY59" s="926" t="s">
        <v>21</v>
      </c>
      <c r="AZ59" s="925" t="s">
        <v>21</v>
      </c>
      <c r="BA59" s="925"/>
      <c r="BB59" s="919">
        <v>3.3039999999999998</v>
      </c>
      <c r="BC59" s="919" t="s">
        <v>21</v>
      </c>
      <c r="BD59" s="919" t="s">
        <v>2142</v>
      </c>
      <c r="BE59" s="925" t="s">
        <v>21</v>
      </c>
      <c r="BF59" s="926" t="s">
        <v>21</v>
      </c>
      <c r="BG59" s="925">
        <v>23.6</v>
      </c>
      <c r="BH59" s="926" t="s">
        <v>21</v>
      </c>
      <c r="BI59" s="925" t="s">
        <v>21</v>
      </c>
      <c r="BJ59" s="926" t="s">
        <v>21</v>
      </c>
      <c r="BK59" s="925" t="s">
        <v>21</v>
      </c>
      <c r="BL59" s="926" t="s">
        <v>21</v>
      </c>
      <c r="BM59" s="925" t="s">
        <v>21</v>
      </c>
      <c r="BN59" s="927"/>
      <c r="BO59" s="927"/>
      <c r="BP59" s="928">
        <v>1</v>
      </c>
      <c r="BQ59" s="928" t="s">
        <v>21</v>
      </c>
      <c r="BR59" s="928" t="s">
        <v>21</v>
      </c>
      <c r="BS59" s="928" t="s">
        <v>21</v>
      </c>
      <c r="BT59" s="928" t="s">
        <v>21</v>
      </c>
      <c r="BU59" s="928" t="s">
        <v>21</v>
      </c>
      <c r="BV59" s="934">
        <v>1.7000000000001365</v>
      </c>
      <c r="BW59" s="934">
        <v>2</v>
      </c>
      <c r="BX59" s="1104">
        <v>4</v>
      </c>
      <c r="BY59" s="931">
        <v>6</v>
      </c>
      <c r="BZ59" s="930" t="s">
        <v>21</v>
      </c>
      <c r="CA59" s="1074" t="s">
        <v>21</v>
      </c>
      <c r="CB59" s="930" t="s">
        <v>21</v>
      </c>
      <c r="CC59" s="930" t="s">
        <v>21</v>
      </c>
      <c r="CD59" s="925">
        <v>24.143000000000001</v>
      </c>
      <c r="CE59" s="1130">
        <v>114.059</v>
      </c>
      <c r="CF59" s="1129" t="s">
        <v>21</v>
      </c>
      <c r="CG59" s="1130" t="s">
        <v>21</v>
      </c>
      <c r="CH59" s="1130" t="s">
        <v>21</v>
      </c>
      <c r="CI59" s="1131" t="s">
        <v>21</v>
      </c>
      <c r="CJ59" s="1129" t="s">
        <v>21</v>
      </c>
      <c r="CK59" s="1130">
        <v>114.059</v>
      </c>
      <c r="CL59" s="1130" t="s">
        <v>21</v>
      </c>
      <c r="CM59" s="1131" t="s">
        <v>21</v>
      </c>
      <c r="CN59" s="1130" t="s">
        <v>21</v>
      </c>
      <c r="CP59" s="838" t="s">
        <v>21</v>
      </c>
      <c r="CQ59" s="838" t="s">
        <v>21</v>
      </c>
      <c r="CR59" s="836"/>
    </row>
    <row r="60" spans="1:96" x14ac:dyDescent="0.25">
      <c r="A60" s="935"/>
      <c r="B60" s="932" t="s">
        <v>2256</v>
      </c>
      <c r="C60" s="911">
        <v>800</v>
      </c>
      <c r="D60" s="911" t="s">
        <v>2116</v>
      </c>
      <c r="E60" s="912">
        <v>1142.32</v>
      </c>
      <c r="F60" s="912">
        <v>1140.07</v>
      </c>
      <c r="G60" s="910" t="s">
        <v>2257</v>
      </c>
      <c r="H60" s="912">
        <v>1142.1199999999999</v>
      </c>
      <c r="I60" s="912">
        <v>1139.77</v>
      </c>
      <c r="J60" s="914">
        <v>43.78</v>
      </c>
      <c r="K60" s="915"/>
      <c r="L60" s="916">
        <v>0.15</v>
      </c>
      <c r="M60" s="916">
        <v>7.5999999999999998E-2</v>
      </c>
      <c r="N60" s="916">
        <v>0.2</v>
      </c>
      <c r="O60" s="916">
        <v>5.4510000000000005</v>
      </c>
      <c r="P60" s="915"/>
      <c r="Q60" s="916">
        <v>2.6259999999999999</v>
      </c>
      <c r="R60" s="917">
        <v>0.33333333333333331</v>
      </c>
      <c r="S60" s="918">
        <v>1.7</v>
      </c>
      <c r="T60" s="918">
        <v>3.4510000000000001</v>
      </c>
      <c r="U60" s="916">
        <v>5.5359999999999996</v>
      </c>
      <c r="V60" s="916">
        <v>1.1519999999999999</v>
      </c>
      <c r="W60" s="915"/>
      <c r="X60" s="916">
        <v>0.503</v>
      </c>
      <c r="Y60" s="916">
        <v>0.71199999999999997</v>
      </c>
      <c r="Z60" s="916">
        <v>6.7629999999999999</v>
      </c>
      <c r="AA60" s="916">
        <v>1.4339999999999999</v>
      </c>
      <c r="AB60" s="916">
        <v>4.3620000000000001</v>
      </c>
      <c r="AC60" s="915"/>
      <c r="AD60" s="919">
        <v>238.64500000000001</v>
      </c>
      <c r="AE60" s="920">
        <v>296.084</v>
      </c>
      <c r="AF60" s="920" t="s">
        <v>21</v>
      </c>
      <c r="AG60" s="920" t="s">
        <v>21</v>
      </c>
      <c r="AH60" s="921" t="s">
        <v>21</v>
      </c>
      <c r="AI60" s="921">
        <v>296.084</v>
      </c>
      <c r="AJ60" s="920" t="s">
        <v>21</v>
      </c>
      <c r="AK60" s="920" t="s">
        <v>21</v>
      </c>
      <c r="AL60" s="921" t="s">
        <v>21</v>
      </c>
      <c r="AM60" s="921" t="s">
        <v>21</v>
      </c>
      <c r="AN60" s="920"/>
      <c r="AO60" s="920" t="s">
        <v>21</v>
      </c>
      <c r="AP60" s="919">
        <v>74.426000000000002</v>
      </c>
      <c r="AQ60" s="933">
        <v>242.36607999999998</v>
      </c>
      <c r="AR60" s="925" t="s">
        <v>21</v>
      </c>
      <c r="AS60" s="925" t="s">
        <v>21</v>
      </c>
      <c r="AT60" s="925" t="s">
        <v>21</v>
      </c>
      <c r="AU60" s="925" t="s">
        <v>21</v>
      </c>
      <c r="AV60" s="926" t="s">
        <v>21</v>
      </c>
      <c r="AW60" s="926">
        <v>242.36607999999998</v>
      </c>
      <c r="AX60" s="926" t="s">
        <v>21</v>
      </c>
      <c r="AY60" s="926" t="s">
        <v>21</v>
      </c>
      <c r="AZ60" s="925" t="s">
        <v>21</v>
      </c>
      <c r="BA60" s="925"/>
      <c r="BB60" s="919" t="s">
        <v>21</v>
      </c>
      <c r="BC60" s="919">
        <v>11.164</v>
      </c>
      <c r="BD60" s="919" t="s">
        <v>2142</v>
      </c>
      <c r="BE60" s="925" t="s">
        <v>21</v>
      </c>
      <c r="BF60" s="926" t="s">
        <v>21</v>
      </c>
      <c r="BG60" s="925" t="s">
        <v>21</v>
      </c>
      <c r="BH60" s="926">
        <v>43.78</v>
      </c>
      <c r="BI60" s="925" t="s">
        <v>21</v>
      </c>
      <c r="BJ60" s="926" t="s">
        <v>21</v>
      </c>
      <c r="BK60" s="925" t="s">
        <v>21</v>
      </c>
      <c r="BL60" s="926" t="s">
        <v>21</v>
      </c>
      <c r="BM60" s="925" t="s">
        <v>21</v>
      </c>
      <c r="BN60" s="927"/>
      <c r="BO60" s="927"/>
      <c r="BP60" s="928" t="s">
        <v>21</v>
      </c>
      <c r="BQ60" s="928">
        <v>1</v>
      </c>
      <c r="BR60" s="928" t="s">
        <v>21</v>
      </c>
      <c r="BS60" s="928" t="s">
        <v>21</v>
      </c>
      <c r="BT60" s="928" t="s">
        <v>21</v>
      </c>
      <c r="BU60" s="928" t="s">
        <v>21</v>
      </c>
      <c r="BV60" s="934">
        <v>0.75</v>
      </c>
      <c r="BW60" s="934">
        <v>1</v>
      </c>
      <c r="BX60" s="1104">
        <v>2</v>
      </c>
      <c r="BY60" s="931">
        <v>4</v>
      </c>
      <c r="BZ60" s="930" t="s">
        <v>21</v>
      </c>
      <c r="CA60" s="1074" t="s">
        <v>21</v>
      </c>
      <c r="CB60" s="930" t="s">
        <v>21</v>
      </c>
      <c r="CC60" s="930" t="s">
        <v>21</v>
      </c>
      <c r="CD60" s="925">
        <v>62.780999999999999</v>
      </c>
      <c r="CE60" s="1130">
        <v>190.96799999999999</v>
      </c>
      <c r="CF60" s="1129" t="s">
        <v>21</v>
      </c>
      <c r="CG60" s="1130" t="s">
        <v>21</v>
      </c>
      <c r="CH60" s="1130" t="s">
        <v>21</v>
      </c>
      <c r="CI60" s="1131" t="s">
        <v>21</v>
      </c>
      <c r="CJ60" s="1129" t="s">
        <v>21</v>
      </c>
      <c r="CK60" s="1130" t="s">
        <v>21</v>
      </c>
      <c r="CL60" s="1130" t="s">
        <v>21</v>
      </c>
      <c r="CM60" s="1131" t="s">
        <v>21</v>
      </c>
      <c r="CN60" s="1130">
        <v>190.96799999999999</v>
      </c>
      <c r="CP60" s="838" t="s">
        <v>21</v>
      </c>
      <c r="CQ60" s="838" t="s">
        <v>21</v>
      </c>
      <c r="CR60" s="836"/>
    </row>
    <row r="61" spans="1:96" x14ac:dyDescent="0.25">
      <c r="A61" s="935"/>
      <c r="B61" s="932" t="s">
        <v>2257</v>
      </c>
      <c r="C61" s="911">
        <v>800</v>
      </c>
      <c r="D61" s="911" t="s">
        <v>2116</v>
      </c>
      <c r="E61" s="912">
        <v>1142.1199999999999</v>
      </c>
      <c r="F61" s="912">
        <v>1139.72</v>
      </c>
      <c r="G61" s="910" t="s">
        <v>2258</v>
      </c>
      <c r="H61" s="912">
        <v>1141.6600000000001</v>
      </c>
      <c r="I61" s="912">
        <v>1139.4100000000001</v>
      </c>
      <c r="J61" s="914">
        <v>35.86</v>
      </c>
      <c r="K61" s="915"/>
      <c r="L61" s="916">
        <v>0.15</v>
      </c>
      <c r="M61" s="916">
        <v>7.5999999999999998E-2</v>
      </c>
      <c r="N61" s="916">
        <v>0.2</v>
      </c>
      <c r="O61" s="916">
        <v>5.4670000000000005</v>
      </c>
      <c r="P61" s="915"/>
      <c r="Q61" s="916">
        <v>2.6509999999999998</v>
      </c>
      <c r="R61" s="917">
        <v>0.33333333333333331</v>
      </c>
      <c r="S61" s="918">
        <v>1.7</v>
      </c>
      <c r="T61" s="918">
        <v>3.4670000000000001</v>
      </c>
      <c r="U61" s="916">
        <v>5.5890000000000004</v>
      </c>
      <c r="V61" s="916">
        <v>1.1519999999999999</v>
      </c>
      <c r="W61" s="915"/>
      <c r="X61" s="916">
        <v>0.503</v>
      </c>
      <c r="Y61" s="916">
        <v>0.71199999999999997</v>
      </c>
      <c r="Z61" s="916">
        <v>6.8490000000000002</v>
      </c>
      <c r="AA61" s="916">
        <v>1.4339999999999999</v>
      </c>
      <c r="AB61" s="916">
        <v>4.4480000000000004</v>
      </c>
      <c r="AC61" s="915"/>
      <c r="AD61" s="919">
        <v>196.047</v>
      </c>
      <c r="AE61" s="920">
        <v>245.60499999999999</v>
      </c>
      <c r="AF61" s="920" t="s">
        <v>21</v>
      </c>
      <c r="AG61" s="920" t="s">
        <v>21</v>
      </c>
      <c r="AH61" s="921" t="s">
        <v>21</v>
      </c>
      <c r="AI61" s="921">
        <v>245.60499999999999</v>
      </c>
      <c r="AJ61" s="920" t="s">
        <v>21</v>
      </c>
      <c r="AK61" s="920" t="s">
        <v>21</v>
      </c>
      <c r="AL61" s="921" t="s">
        <v>21</v>
      </c>
      <c r="AM61" s="921" t="s">
        <v>21</v>
      </c>
      <c r="AN61" s="920"/>
      <c r="AO61" s="920" t="s">
        <v>21</v>
      </c>
      <c r="AP61" s="919">
        <v>60.962000000000003</v>
      </c>
      <c r="AQ61" s="933">
        <v>200.42154000000002</v>
      </c>
      <c r="AR61" s="925" t="s">
        <v>21</v>
      </c>
      <c r="AS61" s="925" t="s">
        <v>21</v>
      </c>
      <c r="AT61" s="925" t="s">
        <v>21</v>
      </c>
      <c r="AU61" s="925" t="s">
        <v>21</v>
      </c>
      <c r="AV61" s="926" t="s">
        <v>21</v>
      </c>
      <c r="AW61" s="926">
        <v>200.42154000000002</v>
      </c>
      <c r="AX61" s="926" t="s">
        <v>21</v>
      </c>
      <c r="AY61" s="926" t="s">
        <v>21</v>
      </c>
      <c r="AZ61" s="925" t="s">
        <v>21</v>
      </c>
      <c r="BA61" s="925"/>
      <c r="BB61" s="919" t="s">
        <v>21</v>
      </c>
      <c r="BC61" s="919">
        <v>9.1440000000000001</v>
      </c>
      <c r="BD61" s="919" t="s">
        <v>2142</v>
      </c>
      <c r="BE61" s="925" t="s">
        <v>21</v>
      </c>
      <c r="BF61" s="926" t="s">
        <v>21</v>
      </c>
      <c r="BG61" s="925" t="s">
        <v>21</v>
      </c>
      <c r="BH61" s="926">
        <v>35.86</v>
      </c>
      <c r="BI61" s="925" t="s">
        <v>21</v>
      </c>
      <c r="BJ61" s="926" t="s">
        <v>21</v>
      </c>
      <c r="BK61" s="925" t="s">
        <v>21</v>
      </c>
      <c r="BL61" s="926" t="s">
        <v>21</v>
      </c>
      <c r="BM61" s="925" t="s">
        <v>21</v>
      </c>
      <c r="BN61" s="927"/>
      <c r="BO61" s="927"/>
      <c r="BP61" s="928" t="s">
        <v>21</v>
      </c>
      <c r="BQ61" s="928">
        <v>1</v>
      </c>
      <c r="BR61" s="928" t="s">
        <v>21</v>
      </c>
      <c r="BS61" s="928" t="s">
        <v>21</v>
      </c>
      <c r="BT61" s="928" t="s">
        <v>21</v>
      </c>
      <c r="BU61" s="928" t="s">
        <v>21</v>
      </c>
      <c r="BV61" s="934">
        <v>0.89999999999986358</v>
      </c>
      <c r="BW61" s="934">
        <v>1</v>
      </c>
      <c r="BX61" s="1104">
        <v>2</v>
      </c>
      <c r="BY61" s="931">
        <v>4</v>
      </c>
      <c r="BZ61" s="930" t="s">
        <v>21</v>
      </c>
      <c r="CA61" s="1074">
        <v>1</v>
      </c>
      <c r="CB61" s="930" t="s">
        <v>21</v>
      </c>
      <c r="CC61" s="930" t="s">
        <v>21</v>
      </c>
      <c r="CD61" s="925">
        <v>51.423000000000002</v>
      </c>
      <c r="CE61" s="1130">
        <v>159.505</v>
      </c>
      <c r="CF61" s="1129" t="s">
        <v>21</v>
      </c>
      <c r="CG61" s="1130" t="s">
        <v>21</v>
      </c>
      <c r="CH61" s="1130" t="s">
        <v>21</v>
      </c>
      <c r="CI61" s="1131" t="s">
        <v>21</v>
      </c>
      <c r="CJ61" s="1129" t="s">
        <v>21</v>
      </c>
      <c r="CK61" s="1130" t="s">
        <v>21</v>
      </c>
      <c r="CL61" s="1130" t="s">
        <v>21</v>
      </c>
      <c r="CM61" s="1131" t="s">
        <v>21</v>
      </c>
      <c r="CN61" s="1130">
        <v>159.505</v>
      </c>
      <c r="CP61" s="838" t="s">
        <v>21</v>
      </c>
      <c r="CQ61" s="838" t="s">
        <v>21</v>
      </c>
      <c r="CR61" s="836"/>
    </row>
    <row r="62" spans="1:96" x14ac:dyDescent="0.25">
      <c r="A62" s="935"/>
      <c r="B62" s="932" t="s">
        <v>2258</v>
      </c>
      <c r="C62" s="911">
        <v>800</v>
      </c>
      <c r="D62" s="911" t="s">
        <v>2116</v>
      </c>
      <c r="E62" s="912">
        <v>1141.6600000000001</v>
      </c>
      <c r="F62" s="912">
        <v>1139.4100000000001</v>
      </c>
      <c r="G62" s="910" t="s">
        <v>2259</v>
      </c>
      <c r="H62" s="912">
        <v>1143</v>
      </c>
      <c r="I62" s="912">
        <v>1139.252</v>
      </c>
      <c r="J62" s="914">
        <v>16.68</v>
      </c>
      <c r="K62" s="915"/>
      <c r="L62" s="916">
        <v>0.15</v>
      </c>
      <c r="M62" s="916">
        <v>7.5999999999999998E-2</v>
      </c>
      <c r="N62" s="916">
        <v>0.2</v>
      </c>
      <c r="O62" s="916">
        <v>5.9169999999999998</v>
      </c>
      <c r="P62" s="915"/>
      <c r="Q62" s="916">
        <v>3.3250000000000002</v>
      </c>
      <c r="R62" s="917">
        <v>0.33333333333333331</v>
      </c>
      <c r="S62" s="918">
        <v>1.7</v>
      </c>
      <c r="T62" s="918">
        <v>3.9169999999999998</v>
      </c>
      <c r="U62" s="916">
        <v>7.01</v>
      </c>
      <c r="V62" s="916">
        <v>1.1519999999999999</v>
      </c>
      <c r="W62" s="915"/>
      <c r="X62" s="916">
        <v>0.503</v>
      </c>
      <c r="Y62" s="916">
        <v>0.71199999999999997</v>
      </c>
      <c r="Z62" s="916">
        <v>9.3379999999999992</v>
      </c>
      <c r="AA62" s="916">
        <v>1.4339999999999999</v>
      </c>
      <c r="AB62" s="916">
        <v>6.9370000000000003</v>
      </c>
      <c r="AC62" s="915"/>
      <c r="AD62" s="919">
        <v>98.695999999999998</v>
      </c>
      <c r="AE62" s="920">
        <v>155.75800000000001</v>
      </c>
      <c r="AF62" s="920" t="s">
        <v>21</v>
      </c>
      <c r="AG62" s="920" t="s">
        <v>21</v>
      </c>
      <c r="AH62" s="921" t="s">
        <v>21</v>
      </c>
      <c r="AI62" s="921">
        <v>155.75800000000001</v>
      </c>
      <c r="AJ62" s="920" t="s">
        <v>21</v>
      </c>
      <c r="AK62" s="920" t="s">
        <v>21</v>
      </c>
      <c r="AL62" s="921" t="s">
        <v>21</v>
      </c>
      <c r="AM62" s="921" t="s">
        <v>21</v>
      </c>
      <c r="AN62" s="920"/>
      <c r="AO62" s="920" t="s">
        <v>21</v>
      </c>
      <c r="AP62" s="919">
        <v>28.356000000000002</v>
      </c>
      <c r="AQ62" s="933">
        <v>116.9268</v>
      </c>
      <c r="AR62" s="925" t="s">
        <v>21</v>
      </c>
      <c r="AS62" s="925" t="s">
        <v>21</v>
      </c>
      <c r="AT62" s="925" t="s">
        <v>21</v>
      </c>
      <c r="AU62" s="925" t="s">
        <v>21</v>
      </c>
      <c r="AV62" s="926" t="s">
        <v>21</v>
      </c>
      <c r="AW62" s="926">
        <v>116.9268</v>
      </c>
      <c r="AX62" s="926" t="s">
        <v>21</v>
      </c>
      <c r="AY62" s="926" t="s">
        <v>21</v>
      </c>
      <c r="AZ62" s="925" t="s">
        <v>21</v>
      </c>
      <c r="BA62" s="925"/>
      <c r="BB62" s="919" t="s">
        <v>21</v>
      </c>
      <c r="BC62" s="919">
        <v>4.2530000000000001</v>
      </c>
      <c r="BD62" s="919" t="s">
        <v>2152</v>
      </c>
      <c r="BE62" s="925" t="s">
        <v>21</v>
      </c>
      <c r="BF62" s="926" t="s">
        <v>21</v>
      </c>
      <c r="BG62" s="925" t="s">
        <v>21</v>
      </c>
      <c r="BH62" s="926">
        <v>16.68</v>
      </c>
      <c r="BI62" s="925" t="s">
        <v>21</v>
      </c>
      <c r="BJ62" s="926" t="s">
        <v>21</v>
      </c>
      <c r="BK62" s="925" t="s">
        <v>21</v>
      </c>
      <c r="BL62" s="926" t="s">
        <v>21</v>
      </c>
      <c r="BM62" s="925" t="s">
        <v>21</v>
      </c>
      <c r="BN62" s="927"/>
      <c r="BO62" s="927"/>
      <c r="BP62" s="928" t="s">
        <v>21</v>
      </c>
      <c r="BQ62" s="928">
        <v>1</v>
      </c>
      <c r="BR62" s="928" t="s">
        <v>21</v>
      </c>
      <c r="BS62" s="928" t="s">
        <v>21</v>
      </c>
      <c r="BT62" s="928" t="s">
        <v>21</v>
      </c>
      <c r="BU62" s="928" t="s">
        <v>21</v>
      </c>
      <c r="BV62" s="934">
        <v>0.75</v>
      </c>
      <c r="BW62" s="934">
        <v>1</v>
      </c>
      <c r="BX62" s="1104">
        <v>2</v>
      </c>
      <c r="BY62" s="931">
        <v>4</v>
      </c>
      <c r="BZ62" s="930" t="s">
        <v>21</v>
      </c>
      <c r="CA62" s="1074" t="s">
        <v>21</v>
      </c>
      <c r="CB62" s="930" t="s">
        <v>21</v>
      </c>
      <c r="CC62" s="930" t="s">
        <v>21</v>
      </c>
      <c r="CD62" s="925">
        <v>23.919</v>
      </c>
      <c r="CE62" s="1130">
        <v>115.709</v>
      </c>
      <c r="CF62" s="1129" t="s">
        <v>21</v>
      </c>
      <c r="CG62" s="1130" t="s">
        <v>21</v>
      </c>
      <c r="CH62" s="1130" t="s">
        <v>21</v>
      </c>
      <c r="CI62" s="1131" t="s">
        <v>21</v>
      </c>
      <c r="CJ62" s="1129" t="s">
        <v>21</v>
      </c>
      <c r="CK62" s="1130" t="s">
        <v>21</v>
      </c>
      <c r="CL62" s="1130" t="s">
        <v>21</v>
      </c>
      <c r="CM62" s="1131" t="s">
        <v>21</v>
      </c>
      <c r="CN62" s="1130">
        <v>115.709</v>
      </c>
      <c r="CP62" s="838" t="s">
        <v>21</v>
      </c>
      <c r="CQ62" s="838" t="s">
        <v>21</v>
      </c>
      <c r="CR62" s="836"/>
    </row>
    <row r="63" spans="1:96" x14ac:dyDescent="0.25">
      <c r="A63" s="935"/>
      <c r="B63" s="932" t="s">
        <v>2259</v>
      </c>
      <c r="C63" s="911">
        <v>800</v>
      </c>
      <c r="D63" s="911" t="s">
        <v>2116</v>
      </c>
      <c r="E63" s="912">
        <v>1143</v>
      </c>
      <c r="F63" s="912">
        <v>1139.252</v>
      </c>
      <c r="G63" s="910" t="s">
        <v>2260</v>
      </c>
      <c r="H63" s="912">
        <v>1142.5</v>
      </c>
      <c r="I63" s="912">
        <v>1138.9380000000001</v>
      </c>
      <c r="J63" s="914">
        <v>27.52</v>
      </c>
      <c r="K63" s="915"/>
      <c r="L63" s="916">
        <v>0.15</v>
      </c>
      <c r="M63" s="916">
        <v>7.5999999999999998E-2</v>
      </c>
      <c r="N63" s="916">
        <v>0.2</v>
      </c>
      <c r="O63" s="916">
        <v>6.3540000000000001</v>
      </c>
      <c r="P63" s="915"/>
      <c r="Q63" s="916">
        <v>3.9809999999999999</v>
      </c>
      <c r="R63" s="917">
        <v>0.33333333333333331</v>
      </c>
      <c r="S63" s="918">
        <v>1.7</v>
      </c>
      <c r="T63" s="918">
        <v>4.3540000000000001</v>
      </c>
      <c r="U63" s="916">
        <v>8.3930000000000007</v>
      </c>
      <c r="V63" s="916">
        <v>1.1519999999999999</v>
      </c>
      <c r="W63" s="915"/>
      <c r="X63" s="916">
        <v>0.503</v>
      </c>
      <c r="Y63" s="916">
        <v>0.71199999999999997</v>
      </c>
      <c r="Z63" s="916">
        <v>12.05</v>
      </c>
      <c r="AA63" s="916">
        <v>1.4339999999999999</v>
      </c>
      <c r="AB63" s="916">
        <v>9.6489999999999991</v>
      </c>
      <c r="AC63" s="915"/>
      <c r="AD63" s="919">
        <v>174.86199999999999</v>
      </c>
      <c r="AE63" s="920">
        <v>331.61599999999999</v>
      </c>
      <c r="AF63" s="920" t="s">
        <v>21</v>
      </c>
      <c r="AG63" s="920" t="s">
        <v>21</v>
      </c>
      <c r="AH63" s="921" t="s">
        <v>21</v>
      </c>
      <c r="AI63" s="921" t="s">
        <v>21</v>
      </c>
      <c r="AJ63" s="920" t="s">
        <v>21</v>
      </c>
      <c r="AK63" s="920">
        <v>331.61599999999999</v>
      </c>
      <c r="AL63" s="921" t="s">
        <v>21</v>
      </c>
      <c r="AM63" s="921" t="s">
        <v>21</v>
      </c>
      <c r="AN63" s="920"/>
      <c r="AO63" s="920" t="s">
        <v>21</v>
      </c>
      <c r="AP63" s="919">
        <v>46.783999999999999</v>
      </c>
      <c r="AQ63" s="933">
        <v>230.97536000000002</v>
      </c>
      <c r="AR63" s="925" t="s">
        <v>21</v>
      </c>
      <c r="AS63" s="925" t="s">
        <v>21</v>
      </c>
      <c r="AT63" s="925" t="s">
        <v>21</v>
      </c>
      <c r="AU63" s="925" t="s">
        <v>21</v>
      </c>
      <c r="AV63" s="926" t="s">
        <v>21</v>
      </c>
      <c r="AW63" s="926" t="s">
        <v>21</v>
      </c>
      <c r="AX63" s="926">
        <v>230.97536000000002</v>
      </c>
      <c r="AY63" s="926" t="s">
        <v>21</v>
      </c>
      <c r="AZ63" s="925" t="s">
        <v>21</v>
      </c>
      <c r="BA63" s="925"/>
      <c r="BB63" s="919" t="s">
        <v>21</v>
      </c>
      <c r="BC63" s="919">
        <v>7.0179999999999998</v>
      </c>
      <c r="BD63" s="919" t="s">
        <v>2152</v>
      </c>
      <c r="BE63" s="925" t="s">
        <v>21</v>
      </c>
      <c r="BF63" s="926" t="s">
        <v>21</v>
      </c>
      <c r="BG63" s="925" t="s">
        <v>21</v>
      </c>
      <c r="BH63" s="926">
        <v>27.52</v>
      </c>
      <c r="BI63" s="925" t="s">
        <v>21</v>
      </c>
      <c r="BJ63" s="926" t="s">
        <v>21</v>
      </c>
      <c r="BK63" s="925" t="s">
        <v>21</v>
      </c>
      <c r="BL63" s="926" t="s">
        <v>21</v>
      </c>
      <c r="BM63" s="925" t="s">
        <v>21</v>
      </c>
      <c r="BN63" s="927"/>
      <c r="BO63" s="927"/>
      <c r="BP63" s="928" t="s">
        <v>21</v>
      </c>
      <c r="BQ63" s="928">
        <v>1</v>
      </c>
      <c r="BR63" s="928" t="s">
        <v>21</v>
      </c>
      <c r="BS63" s="928" t="s">
        <v>21</v>
      </c>
      <c r="BT63" s="928" t="s">
        <v>21</v>
      </c>
      <c r="BU63" s="928" t="s">
        <v>21</v>
      </c>
      <c r="BV63" s="934">
        <v>2.2480000000000473</v>
      </c>
      <c r="BW63" s="934">
        <v>2.5</v>
      </c>
      <c r="BX63" s="1104">
        <v>5</v>
      </c>
      <c r="BY63" s="931">
        <v>7</v>
      </c>
      <c r="BZ63" s="930">
        <v>1</v>
      </c>
      <c r="CA63" s="1074">
        <v>1</v>
      </c>
      <c r="CB63" s="930" t="s">
        <v>21</v>
      </c>
      <c r="CC63" s="930" t="s">
        <v>21</v>
      </c>
      <c r="CD63" s="925">
        <v>39.463999999999999</v>
      </c>
      <c r="CE63" s="1130">
        <v>265.54000000000002</v>
      </c>
      <c r="CF63" s="1129" t="s">
        <v>21</v>
      </c>
      <c r="CG63" s="1130" t="s">
        <v>21</v>
      </c>
      <c r="CH63" s="1130" t="s">
        <v>21</v>
      </c>
      <c r="CI63" s="1131" t="s">
        <v>21</v>
      </c>
      <c r="CJ63" s="1129" t="s">
        <v>21</v>
      </c>
      <c r="CK63" s="1130" t="s">
        <v>21</v>
      </c>
      <c r="CL63" s="1130" t="s">
        <v>21</v>
      </c>
      <c r="CM63" s="1131" t="s">
        <v>21</v>
      </c>
      <c r="CN63" s="1130">
        <v>265.54000000000002</v>
      </c>
      <c r="CP63" s="838" t="s">
        <v>21</v>
      </c>
      <c r="CQ63" s="838" t="s">
        <v>21</v>
      </c>
      <c r="CR63" s="836"/>
    </row>
    <row r="64" spans="1:96" x14ac:dyDescent="0.25">
      <c r="A64" s="935"/>
      <c r="B64" s="932" t="s">
        <v>2260</v>
      </c>
      <c r="C64" s="911">
        <v>800</v>
      </c>
      <c r="D64" s="911" t="s">
        <v>2116</v>
      </c>
      <c r="E64" s="912">
        <v>1142.5</v>
      </c>
      <c r="F64" s="912">
        <v>1138.8879999999999</v>
      </c>
      <c r="G64" s="910" t="s">
        <v>2261</v>
      </c>
      <c r="H64" s="912">
        <v>1141.29</v>
      </c>
      <c r="I64" s="912">
        <v>1138.2139999999999</v>
      </c>
      <c r="J64" s="914">
        <v>48.96</v>
      </c>
      <c r="K64" s="915"/>
      <c r="L64" s="916">
        <v>0.15</v>
      </c>
      <c r="M64" s="916">
        <v>7.5999999999999998E-2</v>
      </c>
      <c r="N64" s="916">
        <v>0.2</v>
      </c>
      <c r="O64" s="916">
        <v>6.1470000000000002</v>
      </c>
      <c r="P64" s="915"/>
      <c r="Q64" s="916">
        <v>3.67</v>
      </c>
      <c r="R64" s="917">
        <v>0.33333333333333331</v>
      </c>
      <c r="S64" s="918">
        <v>1.7</v>
      </c>
      <c r="T64" s="918">
        <v>4.1470000000000002</v>
      </c>
      <c r="U64" s="916">
        <v>7.7370000000000001</v>
      </c>
      <c r="V64" s="916">
        <v>1.1519999999999999</v>
      </c>
      <c r="W64" s="915"/>
      <c r="X64" s="916">
        <v>0.503</v>
      </c>
      <c r="Y64" s="916">
        <v>0.71199999999999997</v>
      </c>
      <c r="Z64" s="916">
        <v>10.728999999999999</v>
      </c>
      <c r="AA64" s="916">
        <v>1.4339999999999999</v>
      </c>
      <c r="AB64" s="916">
        <v>8.3279999999999994</v>
      </c>
      <c r="AC64" s="915"/>
      <c r="AD64" s="919">
        <v>300.95699999999999</v>
      </c>
      <c r="AE64" s="920">
        <v>525.29200000000003</v>
      </c>
      <c r="AF64" s="920" t="s">
        <v>21</v>
      </c>
      <c r="AG64" s="920" t="s">
        <v>21</v>
      </c>
      <c r="AH64" s="921" t="s">
        <v>21</v>
      </c>
      <c r="AI64" s="921" t="s">
        <v>21</v>
      </c>
      <c r="AJ64" s="920" t="s">
        <v>21</v>
      </c>
      <c r="AK64" s="920">
        <v>525.29200000000003</v>
      </c>
      <c r="AL64" s="921" t="s">
        <v>21</v>
      </c>
      <c r="AM64" s="921" t="s">
        <v>21</v>
      </c>
      <c r="AN64" s="920"/>
      <c r="AO64" s="920" t="s">
        <v>21</v>
      </c>
      <c r="AP64" s="919">
        <v>83.231999999999999</v>
      </c>
      <c r="AQ64" s="933">
        <v>378.80351999999999</v>
      </c>
      <c r="AR64" s="925" t="s">
        <v>21</v>
      </c>
      <c r="AS64" s="925" t="s">
        <v>21</v>
      </c>
      <c r="AT64" s="925" t="s">
        <v>21</v>
      </c>
      <c r="AU64" s="925" t="s">
        <v>21</v>
      </c>
      <c r="AV64" s="926" t="s">
        <v>21</v>
      </c>
      <c r="AW64" s="926" t="s">
        <v>21</v>
      </c>
      <c r="AX64" s="926">
        <v>378.80351999999999</v>
      </c>
      <c r="AY64" s="926" t="s">
        <v>21</v>
      </c>
      <c r="AZ64" s="925" t="s">
        <v>21</v>
      </c>
      <c r="BA64" s="925"/>
      <c r="BB64" s="919" t="s">
        <v>21</v>
      </c>
      <c r="BC64" s="919">
        <v>12.484999999999999</v>
      </c>
      <c r="BD64" s="919" t="s">
        <v>2152</v>
      </c>
      <c r="BE64" s="925" t="s">
        <v>21</v>
      </c>
      <c r="BF64" s="926" t="s">
        <v>21</v>
      </c>
      <c r="BG64" s="925" t="s">
        <v>21</v>
      </c>
      <c r="BH64" s="926">
        <v>48.96</v>
      </c>
      <c r="BI64" s="925" t="s">
        <v>21</v>
      </c>
      <c r="BJ64" s="926" t="s">
        <v>21</v>
      </c>
      <c r="BK64" s="925" t="s">
        <v>21</v>
      </c>
      <c r="BL64" s="926" t="s">
        <v>21</v>
      </c>
      <c r="BM64" s="925" t="s">
        <v>21</v>
      </c>
      <c r="BN64" s="927"/>
      <c r="BO64" s="927"/>
      <c r="BP64" s="928" t="s">
        <v>21</v>
      </c>
      <c r="BQ64" s="928">
        <v>1</v>
      </c>
      <c r="BR64" s="928" t="s">
        <v>21</v>
      </c>
      <c r="BS64" s="928" t="s">
        <v>21</v>
      </c>
      <c r="BT64" s="928" t="s">
        <v>21</v>
      </c>
      <c r="BU64" s="928" t="s">
        <v>21</v>
      </c>
      <c r="BV64" s="934">
        <v>2.11200000000008</v>
      </c>
      <c r="BW64" s="934">
        <v>2.5</v>
      </c>
      <c r="BX64" s="1104">
        <v>5</v>
      </c>
      <c r="BY64" s="931">
        <v>7</v>
      </c>
      <c r="BZ64" s="930">
        <v>2</v>
      </c>
      <c r="CA64" s="1074" t="s">
        <v>21</v>
      </c>
      <c r="CB64" s="930" t="s">
        <v>21</v>
      </c>
      <c r="CC64" s="930" t="s">
        <v>21</v>
      </c>
      <c r="CD64" s="925">
        <v>70.209000000000003</v>
      </c>
      <c r="CE64" s="1130">
        <v>407.73899999999998</v>
      </c>
      <c r="CF64" s="1129" t="s">
        <v>21</v>
      </c>
      <c r="CG64" s="1130" t="s">
        <v>21</v>
      </c>
      <c r="CH64" s="1130" t="s">
        <v>21</v>
      </c>
      <c r="CI64" s="1131" t="s">
        <v>21</v>
      </c>
      <c r="CJ64" s="1129" t="s">
        <v>21</v>
      </c>
      <c r="CK64" s="1130" t="s">
        <v>21</v>
      </c>
      <c r="CL64" s="1130" t="s">
        <v>21</v>
      </c>
      <c r="CM64" s="1131" t="s">
        <v>21</v>
      </c>
      <c r="CN64" s="1130">
        <v>407.73899999999998</v>
      </c>
      <c r="CP64" s="838" t="s">
        <v>21</v>
      </c>
      <c r="CQ64" s="838" t="s">
        <v>21</v>
      </c>
      <c r="CR64" s="836"/>
    </row>
    <row r="65" spans="1:96" x14ac:dyDescent="0.25">
      <c r="A65" s="935"/>
      <c r="B65" s="932" t="s">
        <v>2261</v>
      </c>
      <c r="C65" s="911">
        <v>800</v>
      </c>
      <c r="D65" s="911" t="s">
        <v>2116</v>
      </c>
      <c r="E65" s="912">
        <v>1141.29</v>
      </c>
      <c r="F65" s="912">
        <v>1138.164</v>
      </c>
      <c r="G65" s="910" t="s">
        <v>2262</v>
      </c>
      <c r="H65" s="912">
        <v>1140.17</v>
      </c>
      <c r="I65" s="912">
        <v>1137.42</v>
      </c>
      <c r="J65" s="914">
        <v>50.4</v>
      </c>
      <c r="K65" s="915"/>
      <c r="L65" s="916">
        <v>0.15</v>
      </c>
      <c r="M65" s="916">
        <v>7.5999999999999998E-2</v>
      </c>
      <c r="N65" s="916">
        <v>0.2</v>
      </c>
      <c r="O65" s="916">
        <v>5.8759999999999994</v>
      </c>
      <c r="P65" s="915"/>
      <c r="Q65" s="916">
        <v>3.2639999999999998</v>
      </c>
      <c r="R65" s="917">
        <v>0.33333333333333331</v>
      </c>
      <c r="S65" s="918">
        <v>1.7</v>
      </c>
      <c r="T65" s="918">
        <v>3.8759999999999999</v>
      </c>
      <c r="U65" s="916">
        <v>6.8810000000000002</v>
      </c>
      <c r="V65" s="916">
        <v>1.1519999999999999</v>
      </c>
      <c r="W65" s="915"/>
      <c r="X65" s="916">
        <v>0.503</v>
      </c>
      <c r="Y65" s="916">
        <v>0.71199999999999997</v>
      </c>
      <c r="Z65" s="916">
        <v>9.1</v>
      </c>
      <c r="AA65" s="916">
        <v>1.4339999999999999</v>
      </c>
      <c r="AB65" s="916">
        <v>6.6989999999999998</v>
      </c>
      <c r="AC65" s="915"/>
      <c r="AD65" s="919">
        <v>296.14999999999998</v>
      </c>
      <c r="AE65" s="920">
        <v>458.64</v>
      </c>
      <c r="AF65" s="920" t="s">
        <v>21</v>
      </c>
      <c r="AG65" s="920" t="s">
        <v>21</v>
      </c>
      <c r="AH65" s="921" t="s">
        <v>21</v>
      </c>
      <c r="AI65" s="921">
        <v>458.64</v>
      </c>
      <c r="AJ65" s="920" t="s">
        <v>21</v>
      </c>
      <c r="AK65" s="920" t="s">
        <v>21</v>
      </c>
      <c r="AL65" s="921" t="s">
        <v>21</v>
      </c>
      <c r="AM65" s="921" t="s">
        <v>21</v>
      </c>
      <c r="AN65" s="920"/>
      <c r="AO65" s="920" t="s">
        <v>21</v>
      </c>
      <c r="AP65" s="919">
        <v>85.68</v>
      </c>
      <c r="AQ65" s="933">
        <v>346.80239999999998</v>
      </c>
      <c r="AR65" s="925" t="s">
        <v>21</v>
      </c>
      <c r="AS65" s="925" t="s">
        <v>21</v>
      </c>
      <c r="AT65" s="925" t="s">
        <v>21</v>
      </c>
      <c r="AU65" s="925" t="s">
        <v>21</v>
      </c>
      <c r="AV65" s="926" t="s">
        <v>21</v>
      </c>
      <c r="AW65" s="926">
        <v>346.80239999999998</v>
      </c>
      <c r="AX65" s="926" t="s">
        <v>21</v>
      </c>
      <c r="AY65" s="926" t="s">
        <v>21</v>
      </c>
      <c r="AZ65" s="925" t="s">
        <v>21</v>
      </c>
      <c r="BA65" s="925"/>
      <c r="BB65" s="919" t="s">
        <v>21</v>
      </c>
      <c r="BC65" s="919">
        <v>12.852</v>
      </c>
      <c r="BD65" s="919" t="s">
        <v>2152</v>
      </c>
      <c r="BE65" s="925" t="s">
        <v>21</v>
      </c>
      <c r="BF65" s="926" t="s">
        <v>21</v>
      </c>
      <c r="BG65" s="925" t="s">
        <v>21</v>
      </c>
      <c r="BH65" s="926">
        <v>50.4</v>
      </c>
      <c r="BI65" s="925" t="s">
        <v>21</v>
      </c>
      <c r="BJ65" s="926" t="s">
        <v>21</v>
      </c>
      <c r="BK65" s="925" t="s">
        <v>21</v>
      </c>
      <c r="BL65" s="926" t="s">
        <v>21</v>
      </c>
      <c r="BM65" s="925" t="s">
        <v>21</v>
      </c>
      <c r="BN65" s="927"/>
      <c r="BO65" s="927"/>
      <c r="BP65" s="928" t="s">
        <v>21</v>
      </c>
      <c r="BQ65" s="928">
        <v>1</v>
      </c>
      <c r="BR65" s="928" t="s">
        <v>21</v>
      </c>
      <c r="BS65" s="928" t="s">
        <v>21</v>
      </c>
      <c r="BT65" s="928" t="s">
        <v>21</v>
      </c>
      <c r="BU65" s="928" t="s">
        <v>21</v>
      </c>
      <c r="BV65" s="934">
        <v>1.6259999999999764</v>
      </c>
      <c r="BW65" s="934">
        <v>2</v>
      </c>
      <c r="BX65" s="1104">
        <v>4</v>
      </c>
      <c r="BY65" s="931">
        <v>6</v>
      </c>
      <c r="BZ65" s="930">
        <v>2</v>
      </c>
      <c r="CA65" s="1074" t="s">
        <v>21</v>
      </c>
      <c r="CB65" s="930" t="s">
        <v>21</v>
      </c>
      <c r="CC65" s="930" t="s">
        <v>21</v>
      </c>
      <c r="CD65" s="925">
        <v>72.274000000000001</v>
      </c>
      <c r="CE65" s="1130">
        <v>337.63</v>
      </c>
      <c r="CF65" s="1129" t="s">
        <v>21</v>
      </c>
      <c r="CG65" s="1130" t="s">
        <v>21</v>
      </c>
      <c r="CH65" s="1130" t="s">
        <v>21</v>
      </c>
      <c r="CI65" s="1131" t="s">
        <v>21</v>
      </c>
      <c r="CJ65" s="1129" t="s">
        <v>21</v>
      </c>
      <c r="CK65" s="1130" t="s">
        <v>21</v>
      </c>
      <c r="CL65" s="1130" t="s">
        <v>21</v>
      </c>
      <c r="CM65" s="1131" t="s">
        <v>21</v>
      </c>
      <c r="CN65" s="1130">
        <v>337.63</v>
      </c>
      <c r="CP65" s="838" t="s">
        <v>21</v>
      </c>
      <c r="CQ65" s="838" t="s">
        <v>21</v>
      </c>
      <c r="CR65" s="836"/>
    </row>
    <row r="66" spans="1:96" x14ac:dyDescent="0.25">
      <c r="A66" s="935"/>
      <c r="B66" s="932" t="s">
        <v>2262</v>
      </c>
      <c r="C66" s="911">
        <v>800</v>
      </c>
      <c r="D66" s="911" t="s">
        <v>2116</v>
      </c>
      <c r="E66" s="912">
        <v>1140.17</v>
      </c>
      <c r="F66" s="912">
        <v>1137.42</v>
      </c>
      <c r="G66" s="910" t="s">
        <v>2263</v>
      </c>
      <c r="H66" s="912">
        <v>1137.81</v>
      </c>
      <c r="I66" s="912">
        <v>1135.71</v>
      </c>
      <c r="J66" s="914">
        <v>36.03</v>
      </c>
      <c r="K66" s="915"/>
      <c r="L66" s="916">
        <v>0.15</v>
      </c>
      <c r="M66" s="916">
        <v>7.5999999999999998E-2</v>
      </c>
      <c r="N66" s="916">
        <v>0.2</v>
      </c>
      <c r="O66" s="916">
        <v>5.5339999999999998</v>
      </c>
      <c r="P66" s="915"/>
      <c r="Q66" s="916">
        <v>2.7509999999999999</v>
      </c>
      <c r="R66" s="917">
        <v>0.33333333333333331</v>
      </c>
      <c r="S66" s="918">
        <v>1.7</v>
      </c>
      <c r="T66" s="918">
        <v>3.5339999999999998</v>
      </c>
      <c r="U66" s="916">
        <v>5.8</v>
      </c>
      <c r="V66" s="916">
        <v>1.1519999999999999</v>
      </c>
      <c r="W66" s="915"/>
      <c r="X66" s="916">
        <v>0.503</v>
      </c>
      <c r="Y66" s="916">
        <v>0.71199999999999997</v>
      </c>
      <c r="Z66" s="916">
        <v>7.1989999999999998</v>
      </c>
      <c r="AA66" s="916">
        <v>1.4339999999999999</v>
      </c>
      <c r="AB66" s="916">
        <v>4.798</v>
      </c>
      <c r="AC66" s="915"/>
      <c r="AD66" s="919">
        <v>199.39</v>
      </c>
      <c r="AE66" s="920">
        <v>259.38</v>
      </c>
      <c r="AF66" s="920" t="s">
        <v>21</v>
      </c>
      <c r="AG66" s="920" t="s">
        <v>21</v>
      </c>
      <c r="AH66" s="921" t="s">
        <v>21</v>
      </c>
      <c r="AI66" s="921">
        <v>259.38</v>
      </c>
      <c r="AJ66" s="920" t="s">
        <v>21</v>
      </c>
      <c r="AK66" s="920" t="s">
        <v>21</v>
      </c>
      <c r="AL66" s="921" t="s">
        <v>21</v>
      </c>
      <c r="AM66" s="921" t="s">
        <v>21</v>
      </c>
      <c r="AN66" s="920"/>
      <c r="AO66" s="920" t="s">
        <v>21</v>
      </c>
      <c r="AP66" s="919">
        <v>61.250999999999998</v>
      </c>
      <c r="AQ66" s="933">
        <v>208.97399999999999</v>
      </c>
      <c r="AR66" s="925" t="s">
        <v>21</v>
      </c>
      <c r="AS66" s="925" t="s">
        <v>21</v>
      </c>
      <c r="AT66" s="925" t="s">
        <v>21</v>
      </c>
      <c r="AU66" s="925" t="s">
        <v>21</v>
      </c>
      <c r="AV66" s="926" t="s">
        <v>21</v>
      </c>
      <c r="AW66" s="926">
        <v>208.97399999999999</v>
      </c>
      <c r="AX66" s="926" t="s">
        <v>21</v>
      </c>
      <c r="AY66" s="926" t="s">
        <v>21</v>
      </c>
      <c r="AZ66" s="925" t="s">
        <v>21</v>
      </c>
      <c r="BA66" s="925"/>
      <c r="BB66" s="919" t="s">
        <v>21</v>
      </c>
      <c r="BC66" s="919">
        <v>9.1880000000000006</v>
      </c>
      <c r="BD66" s="919" t="s">
        <v>2142</v>
      </c>
      <c r="BE66" s="925" t="s">
        <v>21</v>
      </c>
      <c r="BF66" s="926" t="s">
        <v>21</v>
      </c>
      <c r="BG66" s="925" t="s">
        <v>21</v>
      </c>
      <c r="BH66" s="926">
        <v>36.03</v>
      </c>
      <c r="BI66" s="925" t="s">
        <v>21</v>
      </c>
      <c r="BJ66" s="926" t="s">
        <v>21</v>
      </c>
      <c r="BK66" s="925" t="s">
        <v>21</v>
      </c>
      <c r="BL66" s="926" t="s">
        <v>21</v>
      </c>
      <c r="BM66" s="925" t="s">
        <v>21</v>
      </c>
      <c r="BN66" s="927"/>
      <c r="BO66" s="927"/>
      <c r="BP66" s="928" t="s">
        <v>21</v>
      </c>
      <c r="BQ66" s="928">
        <v>1</v>
      </c>
      <c r="BR66" s="928" t="s">
        <v>21</v>
      </c>
      <c r="BS66" s="928" t="s">
        <v>21</v>
      </c>
      <c r="BT66" s="928" t="s">
        <v>21</v>
      </c>
      <c r="BU66" s="928" t="s">
        <v>21</v>
      </c>
      <c r="BV66" s="934">
        <v>1.25</v>
      </c>
      <c r="BW66" s="934">
        <v>1.5</v>
      </c>
      <c r="BX66" s="1104">
        <v>3</v>
      </c>
      <c r="BY66" s="931">
        <v>5</v>
      </c>
      <c r="BZ66" s="930" t="s">
        <v>21</v>
      </c>
      <c r="CA66" s="1074">
        <v>1</v>
      </c>
      <c r="CB66" s="930" t="s">
        <v>21</v>
      </c>
      <c r="CC66" s="930" t="s">
        <v>21</v>
      </c>
      <c r="CD66" s="925">
        <v>51.667000000000002</v>
      </c>
      <c r="CE66" s="1130">
        <v>172.87200000000001</v>
      </c>
      <c r="CF66" s="1129" t="s">
        <v>21</v>
      </c>
      <c r="CG66" s="1130" t="s">
        <v>21</v>
      </c>
      <c r="CH66" s="1130" t="s">
        <v>21</v>
      </c>
      <c r="CI66" s="1131" t="s">
        <v>21</v>
      </c>
      <c r="CJ66" s="1129" t="s">
        <v>21</v>
      </c>
      <c r="CK66" s="1130" t="s">
        <v>21</v>
      </c>
      <c r="CL66" s="1130" t="s">
        <v>21</v>
      </c>
      <c r="CM66" s="1131" t="s">
        <v>21</v>
      </c>
      <c r="CN66" s="1130">
        <v>172.87200000000001</v>
      </c>
      <c r="CP66" s="838" t="s">
        <v>21</v>
      </c>
      <c r="CQ66" s="838" t="s">
        <v>21</v>
      </c>
      <c r="CR66" s="836"/>
    </row>
    <row r="67" spans="1:96" x14ac:dyDescent="0.25">
      <c r="A67" s="935"/>
      <c r="B67" s="932" t="s">
        <v>2263</v>
      </c>
      <c r="C67" s="911">
        <v>800</v>
      </c>
      <c r="D67" s="911" t="s">
        <v>2116</v>
      </c>
      <c r="E67" s="912">
        <v>1137.81</v>
      </c>
      <c r="F67" s="912">
        <v>1134.21</v>
      </c>
      <c r="G67" s="910" t="s">
        <v>2264</v>
      </c>
      <c r="H67" s="912">
        <v>1133.69</v>
      </c>
      <c r="I67" s="912">
        <v>1131.5899999999999</v>
      </c>
      <c r="J67" s="914">
        <v>37.24</v>
      </c>
      <c r="K67" s="915"/>
      <c r="L67" s="916">
        <v>0.15</v>
      </c>
      <c r="M67" s="916">
        <v>7.5999999999999998E-2</v>
      </c>
      <c r="N67" s="916">
        <v>0.2</v>
      </c>
      <c r="O67" s="916">
        <v>5.8170000000000002</v>
      </c>
      <c r="P67" s="915"/>
      <c r="Q67" s="916">
        <v>3.1760000000000002</v>
      </c>
      <c r="R67" s="917">
        <v>0.33333333333333331</v>
      </c>
      <c r="S67" s="918">
        <v>1.7</v>
      </c>
      <c r="T67" s="918">
        <v>3.8170000000000002</v>
      </c>
      <c r="U67" s="916">
        <v>6.6959999999999997</v>
      </c>
      <c r="V67" s="916">
        <v>1.1519999999999999</v>
      </c>
      <c r="W67" s="915"/>
      <c r="X67" s="916">
        <v>0.503</v>
      </c>
      <c r="Y67" s="916">
        <v>0.71199999999999997</v>
      </c>
      <c r="Z67" s="916">
        <v>8.7609999999999992</v>
      </c>
      <c r="AA67" s="916">
        <v>1.4339999999999999</v>
      </c>
      <c r="AB67" s="916">
        <v>6.36</v>
      </c>
      <c r="AC67" s="915"/>
      <c r="AD67" s="919">
        <v>216.625</v>
      </c>
      <c r="AE67" s="920">
        <v>326.26</v>
      </c>
      <c r="AF67" s="920" t="s">
        <v>21</v>
      </c>
      <c r="AG67" s="920" t="s">
        <v>21</v>
      </c>
      <c r="AH67" s="921" t="s">
        <v>21</v>
      </c>
      <c r="AI67" s="921">
        <v>326.26</v>
      </c>
      <c r="AJ67" s="920" t="s">
        <v>21</v>
      </c>
      <c r="AK67" s="920" t="s">
        <v>21</v>
      </c>
      <c r="AL67" s="921" t="s">
        <v>21</v>
      </c>
      <c r="AM67" s="921" t="s">
        <v>21</v>
      </c>
      <c r="AN67" s="920"/>
      <c r="AO67" s="920" t="s">
        <v>21</v>
      </c>
      <c r="AP67" s="919">
        <v>63.308</v>
      </c>
      <c r="AQ67" s="933">
        <v>249.35903999999999</v>
      </c>
      <c r="AR67" s="925" t="s">
        <v>21</v>
      </c>
      <c r="AS67" s="925" t="s">
        <v>21</v>
      </c>
      <c r="AT67" s="925" t="s">
        <v>21</v>
      </c>
      <c r="AU67" s="925" t="s">
        <v>21</v>
      </c>
      <c r="AV67" s="926" t="s">
        <v>21</v>
      </c>
      <c r="AW67" s="926">
        <v>249.35903999999999</v>
      </c>
      <c r="AX67" s="926" t="s">
        <v>21</v>
      </c>
      <c r="AY67" s="926" t="s">
        <v>21</v>
      </c>
      <c r="AZ67" s="925" t="s">
        <v>21</v>
      </c>
      <c r="BA67" s="925"/>
      <c r="BB67" s="919" t="s">
        <v>21</v>
      </c>
      <c r="BC67" s="919">
        <v>9.4960000000000004</v>
      </c>
      <c r="BD67" s="919" t="s">
        <v>2152</v>
      </c>
      <c r="BE67" s="925" t="s">
        <v>21</v>
      </c>
      <c r="BF67" s="926" t="s">
        <v>21</v>
      </c>
      <c r="BG67" s="925" t="s">
        <v>21</v>
      </c>
      <c r="BH67" s="926">
        <v>37.24</v>
      </c>
      <c r="BI67" s="925" t="s">
        <v>21</v>
      </c>
      <c r="BJ67" s="926" t="s">
        <v>21</v>
      </c>
      <c r="BK67" s="925" t="s">
        <v>21</v>
      </c>
      <c r="BL67" s="926" t="s">
        <v>21</v>
      </c>
      <c r="BM67" s="925" t="s">
        <v>21</v>
      </c>
      <c r="BN67" s="927"/>
      <c r="BO67" s="927"/>
      <c r="BP67" s="928" t="s">
        <v>21</v>
      </c>
      <c r="BQ67" s="928">
        <v>1</v>
      </c>
      <c r="BR67" s="928" t="s">
        <v>21</v>
      </c>
      <c r="BS67" s="928" t="s">
        <v>21</v>
      </c>
      <c r="BT67" s="928" t="s">
        <v>21</v>
      </c>
      <c r="BU67" s="928" t="s">
        <v>21</v>
      </c>
      <c r="BV67" s="934">
        <v>2.0999999999999091</v>
      </c>
      <c r="BW67" s="934">
        <v>2.5</v>
      </c>
      <c r="BX67" s="1104">
        <v>5</v>
      </c>
      <c r="BY67" s="931">
        <v>7</v>
      </c>
      <c r="BZ67" s="930" t="s">
        <v>21</v>
      </c>
      <c r="CA67" s="1074" t="s">
        <v>21</v>
      </c>
      <c r="CB67" s="930" t="s">
        <v>21</v>
      </c>
      <c r="CC67" s="930" t="s">
        <v>21</v>
      </c>
      <c r="CD67" s="925">
        <v>53.402000000000001</v>
      </c>
      <c r="CE67" s="1130">
        <v>236.846</v>
      </c>
      <c r="CF67" s="1129" t="s">
        <v>21</v>
      </c>
      <c r="CG67" s="1130" t="s">
        <v>21</v>
      </c>
      <c r="CH67" s="1130" t="s">
        <v>21</v>
      </c>
      <c r="CI67" s="1131" t="s">
        <v>21</v>
      </c>
      <c r="CJ67" s="1129" t="s">
        <v>21</v>
      </c>
      <c r="CK67" s="1130" t="s">
        <v>21</v>
      </c>
      <c r="CL67" s="1130" t="s">
        <v>21</v>
      </c>
      <c r="CM67" s="1131" t="s">
        <v>21</v>
      </c>
      <c r="CN67" s="1130">
        <v>236.846</v>
      </c>
      <c r="CP67" s="838" t="s">
        <v>21</v>
      </c>
      <c r="CQ67" s="838" t="s">
        <v>21</v>
      </c>
      <c r="CR67" s="836"/>
    </row>
    <row r="68" spans="1:96" x14ac:dyDescent="0.25">
      <c r="A68" s="935"/>
      <c r="B68" s="932" t="s">
        <v>2264</v>
      </c>
      <c r="C68" s="911">
        <v>800</v>
      </c>
      <c r="D68" s="911" t="s">
        <v>2116</v>
      </c>
      <c r="E68" s="912">
        <v>1133.69</v>
      </c>
      <c r="F68" s="912">
        <v>1122.69</v>
      </c>
      <c r="G68" s="910" t="s">
        <v>3084</v>
      </c>
      <c r="H68" s="912">
        <v>1121.5</v>
      </c>
      <c r="I68" s="912">
        <v>1120.4000000000001</v>
      </c>
      <c r="J68" s="914">
        <v>6.04</v>
      </c>
      <c r="K68" s="915"/>
      <c r="L68" s="916">
        <v>0.15</v>
      </c>
      <c r="M68" s="916">
        <v>7.5999999999999998E-2</v>
      </c>
      <c r="N68" s="916">
        <v>0.2</v>
      </c>
      <c r="O68" s="916">
        <v>7.9509999999999996</v>
      </c>
      <c r="P68" s="915"/>
      <c r="Q68" s="916">
        <v>6.3760000000000003</v>
      </c>
      <c r="R68" s="917">
        <v>0.33333333333333331</v>
      </c>
      <c r="S68" s="918">
        <v>1.7</v>
      </c>
      <c r="T68" s="918">
        <v>5.9509999999999996</v>
      </c>
      <c r="U68" s="916">
        <v>13.442</v>
      </c>
      <c r="V68" s="916">
        <v>1.1519999999999999</v>
      </c>
      <c r="W68" s="915"/>
      <c r="X68" s="916">
        <v>0.503</v>
      </c>
      <c r="Y68" s="916">
        <v>0.71199999999999997</v>
      </c>
      <c r="Z68" s="916">
        <v>24.390999999999998</v>
      </c>
      <c r="AA68" s="916">
        <v>1.4339999999999999</v>
      </c>
      <c r="AB68" s="916">
        <v>21.99</v>
      </c>
      <c r="AC68" s="915"/>
      <c r="AD68" s="919">
        <v>48.024000000000001</v>
      </c>
      <c r="AE68" s="920">
        <v>147.322</v>
      </c>
      <c r="AF68" s="920" t="s">
        <v>21</v>
      </c>
      <c r="AG68" s="920" t="s">
        <v>21</v>
      </c>
      <c r="AH68" s="921" t="s">
        <v>21</v>
      </c>
      <c r="AI68" s="921" t="s">
        <v>21</v>
      </c>
      <c r="AJ68" s="920" t="s">
        <v>21</v>
      </c>
      <c r="AK68" s="920" t="s">
        <v>21</v>
      </c>
      <c r="AL68" s="921" t="s">
        <v>21</v>
      </c>
      <c r="AM68" s="921" t="s">
        <v>21</v>
      </c>
      <c r="AN68" s="920"/>
      <c r="AO68" s="920">
        <v>147.322</v>
      </c>
      <c r="AP68" s="919">
        <v>10.268000000000001</v>
      </c>
      <c r="AQ68" s="933">
        <v>81.189679999999996</v>
      </c>
      <c r="AR68" s="925" t="s">
        <v>21</v>
      </c>
      <c r="AS68" s="925" t="s">
        <v>21</v>
      </c>
      <c r="AT68" s="925" t="s">
        <v>21</v>
      </c>
      <c r="AU68" s="925" t="s">
        <v>21</v>
      </c>
      <c r="AV68" s="926" t="s">
        <v>21</v>
      </c>
      <c r="AW68" s="926" t="s">
        <v>21</v>
      </c>
      <c r="AX68" s="926" t="s">
        <v>21</v>
      </c>
      <c r="AY68" s="926">
        <v>81.189679999999996</v>
      </c>
      <c r="AZ68" s="925" t="s">
        <v>21</v>
      </c>
      <c r="BA68" s="925"/>
      <c r="BB68" s="919" t="s">
        <v>21</v>
      </c>
      <c r="BC68" s="919">
        <v>1.54</v>
      </c>
      <c r="BD68" s="919" t="s">
        <v>2153</v>
      </c>
      <c r="BE68" s="925" t="s">
        <v>21</v>
      </c>
      <c r="BF68" s="926" t="s">
        <v>21</v>
      </c>
      <c r="BG68" s="925" t="s">
        <v>21</v>
      </c>
      <c r="BH68" s="926">
        <v>6.04</v>
      </c>
      <c r="BI68" s="925" t="s">
        <v>21</v>
      </c>
      <c r="BJ68" s="926" t="s">
        <v>21</v>
      </c>
      <c r="BK68" s="925" t="s">
        <v>21</v>
      </c>
      <c r="BL68" s="926" t="s">
        <v>21</v>
      </c>
      <c r="BM68" s="925" t="s">
        <v>21</v>
      </c>
      <c r="BN68" s="927"/>
      <c r="BO68" s="927"/>
      <c r="BP68" s="928" t="s">
        <v>21</v>
      </c>
      <c r="BQ68" s="928">
        <v>1</v>
      </c>
      <c r="BR68" s="928" t="s">
        <v>21</v>
      </c>
      <c r="BS68" s="928" t="s">
        <v>21</v>
      </c>
      <c r="BT68" s="928" t="s">
        <v>21</v>
      </c>
      <c r="BU68" s="928" t="s">
        <v>21</v>
      </c>
      <c r="BV68" s="934">
        <v>9.5</v>
      </c>
      <c r="BW68" s="934">
        <v>10</v>
      </c>
      <c r="BX68" s="1104">
        <v>20</v>
      </c>
      <c r="BY68" s="931">
        <v>22</v>
      </c>
      <c r="BZ68" s="930" t="s">
        <v>21</v>
      </c>
      <c r="CA68" s="1074" t="s">
        <v>21</v>
      </c>
      <c r="CB68" s="930" t="s">
        <v>21</v>
      </c>
      <c r="CC68" s="930" t="s">
        <v>21</v>
      </c>
      <c r="CD68" s="925">
        <v>8.6609999999999996</v>
      </c>
      <c r="CE68" s="1130">
        <v>132.82</v>
      </c>
      <c r="CF68" s="1129" t="s">
        <v>21</v>
      </c>
      <c r="CG68" s="1130" t="s">
        <v>21</v>
      </c>
      <c r="CH68" s="1130" t="s">
        <v>21</v>
      </c>
      <c r="CI68" s="1131" t="s">
        <v>21</v>
      </c>
      <c r="CJ68" s="1129" t="s">
        <v>21</v>
      </c>
      <c r="CK68" s="1130" t="s">
        <v>21</v>
      </c>
      <c r="CL68" s="1130" t="s">
        <v>21</v>
      </c>
      <c r="CM68" s="1131" t="s">
        <v>21</v>
      </c>
      <c r="CN68" s="1130">
        <v>132.82</v>
      </c>
      <c r="CP68" s="838" t="s">
        <v>21</v>
      </c>
      <c r="CQ68" s="838" t="s">
        <v>21</v>
      </c>
      <c r="CR68" s="836"/>
    </row>
    <row r="69" spans="1:96" x14ac:dyDescent="0.25">
      <c r="A69" s="935"/>
      <c r="B69" s="932"/>
      <c r="C69" s="911"/>
      <c r="D69" s="911"/>
      <c r="E69" s="912"/>
      <c r="F69" s="912"/>
      <c r="G69" s="910"/>
      <c r="H69" s="912"/>
      <c r="I69" s="912"/>
      <c r="J69" s="914"/>
      <c r="K69" s="915"/>
      <c r="L69" s="916" t="s">
        <v>21</v>
      </c>
      <c r="M69" s="916" t="s">
        <v>21</v>
      </c>
      <c r="N69" s="916" t="s">
        <v>21</v>
      </c>
      <c r="O69" s="916" t="s">
        <v>21</v>
      </c>
      <c r="P69" s="915"/>
      <c r="Q69" s="916" t="s">
        <v>21</v>
      </c>
      <c r="R69" s="917" t="s">
        <v>21</v>
      </c>
      <c r="S69" s="918" t="s">
        <v>21</v>
      </c>
      <c r="T69" s="918" t="s">
        <v>21</v>
      </c>
      <c r="U69" s="916" t="s">
        <v>21</v>
      </c>
      <c r="V69" s="916" t="s">
        <v>21</v>
      </c>
      <c r="W69" s="915"/>
      <c r="X69" s="916" t="s">
        <v>21</v>
      </c>
      <c r="Y69" s="916" t="s">
        <v>21</v>
      </c>
      <c r="Z69" s="916" t="s">
        <v>21</v>
      </c>
      <c r="AA69" s="916" t="s">
        <v>21</v>
      </c>
      <c r="AB69" s="916" t="s">
        <v>21</v>
      </c>
      <c r="AC69" s="915"/>
      <c r="AD69" s="919" t="s">
        <v>21</v>
      </c>
      <c r="AE69" s="920" t="s">
        <v>21</v>
      </c>
      <c r="AF69" s="920" t="s">
        <v>21</v>
      </c>
      <c r="AG69" s="920" t="s">
        <v>21</v>
      </c>
      <c r="AH69" s="921" t="s">
        <v>21</v>
      </c>
      <c r="AI69" s="921" t="s">
        <v>21</v>
      </c>
      <c r="AJ69" s="920" t="s">
        <v>21</v>
      </c>
      <c r="AK69" s="920" t="s">
        <v>21</v>
      </c>
      <c r="AL69" s="921" t="s">
        <v>21</v>
      </c>
      <c r="AM69" s="921" t="s">
        <v>21</v>
      </c>
      <c r="AN69" s="920"/>
      <c r="AO69" s="920" t="s">
        <v>21</v>
      </c>
      <c r="AP69" s="919" t="s">
        <v>21</v>
      </c>
      <c r="AQ69" s="933" t="s">
        <v>21</v>
      </c>
      <c r="AR69" s="925" t="s">
        <v>21</v>
      </c>
      <c r="AS69" s="925" t="s">
        <v>21</v>
      </c>
      <c r="AT69" s="925" t="s">
        <v>21</v>
      </c>
      <c r="AU69" s="925" t="s">
        <v>21</v>
      </c>
      <c r="AV69" s="926" t="s">
        <v>21</v>
      </c>
      <c r="AW69" s="926" t="s">
        <v>21</v>
      </c>
      <c r="AX69" s="926" t="s">
        <v>21</v>
      </c>
      <c r="AY69" s="926" t="s">
        <v>21</v>
      </c>
      <c r="AZ69" s="925" t="s">
        <v>21</v>
      </c>
      <c r="BA69" s="925"/>
      <c r="BB69" s="919" t="s">
        <v>21</v>
      </c>
      <c r="BC69" s="919" t="s">
        <v>21</v>
      </c>
      <c r="BD69" s="919" t="s">
        <v>21</v>
      </c>
      <c r="BE69" s="925" t="s">
        <v>21</v>
      </c>
      <c r="BF69" s="926" t="s">
        <v>21</v>
      </c>
      <c r="BG69" s="925" t="s">
        <v>21</v>
      </c>
      <c r="BH69" s="926" t="s">
        <v>21</v>
      </c>
      <c r="BI69" s="925" t="s">
        <v>21</v>
      </c>
      <c r="BJ69" s="926" t="s">
        <v>21</v>
      </c>
      <c r="BK69" s="925" t="s">
        <v>21</v>
      </c>
      <c r="BL69" s="926" t="s">
        <v>21</v>
      </c>
      <c r="BM69" s="925" t="s">
        <v>21</v>
      </c>
      <c r="BN69" s="927"/>
      <c r="BO69" s="927"/>
      <c r="BP69" s="928" t="s">
        <v>21</v>
      </c>
      <c r="BQ69" s="928" t="s">
        <v>21</v>
      </c>
      <c r="BR69" s="928" t="s">
        <v>21</v>
      </c>
      <c r="BS69" s="928" t="s">
        <v>21</v>
      </c>
      <c r="BT69" s="928" t="s">
        <v>21</v>
      </c>
      <c r="BU69" s="928" t="s">
        <v>21</v>
      </c>
      <c r="BV69" s="934" t="s">
        <v>21</v>
      </c>
      <c r="BW69" s="934" t="s">
        <v>21</v>
      </c>
      <c r="BX69" s="1104" t="s">
        <v>21</v>
      </c>
      <c r="BY69" s="931" t="s">
        <v>21</v>
      </c>
      <c r="BZ69" s="930" t="s">
        <v>21</v>
      </c>
      <c r="CA69" s="1074" t="s">
        <v>21</v>
      </c>
      <c r="CB69" s="930" t="s">
        <v>21</v>
      </c>
      <c r="CC69" s="930" t="s">
        <v>21</v>
      </c>
      <c r="CD69" s="925" t="s">
        <v>21</v>
      </c>
      <c r="CE69" s="1130" t="s">
        <v>21</v>
      </c>
      <c r="CF69" s="1129" t="s">
        <v>21</v>
      </c>
      <c r="CG69" s="1130" t="s">
        <v>21</v>
      </c>
      <c r="CH69" s="1130" t="s">
        <v>21</v>
      </c>
      <c r="CI69" s="1131" t="s">
        <v>21</v>
      </c>
      <c r="CJ69" s="1129" t="s">
        <v>21</v>
      </c>
      <c r="CK69" s="1130" t="s">
        <v>21</v>
      </c>
      <c r="CL69" s="1130" t="s">
        <v>21</v>
      </c>
      <c r="CM69" s="1131" t="s">
        <v>21</v>
      </c>
      <c r="CN69" s="1130" t="s">
        <v>21</v>
      </c>
      <c r="CP69" s="838" t="s">
        <v>21</v>
      </c>
      <c r="CQ69" s="838" t="s">
        <v>21</v>
      </c>
      <c r="CR69" s="836"/>
    </row>
    <row r="70" spans="1:96" x14ac:dyDescent="0.25">
      <c r="A70" s="935" t="s">
        <v>2492</v>
      </c>
      <c r="B70" s="932" t="s">
        <v>2230</v>
      </c>
      <c r="C70" s="911">
        <v>600</v>
      </c>
      <c r="D70" s="911" t="s">
        <v>2116</v>
      </c>
      <c r="E70" s="912">
        <v>1152.32</v>
      </c>
      <c r="F70" s="912">
        <v>1150.42</v>
      </c>
      <c r="G70" s="910" t="s">
        <v>2228</v>
      </c>
      <c r="H70" s="912">
        <v>1149.3499999999999</v>
      </c>
      <c r="I70" s="912">
        <v>1147.45</v>
      </c>
      <c r="J70" s="914">
        <v>41.95</v>
      </c>
      <c r="K70" s="915"/>
      <c r="L70" s="916">
        <v>0.1</v>
      </c>
      <c r="M70" s="916">
        <v>0.06</v>
      </c>
      <c r="N70" s="916">
        <v>0.2</v>
      </c>
      <c r="O70" s="916">
        <v>4.84</v>
      </c>
      <c r="P70" s="915"/>
      <c r="Q70" s="916">
        <v>2.16</v>
      </c>
      <c r="R70" s="917">
        <v>0.33333333333333331</v>
      </c>
      <c r="S70" s="918">
        <v>1.4</v>
      </c>
      <c r="T70" s="918">
        <v>2.84</v>
      </c>
      <c r="U70" s="916">
        <v>4.5540000000000003</v>
      </c>
      <c r="V70" s="916">
        <v>0.92</v>
      </c>
      <c r="W70" s="915"/>
      <c r="X70" s="916">
        <v>0.28299999999999997</v>
      </c>
      <c r="Y70" s="916">
        <v>0.40699999999999997</v>
      </c>
      <c r="Z70" s="916">
        <v>4.5789999999999997</v>
      </c>
      <c r="AA70" s="916">
        <v>1.0229999999999999</v>
      </c>
      <c r="AB70" s="916">
        <v>3.0089999999999999</v>
      </c>
      <c r="AC70" s="915"/>
      <c r="AD70" s="919">
        <v>203.03800000000001</v>
      </c>
      <c r="AE70" s="920">
        <v>192.089</v>
      </c>
      <c r="AF70" s="920" t="s">
        <v>21</v>
      </c>
      <c r="AG70" s="920" t="s">
        <v>21</v>
      </c>
      <c r="AH70" s="921">
        <v>192.089</v>
      </c>
      <c r="AI70" s="921" t="s">
        <v>21</v>
      </c>
      <c r="AJ70" s="920" t="s">
        <v>21</v>
      </c>
      <c r="AK70" s="920" t="s">
        <v>21</v>
      </c>
      <c r="AL70" s="921" t="s">
        <v>21</v>
      </c>
      <c r="AM70" s="921" t="s">
        <v>21</v>
      </c>
      <c r="AN70" s="920"/>
      <c r="AO70" s="920" t="s">
        <v>21</v>
      </c>
      <c r="AP70" s="919">
        <v>58.73</v>
      </c>
      <c r="AQ70" s="933">
        <v>191.04030000000003</v>
      </c>
      <c r="AR70" s="925" t="s">
        <v>21</v>
      </c>
      <c r="AS70" s="925">
        <v>191.04030000000003</v>
      </c>
      <c r="AT70" s="925" t="s">
        <v>21</v>
      </c>
      <c r="AU70" s="925" t="s">
        <v>21</v>
      </c>
      <c r="AV70" s="926" t="s">
        <v>21</v>
      </c>
      <c r="AW70" s="926" t="s">
        <v>21</v>
      </c>
      <c r="AX70" s="926" t="s">
        <v>21</v>
      </c>
      <c r="AY70" s="926" t="s">
        <v>21</v>
      </c>
      <c r="AZ70" s="925" t="s">
        <v>21</v>
      </c>
      <c r="BA70" s="925"/>
      <c r="BB70" s="919">
        <v>5.8730000000000002</v>
      </c>
      <c r="BC70" s="919" t="s">
        <v>21</v>
      </c>
      <c r="BD70" s="919" t="s">
        <v>2142</v>
      </c>
      <c r="BE70" s="925" t="s">
        <v>21</v>
      </c>
      <c r="BF70" s="926" t="s">
        <v>21</v>
      </c>
      <c r="BG70" s="925">
        <v>41.95</v>
      </c>
      <c r="BH70" s="926" t="s">
        <v>21</v>
      </c>
      <c r="BI70" s="925" t="s">
        <v>21</v>
      </c>
      <c r="BJ70" s="926" t="s">
        <v>21</v>
      </c>
      <c r="BK70" s="925" t="s">
        <v>21</v>
      </c>
      <c r="BL70" s="926" t="s">
        <v>21</v>
      </c>
      <c r="BM70" s="925" t="s">
        <v>21</v>
      </c>
      <c r="BN70" s="927"/>
      <c r="BO70" s="927"/>
      <c r="BP70" s="928">
        <v>1</v>
      </c>
      <c r="BQ70" s="928" t="s">
        <v>21</v>
      </c>
      <c r="BR70" s="928" t="s">
        <v>21</v>
      </c>
      <c r="BS70" s="928" t="s">
        <v>21</v>
      </c>
      <c r="BT70" s="928" t="s">
        <v>21</v>
      </c>
      <c r="BU70" s="928" t="s">
        <v>21</v>
      </c>
      <c r="BV70" s="934">
        <v>0.49999999999986366</v>
      </c>
      <c r="BW70" s="934">
        <v>0.5</v>
      </c>
      <c r="BX70" s="1104">
        <v>1</v>
      </c>
      <c r="BY70" s="931">
        <v>3</v>
      </c>
      <c r="BZ70" s="930" t="s">
        <v>21</v>
      </c>
      <c r="CA70" s="1074">
        <v>1</v>
      </c>
      <c r="CB70" s="930" t="s">
        <v>21</v>
      </c>
      <c r="CC70" s="930" t="s">
        <v>21</v>
      </c>
      <c r="CD70" s="925">
        <v>42.914999999999999</v>
      </c>
      <c r="CE70" s="1130">
        <v>126.22799999999999</v>
      </c>
      <c r="CF70" s="1129" t="s">
        <v>21</v>
      </c>
      <c r="CG70" s="1130" t="s">
        <v>21</v>
      </c>
      <c r="CH70" s="1130" t="s">
        <v>21</v>
      </c>
      <c r="CI70" s="1131" t="s">
        <v>21</v>
      </c>
      <c r="CJ70" s="1129" t="s">
        <v>21</v>
      </c>
      <c r="CK70" s="1130">
        <v>126.22799999999999</v>
      </c>
      <c r="CL70" s="1130" t="s">
        <v>21</v>
      </c>
      <c r="CM70" s="1131" t="s">
        <v>21</v>
      </c>
      <c r="CN70" s="1130" t="s">
        <v>21</v>
      </c>
      <c r="CP70" s="838" t="s">
        <v>21</v>
      </c>
      <c r="CQ70" s="838" t="s">
        <v>21</v>
      </c>
      <c r="CR70" s="836"/>
    </row>
    <row r="71" spans="1:96" x14ac:dyDescent="0.25">
      <c r="A71" s="935"/>
      <c r="B71" s="932"/>
      <c r="C71" s="911"/>
      <c r="D71" s="911"/>
      <c r="E71" s="912"/>
      <c r="F71" s="912"/>
      <c r="G71" s="910"/>
      <c r="H71" s="912"/>
      <c r="I71" s="912"/>
      <c r="J71" s="914"/>
      <c r="K71" s="915"/>
      <c r="L71" s="916" t="s">
        <v>21</v>
      </c>
      <c r="M71" s="916" t="s">
        <v>21</v>
      </c>
      <c r="N71" s="916" t="s">
        <v>21</v>
      </c>
      <c r="O71" s="916" t="s">
        <v>21</v>
      </c>
      <c r="P71" s="915"/>
      <c r="Q71" s="916" t="s">
        <v>21</v>
      </c>
      <c r="R71" s="917" t="s">
        <v>21</v>
      </c>
      <c r="S71" s="918" t="s">
        <v>21</v>
      </c>
      <c r="T71" s="918" t="s">
        <v>21</v>
      </c>
      <c r="U71" s="916" t="s">
        <v>21</v>
      </c>
      <c r="V71" s="916" t="s">
        <v>21</v>
      </c>
      <c r="W71" s="915"/>
      <c r="X71" s="916" t="s">
        <v>21</v>
      </c>
      <c r="Y71" s="916" t="s">
        <v>21</v>
      </c>
      <c r="Z71" s="916" t="s">
        <v>21</v>
      </c>
      <c r="AA71" s="916" t="s">
        <v>21</v>
      </c>
      <c r="AB71" s="916" t="s">
        <v>21</v>
      </c>
      <c r="AC71" s="915"/>
      <c r="AD71" s="919" t="s">
        <v>21</v>
      </c>
      <c r="AE71" s="920" t="s">
        <v>21</v>
      </c>
      <c r="AF71" s="920" t="s">
        <v>21</v>
      </c>
      <c r="AG71" s="920" t="s">
        <v>21</v>
      </c>
      <c r="AH71" s="921" t="s">
        <v>21</v>
      </c>
      <c r="AI71" s="921" t="s">
        <v>21</v>
      </c>
      <c r="AJ71" s="920" t="s">
        <v>21</v>
      </c>
      <c r="AK71" s="920" t="s">
        <v>21</v>
      </c>
      <c r="AL71" s="921" t="s">
        <v>21</v>
      </c>
      <c r="AM71" s="921" t="s">
        <v>21</v>
      </c>
      <c r="AN71" s="920"/>
      <c r="AO71" s="920" t="s">
        <v>21</v>
      </c>
      <c r="AP71" s="919" t="s">
        <v>21</v>
      </c>
      <c r="AQ71" s="933" t="s">
        <v>21</v>
      </c>
      <c r="AR71" s="925" t="s">
        <v>21</v>
      </c>
      <c r="AS71" s="925" t="s">
        <v>21</v>
      </c>
      <c r="AT71" s="925" t="s">
        <v>21</v>
      </c>
      <c r="AU71" s="925" t="s">
        <v>21</v>
      </c>
      <c r="AV71" s="926" t="s">
        <v>21</v>
      </c>
      <c r="AW71" s="926" t="s">
        <v>21</v>
      </c>
      <c r="AX71" s="926" t="s">
        <v>21</v>
      </c>
      <c r="AY71" s="926" t="s">
        <v>21</v>
      </c>
      <c r="AZ71" s="925" t="s">
        <v>21</v>
      </c>
      <c r="BA71" s="925"/>
      <c r="BB71" s="919" t="s">
        <v>21</v>
      </c>
      <c r="BC71" s="919" t="s">
        <v>21</v>
      </c>
      <c r="BD71" s="919" t="s">
        <v>21</v>
      </c>
      <c r="BE71" s="925" t="s">
        <v>21</v>
      </c>
      <c r="BF71" s="926" t="s">
        <v>21</v>
      </c>
      <c r="BG71" s="925" t="s">
        <v>21</v>
      </c>
      <c r="BH71" s="926" t="s">
        <v>21</v>
      </c>
      <c r="BI71" s="925" t="s">
        <v>21</v>
      </c>
      <c r="BJ71" s="926" t="s">
        <v>21</v>
      </c>
      <c r="BK71" s="925" t="s">
        <v>21</v>
      </c>
      <c r="BL71" s="926" t="s">
        <v>21</v>
      </c>
      <c r="BM71" s="925" t="s">
        <v>21</v>
      </c>
      <c r="BN71" s="927"/>
      <c r="BO71" s="927"/>
      <c r="BP71" s="928" t="s">
        <v>21</v>
      </c>
      <c r="BQ71" s="928" t="s">
        <v>21</v>
      </c>
      <c r="BR71" s="928" t="s">
        <v>21</v>
      </c>
      <c r="BS71" s="928" t="s">
        <v>21</v>
      </c>
      <c r="BT71" s="928" t="s">
        <v>21</v>
      </c>
      <c r="BU71" s="928" t="s">
        <v>21</v>
      </c>
      <c r="BV71" s="934" t="s">
        <v>21</v>
      </c>
      <c r="BW71" s="934" t="s">
        <v>21</v>
      </c>
      <c r="BX71" s="1104" t="s">
        <v>21</v>
      </c>
      <c r="BY71" s="931" t="s">
        <v>21</v>
      </c>
      <c r="BZ71" s="930" t="s">
        <v>21</v>
      </c>
      <c r="CA71" s="1074" t="s">
        <v>21</v>
      </c>
      <c r="CB71" s="930" t="s">
        <v>21</v>
      </c>
      <c r="CC71" s="930" t="s">
        <v>21</v>
      </c>
      <c r="CD71" s="925" t="s">
        <v>21</v>
      </c>
      <c r="CE71" s="1130" t="s">
        <v>21</v>
      </c>
      <c r="CF71" s="1129" t="s">
        <v>21</v>
      </c>
      <c r="CG71" s="1130" t="s">
        <v>21</v>
      </c>
      <c r="CH71" s="1130" t="s">
        <v>21</v>
      </c>
      <c r="CI71" s="1131" t="s">
        <v>21</v>
      </c>
      <c r="CJ71" s="1129" t="s">
        <v>21</v>
      </c>
      <c r="CK71" s="1130" t="s">
        <v>21</v>
      </c>
      <c r="CL71" s="1130" t="s">
        <v>21</v>
      </c>
      <c r="CM71" s="1131" t="s">
        <v>21</v>
      </c>
      <c r="CN71" s="1130" t="s">
        <v>21</v>
      </c>
      <c r="CP71" s="838" t="s">
        <v>21</v>
      </c>
      <c r="CQ71" s="838" t="s">
        <v>21</v>
      </c>
      <c r="CR71" s="836"/>
    </row>
    <row r="72" spans="1:96" x14ac:dyDescent="0.25">
      <c r="A72" s="935" t="s">
        <v>2493</v>
      </c>
      <c r="B72" s="932" t="s">
        <v>2231</v>
      </c>
      <c r="C72" s="911">
        <v>600</v>
      </c>
      <c r="D72" s="911" t="s">
        <v>2116</v>
      </c>
      <c r="E72" s="912">
        <v>1150.46</v>
      </c>
      <c r="F72" s="912">
        <v>1148.56</v>
      </c>
      <c r="G72" s="910" t="s">
        <v>2229</v>
      </c>
      <c r="H72" s="912">
        <v>1148.83</v>
      </c>
      <c r="I72" s="912">
        <v>1146.93</v>
      </c>
      <c r="J72" s="914">
        <v>40.299999999999997</v>
      </c>
      <c r="K72" s="915"/>
      <c r="L72" s="916">
        <v>0.1</v>
      </c>
      <c r="M72" s="916">
        <v>0.06</v>
      </c>
      <c r="N72" s="916">
        <v>0.2</v>
      </c>
      <c r="O72" s="916">
        <v>4.84</v>
      </c>
      <c r="P72" s="915"/>
      <c r="Q72" s="916">
        <v>2.16</v>
      </c>
      <c r="R72" s="917">
        <v>0.33333333333333331</v>
      </c>
      <c r="S72" s="918">
        <v>1.4</v>
      </c>
      <c r="T72" s="918">
        <v>2.84</v>
      </c>
      <c r="U72" s="916">
        <v>4.5540000000000003</v>
      </c>
      <c r="V72" s="916">
        <v>0.92</v>
      </c>
      <c r="W72" s="915"/>
      <c r="X72" s="916">
        <v>0.28299999999999997</v>
      </c>
      <c r="Y72" s="916">
        <v>0.40699999999999997</v>
      </c>
      <c r="Z72" s="916">
        <v>4.5789999999999997</v>
      </c>
      <c r="AA72" s="916">
        <v>1.0229999999999999</v>
      </c>
      <c r="AB72" s="916">
        <v>3.0089999999999999</v>
      </c>
      <c r="AC72" s="915"/>
      <c r="AD72" s="919">
        <v>195.05199999999999</v>
      </c>
      <c r="AE72" s="920">
        <v>184.53399999999999</v>
      </c>
      <c r="AF72" s="920" t="s">
        <v>21</v>
      </c>
      <c r="AG72" s="920" t="s">
        <v>21</v>
      </c>
      <c r="AH72" s="921">
        <v>184.53399999999999</v>
      </c>
      <c r="AI72" s="921" t="s">
        <v>21</v>
      </c>
      <c r="AJ72" s="920" t="s">
        <v>21</v>
      </c>
      <c r="AK72" s="920" t="s">
        <v>21</v>
      </c>
      <c r="AL72" s="921" t="s">
        <v>21</v>
      </c>
      <c r="AM72" s="921" t="s">
        <v>21</v>
      </c>
      <c r="AN72" s="920"/>
      <c r="AO72" s="920" t="s">
        <v>21</v>
      </c>
      <c r="AP72" s="919">
        <v>56.42</v>
      </c>
      <c r="AQ72" s="933">
        <v>183.52619999999999</v>
      </c>
      <c r="AR72" s="925" t="s">
        <v>21</v>
      </c>
      <c r="AS72" s="925">
        <v>183.52619999999999</v>
      </c>
      <c r="AT72" s="925" t="s">
        <v>21</v>
      </c>
      <c r="AU72" s="925" t="s">
        <v>21</v>
      </c>
      <c r="AV72" s="926" t="s">
        <v>21</v>
      </c>
      <c r="AW72" s="926" t="s">
        <v>21</v>
      </c>
      <c r="AX72" s="926" t="s">
        <v>21</v>
      </c>
      <c r="AY72" s="926" t="s">
        <v>21</v>
      </c>
      <c r="AZ72" s="925" t="s">
        <v>21</v>
      </c>
      <c r="BA72" s="925"/>
      <c r="BB72" s="919">
        <v>5.6420000000000003</v>
      </c>
      <c r="BC72" s="919" t="s">
        <v>21</v>
      </c>
      <c r="BD72" s="919" t="s">
        <v>2142</v>
      </c>
      <c r="BE72" s="925" t="s">
        <v>21</v>
      </c>
      <c r="BF72" s="926" t="s">
        <v>21</v>
      </c>
      <c r="BG72" s="925">
        <v>40.299999999999997</v>
      </c>
      <c r="BH72" s="926" t="s">
        <v>21</v>
      </c>
      <c r="BI72" s="925" t="s">
        <v>21</v>
      </c>
      <c r="BJ72" s="926" t="s">
        <v>21</v>
      </c>
      <c r="BK72" s="925" t="s">
        <v>21</v>
      </c>
      <c r="BL72" s="926" t="s">
        <v>21</v>
      </c>
      <c r="BM72" s="925" t="s">
        <v>21</v>
      </c>
      <c r="BN72" s="927"/>
      <c r="BO72" s="927"/>
      <c r="BP72" s="928">
        <v>1</v>
      </c>
      <c r="BQ72" s="928" t="s">
        <v>21</v>
      </c>
      <c r="BR72" s="928" t="s">
        <v>21</v>
      </c>
      <c r="BS72" s="928" t="s">
        <v>21</v>
      </c>
      <c r="BT72" s="928" t="s">
        <v>21</v>
      </c>
      <c r="BU72" s="928" t="s">
        <v>21</v>
      </c>
      <c r="BV72" s="934">
        <v>0.50000000000009104</v>
      </c>
      <c r="BW72" s="934">
        <v>1</v>
      </c>
      <c r="BX72" s="1104">
        <v>2</v>
      </c>
      <c r="BY72" s="931">
        <v>4</v>
      </c>
      <c r="BZ72" s="930" t="s">
        <v>21</v>
      </c>
      <c r="CA72" s="1074">
        <v>1</v>
      </c>
      <c r="CB72" s="930" t="s">
        <v>21</v>
      </c>
      <c r="CC72" s="930" t="s">
        <v>21</v>
      </c>
      <c r="CD72" s="925">
        <v>41.226999999999997</v>
      </c>
      <c r="CE72" s="1130">
        <v>121.26300000000001</v>
      </c>
      <c r="CF72" s="1129" t="s">
        <v>21</v>
      </c>
      <c r="CG72" s="1130" t="s">
        <v>21</v>
      </c>
      <c r="CH72" s="1130" t="s">
        <v>21</v>
      </c>
      <c r="CI72" s="1131" t="s">
        <v>21</v>
      </c>
      <c r="CJ72" s="1129" t="s">
        <v>21</v>
      </c>
      <c r="CK72" s="1130">
        <v>121.26300000000001</v>
      </c>
      <c r="CL72" s="1130" t="s">
        <v>21</v>
      </c>
      <c r="CM72" s="1131" t="s">
        <v>21</v>
      </c>
      <c r="CN72" s="1130" t="s">
        <v>21</v>
      </c>
      <c r="CP72" s="838" t="s">
        <v>21</v>
      </c>
      <c r="CQ72" s="838" t="s">
        <v>21</v>
      </c>
      <c r="CR72" s="836"/>
    </row>
    <row r="73" spans="1:96" x14ac:dyDescent="0.25">
      <c r="A73" s="935"/>
      <c r="B73" s="932"/>
      <c r="C73" s="911"/>
      <c r="D73" s="911"/>
      <c r="E73" s="912"/>
      <c r="F73" s="912"/>
      <c r="G73" s="910"/>
      <c r="H73" s="912"/>
      <c r="I73" s="912"/>
      <c r="J73" s="914"/>
      <c r="K73" s="915"/>
      <c r="L73" s="916" t="s">
        <v>21</v>
      </c>
      <c r="M73" s="916" t="s">
        <v>21</v>
      </c>
      <c r="N73" s="916" t="s">
        <v>21</v>
      </c>
      <c r="O73" s="916" t="s">
        <v>21</v>
      </c>
      <c r="P73" s="915"/>
      <c r="Q73" s="916" t="s">
        <v>21</v>
      </c>
      <c r="R73" s="917" t="s">
        <v>21</v>
      </c>
      <c r="S73" s="918" t="s">
        <v>21</v>
      </c>
      <c r="T73" s="918" t="s">
        <v>21</v>
      </c>
      <c r="U73" s="916" t="s">
        <v>21</v>
      </c>
      <c r="V73" s="916" t="s">
        <v>21</v>
      </c>
      <c r="W73" s="915"/>
      <c r="X73" s="916" t="s">
        <v>21</v>
      </c>
      <c r="Y73" s="916" t="s">
        <v>21</v>
      </c>
      <c r="Z73" s="916" t="s">
        <v>21</v>
      </c>
      <c r="AA73" s="916" t="s">
        <v>21</v>
      </c>
      <c r="AB73" s="916" t="s">
        <v>21</v>
      </c>
      <c r="AC73" s="915"/>
      <c r="AD73" s="919" t="s">
        <v>21</v>
      </c>
      <c r="AE73" s="920" t="s">
        <v>21</v>
      </c>
      <c r="AF73" s="920" t="s">
        <v>21</v>
      </c>
      <c r="AG73" s="920" t="s">
        <v>21</v>
      </c>
      <c r="AH73" s="921" t="s">
        <v>21</v>
      </c>
      <c r="AI73" s="921" t="s">
        <v>21</v>
      </c>
      <c r="AJ73" s="920" t="s">
        <v>21</v>
      </c>
      <c r="AK73" s="920" t="s">
        <v>21</v>
      </c>
      <c r="AL73" s="921" t="s">
        <v>21</v>
      </c>
      <c r="AM73" s="921" t="s">
        <v>21</v>
      </c>
      <c r="AN73" s="920"/>
      <c r="AO73" s="920" t="s">
        <v>21</v>
      </c>
      <c r="AP73" s="919" t="s">
        <v>21</v>
      </c>
      <c r="AQ73" s="933" t="s">
        <v>21</v>
      </c>
      <c r="AR73" s="925" t="s">
        <v>21</v>
      </c>
      <c r="AS73" s="925" t="s">
        <v>21</v>
      </c>
      <c r="AT73" s="925" t="s">
        <v>21</v>
      </c>
      <c r="AU73" s="925" t="s">
        <v>21</v>
      </c>
      <c r="AV73" s="926" t="s">
        <v>21</v>
      </c>
      <c r="AW73" s="926" t="s">
        <v>21</v>
      </c>
      <c r="AX73" s="926" t="s">
        <v>21</v>
      </c>
      <c r="AY73" s="926" t="s">
        <v>21</v>
      </c>
      <c r="AZ73" s="925" t="s">
        <v>21</v>
      </c>
      <c r="BA73" s="925"/>
      <c r="BB73" s="919" t="s">
        <v>21</v>
      </c>
      <c r="BC73" s="919" t="s">
        <v>21</v>
      </c>
      <c r="BD73" s="919" t="s">
        <v>21</v>
      </c>
      <c r="BE73" s="925" t="s">
        <v>21</v>
      </c>
      <c r="BF73" s="926" t="s">
        <v>21</v>
      </c>
      <c r="BG73" s="925" t="s">
        <v>21</v>
      </c>
      <c r="BH73" s="926" t="s">
        <v>21</v>
      </c>
      <c r="BI73" s="925" t="s">
        <v>21</v>
      </c>
      <c r="BJ73" s="926" t="s">
        <v>21</v>
      </c>
      <c r="BK73" s="925" t="s">
        <v>21</v>
      </c>
      <c r="BL73" s="926" t="s">
        <v>21</v>
      </c>
      <c r="BM73" s="925" t="s">
        <v>21</v>
      </c>
      <c r="BN73" s="927"/>
      <c r="BO73" s="927"/>
      <c r="BP73" s="928" t="s">
        <v>21</v>
      </c>
      <c r="BQ73" s="928" t="s">
        <v>21</v>
      </c>
      <c r="BR73" s="928" t="s">
        <v>21</v>
      </c>
      <c r="BS73" s="928" t="s">
        <v>21</v>
      </c>
      <c r="BT73" s="928" t="s">
        <v>21</v>
      </c>
      <c r="BU73" s="928" t="s">
        <v>21</v>
      </c>
      <c r="BV73" s="934" t="s">
        <v>21</v>
      </c>
      <c r="BW73" s="934" t="s">
        <v>21</v>
      </c>
      <c r="BX73" s="1104" t="s">
        <v>21</v>
      </c>
      <c r="BY73" s="931" t="s">
        <v>21</v>
      </c>
      <c r="BZ73" s="930" t="s">
        <v>21</v>
      </c>
      <c r="CA73" s="1074" t="s">
        <v>21</v>
      </c>
      <c r="CB73" s="930" t="s">
        <v>21</v>
      </c>
      <c r="CC73" s="930" t="s">
        <v>21</v>
      </c>
      <c r="CD73" s="925" t="s">
        <v>21</v>
      </c>
      <c r="CE73" s="1130" t="s">
        <v>21</v>
      </c>
      <c r="CF73" s="1129" t="s">
        <v>21</v>
      </c>
      <c r="CG73" s="1130" t="s">
        <v>21</v>
      </c>
      <c r="CH73" s="1130" t="s">
        <v>21</v>
      </c>
      <c r="CI73" s="1131" t="s">
        <v>21</v>
      </c>
      <c r="CJ73" s="1129" t="s">
        <v>21</v>
      </c>
      <c r="CK73" s="1130" t="s">
        <v>21</v>
      </c>
      <c r="CL73" s="1130" t="s">
        <v>21</v>
      </c>
      <c r="CM73" s="1131" t="s">
        <v>21</v>
      </c>
      <c r="CN73" s="1130" t="s">
        <v>21</v>
      </c>
      <c r="CP73" s="838" t="s">
        <v>21</v>
      </c>
      <c r="CQ73" s="838" t="s">
        <v>21</v>
      </c>
      <c r="CR73" s="836"/>
    </row>
    <row r="74" spans="1:96" x14ac:dyDescent="0.25">
      <c r="A74" s="935" t="s">
        <v>2494</v>
      </c>
      <c r="B74" s="932" t="s">
        <v>2234</v>
      </c>
      <c r="C74" s="911">
        <v>600</v>
      </c>
      <c r="D74" s="911" t="s">
        <v>2116</v>
      </c>
      <c r="E74" s="912">
        <v>1150.4000000000001</v>
      </c>
      <c r="F74" s="912">
        <v>1148.5</v>
      </c>
      <c r="G74" s="932" t="s">
        <v>2266</v>
      </c>
      <c r="H74" s="912">
        <v>1150.19</v>
      </c>
      <c r="I74" s="912">
        <v>1148.29</v>
      </c>
      <c r="J74" s="914">
        <v>21.41</v>
      </c>
      <c r="K74" s="915"/>
      <c r="L74" s="916">
        <v>0.1</v>
      </c>
      <c r="M74" s="916">
        <v>0.06</v>
      </c>
      <c r="N74" s="916">
        <v>0.2</v>
      </c>
      <c r="O74" s="916">
        <v>4.84</v>
      </c>
      <c r="P74" s="915"/>
      <c r="Q74" s="916">
        <v>2.16</v>
      </c>
      <c r="R74" s="917">
        <v>0.33333333333333331</v>
      </c>
      <c r="S74" s="918">
        <v>1.4</v>
      </c>
      <c r="T74" s="918">
        <v>2.84</v>
      </c>
      <c r="U74" s="916">
        <v>4.5540000000000003</v>
      </c>
      <c r="V74" s="916">
        <v>0.92</v>
      </c>
      <c r="W74" s="915"/>
      <c r="X74" s="916">
        <v>0.28299999999999997</v>
      </c>
      <c r="Y74" s="916">
        <v>0.40699999999999997</v>
      </c>
      <c r="Z74" s="916">
        <v>4.5789999999999997</v>
      </c>
      <c r="AA74" s="916">
        <v>1.0229999999999999</v>
      </c>
      <c r="AB74" s="916">
        <v>3.0089999999999999</v>
      </c>
      <c r="AC74" s="915"/>
      <c r="AD74" s="919">
        <v>103.624</v>
      </c>
      <c r="AE74" s="920">
        <v>98.036000000000001</v>
      </c>
      <c r="AF74" s="920" t="s">
        <v>21</v>
      </c>
      <c r="AG74" s="920" t="s">
        <v>21</v>
      </c>
      <c r="AH74" s="921">
        <v>98.036000000000001</v>
      </c>
      <c r="AI74" s="921" t="s">
        <v>21</v>
      </c>
      <c r="AJ74" s="920" t="s">
        <v>21</v>
      </c>
      <c r="AK74" s="920" t="s">
        <v>21</v>
      </c>
      <c r="AL74" s="921" t="s">
        <v>21</v>
      </c>
      <c r="AM74" s="921" t="s">
        <v>21</v>
      </c>
      <c r="AN74" s="920"/>
      <c r="AO74" s="920" t="s">
        <v>21</v>
      </c>
      <c r="AP74" s="919">
        <v>29.974</v>
      </c>
      <c r="AQ74" s="933">
        <v>97.501140000000007</v>
      </c>
      <c r="AR74" s="925" t="s">
        <v>21</v>
      </c>
      <c r="AS74" s="925">
        <v>97.501140000000007</v>
      </c>
      <c r="AT74" s="925" t="s">
        <v>21</v>
      </c>
      <c r="AU74" s="925" t="s">
        <v>21</v>
      </c>
      <c r="AV74" s="926" t="s">
        <v>21</v>
      </c>
      <c r="AW74" s="926" t="s">
        <v>21</v>
      </c>
      <c r="AX74" s="926" t="s">
        <v>21</v>
      </c>
      <c r="AY74" s="926" t="s">
        <v>21</v>
      </c>
      <c r="AZ74" s="925" t="s">
        <v>21</v>
      </c>
      <c r="BA74" s="925"/>
      <c r="BB74" s="919">
        <v>2.9969999999999999</v>
      </c>
      <c r="BC74" s="919" t="s">
        <v>21</v>
      </c>
      <c r="BD74" s="919" t="s">
        <v>2142</v>
      </c>
      <c r="BE74" s="925" t="s">
        <v>21</v>
      </c>
      <c r="BF74" s="926" t="s">
        <v>21</v>
      </c>
      <c r="BG74" s="925">
        <v>21.41</v>
      </c>
      <c r="BH74" s="926" t="s">
        <v>21</v>
      </c>
      <c r="BI74" s="925" t="s">
        <v>21</v>
      </c>
      <c r="BJ74" s="926" t="s">
        <v>21</v>
      </c>
      <c r="BK74" s="925" t="s">
        <v>21</v>
      </c>
      <c r="BL74" s="926" t="s">
        <v>21</v>
      </c>
      <c r="BM74" s="925" t="s">
        <v>21</v>
      </c>
      <c r="BN74" s="927"/>
      <c r="BO74" s="927"/>
      <c r="BP74" s="928">
        <v>1</v>
      </c>
      <c r="BQ74" s="928" t="s">
        <v>21</v>
      </c>
      <c r="BR74" s="928" t="s">
        <v>21</v>
      </c>
      <c r="BS74" s="928" t="s">
        <v>21</v>
      </c>
      <c r="BT74" s="928" t="s">
        <v>21</v>
      </c>
      <c r="BU74" s="928" t="s">
        <v>21</v>
      </c>
      <c r="BV74" s="934">
        <v>0.50000000000009104</v>
      </c>
      <c r="BW74" s="934">
        <v>1</v>
      </c>
      <c r="BX74" s="1104">
        <v>2</v>
      </c>
      <c r="BY74" s="931">
        <v>4</v>
      </c>
      <c r="BZ74" s="930">
        <v>1</v>
      </c>
      <c r="CA74" s="1074" t="s">
        <v>21</v>
      </c>
      <c r="CB74" s="930" t="s">
        <v>21</v>
      </c>
      <c r="CC74" s="930" t="s">
        <v>21</v>
      </c>
      <c r="CD74" s="925">
        <v>21.902000000000001</v>
      </c>
      <c r="CE74" s="1130">
        <v>64.423000000000002</v>
      </c>
      <c r="CF74" s="1129" t="s">
        <v>21</v>
      </c>
      <c r="CG74" s="1130" t="s">
        <v>21</v>
      </c>
      <c r="CH74" s="1130" t="s">
        <v>21</v>
      </c>
      <c r="CI74" s="1131" t="s">
        <v>21</v>
      </c>
      <c r="CJ74" s="1129" t="s">
        <v>21</v>
      </c>
      <c r="CK74" s="1130">
        <v>64.423000000000002</v>
      </c>
      <c r="CL74" s="1130" t="s">
        <v>21</v>
      </c>
      <c r="CM74" s="1131" t="s">
        <v>21</v>
      </c>
      <c r="CN74" s="1130" t="s">
        <v>21</v>
      </c>
      <c r="CP74" s="838" t="s">
        <v>21</v>
      </c>
      <c r="CQ74" s="838" t="s">
        <v>21</v>
      </c>
      <c r="CR74" s="836"/>
    </row>
    <row r="75" spans="1:96" x14ac:dyDescent="0.25">
      <c r="A75" s="935"/>
      <c r="B75" s="932" t="s">
        <v>2266</v>
      </c>
      <c r="C75" s="911">
        <v>600</v>
      </c>
      <c r="D75" s="911" t="s">
        <v>2116</v>
      </c>
      <c r="E75" s="912">
        <v>1150.19</v>
      </c>
      <c r="F75" s="912">
        <v>1148.29</v>
      </c>
      <c r="G75" s="910" t="s">
        <v>2254</v>
      </c>
      <c r="H75" s="912">
        <v>1146.8800000000001</v>
      </c>
      <c r="I75" s="912">
        <v>1144.98</v>
      </c>
      <c r="J75" s="914">
        <v>41.02</v>
      </c>
      <c r="K75" s="915"/>
      <c r="L75" s="916">
        <v>0.1</v>
      </c>
      <c r="M75" s="916">
        <v>0.06</v>
      </c>
      <c r="N75" s="916">
        <v>0.2</v>
      </c>
      <c r="O75" s="916">
        <v>4.84</v>
      </c>
      <c r="P75" s="915"/>
      <c r="Q75" s="916">
        <v>2.16</v>
      </c>
      <c r="R75" s="917">
        <v>0.33333333333333331</v>
      </c>
      <c r="S75" s="918">
        <v>1.4</v>
      </c>
      <c r="T75" s="918">
        <v>2.84</v>
      </c>
      <c r="U75" s="916">
        <v>4.5540000000000003</v>
      </c>
      <c r="V75" s="916">
        <v>0.92</v>
      </c>
      <c r="W75" s="915"/>
      <c r="X75" s="916">
        <v>0.28299999999999997</v>
      </c>
      <c r="Y75" s="916">
        <v>0.40699999999999997</v>
      </c>
      <c r="Z75" s="916">
        <v>4.5789999999999997</v>
      </c>
      <c r="AA75" s="916">
        <v>1.0229999999999999</v>
      </c>
      <c r="AB75" s="916">
        <v>3.0089999999999999</v>
      </c>
      <c r="AC75" s="915"/>
      <c r="AD75" s="919">
        <v>198.53700000000001</v>
      </c>
      <c r="AE75" s="920">
        <v>187.83099999999999</v>
      </c>
      <c r="AF75" s="920" t="s">
        <v>21</v>
      </c>
      <c r="AG75" s="920" t="s">
        <v>21</v>
      </c>
      <c r="AH75" s="921">
        <v>187.83099999999999</v>
      </c>
      <c r="AI75" s="921" t="s">
        <v>21</v>
      </c>
      <c r="AJ75" s="920" t="s">
        <v>21</v>
      </c>
      <c r="AK75" s="920" t="s">
        <v>21</v>
      </c>
      <c r="AL75" s="921" t="s">
        <v>21</v>
      </c>
      <c r="AM75" s="921" t="s">
        <v>21</v>
      </c>
      <c r="AN75" s="920"/>
      <c r="AO75" s="920" t="s">
        <v>21</v>
      </c>
      <c r="AP75" s="919">
        <v>57.427999999999997</v>
      </c>
      <c r="AQ75" s="933">
        <v>186.80508000000003</v>
      </c>
      <c r="AR75" s="925" t="s">
        <v>21</v>
      </c>
      <c r="AS75" s="925">
        <v>186.80508000000003</v>
      </c>
      <c r="AT75" s="925" t="s">
        <v>21</v>
      </c>
      <c r="AU75" s="925" t="s">
        <v>21</v>
      </c>
      <c r="AV75" s="926" t="s">
        <v>21</v>
      </c>
      <c r="AW75" s="926" t="s">
        <v>21</v>
      </c>
      <c r="AX75" s="926" t="s">
        <v>21</v>
      </c>
      <c r="AY75" s="926" t="s">
        <v>21</v>
      </c>
      <c r="AZ75" s="925" t="s">
        <v>21</v>
      </c>
      <c r="BA75" s="925"/>
      <c r="BB75" s="919">
        <v>5.7430000000000003</v>
      </c>
      <c r="BC75" s="919" t="s">
        <v>21</v>
      </c>
      <c r="BD75" s="919" t="s">
        <v>2142</v>
      </c>
      <c r="BE75" s="925" t="s">
        <v>21</v>
      </c>
      <c r="BF75" s="926" t="s">
        <v>21</v>
      </c>
      <c r="BG75" s="925">
        <v>41.02</v>
      </c>
      <c r="BH75" s="926" t="s">
        <v>21</v>
      </c>
      <c r="BI75" s="925" t="s">
        <v>21</v>
      </c>
      <c r="BJ75" s="926" t="s">
        <v>21</v>
      </c>
      <c r="BK75" s="925" t="s">
        <v>21</v>
      </c>
      <c r="BL75" s="926" t="s">
        <v>21</v>
      </c>
      <c r="BM75" s="925" t="s">
        <v>21</v>
      </c>
      <c r="BN75" s="927"/>
      <c r="BO75" s="927"/>
      <c r="BP75" s="928">
        <v>1</v>
      </c>
      <c r="BQ75" s="928" t="s">
        <v>21</v>
      </c>
      <c r="BR75" s="928" t="s">
        <v>21</v>
      </c>
      <c r="BS75" s="928" t="s">
        <v>21</v>
      </c>
      <c r="BT75" s="928" t="s">
        <v>21</v>
      </c>
      <c r="BU75" s="928" t="s">
        <v>21</v>
      </c>
      <c r="BV75" s="934">
        <v>0.50000000000009104</v>
      </c>
      <c r="BW75" s="934">
        <v>1</v>
      </c>
      <c r="BX75" s="1104">
        <v>2</v>
      </c>
      <c r="BY75" s="931">
        <v>4</v>
      </c>
      <c r="BZ75" s="930" t="s">
        <v>21</v>
      </c>
      <c r="CA75" s="1074">
        <v>1</v>
      </c>
      <c r="CB75" s="930" t="s">
        <v>21</v>
      </c>
      <c r="CC75" s="930" t="s">
        <v>21</v>
      </c>
      <c r="CD75" s="925">
        <v>41.963000000000001</v>
      </c>
      <c r="CE75" s="1130">
        <v>123.429</v>
      </c>
      <c r="CF75" s="1129" t="s">
        <v>21</v>
      </c>
      <c r="CG75" s="1130" t="s">
        <v>21</v>
      </c>
      <c r="CH75" s="1130" t="s">
        <v>21</v>
      </c>
      <c r="CI75" s="1131" t="s">
        <v>21</v>
      </c>
      <c r="CJ75" s="1129" t="s">
        <v>21</v>
      </c>
      <c r="CK75" s="1130">
        <v>123.429</v>
      </c>
      <c r="CL75" s="1130" t="s">
        <v>21</v>
      </c>
      <c r="CM75" s="1131" t="s">
        <v>21</v>
      </c>
      <c r="CN75" s="1130" t="s">
        <v>21</v>
      </c>
      <c r="CP75" s="838" t="s">
        <v>21</v>
      </c>
      <c r="CQ75" s="838" t="s">
        <v>21</v>
      </c>
      <c r="CR75" s="836"/>
    </row>
    <row r="76" spans="1:96" x14ac:dyDescent="0.25">
      <c r="A76" s="935"/>
      <c r="B76" s="932"/>
      <c r="C76" s="911"/>
      <c r="D76" s="911"/>
      <c r="E76" s="912"/>
      <c r="F76" s="912"/>
      <c r="G76" s="910"/>
      <c r="H76" s="912"/>
      <c r="I76" s="912"/>
      <c r="J76" s="914"/>
      <c r="K76" s="915"/>
      <c r="L76" s="916" t="s">
        <v>21</v>
      </c>
      <c r="M76" s="916" t="s">
        <v>21</v>
      </c>
      <c r="N76" s="916" t="s">
        <v>21</v>
      </c>
      <c r="O76" s="916" t="s">
        <v>21</v>
      </c>
      <c r="P76" s="915"/>
      <c r="Q76" s="916" t="s">
        <v>21</v>
      </c>
      <c r="R76" s="917" t="s">
        <v>21</v>
      </c>
      <c r="S76" s="918" t="s">
        <v>21</v>
      </c>
      <c r="T76" s="918" t="s">
        <v>21</v>
      </c>
      <c r="U76" s="916" t="s">
        <v>21</v>
      </c>
      <c r="V76" s="916" t="s">
        <v>21</v>
      </c>
      <c r="W76" s="915"/>
      <c r="X76" s="916" t="s">
        <v>21</v>
      </c>
      <c r="Y76" s="916" t="s">
        <v>21</v>
      </c>
      <c r="Z76" s="916" t="s">
        <v>21</v>
      </c>
      <c r="AA76" s="916" t="s">
        <v>21</v>
      </c>
      <c r="AB76" s="916" t="s">
        <v>21</v>
      </c>
      <c r="AC76" s="915"/>
      <c r="AD76" s="919" t="s">
        <v>21</v>
      </c>
      <c r="AE76" s="920" t="s">
        <v>21</v>
      </c>
      <c r="AF76" s="920" t="s">
        <v>21</v>
      </c>
      <c r="AG76" s="920" t="s">
        <v>21</v>
      </c>
      <c r="AH76" s="921" t="s">
        <v>21</v>
      </c>
      <c r="AI76" s="921" t="s">
        <v>21</v>
      </c>
      <c r="AJ76" s="920" t="s">
        <v>21</v>
      </c>
      <c r="AK76" s="920" t="s">
        <v>21</v>
      </c>
      <c r="AL76" s="921" t="s">
        <v>21</v>
      </c>
      <c r="AM76" s="921" t="s">
        <v>21</v>
      </c>
      <c r="AN76" s="920"/>
      <c r="AO76" s="920" t="s">
        <v>21</v>
      </c>
      <c r="AP76" s="919" t="s">
        <v>21</v>
      </c>
      <c r="AQ76" s="933" t="s">
        <v>21</v>
      </c>
      <c r="AR76" s="925" t="s">
        <v>21</v>
      </c>
      <c r="AS76" s="925" t="s">
        <v>21</v>
      </c>
      <c r="AT76" s="925" t="s">
        <v>21</v>
      </c>
      <c r="AU76" s="925" t="s">
        <v>21</v>
      </c>
      <c r="AV76" s="926" t="s">
        <v>21</v>
      </c>
      <c r="AW76" s="926" t="s">
        <v>21</v>
      </c>
      <c r="AX76" s="926" t="s">
        <v>21</v>
      </c>
      <c r="AY76" s="926" t="s">
        <v>21</v>
      </c>
      <c r="AZ76" s="925" t="s">
        <v>21</v>
      </c>
      <c r="BA76" s="925"/>
      <c r="BB76" s="919" t="s">
        <v>21</v>
      </c>
      <c r="BC76" s="919" t="s">
        <v>21</v>
      </c>
      <c r="BD76" s="919" t="s">
        <v>21</v>
      </c>
      <c r="BE76" s="925" t="s">
        <v>21</v>
      </c>
      <c r="BF76" s="926" t="s">
        <v>21</v>
      </c>
      <c r="BG76" s="925" t="s">
        <v>21</v>
      </c>
      <c r="BH76" s="926" t="s">
        <v>21</v>
      </c>
      <c r="BI76" s="925" t="s">
        <v>21</v>
      </c>
      <c r="BJ76" s="926" t="s">
        <v>21</v>
      </c>
      <c r="BK76" s="925" t="s">
        <v>21</v>
      </c>
      <c r="BL76" s="926" t="s">
        <v>21</v>
      </c>
      <c r="BM76" s="925" t="s">
        <v>21</v>
      </c>
      <c r="BN76" s="927"/>
      <c r="BO76" s="927"/>
      <c r="BP76" s="928" t="s">
        <v>21</v>
      </c>
      <c r="BQ76" s="928" t="s">
        <v>21</v>
      </c>
      <c r="BR76" s="928" t="s">
        <v>21</v>
      </c>
      <c r="BS76" s="928" t="s">
        <v>21</v>
      </c>
      <c r="BT76" s="928" t="s">
        <v>21</v>
      </c>
      <c r="BU76" s="928" t="s">
        <v>21</v>
      </c>
      <c r="BV76" s="934" t="s">
        <v>21</v>
      </c>
      <c r="BW76" s="934" t="s">
        <v>21</v>
      </c>
      <c r="BX76" s="1104" t="s">
        <v>21</v>
      </c>
      <c r="BY76" s="931" t="s">
        <v>21</v>
      </c>
      <c r="BZ76" s="930" t="s">
        <v>21</v>
      </c>
      <c r="CA76" s="1074" t="s">
        <v>21</v>
      </c>
      <c r="CB76" s="930" t="s">
        <v>21</v>
      </c>
      <c r="CC76" s="930" t="s">
        <v>21</v>
      </c>
      <c r="CD76" s="925" t="s">
        <v>21</v>
      </c>
      <c r="CE76" s="1130" t="s">
        <v>21</v>
      </c>
      <c r="CF76" s="1129" t="s">
        <v>21</v>
      </c>
      <c r="CG76" s="1130" t="s">
        <v>21</v>
      </c>
      <c r="CH76" s="1130" t="s">
        <v>21</v>
      </c>
      <c r="CI76" s="1131" t="s">
        <v>21</v>
      </c>
      <c r="CJ76" s="1129" t="s">
        <v>21</v>
      </c>
      <c r="CK76" s="1130" t="s">
        <v>21</v>
      </c>
      <c r="CL76" s="1130" t="s">
        <v>21</v>
      </c>
      <c r="CM76" s="1131" t="s">
        <v>21</v>
      </c>
      <c r="CN76" s="1130" t="s">
        <v>21</v>
      </c>
      <c r="CP76" s="838" t="s">
        <v>21</v>
      </c>
      <c r="CQ76" s="838" t="s">
        <v>21</v>
      </c>
      <c r="CR76" s="836"/>
    </row>
    <row r="77" spans="1:96" x14ac:dyDescent="0.25">
      <c r="A77" s="935" t="s">
        <v>2495</v>
      </c>
      <c r="B77" s="932" t="s">
        <v>2235</v>
      </c>
      <c r="C77" s="911">
        <v>600</v>
      </c>
      <c r="D77" s="911" t="s">
        <v>2116</v>
      </c>
      <c r="E77" s="912">
        <v>1149.8</v>
      </c>
      <c r="F77" s="912">
        <v>1147.9000000000001</v>
      </c>
      <c r="G77" s="932" t="s">
        <v>2267</v>
      </c>
      <c r="H77" s="912">
        <v>1149.5</v>
      </c>
      <c r="I77" s="912">
        <v>1147.5999999999999</v>
      </c>
      <c r="J77" s="914">
        <v>13.67</v>
      </c>
      <c r="K77" s="915"/>
      <c r="L77" s="916">
        <v>0.1</v>
      </c>
      <c r="M77" s="916">
        <v>0.06</v>
      </c>
      <c r="N77" s="916">
        <v>0.2</v>
      </c>
      <c r="O77" s="916">
        <v>4.84</v>
      </c>
      <c r="P77" s="915"/>
      <c r="Q77" s="916">
        <v>2.16</v>
      </c>
      <c r="R77" s="917">
        <v>0.33333333333333331</v>
      </c>
      <c r="S77" s="918">
        <v>1.4</v>
      </c>
      <c r="T77" s="918">
        <v>2.84</v>
      </c>
      <c r="U77" s="916">
        <v>4.5540000000000003</v>
      </c>
      <c r="V77" s="916">
        <v>0.92</v>
      </c>
      <c r="W77" s="915"/>
      <c r="X77" s="916">
        <v>0.28299999999999997</v>
      </c>
      <c r="Y77" s="916">
        <v>0.40699999999999997</v>
      </c>
      <c r="Z77" s="916">
        <v>4.5789999999999997</v>
      </c>
      <c r="AA77" s="916">
        <v>1.0229999999999999</v>
      </c>
      <c r="AB77" s="916">
        <v>3.0089999999999999</v>
      </c>
      <c r="AC77" s="915"/>
      <c r="AD77" s="919">
        <v>66.162999999999997</v>
      </c>
      <c r="AE77" s="920">
        <v>62.594999999999999</v>
      </c>
      <c r="AF77" s="920" t="s">
        <v>21</v>
      </c>
      <c r="AG77" s="920" t="s">
        <v>21</v>
      </c>
      <c r="AH77" s="921">
        <v>62.594999999999999</v>
      </c>
      <c r="AI77" s="921" t="s">
        <v>21</v>
      </c>
      <c r="AJ77" s="920" t="s">
        <v>21</v>
      </c>
      <c r="AK77" s="920" t="s">
        <v>21</v>
      </c>
      <c r="AL77" s="921" t="s">
        <v>21</v>
      </c>
      <c r="AM77" s="921" t="s">
        <v>21</v>
      </c>
      <c r="AN77" s="920"/>
      <c r="AO77" s="920" t="s">
        <v>21</v>
      </c>
      <c r="AP77" s="919">
        <v>19.138000000000002</v>
      </c>
      <c r="AQ77" s="933">
        <v>62.25318</v>
      </c>
      <c r="AR77" s="925" t="s">
        <v>21</v>
      </c>
      <c r="AS77" s="925">
        <v>62.25318</v>
      </c>
      <c r="AT77" s="925" t="s">
        <v>21</v>
      </c>
      <c r="AU77" s="925" t="s">
        <v>21</v>
      </c>
      <c r="AV77" s="926" t="s">
        <v>21</v>
      </c>
      <c r="AW77" s="926" t="s">
        <v>21</v>
      </c>
      <c r="AX77" s="926" t="s">
        <v>21</v>
      </c>
      <c r="AY77" s="926" t="s">
        <v>21</v>
      </c>
      <c r="AZ77" s="925" t="s">
        <v>21</v>
      </c>
      <c r="BA77" s="925"/>
      <c r="BB77" s="919">
        <v>1.9139999999999999</v>
      </c>
      <c r="BC77" s="919" t="s">
        <v>21</v>
      </c>
      <c r="BD77" s="919" t="s">
        <v>2142</v>
      </c>
      <c r="BE77" s="925" t="s">
        <v>21</v>
      </c>
      <c r="BF77" s="926" t="s">
        <v>21</v>
      </c>
      <c r="BG77" s="925">
        <v>13.67</v>
      </c>
      <c r="BH77" s="926" t="s">
        <v>21</v>
      </c>
      <c r="BI77" s="925" t="s">
        <v>21</v>
      </c>
      <c r="BJ77" s="926" t="s">
        <v>21</v>
      </c>
      <c r="BK77" s="925" t="s">
        <v>21</v>
      </c>
      <c r="BL77" s="926" t="s">
        <v>21</v>
      </c>
      <c r="BM77" s="925" t="s">
        <v>21</v>
      </c>
      <c r="BN77" s="927"/>
      <c r="BO77" s="927"/>
      <c r="BP77" s="928">
        <v>1</v>
      </c>
      <c r="BQ77" s="928" t="s">
        <v>21</v>
      </c>
      <c r="BR77" s="928" t="s">
        <v>21</v>
      </c>
      <c r="BS77" s="928" t="s">
        <v>21</v>
      </c>
      <c r="BT77" s="928" t="s">
        <v>21</v>
      </c>
      <c r="BU77" s="928" t="s">
        <v>21</v>
      </c>
      <c r="BV77" s="934">
        <v>0.49999999999986366</v>
      </c>
      <c r="BW77" s="934">
        <v>0.5</v>
      </c>
      <c r="BX77" s="1104">
        <v>1</v>
      </c>
      <c r="BY77" s="931">
        <v>3</v>
      </c>
      <c r="BZ77" s="930" t="s">
        <v>21</v>
      </c>
      <c r="CA77" s="1074">
        <v>1</v>
      </c>
      <c r="CB77" s="930" t="s">
        <v>21</v>
      </c>
      <c r="CC77" s="930" t="s">
        <v>21</v>
      </c>
      <c r="CD77" s="925">
        <v>13.984</v>
      </c>
      <c r="CE77" s="1130">
        <v>41.133000000000003</v>
      </c>
      <c r="CF77" s="1129" t="s">
        <v>21</v>
      </c>
      <c r="CG77" s="1130" t="s">
        <v>21</v>
      </c>
      <c r="CH77" s="1130" t="s">
        <v>21</v>
      </c>
      <c r="CI77" s="1131" t="s">
        <v>21</v>
      </c>
      <c r="CJ77" s="1129" t="s">
        <v>21</v>
      </c>
      <c r="CK77" s="1130">
        <v>41.133000000000003</v>
      </c>
      <c r="CL77" s="1130" t="s">
        <v>21</v>
      </c>
      <c r="CM77" s="1131" t="s">
        <v>21</v>
      </c>
      <c r="CN77" s="1130" t="s">
        <v>21</v>
      </c>
      <c r="CP77" s="838" t="s">
        <v>21</v>
      </c>
      <c r="CQ77" s="838" t="s">
        <v>21</v>
      </c>
      <c r="CR77" s="836"/>
    </row>
    <row r="78" spans="1:96" x14ac:dyDescent="0.25">
      <c r="A78" s="935"/>
      <c r="B78" s="932" t="s">
        <v>2267</v>
      </c>
      <c r="C78" s="911">
        <v>600</v>
      </c>
      <c r="D78" s="911" t="s">
        <v>2116</v>
      </c>
      <c r="E78" s="912">
        <v>1149.5</v>
      </c>
      <c r="F78" s="912">
        <v>1147.55</v>
      </c>
      <c r="G78" s="932" t="s">
        <v>2268</v>
      </c>
      <c r="H78" s="912">
        <v>1148</v>
      </c>
      <c r="I78" s="912">
        <v>1146.0999999999999</v>
      </c>
      <c r="J78" s="914">
        <v>37</v>
      </c>
      <c r="K78" s="915"/>
      <c r="L78" s="916">
        <v>0.1</v>
      </c>
      <c r="M78" s="916">
        <v>0.06</v>
      </c>
      <c r="N78" s="916">
        <v>0.2</v>
      </c>
      <c r="O78" s="916">
        <v>4.8570000000000002</v>
      </c>
      <c r="P78" s="915"/>
      <c r="Q78" s="916">
        <v>2.1850000000000001</v>
      </c>
      <c r="R78" s="917">
        <v>0.33333333333333331</v>
      </c>
      <c r="S78" s="918">
        <v>1.4</v>
      </c>
      <c r="T78" s="918">
        <v>2.8570000000000002</v>
      </c>
      <c r="U78" s="916">
        <v>4.6059999999999999</v>
      </c>
      <c r="V78" s="916">
        <v>0.92</v>
      </c>
      <c r="W78" s="915"/>
      <c r="X78" s="916">
        <v>0.28299999999999997</v>
      </c>
      <c r="Y78" s="916">
        <v>0.40699999999999997</v>
      </c>
      <c r="Z78" s="916">
        <v>4.6509999999999998</v>
      </c>
      <c r="AA78" s="916">
        <v>1.0229999999999999</v>
      </c>
      <c r="AB78" s="916">
        <v>3.081</v>
      </c>
      <c r="AC78" s="915"/>
      <c r="AD78" s="919">
        <v>179.709</v>
      </c>
      <c r="AE78" s="920">
        <v>172.08699999999999</v>
      </c>
      <c r="AF78" s="920" t="s">
        <v>21</v>
      </c>
      <c r="AG78" s="920" t="s">
        <v>21</v>
      </c>
      <c r="AH78" s="921">
        <v>172.08699999999999</v>
      </c>
      <c r="AI78" s="921" t="s">
        <v>21</v>
      </c>
      <c r="AJ78" s="920" t="s">
        <v>21</v>
      </c>
      <c r="AK78" s="920" t="s">
        <v>21</v>
      </c>
      <c r="AL78" s="921" t="s">
        <v>21</v>
      </c>
      <c r="AM78" s="921" t="s">
        <v>21</v>
      </c>
      <c r="AN78" s="920"/>
      <c r="AO78" s="920" t="s">
        <v>21</v>
      </c>
      <c r="AP78" s="919">
        <v>51.8</v>
      </c>
      <c r="AQ78" s="933">
        <v>170.422</v>
      </c>
      <c r="AR78" s="925" t="s">
        <v>21</v>
      </c>
      <c r="AS78" s="925">
        <v>170.422</v>
      </c>
      <c r="AT78" s="925" t="s">
        <v>21</v>
      </c>
      <c r="AU78" s="925" t="s">
        <v>21</v>
      </c>
      <c r="AV78" s="926" t="s">
        <v>21</v>
      </c>
      <c r="AW78" s="926" t="s">
        <v>21</v>
      </c>
      <c r="AX78" s="926" t="s">
        <v>21</v>
      </c>
      <c r="AY78" s="926" t="s">
        <v>21</v>
      </c>
      <c r="AZ78" s="925" t="s">
        <v>21</v>
      </c>
      <c r="BA78" s="925"/>
      <c r="BB78" s="919">
        <v>5.18</v>
      </c>
      <c r="BC78" s="919" t="s">
        <v>21</v>
      </c>
      <c r="BD78" s="919" t="s">
        <v>2142</v>
      </c>
      <c r="BE78" s="925" t="s">
        <v>21</v>
      </c>
      <c r="BF78" s="926" t="s">
        <v>21</v>
      </c>
      <c r="BG78" s="925">
        <v>37</v>
      </c>
      <c r="BH78" s="926" t="s">
        <v>21</v>
      </c>
      <c r="BI78" s="925" t="s">
        <v>21</v>
      </c>
      <c r="BJ78" s="926" t="s">
        <v>21</v>
      </c>
      <c r="BK78" s="925" t="s">
        <v>21</v>
      </c>
      <c r="BL78" s="926" t="s">
        <v>21</v>
      </c>
      <c r="BM78" s="925" t="s">
        <v>21</v>
      </c>
      <c r="BN78" s="927"/>
      <c r="BO78" s="927"/>
      <c r="BP78" s="928">
        <v>1</v>
      </c>
      <c r="BQ78" s="928" t="s">
        <v>21</v>
      </c>
      <c r="BR78" s="928" t="s">
        <v>21</v>
      </c>
      <c r="BS78" s="928" t="s">
        <v>21</v>
      </c>
      <c r="BT78" s="928" t="s">
        <v>21</v>
      </c>
      <c r="BU78" s="928" t="s">
        <v>21</v>
      </c>
      <c r="BV78" s="934">
        <v>0.55000000000004556</v>
      </c>
      <c r="BW78" s="934">
        <v>1</v>
      </c>
      <c r="BX78" s="1104">
        <v>2</v>
      </c>
      <c r="BY78" s="931">
        <v>4</v>
      </c>
      <c r="BZ78" s="930" t="s">
        <v>21</v>
      </c>
      <c r="CA78" s="1074">
        <v>1</v>
      </c>
      <c r="CB78" s="930" t="s">
        <v>21</v>
      </c>
      <c r="CC78" s="930" t="s">
        <v>21</v>
      </c>
      <c r="CD78" s="925">
        <v>37.850999999999999</v>
      </c>
      <c r="CE78" s="1130">
        <v>113.997</v>
      </c>
      <c r="CF78" s="1129" t="s">
        <v>21</v>
      </c>
      <c r="CG78" s="1130" t="s">
        <v>21</v>
      </c>
      <c r="CH78" s="1130" t="s">
        <v>21</v>
      </c>
      <c r="CI78" s="1131" t="s">
        <v>21</v>
      </c>
      <c r="CJ78" s="1129" t="s">
        <v>21</v>
      </c>
      <c r="CK78" s="1130">
        <v>113.997</v>
      </c>
      <c r="CL78" s="1130" t="s">
        <v>21</v>
      </c>
      <c r="CM78" s="1131" t="s">
        <v>21</v>
      </c>
      <c r="CN78" s="1130" t="s">
        <v>21</v>
      </c>
      <c r="CP78" s="838" t="s">
        <v>21</v>
      </c>
      <c r="CQ78" s="838" t="s">
        <v>21</v>
      </c>
      <c r="CR78" s="836"/>
    </row>
    <row r="79" spans="1:96" x14ac:dyDescent="0.25">
      <c r="A79" s="935"/>
      <c r="B79" s="932" t="s">
        <v>2268</v>
      </c>
      <c r="C79" s="911">
        <v>600</v>
      </c>
      <c r="D79" s="911" t="s">
        <v>2116</v>
      </c>
      <c r="E79" s="912">
        <v>1148</v>
      </c>
      <c r="F79" s="912">
        <v>1146.05</v>
      </c>
      <c r="G79" s="910" t="s">
        <v>2255</v>
      </c>
      <c r="H79" s="912">
        <v>1146.2</v>
      </c>
      <c r="I79" s="912">
        <v>1144.3</v>
      </c>
      <c r="J79" s="914">
        <v>37</v>
      </c>
      <c r="K79" s="915"/>
      <c r="L79" s="916">
        <v>0.1</v>
      </c>
      <c r="M79" s="916">
        <v>0.06</v>
      </c>
      <c r="N79" s="916">
        <v>0.2</v>
      </c>
      <c r="O79" s="916">
        <v>4.8570000000000002</v>
      </c>
      <c r="P79" s="915"/>
      <c r="Q79" s="916">
        <v>2.1850000000000001</v>
      </c>
      <c r="R79" s="917">
        <v>0.33333333333333331</v>
      </c>
      <c r="S79" s="918">
        <v>1.4</v>
      </c>
      <c r="T79" s="918">
        <v>2.8570000000000002</v>
      </c>
      <c r="U79" s="916">
        <v>4.6059999999999999</v>
      </c>
      <c r="V79" s="916">
        <v>0.92</v>
      </c>
      <c r="W79" s="915"/>
      <c r="X79" s="916">
        <v>0.28299999999999997</v>
      </c>
      <c r="Y79" s="916">
        <v>0.40699999999999997</v>
      </c>
      <c r="Z79" s="916">
        <v>4.6509999999999998</v>
      </c>
      <c r="AA79" s="916">
        <v>1.0229999999999999</v>
      </c>
      <c r="AB79" s="916">
        <v>3.081</v>
      </c>
      <c r="AC79" s="915"/>
      <c r="AD79" s="919">
        <v>179.709</v>
      </c>
      <c r="AE79" s="920">
        <v>172.08699999999999</v>
      </c>
      <c r="AF79" s="920" t="s">
        <v>21</v>
      </c>
      <c r="AG79" s="920" t="s">
        <v>21</v>
      </c>
      <c r="AH79" s="921">
        <v>172.08699999999999</v>
      </c>
      <c r="AI79" s="921" t="s">
        <v>21</v>
      </c>
      <c r="AJ79" s="920" t="s">
        <v>21</v>
      </c>
      <c r="AK79" s="920" t="s">
        <v>21</v>
      </c>
      <c r="AL79" s="921" t="s">
        <v>21</v>
      </c>
      <c r="AM79" s="921" t="s">
        <v>21</v>
      </c>
      <c r="AN79" s="920"/>
      <c r="AO79" s="920" t="s">
        <v>21</v>
      </c>
      <c r="AP79" s="919">
        <v>51.8</v>
      </c>
      <c r="AQ79" s="933">
        <v>170.422</v>
      </c>
      <c r="AR79" s="925" t="s">
        <v>21</v>
      </c>
      <c r="AS79" s="925">
        <v>170.422</v>
      </c>
      <c r="AT79" s="925" t="s">
        <v>21</v>
      </c>
      <c r="AU79" s="925" t="s">
        <v>21</v>
      </c>
      <c r="AV79" s="926" t="s">
        <v>21</v>
      </c>
      <c r="AW79" s="926" t="s">
        <v>21</v>
      </c>
      <c r="AX79" s="926" t="s">
        <v>21</v>
      </c>
      <c r="AY79" s="926" t="s">
        <v>21</v>
      </c>
      <c r="AZ79" s="925" t="s">
        <v>21</v>
      </c>
      <c r="BA79" s="925"/>
      <c r="BB79" s="919">
        <v>5.18</v>
      </c>
      <c r="BC79" s="919" t="s">
        <v>21</v>
      </c>
      <c r="BD79" s="919" t="s">
        <v>2142</v>
      </c>
      <c r="BE79" s="925" t="s">
        <v>21</v>
      </c>
      <c r="BF79" s="926" t="s">
        <v>21</v>
      </c>
      <c r="BG79" s="925">
        <v>37</v>
      </c>
      <c r="BH79" s="926" t="s">
        <v>21</v>
      </c>
      <c r="BI79" s="925" t="s">
        <v>21</v>
      </c>
      <c r="BJ79" s="926" t="s">
        <v>21</v>
      </c>
      <c r="BK79" s="925" t="s">
        <v>21</v>
      </c>
      <c r="BL79" s="926" t="s">
        <v>21</v>
      </c>
      <c r="BM79" s="925" t="s">
        <v>21</v>
      </c>
      <c r="BN79" s="927"/>
      <c r="BO79" s="927"/>
      <c r="BP79" s="928">
        <v>1</v>
      </c>
      <c r="BQ79" s="928" t="s">
        <v>21</v>
      </c>
      <c r="BR79" s="928" t="s">
        <v>21</v>
      </c>
      <c r="BS79" s="928" t="s">
        <v>21</v>
      </c>
      <c r="BT79" s="928" t="s">
        <v>21</v>
      </c>
      <c r="BU79" s="928" t="s">
        <v>21</v>
      </c>
      <c r="BV79" s="934">
        <v>0.55000000000004556</v>
      </c>
      <c r="BW79" s="934">
        <v>1</v>
      </c>
      <c r="BX79" s="1104">
        <v>2</v>
      </c>
      <c r="BY79" s="931">
        <v>4</v>
      </c>
      <c r="BZ79" s="930" t="s">
        <v>21</v>
      </c>
      <c r="CA79" s="1074" t="s">
        <v>21</v>
      </c>
      <c r="CB79" s="930" t="s">
        <v>21</v>
      </c>
      <c r="CC79" s="930" t="s">
        <v>21</v>
      </c>
      <c r="CD79" s="925">
        <v>37.850999999999999</v>
      </c>
      <c r="CE79" s="1130">
        <v>113.997</v>
      </c>
      <c r="CF79" s="1129" t="s">
        <v>21</v>
      </c>
      <c r="CG79" s="1130" t="s">
        <v>21</v>
      </c>
      <c r="CH79" s="1130" t="s">
        <v>21</v>
      </c>
      <c r="CI79" s="1131" t="s">
        <v>21</v>
      </c>
      <c r="CJ79" s="1129" t="s">
        <v>21</v>
      </c>
      <c r="CK79" s="1130">
        <v>113.997</v>
      </c>
      <c r="CL79" s="1130" t="s">
        <v>21</v>
      </c>
      <c r="CM79" s="1131" t="s">
        <v>21</v>
      </c>
      <c r="CN79" s="1130" t="s">
        <v>21</v>
      </c>
      <c r="CP79" s="838" t="s">
        <v>21</v>
      </c>
      <c r="CQ79" s="838" t="s">
        <v>21</v>
      </c>
      <c r="CR79" s="836"/>
    </row>
    <row r="80" spans="1:96" x14ac:dyDescent="0.25">
      <c r="A80" s="935"/>
      <c r="B80" s="932"/>
      <c r="C80" s="911"/>
      <c r="D80" s="911"/>
      <c r="E80" s="912"/>
      <c r="F80" s="912"/>
      <c r="G80" s="910"/>
      <c r="H80" s="912"/>
      <c r="I80" s="912"/>
      <c r="J80" s="914"/>
      <c r="K80" s="915"/>
      <c r="L80" s="916" t="s">
        <v>21</v>
      </c>
      <c r="M80" s="916" t="s">
        <v>21</v>
      </c>
      <c r="N80" s="916" t="s">
        <v>21</v>
      </c>
      <c r="O80" s="916" t="s">
        <v>21</v>
      </c>
      <c r="P80" s="915"/>
      <c r="Q80" s="916" t="s">
        <v>21</v>
      </c>
      <c r="R80" s="917" t="s">
        <v>21</v>
      </c>
      <c r="S80" s="918" t="s">
        <v>21</v>
      </c>
      <c r="T80" s="918" t="s">
        <v>21</v>
      </c>
      <c r="U80" s="916" t="s">
        <v>21</v>
      </c>
      <c r="V80" s="916" t="s">
        <v>21</v>
      </c>
      <c r="W80" s="915"/>
      <c r="X80" s="916" t="s">
        <v>21</v>
      </c>
      <c r="Y80" s="916" t="s">
        <v>21</v>
      </c>
      <c r="Z80" s="916" t="s">
        <v>21</v>
      </c>
      <c r="AA80" s="916" t="s">
        <v>21</v>
      </c>
      <c r="AB80" s="916" t="s">
        <v>21</v>
      </c>
      <c r="AC80" s="915"/>
      <c r="AD80" s="919" t="s">
        <v>21</v>
      </c>
      <c r="AE80" s="920" t="s">
        <v>21</v>
      </c>
      <c r="AF80" s="920" t="s">
        <v>21</v>
      </c>
      <c r="AG80" s="920" t="s">
        <v>21</v>
      </c>
      <c r="AH80" s="921" t="s">
        <v>21</v>
      </c>
      <c r="AI80" s="921" t="s">
        <v>21</v>
      </c>
      <c r="AJ80" s="920" t="s">
        <v>21</v>
      </c>
      <c r="AK80" s="920" t="s">
        <v>21</v>
      </c>
      <c r="AL80" s="921" t="s">
        <v>21</v>
      </c>
      <c r="AM80" s="921" t="s">
        <v>21</v>
      </c>
      <c r="AN80" s="920"/>
      <c r="AO80" s="920" t="s">
        <v>21</v>
      </c>
      <c r="AP80" s="919" t="s">
        <v>21</v>
      </c>
      <c r="AQ80" s="933" t="s">
        <v>21</v>
      </c>
      <c r="AR80" s="925" t="s">
        <v>21</v>
      </c>
      <c r="AS80" s="925" t="s">
        <v>21</v>
      </c>
      <c r="AT80" s="925" t="s">
        <v>21</v>
      </c>
      <c r="AU80" s="925" t="s">
        <v>21</v>
      </c>
      <c r="AV80" s="926" t="s">
        <v>21</v>
      </c>
      <c r="AW80" s="926" t="s">
        <v>21</v>
      </c>
      <c r="AX80" s="926" t="s">
        <v>21</v>
      </c>
      <c r="AY80" s="926" t="s">
        <v>21</v>
      </c>
      <c r="AZ80" s="925" t="s">
        <v>21</v>
      </c>
      <c r="BA80" s="925"/>
      <c r="BB80" s="919" t="s">
        <v>21</v>
      </c>
      <c r="BC80" s="919" t="s">
        <v>21</v>
      </c>
      <c r="BD80" s="919" t="s">
        <v>21</v>
      </c>
      <c r="BE80" s="925" t="s">
        <v>21</v>
      </c>
      <c r="BF80" s="926" t="s">
        <v>21</v>
      </c>
      <c r="BG80" s="925" t="s">
        <v>21</v>
      </c>
      <c r="BH80" s="926" t="s">
        <v>21</v>
      </c>
      <c r="BI80" s="925" t="s">
        <v>21</v>
      </c>
      <c r="BJ80" s="926" t="s">
        <v>21</v>
      </c>
      <c r="BK80" s="925" t="s">
        <v>21</v>
      </c>
      <c r="BL80" s="926" t="s">
        <v>21</v>
      </c>
      <c r="BM80" s="925" t="s">
        <v>21</v>
      </c>
      <c r="BN80" s="927"/>
      <c r="BO80" s="927"/>
      <c r="BP80" s="928" t="s">
        <v>21</v>
      </c>
      <c r="BQ80" s="928" t="s">
        <v>21</v>
      </c>
      <c r="BR80" s="928" t="s">
        <v>21</v>
      </c>
      <c r="BS80" s="928" t="s">
        <v>21</v>
      </c>
      <c r="BT80" s="928" t="s">
        <v>21</v>
      </c>
      <c r="BU80" s="928" t="s">
        <v>21</v>
      </c>
      <c r="BV80" s="934" t="s">
        <v>21</v>
      </c>
      <c r="BW80" s="934" t="s">
        <v>21</v>
      </c>
      <c r="BX80" s="1104" t="s">
        <v>21</v>
      </c>
      <c r="BY80" s="931" t="s">
        <v>21</v>
      </c>
      <c r="BZ80" s="930" t="s">
        <v>21</v>
      </c>
      <c r="CA80" s="1074" t="s">
        <v>21</v>
      </c>
      <c r="CB80" s="930" t="s">
        <v>21</v>
      </c>
      <c r="CC80" s="930" t="s">
        <v>21</v>
      </c>
      <c r="CD80" s="925" t="s">
        <v>21</v>
      </c>
      <c r="CE80" s="1130" t="s">
        <v>21</v>
      </c>
      <c r="CF80" s="1129" t="s">
        <v>21</v>
      </c>
      <c r="CG80" s="1130" t="s">
        <v>21</v>
      </c>
      <c r="CH80" s="1130" t="s">
        <v>21</v>
      </c>
      <c r="CI80" s="1131" t="s">
        <v>21</v>
      </c>
      <c r="CJ80" s="1129" t="s">
        <v>21</v>
      </c>
      <c r="CK80" s="1130" t="s">
        <v>21</v>
      </c>
      <c r="CL80" s="1130" t="s">
        <v>21</v>
      </c>
      <c r="CM80" s="1131" t="s">
        <v>21</v>
      </c>
      <c r="CN80" s="1130" t="s">
        <v>21</v>
      </c>
      <c r="CP80" s="838" t="s">
        <v>21</v>
      </c>
      <c r="CQ80" s="838" t="s">
        <v>21</v>
      </c>
      <c r="CR80" s="836"/>
    </row>
    <row r="81" spans="1:96" x14ac:dyDescent="0.25">
      <c r="A81" s="935" t="s">
        <v>2496</v>
      </c>
      <c r="B81" s="932" t="s">
        <v>2236</v>
      </c>
      <c r="C81" s="911">
        <v>600</v>
      </c>
      <c r="D81" s="911" t="s">
        <v>2116</v>
      </c>
      <c r="E81" s="912">
        <v>1148.06</v>
      </c>
      <c r="F81" s="912">
        <v>1146.1600000000001</v>
      </c>
      <c r="G81" s="932" t="s">
        <v>2237</v>
      </c>
      <c r="H81" s="912">
        <v>1146.95</v>
      </c>
      <c r="I81" s="912">
        <v>1145.05</v>
      </c>
      <c r="J81" s="914">
        <v>30</v>
      </c>
      <c r="K81" s="915"/>
      <c r="L81" s="916">
        <v>0.1</v>
      </c>
      <c r="M81" s="916">
        <v>0.06</v>
      </c>
      <c r="N81" s="916">
        <v>0.2</v>
      </c>
      <c r="O81" s="916">
        <v>4.84</v>
      </c>
      <c r="P81" s="915"/>
      <c r="Q81" s="916">
        <v>2.16</v>
      </c>
      <c r="R81" s="917">
        <v>0.33333333333333331</v>
      </c>
      <c r="S81" s="918">
        <v>1.4</v>
      </c>
      <c r="T81" s="918">
        <v>2.84</v>
      </c>
      <c r="U81" s="916">
        <v>4.5540000000000003</v>
      </c>
      <c r="V81" s="916">
        <v>0.92</v>
      </c>
      <c r="W81" s="915"/>
      <c r="X81" s="916">
        <v>0.28299999999999997</v>
      </c>
      <c r="Y81" s="916">
        <v>0.40699999999999997</v>
      </c>
      <c r="Z81" s="916">
        <v>4.5789999999999997</v>
      </c>
      <c r="AA81" s="916">
        <v>1.0229999999999999</v>
      </c>
      <c r="AB81" s="916">
        <v>3.0089999999999999</v>
      </c>
      <c r="AC81" s="915"/>
      <c r="AD81" s="919">
        <v>145.19999999999999</v>
      </c>
      <c r="AE81" s="920">
        <v>137.37</v>
      </c>
      <c r="AF81" s="920" t="s">
        <v>21</v>
      </c>
      <c r="AG81" s="920" t="s">
        <v>21</v>
      </c>
      <c r="AH81" s="921">
        <v>137.37</v>
      </c>
      <c r="AI81" s="921" t="s">
        <v>21</v>
      </c>
      <c r="AJ81" s="920" t="s">
        <v>21</v>
      </c>
      <c r="AK81" s="920" t="s">
        <v>21</v>
      </c>
      <c r="AL81" s="921" t="s">
        <v>21</v>
      </c>
      <c r="AM81" s="921" t="s">
        <v>21</v>
      </c>
      <c r="AN81" s="920"/>
      <c r="AO81" s="920" t="s">
        <v>21</v>
      </c>
      <c r="AP81" s="919">
        <v>42</v>
      </c>
      <c r="AQ81" s="933">
        <v>136.62</v>
      </c>
      <c r="AR81" s="925" t="s">
        <v>21</v>
      </c>
      <c r="AS81" s="925">
        <v>136.62</v>
      </c>
      <c r="AT81" s="925" t="s">
        <v>21</v>
      </c>
      <c r="AU81" s="925" t="s">
        <v>21</v>
      </c>
      <c r="AV81" s="926" t="s">
        <v>21</v>
      </c>
      <c r="AW81" s="926" t="s">
        <v>21</v>
      </c>
      <c r="AX81" s="926" t="s">
        <v>21</v>
      </c>
      <c r="AY81" s="926" t="s">
        <v>21</v>
      </c>
      <c r="AZ81" s="925" t="s">
        <v>21</v>
      </c>
      <c r="BA81" s="925"/>
      <c r="BB81" s="919">
        <v>4.2</v>
      </c>
      <c r="BC81" s="919" t="s">
        <v>21</v>
      </c>
      <c r="BD81" s="919" t="s">
        <v>2142</v>
      </c>
      <c r="BE81" s="925" t="s">
        <v>21</v>
      </c>
      <c r="BF81" s="926" t="s">
        <v>21</v>
      </c>
      <c r="BG81" s="925">
        <v>30</v>
      </c>
      <c r="BH81" s="926" t="s">
        <v>21</v>
      </c>
      <c r="BI81" s="925" t="s">
        <v>21</v>
      </c>
      <c r="BJ81" s="926" t="s">
        <v>21</v>
      </c>
      <c r="BK81" s="925" t="s">
        <v>21</v>
      </c>
      <c r="BL81" s="926" t="s">
        <v>21</v>
      </c>
      <c r="BM81" s="925" t="s">
        <v>21</v>
      </c>
      <c r="BN81" s="927"/>
      <c r="BO81" s="927"/>
      <c r="BP81" s="928">
        <v>1</v>
      </c>
      <c r="BQ81" s="928" t="s">
        <v>21</v>
      </c>
      <c r="BR81" s="928" t="s">
        <v>21</v>
      </c>
      <c r="BS81" s="928" t="s">
        <v>21</v>
      </c>
      <c r="BT81" s="928" t="s">
        <v>21</v>
      </c>
      <c r="BU81" s="928" t="s">
        <v>21</v>
      </c>
      <c r="BV81" s="934">
        <v>0.49999999999986366</v>
      </c>
      <c r="BW81" s="934">
        <v>0.5</v>
      </c>
      <c r="BX81" s="1104">
        <v>1</v>
      </c>
      <c r="BY81" s="931">
        <v>3</v>
      </c>
      <c r="BZ81" s="930">
        <v>1</v>
      </c>
      <c r="CA81" s="1074">
        <v>1</v>
      </c>
      <c r="CB81" s="930" t="s">
        <v>21</v>
      </c>
      <c r="CC81" s="930" t="s">
        <v>21</v>
      </c>
      <c r="CD81" s="925">
        <v>30.69</v>
      </c>
      <c r="CE81" s="1130">
        <v>90.27</v>
      </c>
      <c r="CF81" s="1129" t="s">
        <v>21</v>
      </c>
      <c r="CG81" s="1130" t="s">
        <v>21</v>
      </c>
      <c r="CH81" s="1130" t="s">
        <v>21</v>
      </c>
      <c r="CI81" s="1131" t="s">
        <v>21</v>
      </c>
      <c r="CJ81" s="1129" t="s">
        <v>21</v>
      </c>
      <c r="CK81" s="1130">
        <v>90.27</v>
      </c>
      <c r="CL81" s="1130" t="s">
        <v>21</v>
      </c>
      <c r="CM81" s="1131" t="s">
        <v>21</v>
      </c>
      <c r="CN81" s="1130" t="s">
        <v>21</v>
      </c>
      <c r="CP81" s="838" t="s">
        <v>21</v>
      </c>
      <c r="CQ81" s="838" t="s">
        <v>21</v>
      </c>
      <c r="CR81" s="836"/>
    </row>
    <row r="82" spans="1:96" x14ac:dyDescent="0.25">
      <c r="A82" s="935"/>
      <c r="B82" s="932" t="s">
        <v>2237</v>
      </c>
      <c r="C82" s="911">
        <v>600</v>
      </c>
      <c r="D82" s="911" t="s">
        <v>2116</v>
      </c>
      <c r="E82" s="912">
        <v>1146.95</v>
      </c>
      <c r="F82" s="912">
        <v>1145.05</v>
      </c>
      <c r="G82" s="910" t="s">
        <v>2256</v>
      </c>
      <c r="H82" s="912">
        <v>1142.32</v>
      </c>
      <c r="I82" s="912">
        <v>1140.42</v>
      </c>
      <c r="J82" s="914">
        <v>25.65</v>
      </c>
      <c r="K82" s="915"/>
      <c r="L82" s="916">
        <v>0.1</v>
      </c>
      <c r="M82" s="916">
        <v>0.06</v>
      </c>
      <c r="N82" s="916">
        <v>0.2</v>
      </c>
      <c r="O82" s="916">
        <v>4.84</v>
      </c>
      <c r="P82" s="915"/>
      <c r="Q82" s="916">
        <v>2.16</v>
      </c>
      <c r="R82" s="917">
        <v>0.33333333333333331</v>
      </c>
      <c r="S82" s="918">
        <v>1.4</v>
      </c>
      <c r="T82" s="918">
        <v>2.84</v>
      </c>
      <c r="U82" s="916">
        <v>4.5540000000000003</v>
      </c>
      <c r="V82" s="916">
        <v>0.92</v>
      </c>
      <c r="W82" s="915"/>
      <c r="X82" s="916">
        <v>0.28299999999999997</v>
      </c>
      <c r="Y82" s="916">
        <v>0.40699999999999997</v>
      </c>
      <c r="Z82" s="916">
        <v>4.5789999999999997</v>
      </c>
      <c r="AA82" s="916">
        <v>1.0229999999999999</v>
      </c>
      <c r="AB82" s="916">
        <v>3.0089999999999999</v>
      </c>
      <c r="AC82" s="915"/>
      <c r="AD82" s="919">
        <v>124.146</v>
      </c>
      <c r="AE82" s="920">
        <v>117.45099999999999</v>
      </c>
      <c r="AF82" s="920" t="s">
        <v>21</v>
      </c>
      <c r="AG82" s="920" t="s">
        <v>21</v>
      </c>
      <c r="AH82" s="921">
        <v>117.45099999999999</v>
      </c>
      <c r="AI82" s="921" t="s">
        <v>21</v>
      </c>
      <c r="AJ82" s="920" t="s">
        <v>21</v>
      </c>
      <c r="AK82" s="920" t="s">
        <v>21</v>
      </c>
      <c r="AL82" s="921" t="s">
        <v>21</v>
      </c>
      <c r="AM82" s="921" t="s">
        <v>21</v>
      </c>
      <c r="AN82" s="920"/>
      <c r="AO82" s="920" t="s">
        <v>21</v>
      </c>
      <c r="AP82" s="919">
        <v>35.909999999999997</v>
      </c>
      <c r="AQ82" s="933">
        <v>116.81010000000001</v>
      </c>
      <c r="AR82" s="925" t="s">
        <v>21</v>
      </c>
      <c r="AS82" s="925">
        <v>116.81010000000001</v>
      </c>
      <c r="AT82" s="925" t="s">
        <v>21</v>
      </c>
      <c r="AU82" s="925" t="s">
        <v>21</v>
      </c>
      <c r="AV82" s="926" t="s">
        <v>21</v>
      </c>
      <c r="AW82" s="926" t="s">
        <v>21</v>
      </c>
      <c r="AX82" s="926" t="s">
        <v>21</v>
      </c>
      <c r="AY82" s="926" t="s">
        <v>21</v>
      </c>
      <c r="AZ82" s="925" t="s">
        <v>21</v>
      </c>
      <c r="BA82" s="925"/>
      <c r="BB82" s="919">
        <v>3.5910000000000002</v>
      </c>
      <c r="BC82" s="919" t="s">
        <v>21</v>
      </c>
      <c r="BD82" s="919" t="s">
        <v>2142</v>
      </c>
      <c r="BE82" s="925" t="s">
        <v>21</v>
      </c>
      <c r="BF82" s="926" t="s">
        <v>21</v>
      </c>
      <c r="BG82" s="925">
        <v>25.65</v>
      </c>
      <c r="BH82" s="926" t="s">
        <v>21</v>
      </c>
      <c r="BI82" s="925" t="s">
        <v>21</v>
      </c>
      <c r="BJ82" s="926" t="s">
        <v>21</v>
      </c>
      <c r="BK82" s="925" t="s">
        <v>21</v>
      </c>
      <c r="BL82" s="926" t="s">
        <v>21</v>
      </c>
      <c r="BM82" s="925" t="s">
        <v>21</v>
      </c>
      <c r="BN82" s="927"/>
      <c r="BO82" s="927"/>
      <c r="BP82" s="928">
        <v>1</v>
      </c>
      <c r="BQ82" s="928" t="s">
        <v>21</v>
      </c>
      <c r="BR82" s="928" t="s">
        <v>21</v>
      </c>
      <c r="BS82" s="928" t="s">
        <v>21</v>
      </c>
      <c r="BT82" s="928" t="s">
        <v>21</v>
      </c>
      <c r="BU82" s="928" t="s">
        <v>21</v>
      </c>
      <c r="BV82" s="934">
        <v>0.50000000000009104</v>
      </c>
      <c r="BW82" s="934">
        <v>1</v>
      </c>
      <c r="BX82" s="1104">
        <v>2</v>
      </c>
      <c r="BY82" s="931">
        <v>4</v>
      </c>
      <c r="BZ82" s="930">
        <v>1</v>
      </c>
      <c r="CA82" s="1074" t="s">
        <v>21</v>
      </c>
      <c r="CB82" s="930" t="s">
        <v>21</v>
      </c>
      <c r="CC82" s="930" t="s">
        <v>21</v>
      </c>
      <c r="CD82" s="925">
        <v>26.24</v>
      </c>
      <c r="CE82" s="1130">
        <v>77.180999999999997</v>
      </c>
      <c r="CF82" s="1129" t="s">
        <v>21</v>
      </c>
      <c r="CG82" s="1130" t="s">
        <v>21</v>
      </c>
      <c r="CH82" s="1130" t="s">
        <v>21</v>
      </c>
      <c r="CI82" s="1131" t="s">
        <v>21</v>
      </c>
      <c r="CJ82" s="1129" t="s">
        <v>21</v>
      </c>
      <c r="CK82" s="1130">
        <v>77.180999999999997</v>
      </c>
      <c r="CL82" s="1130" t="s">
        <v>21</v>
      </c>
      <c r="CM82" s="1131" t="s">
        <v>21</v>
      </c>
      <c r="CN82" s="1130" t="s">
        <v>21</v>
      </c>
      <c r="CP82" s="838" t="s">
        <v>21</v>
      </c>
      <c r="CQ82" s="838" t="s">
        <v>21</v>
      </c>
      <c r="CR82" s="836"/>
    </row>
    <row r="83" spans="1:96" x14ac:dyDescent="0.25">
      <c r="A83" s="935"/>
      <c r="B83" s="932"/>
      <c r="C83" s="911"/>
      <c r="D83" s="911"/>
      <c r="E83" s="912"/>
      <c r="F83" s="912"/>
      <c r="G83" s="910"/>
      <c r="H83" s="912"/>
      <c r="I83" s="912"/>
      <c r="J83" s="914"/>
      <c r="K83" s="915"/>
      <c r="L83" s="916" t="s">
        <v>21</v>
      </c>
      <c r="M83" s="916" t="s">
        <v>21</v>
      </c>
      <c r="N83" s="916" t="s">
        <v>21</v>
      </c>
      <c r="O83" s="916" t="s">
        <v>21</v>
      </c>
      <c r="P83" s="915"/>
      <c r="Q83" s="916" t="s">
        <v>21</v>
      </c>
      <c r="R83" s="917" t="s">
        <v>21</v>
      </c>
      <c r="S83" s="918" t="s">
        <v>21</v>
      </c>
      <c r="T83" s="918" t="s">
        <v>21</v>
      </c>
      <c r="U83" s="916" t="s">
        <v>21</v>
      </c>
      <c r="V83" s="916" t="s">
        <v>21</v>
      </c>
      <c r="W83" s="915"/>
      <c r="X83" s="916" t="s">
        <v>21</v>
      </c>
      <c r="Y83" s="916" t="s">
        <v>21</v>
      </c>
      <c r="Z83" s="916" t="s">
        <v>21</v>
      </c>
      <c r="AA83" s="916" t="s">
        <v>21</v>
      </c>
      <c r="AB83" s="916" t="s">
        <v>21</v>
      </c>
      <c r="AC83" s="915"/>
      <c r="AD83" s="919" t="s">
        <v>21</v>
      </c>
      <c r="AE83" s="920" t="s">
        <v>21</v>
      </c>
      <c r="AF83" s="920" t="s">
        <v>21</v>
      </c>
      <c r="AG83" s="920" t="s">
        <v>21</v>
      </c>
      <c r="AH83" s="921" t="s">
        <v>21</v>
      </c>
      <c r="AI83" s="921" t="s">
        <v>21</v>
      </c>
      <c r="AJ83" s="920" t="s">
        <v>21</v>
      </c>
      <c r="AK83" s="920" t="s">
        <v>21</v>
      </c>
      <c r="AL83" s="921" t="s">
        <v>21</v>
      </c>
      <c r="AM83" s="921" t="s">
        <v>21</v>
      </c>
      <c r="AN83" s="920"/>
      <c r="AO83" s="920" t="s">
        <v>21</v>
      </c>
      <c r="AP83" s="919" t="s">
        <v>21</v>
      </c>
      <c r="AQ83" s="933" t="s">
        <v>21</v>
      </c>
      <c r="AR83" s="925" t="s">
        <v>21</v>
      </c>
      <c r="AS83" s="925" t="s">
        <v>21</v>
      </c>
      <c r="AT83" s="925" t="s">
        <v>21</v>
      </c>
      <c r="AU83" s="925" t="s">
        <v>21</v>
      </c>
      <c r="AV83" s="926" t="s">
        <v>21</v>
      </c>
      <c r="AW83" s="926" t="s">
        <v>21</v>
      </c>
      <c r="AX83" s="926" t="s">
        <v>21</v>
      </c>
      <c r="AY83" s="926" t="s">
        <v>21</v>
      </c>
      <c r="AZ83" s="925" t="s">
        <v>21</v>
      </c>
      <c r="BA83" s="925"/>
      <c r="BB83" s="919" t="s">
        <v>21</v>
      </c>
      <c r="BC83" s="919" t="s">
        <v>21</v>
      </c>
      <c r="BD83" s="919" t="s">
        <v>21</v>
      </c>
      <c r="BE83" s="925" t="s">
        <v>21</v>
      </c>
      <c r="BF83" s="926" t="s">
        <v>21</v>
      </c>
      <c r="BG83" s="925" t="s">
        <v>21</v>
      </c>
      <c r="BH83" s="926" t="s">
        <v>21</v>
      </c>
      <c r="BI83" s="925" t="s">
        <v>21</v>
      </c>
      <c r="BJ83" s="926" t="s">
        <v>21</v>
      </c>
      <c r="BK83" s="925" t="s">
        <v>21</v>
      </c>
      <c r="BL83" s="926" t="s">
        <v>21</v>
      </c>
      <c r="BM83" s="925" t="s">
        <v>21</v>
      </c>
      <c r="BN83" s="927"/>
      <c r="BO83" s="927"/>
      <c r="BP83" s="928" t="s">
        <v>21</v>
      </c>
      <c r="BQ83" s="928" t="s">
        <v>21</v>
      </c>
      <c r="BR83" s="928" t="s">
        <v>21</v>
      </c>
      <c r="BS83" s="928" t="s">
        <v>21</v>
      </c>
      <c r="BT83" s="928" t="s">
        <v>21</v>
      </c>
      <c r="BU83" s="928" t="s">
        <v>21</v>
      </c>
      <c r="BV83" s="934" t="s">
        <v>21</v>
      </c>
      <c r="BW83" s="934" t="s">
        <v>21</v>
      </c>
      <c r="BX83" s="1104" t="s">
        <v>21</v>
      </c>
      <c r="BY83" s="931" t="s">
        <v>21</v>
      </c>
      <c r="BZ83" s="930" t="s">
        <v>21</v>
      </c>
      <c r="CA83" s="1074" t="s">
        <v>21</v>
      </c>
      <c r="CB83" s="930" t="s">
        <v>21</v>
      </c>
      <c r="CC83" s="930" t="s">
        <v>21</v>
      </c>
      <c r="CD83" s="925" t="s">
        <v>21</v>
      </c>
      <c r="CE83" s="1130" t="s">
        <v>21</v>
      </c>
      <c r="CF83" s="1129" t="s">
        <v>21</v>
      </c>
      <c r="CG83" s="1130" t="s">
        <v>21</v>
      </c>
      <c r="CH83" s="1130" t="s">
        <v>21</v>
      </c>
      <c r="CI83" s="1131" t="s">
        <v>21</v>
      </c>
      <c r="CJ83" s="1129" t="s">
        <v>21</v>
      </c>
      <c r="CK83" s="1130" t="s">
        <v>21</v>
      </c>
      <c r="CL83" s="1130" t="s">
        <v>21</v>
      </c>
      <c r="CM83" s="1131" t="s">
        <v>21</v>
      </c>
      <c r="CN83" s="1130" t="s">
        <v>21</v>
      </c>
      <c r="CP83" s="838" t="s">
        <v>21</v>
      </c>
      <c r="CQ83" s="838" t="s">
        <v>21</v>
      </c>
      <c r="CR83" s="836"/>
    </row>
    <row r="84" spans="1:96" x14ac:dyDescent="0.25">
      <c r="A84" s="935" t="s">
        <v>2497</v>
      </c>
      <c r="B84" s="932" t="s">
        <v>2269</v>
      </c>
      <c r="C84" s="911">
        <v>600</v>
      </c>
      <c r="D84" s="911" t="s">
        <v>2116</v>
      </c>
      <c r="E84" s="912">
        <v>1146.5</v>
      </c>
      <c r="F84" s="912">
        <v>1144.5999999999999</v>
      </c>
      <c r="G84" s="932" t="s">
        <v>2270</v>
      </c>
      <c r="H84" s="912">
        <v>1145.5999999999999</v>
      </c>
      <c r="I84" s="912">
        <v>1143.7</v>
      </c>
      <c r="J84" s="914">
        <v>31.75</v>
      </c>
      <c r="K84" s="915"/>
      <c r="L84" s="916">
        <v>0.1</v>
      </c>
      <c r="M84" s="916">
        <v>0.06</v>
      </c>
      <c r="N84" s="916">
        <v>0.2</v>
      </c>
      <c r="O84" s="916">
        <v>4.84</v>
      </c>
      <c r="P84" s="915"/>
      <c r="Q84" s="916">
        <v>2.16</v>
      </c>
      <c r="R84" s="917">
        <v>0.33333333333333331</v>
      </c>
      <c r="S84" s="918">
        <v>1.4</v>
      </c>
      <c r="T84" s="918">
        <v>2.84</v>
      </c>
      <c r="U84" s="916">
        <v>4.5540000000000003</v>
      </c>
      <c r="V84" s="916">
        <v>0.92</v>
      </c>
      <c r="W84" s="915"/>
      <c r="X84" s="916">
        <v>0.28299999999999997</v>
      </c>
      <c r="Y84" s="916">
        <v>0.40699999999999997</v>
      </c>
      <c r="Z84" s="916">
        <v>4.5789999999999997</v>
      </c>
      <c r="AA84" s="916">
        <v>1.0229999999999999</v>
      </c>
      <c r="AB84" s="916">
        <v>3.0089999999999999</v>
      </c>
      <c r="AC84" s="915"/>
      <c r="AD84" s="919">
        <v>153.66999999999999</v>
      </c>
      <c r="AE84" s="920">
        <v>145.38300000000001</v>
      </c>
      <c r="AF84" s="920" t="s">
        <v>21</v>
      </c>
      <c r="AG84" s="920" t="s">
        <v>21</v>
      </c>
      <c r="AH84" s="921">
        <v>145.38300000000001</v>
      </c>
      <c r="AI84" s="921" t="s">
        <v>21</v>
      </c>
      <c r="AJ84" s="920" t="s">
        <v>21</v>
      </c>
      <c r="AK84" s="920" t="s">
        <v>21</v>
      </c>
      <c r="AL84" s="921" t="s">
        <v>21</v>
      </c>
      <c r="AM84" s="921" t="s">
        <v>21</v>
      </c>
      <c r="AN84" s="920"/>
      <c r="AO84" s="920" t="s">
        <v>21</v>
      </c>
      <c r="AP84" s="919">
        <v>44.45</v>
      </c>
      <c r="AQ84" s="933">
        <v>144.58950000000002</v>
      </c>
      <c r="AR84" s="925" t="s">
        <v>21</v>
      </c>
      <c r="AS84" s="925">
        <v>144.58950000000002</v>
      </c>
      <c r="AT84" s="925" t="s">
        <v>21</v>
      </c>
      <c r="AU84" s="925" t="s">
        <v>21</v>
      </c>
      <c r="AV84" s="926" t="s">
        <v>21</v>
      </c>
      <c r="AW84" s="926" t="s">
        <v>21</v>
      </c>
      <c r="AX84" s="926" t="s">
        <v>21</v>
      </c>
      <c r="AY84" s="926" t="s">
        <v>21</v>
      </c>
      <c r="AZ84" s="925" t="s">
        <v>21</v>
      </c>
      <c r="BA84" s="925"/>
      <c r="BB84" s="919">
        <v>4.4450000000000003</v>
      </c>
      <c r="BC84" s="919" t="s">
        <v>21</v>
      </c>
      <c r="BD84" s="919" t="s">
        <v>2142</v>
      </c>
      <c r="BE84" s="925" t="s">
        <v>21</v>
      </c>
      <c r="BF84" s="926" t="s">
        <v>21</v>
      </c>
      <c r="BG84" s="925">
        <v>31.75</v>
      </c>
      <c r="BH84" s="926" t="s">
        <v>21</v>
      </c>
      <c r="BI84" s="925" t="s">
        <v>21</v>
      </c>
      <c r="BJ84" s="926" t="s">
        <v>21</v>
      </c>
      <c r="BK84" s="925" t="s">
        <v>21</v>
      </c>
      <c r="BL84" s="926" t="s">
        <v>21</v>
      </c>
      <c r="BM84" s="925" t="s">
        <v>21</v>
      </c>
      <c r="BN84" s="927"/>
      <c r="BO84" s="927"/>
      <c r="BP84" s="928">
        <v>1</v>
      </c>
      <c r="BQ84" s="928" t="s">
        <v>21</v>
      </c>
      <c r="BR84" s="928" t="s">
        <v>21</v>
      </c>
      <c r="BS84" s="928" t="s">
        <v>21</v>
      </c>
      <c r="BT84" s="928" t="s">
        <v>21</v>
      </c>
      <c r="BU84" s="928" t="s">
        <v>21</v>
      </c>
      <c r="BV84" s="934">
        <v>0.50000000000009104</v>
      </c>
      <c r="BW84" s="934">
        <v>1</v>
      </c>
      <c r="BX84" s="1104">
        <v>2</v>
      </c>
      <c r="BY84" s="931">
        <v>4</v>
      </c>
      <c r="BZ84" s="930">
        <v>1</v>
      </c>
      <c r="CA84" s="1074">
        <v>1</v>
      </c>
      <c r="CB84" s="930" t="s">
        <v>21</v>
      </c>
      <c r="CC84" s="930" t="s">
        <v>21</v>
      </c>
      <c r="CD84" s="925">
        <v>32.479999999999997</v>
      </c>
      <c r="CE84" s="1130">
        <v>95.536000000000001</v>
      </c>
      <c r="CF84" s="1129" t="s">
        <v>21</v>
      </c>
      <c r="CG84" s="1130" t="s">
        <v>21</v>
      </c>
      <c r="CH84" s="1130" t="s">
        <v>21</v>
      </c>
      <c r="CI84" s="1131" t="s">
        <v>21</v>
      </c>
      <c r="CJ84" s="1129" t="s">
        <v>21</v>
      </c>
      <c r="CK84" s="1130">
        <v>95.536000000000001</v>
      </c>
      <c r="CL84" s="1130" t="s">
        <v>21</v>
      </c>
      <c r="CM84" s="1131" t="s">
        <v>21</v>
      </c>
      <c r="CN84" s="1130" t="s">
        <v>21</v>
      </c>
      <c r="CP84" s="838" t="s">
        <v>21</v>
      </c>
      <c r="CQ84" s="838" t="s">
        <v>21</v>
      </c>
      <c r="CR84" s="836"/>
    </row>
    <row r="85" spans="1:96" x14ac:dyDescent="0.25">
      <c r="A85" s="935"/>
      <c r="B85" s="932" t="s">
        <v>2270</v>
      </c>
      <c r="C85" s="911">
        <v>600</v>
      </c>
      <c r="D85" s="911" t="s">
        <v>2116</v>
      </c>
      <c r="E85" s="912">
        <v>1145.5999999999999</v>
      </c>
      <c r="F85" s="912">
        <v>1143.7</v>
      </c>
      <c r="G85" s="910" t="s">
        <v>2257</v>
      </c>
      <c r="H85" s="912">
        <v>1142.1199999999999</v>
      </c>
      <c r="I85" s="912">
        <v>1140.22</v>
      </c>
      <c r="J85" s="914">
        <v>31.75</v>
      </c>
      <c r="K85" s="915"/>
      <c r="L85" s="916">
        <v>0.1</v>
      </c>
      <c r="M85" s="916">
        <v>0.06</v>
      </c>
      <c r="N85" s="916">
        <v>0.2</v>
      </c>
      <c r="O85" s="916">
        <v>4.84</v>
      </c>
      <c r="P85" s="915"/>
      <c r="Q85" s="916">
        <v>2.16</v>
      </c>
      <c r="R85" s="917">
        <v>0.33333333333333331</v>
      </c>
      <c r="S85" s="918">
        <v>1.4</v>
      </c>
      <c r="T85" s="918">
        <v>2.84</v>
      </c>
      <c r="U85" s="916">
        <v>4.5540000000000003</v>
      </c>
      <c r="V85" s="916">
        <v>0.92</v>
      </c>
      <c r="W85" s="915"/>
      <c r="X85" s="916">
        <v>0.28299999999999997</v>
      </c>
      <c r="Y85" s="916">
        <v>0.40699999999999997</v>
      </c>
      <c r="Z85" s="916">
        <v>4.5789999999999997</v>
      </c>
      <c r="AA85" s="916">
        <v>1.0229999999999999</v>
      </c>
      <c r="AB85" s="916">
        <v>3.0089999999999999</v>
      </c>
      <c r="AC85" s="915"/>
      <c r="AD85" s="919">
        <v>153.66999999999999</v>
      </c>
      <c r="AE85" s="920">
        <v>145.38300000000001</v>
      </c>
      <c r="AF85" s="920" t="s">
        <v>21</v>
      </c>
      <c r="AG85" s="920" t="s">
        <v>21</v>
      </c>
      <c r="AH85" s="921">
        <v>145.38300000000001</v>
      </c>
      <c r="AI85" s="921" t="s">
        <v>21</v>
      </c>
      <c r="AJ85" s="920" t="s">
        <v>21</v>
      </c>
      <c r="AK85" s="920" t="s">
        <v>21</v>
      </c>
      <c r="AL85" s="921" t="s">
        <v>21</v>
      </c>
      <c r="AM85" s="921" t="s">
        <v>21</v>
      </c>
      <c r="AN85" s="920"/>
      <c r="AO85" s="920" t="s">
        <v>21</v>
      </c>
      <c r="AP85" s="919">
        <v>44.45</v>
      </c>
      <c r="AQ85" s="933">
        <v>144.58950000000002</v>
      </c>
      <c r="AR85" s="925" t="s">
        <v>21</v>
      </c>
      <c r="AS85" s="925">
        <v>144.58950000000002</v>
      </c>
      <c r="AT85" s="925" t="s">
        <v>21</v>
      </c>
      <c r="AU85" s="925" t="s">
        <v>21</v>
      </c>
      <c r="AV85" s="926" t="s">
        <v>21</v>
      </c>
      <c r="AW85" s="926" t="s">
        <v>21</v>
      </c>
      <c r="AX85" s="926" t="s">
        <v>21</v>
      </c>
      <c r="AY85" s="926" t="s">
        <v>21</v>
      </c>
      <c r="AZ85" s="925" t="s">
        <v>21</v>
      </c>
      <c r="BA85" s="925"/>
      <c r="BB85" s="919">
        <v>4.4450000000000003</v>
      </c>
      <c r="BC85" s="919" t="s">
        <v>21</v>
      </c>
      <c r="BD85" s="919" t="s">
        <v>2142</v>
      </c>
      <c r="BE85" s="925" t="s">
        <v>21</v>
      </c>
      <c r="BF85" s="926" t="s">
        <v>21</v>
      </c>
      <c r="BG85" s="925">
        <v>31.75</v>
      </c>
      <c r="BH85" s="926" t="s">
        <v>21</v>
      </c>
      <c r="BI85" s="925" t="s">
        <v>21</v>
      </c>
      <c r="BJ85" s="926" t="s">
        <v>21</v>
      </c>
      <c r="BK85" s="925" t="s">
        <v>21</v>
      </c>
      <c r="BL85" s="926" t="s">
        <v>21</v>
      </c>
      <c r="BM85" s="925" t="s">
        <v>21</v>
      </c>
      <c r="BN85" s="927"/>
      <c r="BO85" s="927"/>
      <c r="BP85" s="928">
        <v>1</v>
      </c>
      <c r="BQ85" s="928" t="s">
        <v>21</v>
      </c>
      <c r="BR85" s="928" t="s">
        <v>21</v>
      </c>
      <c r="BS85" s="928" t="s">
        <v>21</v>
      </c>
      <c r="BT85" s="928" t="s">
        <v>21</v>
      </c>
      <c r="BU85" s="928" t="s">
        <v>21</v>
      </c>
      <c r="BV85" s="934">
        <v>0.49999999999986366</v>
      </c>
      <c r="BW85" s="934">
        <v>0.5</v>
      </c>
      <c r="BX85" s="1104">
        <v>1</v>
      </c>
      <c r="BY85" s="931">
        <v>3</v>
      </c>
      <c r="BZ85" s="930">
        <v>1</v>
      </c>
      <c r="CA85" s="1074" t="s">
        <v>21</v>
      </c>
      <c r="CB85" s="930" t="s">
        <v>21</v>
      </c>
      <c r="CC85" s="930" t="s">
        <v>21</v>
      </c>
      <c r="CD85" s="925">
        <v>32.479999999999997</v>
      </c>
      <c r="CE85" s="1130">
        <v>95.536000000000001</v>
      </c>
      <c r="CF85" s="1129" t="s">
        <v>21</v>
      </c>
      <c r="CG85" s="1130" t="s">
        <v>21</v>
      </c>
      <c r="CH85" s="1130" t="s">
        <v>21</v>
      </c>
      <c r="CI85" s="1131" t="s">
        <v>21</v>
      </c>
      <c r="CJ85" s="1129" t="s">
        <v>21</v>
      </c>
      <c r="CK85" s="1130">
        <v>95.536000000000001</v>
      </c>
      <c r="CL85" s="1130" t="s">
        <v>21</v>
      </c>
      <c r="CM85" s="1131" t="s">
        <v>21</v>
      </c>
      <c r="CN85" s="1130" t="s">
        <v>21</v>
      </c>
      <c r="CP85" s="838" t="s">
        <v>21</v>
      </c>
      <c r="CQ85" s="838" t="s">
        <v>21</v>
      </c>
      <c r="CR85" s="836"/>
    </row>
    <row r="86" spans="1:96" x14ac:dyDescent="0.25">
      <c r="A86" s="935"/>
      <c r="B86" s="932"/>
      <c r="C86" s="911"/>
      <c r="D86" s="911"/>
      <c r="E86" s="912"/>
      <c r="F86" s="912"/>
      <c r="G86" s="910"/>
      <c r="H86" s="912"/>
      <c r="I86" s="912"/>
      <c r="J86" s="914"/>
      <c r="K86" s="915"/>
      <c r="L86" s="916" t="s">
        <v>21</v>
      </c>
      <c r="M86" s="916" t="s">
        <v>21</v>
      </c>
      <c r="N86" s="916" t="s">
        <v>21</v>
      </c>
      <c r="O86" s="916" t="s">
        <v>21</v>
      </c>
      <c r="P86" s="915"/>
      <c r="Q86" s="916" t="s">
        <v>21</v>
      </c>
      <c r="R86" s="917" t="s">
        <v>21</v>
      </c>
      <c r="S86" s="918" t="s">
        <v>21</v>
      </c>
      <c r="T86" s="918" t="s">
        <v>21</v>
      </c>
      <c r="U86" s="916" t="s">
        <v>21</v>
      </c>
      <c r="V86" s="916" t="s">
        <v>21</v>
      </c>
      <c r="W86" s="915"/>
      <c r="X86" s="916" t="s">
        <v>21</v>
      </c>
      <c r="Y86" s="916" t="s">
        <v>21</v>
      </c>
      <c r="Z86" s="916" t="s">
        <v>21</v>
      </c>
      <c r="AA86" s="916" t="s">
        <v>21</v>
      </c>
      <c r="AB86" s="916" t="s">
        <v>21</v>
      </c>
      <c r="AC86" s="915"/>
      <c r="AD86" s="919" t="s">
        <v>21</v>
      </c>
      <c r="AE86" s="920" t="s">
        <v>21</v>
      </c>
      <c r="AF86" s="920" t="s">
        <v>21</v>
      </c>
      <c r="AG86" s="920" t="s">
        <v>21</v>
      </c>
      <c r="AH86" s="921" t="s">
        <v>21</v>
      </c>
      <c r="AI86" s="921" t="s">
        <v>21</v>
      </c>
      <c r="AJ86" s="920" t="s">
        <v>21</v>
      </c>
      <c r="AK86" s="920" t="s">
        <v>21</v>
      </c>
      <c r="AL86" s="921" t="s">
        <v>21</v>
      </c>
      <c r="AM86" s="921" t="s">
        <v>21</v>
      </c>
      <c r="AN86" s="920"/>
      <c r="AO86" s="920" t="s">
        <v>21</v>
      </c>
      <c r="AP86" s="919" t="s">
        <v>21</v>
      </c>
      <c r="AQ86" s="933" t="s">
        <v>21</v>
      </c>
      <c r="AR86" s="925" t="s">
        <v>21</v>
      </c>
      <c r="AS86" s="925" t="s">
        <v>21</v>
      </c>
      <c r="AT86" s="925" t="s">
        <v>21</v>
      </c>
      <c r="AU86" s="925" t="s">
        <v>21</v>
      </c>
      <c r="AV86" s="926" t="s">
        <v>21</v>
      </c>
      <c r="AW86" s="926" t="s">
        <v>21</v>
      </c>
      <c r="AX86" s="926" t="s">
        <v>21</v>
      </c>
      <c r="AY86" s="926" t="s">
        <v>21</v>
      </c>
      <c r="AZ86" s="925" t="s">
        <v>21</v>
      </c>
      <c r="BA86" s="925"/>
      <c r="BB86" s="919" t="s">
        <v>21</v>
      </c>
      <c r="BC86" s="919" t="s">
        <v>21</v>
      </c>
      <c r="BD86" s="919" t="s">
        <v>21</v>
      </c>
      <c r="BE86" s="925" t="s">
        <v>21</v>
      </c>
      <c r="BF86" s="926" t="s">
        <v>21</v>
      </c>
      <c r="BG86" s="925" t="s">
        <v>21</v>
      </c>
      <c r="BH86" s="926" t="s">
        <v>21</v>
      </c>
      <c r="BI86" s="925" t="s">
        <v>21</v>
      </c>
      <c r="BJ86" s="926" t="s">
        <v>21</v>
      </c>
      <c r="BK86" s="925" t="s">
        <v>21</v>
      </c>
      <c r="BL86" s="926" t="s">
        <v>21</v>
      </c>
      <c r="BM86" s="925" t="s">
        <v>21</v>
      </c>
      <c r="BN86" s="927"/>
      <c r="BO86" s="927"/>
      <c r="BP86" s="928" t="s">
        <v>21</v>
      </c>
      <c r="BQ86" s="928" t="s">
        <v>21</v>
      </c>
      <c r="BR86" s="928" t="s">
        <v>21</v>
      </c>
      <c r="BS86" s="928" t="s">
        <v>21</v>
      </c>
      <c r="BT86" s="928" t="s">
        <v>21</v>
      </c>
      <c r="BU86" s="928" t="s">
        <v>21</v>
      </c>
      <c r="BV86" s="934" t="s">
        <v>21</v>
      </c>
      <c r="BW86" s="934" t="s">
        <v>21</v>
      </c>
      <c r="BX86" s="1104" t="s">
        <v>21</v>
      </c>
      <c r="BY86" s="931" t="s">
        <v>21</v>
      </c>
      <c r="BZ86" s="930" t="s">
        <v>21</v>
      </c>
      <c r="CA86" s="1074" t="s">
        <v>21</v>
      </c>
      <c r="CB86" s="930" t="s">
        <v>21</v>
      </c>
      <c r="CC86" s="930" t="s">
        <v>21</v>
      </c>
      <c r="CD86" s="925" t="s">
        <v>21</v>
      </c>
      <c r="CE86" s="1130" t="s">
        <v>21</v>
      </c>
      <c r="CF86" s="1129" t="s">
        <v>21</v>
      </c>
      <c r="CG86" s="1130" t="s">
        <v>21</v>
      </c>
      <c r="CH86" s="1130" t="s">
        <v>21</v>
      </c>
      <c r="CI86" s="1131" t="s">
        <v>21</v>
      </c>
      <c r="CJ86" s="1129" t="s">
        <v>21</v>
      </c>
      <c r="CK86" s="1130" t="s">
        <v>21</v>
      </c>
      <c r="CL86" s="1130" t="s">
        <v>21</v>
      </c>
      <c r="CM86" s="1131" t="s">
        <v>21</v>
      </c>
      <c r="CN86" s="1130" t="s">
        <v>21</v>
      </c>
      <c r="CP86" s="838" t="s">
        <v>21</v>
      </c>
      <c r="CQ86" s="838" t="s">
        <v>21</v>
      </c>
      <c r="CR86" s="836"/>
    </row>
    <row r="87" spans="1:96" x14ac:dyDescent="0.25">
      <c r="A87" s="935" t="s">
        <v>2498</v>
      </c>
      <c r="B87" s="932" t="s">
        <v>2240</v>
      </c>
      <c r="C87" s="911">
        <v>600</v>
      </c>
      <c r="D87" s="911" t="s">
        <v>2116</v>
      </c>
      <c r="E87" s="912">
        <v>1144.67</v>
      </c>
      <c r="F87" s="912">
        <v>1142.77</v>
      </c>
      <c r="G87" s="910" t="s">
        <v>2241</v>
      </c>
      <c r="H87" s="912">
        <v>1144</v>
      </c>
      <c r="I87" s="912">
        <v>1142.0999999999999</v>
      </c>
      <c r="J87" s="914">
        <v>41.79</v>
      </c>
      <c r="K87" s="915"/>
      <c r="L87" s="916">
        <v>0.1</v>
      </c>
      <c r="M87" s="916">
        <v>0.06</v>
      </c>
      <c r="N87" s="916">
        <v>0.2</v>
      </c>
      <c r="O87" s="916">
        <v>4.84</v>
      </c>
      <c r="P87" s="915"/>
      <c r="Q87" s="916">
        <v>2.16</v>
      </c>
      <c r="R87" s="917">
        <v>0.33333333333333331</v>
      </c>
      <c r="S87" s="918">
        <v>1.4</v>
      </c>
      <c r="T87" s="918">
        <v>2.84</v>
      </c>
      <c r="U87" s="916">
        <v>4.5540000000000003</v>
      </c>
      <c r="V87" s="916">
        <v>0.92</v>
      </c>
      <c r="W87" s="915"/>
      <c r="X87" s="916">
        <v>0.28299999999999997</v>
      </c>
      <c r="Y87" s="916">
        <v>0.40699999999999997</v>
      </c>
      <c r="Z87" s="916">
        <v>4.5789999999999997</v>
      </c>
      <c r="AA87" s="916">
        <v>1.0229999999999999</v>
      </c>
      <c r="AB87" s="916">
        <v>3.0089999999999999</v>
      </c>
      <c r="AC87" s="915"/>
      <c r="AD87" s="919">
        <v>202.26400000000001</v>
      </c>
      <c r="AE87" s="920">
        <v>191.35599999999999</v>
      </c>
      <c r="AF87" s="920" t="s">
        <v>21</v>
      </c>
      <c r="AG87" s="920" t="s">
        <v>21</v>
      </c>
      <c r="AH87" s="921">
        <v>191.35599999999999</v>
      </c>
      <c r="AI87" s="921" t="s">
        <v>21</v>
      </c>
      <c r="AJ87" s="920" t="s">
        <v>21</v>
      </c>
      <c r="AK87" s="920" t="s">
        <v>21</v>
      </c>
      <c r="AL87" s="921" t="s">
        <v>21</v>
      </c>
      <c r="AM87" s="921" t="s">
        <v>21</v>
      </c>
      <c r="AN87" s="920"/>
      <c r="AO87" s="920" t="s">
        <v>21</v>
      </c>
      <c r="AP87" s="919">
        <v>58.506</v>
      </c>
      <c r="AQ87" s="933">
        <v>190.31166000000002</v>
      </c>
      <c r="AR87" s="925" t="s">
        <v>21</v>
      </c>
      <c r="AS87" s="925">
        <v>190.31166000000002</v>
      </c>
      <c r="AT87" s="925" t="s">
        <v>21</v>
      </c>
      <c r="AU87" s="925" t="s">
        <v>21</v>
      </c>
      <c r="AV87" s="926" t="s">
        <v>21</v>
      </c>
      <c r="AW87" s="926" t="s">
        <v>21</v>
      </c>
      <c r="AX87" s="926" t="s">
        <v>21</v>
      </c>
      <c r="AY87" s="926" t="s">
        <v>21</v>
      </c>
      <c r="AZ87" s="925" t="s">
        <v>21</v>
      </c>
      <c r="BA87" s="925"/>
      <c r="BB87" s="919">
        <v>5.851</v>
      </c>
      <c r="BC87" s="919" t="s">
        <v>21</v>
      </c>
      <c r="BD87" s="919" t="s">
        <v>2142</v>
      </c>
      <c r="BE87" s="925" t="s">
        <v>21</v>
      </c>
      <c r="BF87" s="926" t="s">
        <v>21</v>
      </c>
      <c r="BG87" s="925">
        <v>41.79</v>
      </c>
      <c r="BH87" s="926" t="s">
        <v>21</v>
      </c>
      <c r="BI87" s="925" t="s">
        <v>21</v>
      </c>
      <c r="BJ87" s="926" t="s">
        <v>21</v>
      </c>
      <c r="BK87" s="925" t="s">
        <v>21</v>
      </c>
      <c r="BL87" s="926" t="s">
        <v>21</v>
      </c>
      <c r="BM87" s="925" t="s">
        <v>21</v>
      </c>
      <c r="BN87" s="927"/>
      <c r="BO87" s="927"/>
      <c r="BP87" s="928">
        <v>1</v>
      </c>
      <c r="BQ87" s="928" t="s">
        <v>21</v>
      </c>
      <c r="BR87" s="928" t="s">
        <v>21</v>
      </c>
      <c r="BS87" s="928" t="s">
        <v>21</v>
      </c>
      <c r="BT87" s="928" t="s">
        <v>21</v>
      </c>
      <c r="BU87" s="928" t="s">
        <v>21</v>
      </c>
      <c r="BV87" s="934">
        <v>0.50000000000009104</v>
      </c>
      <c r="BW87" s="934">
        <v>1</v>
      </c>
      <c r="BX87" s="1104">
        <v>2</v>
      </c>
      <c r="BY87" s="931">
        <v>4</v>
      </c>
      <c r="BZ87" s="930">
        <v>2</v>
      </c>
      <c r="CA87" s="1074" t="s">
        <v>21</v>
      </c>
      <c r="CB87" s="930" t="s">
        <v>21</v>
      </c>
      <c r="CC87" s="930" t="s">
        <v>21</v>
      </c>
      <c r="CD87" s="925">
        <v>42.750999999999998</v>
      </c>
      <c r="CE87" s="1130">
        <v>125.746</v>
      </c>
      <c r="CF87" s="1129" t="s">
        <v>21</v>
      </c>
      <c r="CG87" s="1130" t="s">
        <v>21</v>
      </c>
      <c r="CH87" s="1130" t="s">
        <v>21</v>
      </c>
      <c r="CI87" s="1131" t="s">
        <v>21</v>
      </c>
      <c r="CJ87" s="1129" t="s">
        <v>21</v>
      </c>
      <c r="CK87" s="1130">
        <v>125.746</v>
      </c>
      <c r="CL87" s="1130" t="s">
        <v>21</v>
      </c>
      <c r="CM87" s="1131" t="s">
        <v>21</v>
      </c>
      <c r="CN87" s="1130" t="s">
        <v>21</v>
      </c>
      <c r="CP87" s="838" t="s">
        <v>21</v>
      </c>
      <c r="CQ87" s="838" t="s">
        <v>21</v>
      </c>
      <c r="CR87" s="836"/>
    </row>
    <row r="88" spans="1:96" x14ac:dyDescent="0.25">
      <c r="A88" s="935"/>
      <c r="B88" s="932" t="s">
        <v>2241</v>
      </c>
      <c r="C88" s="911">
        <v>600</v>
      </c>
      <c r="D88" s="911" t="s">
        <v>2116</v>
      </c>
      <c r="E88" s="912">
        <v>1144</v>
      </c>
      <c r="F88" s="912">
        <v>1142.0999999999999</v>
      </c>
      <c r="G88" s="910" t="s">
        <v>2260</v>
      </c>
      <c r="H88" s="912">
        <v>1142.5</v>
      </c>
      <c r="I88" s="912">
        <v>1140.5999999999999</v>
      </c>
      <c r="J88" s="914">
        <v>37.86</v>
      </c>
      <c r="K88" s="915"/>
      <c r="L88" s="916">
        <v>0.1</v>
      </c>
      <c r="M88" s="916">
        <v>0.06</v>
      </c>
      <c r="N88" s="916">
        <v>0.2</v>
      </c>
      <c r="O88" s="916">
        <v>4.84</v>
      </c>
      <c r="P88" s="915"/>
      <c r="Q88" s="916">
        <v>2.16</v>
      </c>
      <c r="R88" s="917">
        <v>0.33333333333333331</v>
      </c>
      <c r="S88" s="918">
        <v>1.4</v>
      </c>
      <c r="T88" s="918">
        <v>2.84</v>
      </c>
      <c r="U88" s="916">
        <v>4.5540000000000003</v>
      </c>
      <c r="V88" s="916">
        <v>0.92</v>
      </c>
      <c r="W88" s="915"/>
      <c r="X88" s="916">
        <v>0.28299999999999997</v>
      </c>
      <c r="Y88" s="916">
        <v>0.40699999999999997</v>
      </c>
      <c r="Z88" s="916">
        <v>4.5789999999999997</v>
      </c>
      <c r="AA88" s="916">
        <v>1.0229999999999999</v>
      </c>
      <c r="AB88" s="916">
        <v>3.0089999999999999</v>
      </c>
      <c r="AC88" s="915"/>
      <c r="AD88" s="919">
        <v>183.24199999999999</v>
      </c>
      <c r="AE88" s="920">
        <v>173.36099999999999</v>
      </c>
      <c r="AF88" s="920" t="s">
        <v>21</v>
      </c>
      <c r="AG88" s="920" t="s">
        <v>21</v>
      </c>
      <c r="AH88" s="921">
        <v>173.36099999999999</v>
      </c>
      <c r="AI88" s="921" t="s">
        <v>21</v>
      </c>
      <c r="AJ88" s="920" t="s">
        <v>21</v>
      </c>
      <c r="AK88" s="920" t="s">
        <v>21</v>
      </c>
      <c r="AL88" s="921" t="s">
        <v>21</v>
      </c>
      <c r="AM88" s="921" t="s">
        <v>21</v>
      </c>
      <c r="AN88" s="920"/>
      <c r="AO88" s="920" t="s">
        <v>21</v>
      </c>
      <c r="AP88" s="919">
        <v>53.003999999999998</v>
      </c>
      <c r="AQ88" s="933">
        <v>172.41444000000001</v>
      </c>
      <c r="AR88" s="925" t="s">
        <v>21</v>
      </c>
      <c r="AS88" s="925">
        <v>172.41444000000001</v>
      </c>
      <c r="AT88" s="925" t="s">
        <v>21</v>
      </c>
      <c r="AU88" s="925" t="s">
        <v>21</v>
      </c>
      <c r="AV88" s="926" t="s">
        <v>21</v>
      </c>
      <c r="AW88" s="926" t="s">
        <v>21</v>
      </c>
      <c r="AX88" s="926" t="s">
        <v>21</v>
      </c>
      <c r="AY88" s="926" t="s">
        <v>21</v>
      </c>
      <c r="AZ88" s="925" t="s">
        <v>21</v>
      </c>
      <c r="BA88" s="925"/>
      <c r="BB88" s="919">
        <v>5.3</v>
      </c>
      <c r="BC88" s="919" t="s">
        <v>21</v>
      </c>
      <c r="BD88" s="919" t="s">
        <v>2142</v>
      </c>
      <c r="BE88" s="925" t="s">
        <v>21</v>
      </c>
      <c r="BF88" s="926" t="s">
        <v>21</v>
      </c>
      <c r="BG88" s="925">
        <v>37.86</v>
      </c>
      <c r="BH88" s="926" t="s">
        <v>21</v>
      </c>
      <c r="BI88" s="925" t="s">
        <v>21</v>
      </c>
      <c r="BJ88" s="926" t="s">
        <v>21</v>
      </c>
      <c r="BK88" s="925" t="s">
        <v>21</v>
      </c>
      <c r="BL88" s="926" t="s">
        <v>21</v>
      </c>
      <c r="BM88" s="925" t="s">
        <v>21</v>
      </c>
      <c r="BN88" s="927"/>
      <c r="BO88" s="927"/>
      <c r="BP88" s="928">
        <v>1</v>
      </c>
      <c r="BQ88" s="928" t="s">
        <v>21</v>
      </c>
      <c r="BR88" s="928" t="s">
        <v>21</v>
      </c>
      <c r="BS88" s="928" t="s">
        <v>21</v>
      </c>
      <c r="BT88" s="928" t="s">
        <v>21</v>
      </c>
      <c r="BU88" s="928" t="s">
        <v>21</v>
      </c>
      <c r="BV88" s="934">
        <v>0.50000000000009104</v>
      </c>
      <c r="BW88" s="934">
        <v>1</v>
      </c>
      <c r="BX88" s="1104">
        <v>2</v>
      </c>
      <c r="BY88" s="931">
        <v>4</v>
      </c>
      <c r="BZ88" s="930">
        <v>1</v>
      </c>
      <c r="CA88" s="1074" t="s">
        <v>21</v>
      </c>
      <c r="CB88" s="930" t="s">
        <v>21</v>
      </c>
      <c r="CC88" s="930" t="s">
        <v>21</v>
      </c>
      <c r="CD88" s="925">
        <v>38.731000000000002</v>
      </c>
      <c r="CE88" s="1130">
        <v>113.92100000000001</v>
      </c>
      <c r="CF88" s="1129" t="s">
        <v>21</v>
      </c>
      <c r="CG88" s="1130" t="s">
        <v>21</v>
      </c>
      <c r="CH88" s="1130" t="s">
        <v>21</v>
      </c>
      <c r="CI88" s="1131" t="s">
        <v>21</v>
      </c>
      <c r="CJ88" s="1129" t="s">
        <v>21</v>
      </c>
      <c r="CK88" s="1130">
        <v>113.92100000000001</v>
      </c>
      <c r="CL88" s="1130" t="s">
        <v>21</v>
      </c>
      <c r="CM88" s="1131" t="s">
        <v>21</v>
      </c>
      <c r="CN88" s="1130" t="s">
        <v>21</v>
      </c>
      <c r="CP88" s="838" t="s">
        <v>21</v>
      </c>
      <c r="CQ88" s="838" t="s">
        <v>21</v>
      </c>
      <c r="CR88" s="836"/>
    </row>
    <row r="89" spans="1:96" x14ac:dyDescent="0.25">
      <c r="A89" s="935"/>
      <c r="B89" s="932"/>
      <c r="C89" s="911"/>
      <c r="D89" s="911"/>
      <c r="E89" s="912"/>
      <c r="F89" s="912"/>
      <c r="G89" s="910"/>
      <c r="H89" s="912"/>
      <c r="I89" s="912"/>
      <c r="J89" s="914"/>
      <c r="K89" s="915"/>
      <c r="L89" s="916" t="s">
        <v>21</v>
      </c>
      <c r="M89" s="916" t="s">
        <v>21</v>
      </c>
      <c r="N89" s="916" t="s">
        <v>21</v>
      </c>
      <c r="O89" s="916" t="s">
        <v>21</v>
      </c>
      <c r="P89" s="915"/>
      <c r="Q89" s="916" t="s">
        <v>21</v>
      </c>
      <c r="R89" s="917" t="s">
        <v>21</v>
      </c>
      <c r="S89" s="918" t="s">
        <v>21</v>
      </c>
      <c r="T89" s="918" t="s">
        <v>21</v>
      </c>
      <c r="U89" s="916" t="s">
        <v>21</v>
      </c>
      <c r="V89" s="916" t="s">
        <v>21</v>
      </c>
      <c r="W89" s="915"/>
      <c r="X89" s="916" t="s">
        <v>21</v>
      </c>
      <c r="Y89" s="916" t="s">
        <v>21</v>
      </c>
      <c r="Z89" s="916" t="s">
        <v>21</v>
      </c>
      <c r="AA89" s="916" t="s">
        <v>21</v>
      </c>
      <c r="AB89" s="916" t="s">
        <v>21</v>
      </c>
      <c r="AC89" s="915"/>
      <c r="AD89" s="919" t="s">
        <v>21</v>
      </c>
      <c r="AE89" s="920" t="s">
        <v>21</v>
      </c>
      <c r="AF89" s="920" t="s">
        <v>21</v>
      </c>
      <c r="AG89" s="920" t="s">
        <v>21</v>
      </c>
      <c r="AH89" s="921" t="s">
        <v>21</v>
      </c>
      <c r="AI89" s="921" t="s">
        <v>21</v>
      </c>
      <c r="AJ89" s="920" t="s">
        <v>21</v>
      </c>
      <c r="AK89" s="920" t="s">
        <v>21</v>
      </c>
      <c r="AL89" s="921" t="s">
        <v>21</v>
      </c>
      <c r="AM89" s="921" t="s">
        <v>21</v>
      </c>
      <c r="AN89" s="920"/>
      <c r="AO89" s="920" t="s">
        <v>21</v>
      </c>
      <c r="AP89" s="919" t="s">
        <v>21</v>
      </c>
      <c r="AQ89" s="933" t="s">
        <v>21</v>
      </c>
      <c r="AR89" s="925" t="s">
        <v>21</v>
      </c>
      <c r="AS89" s="925" t="s">
        <v>21</v>
      </c>
      <c r="AT89" s="925" t="s">
        <v>21</v>
      </c>
      <c r="AU89" s="925" t="s">
        <v>21</v>
      </c>
      <c r="AV89" s="926" t="s">
        <v>21</v>
      </c>
      <c r="AW89" s="926" t="s">
        <v>21</v>
      </c>
      <c r="AX89" s="926" t="s">
        <v>21</v>
      </c>
      <c r="AY89" s="926" t="s">
        <v>21</v>
      </c>
      <c r="AZ89" s="925" t="s">
        <v>21</v>
      </c>
      <c r="BA89" s="925"/>
      <c r="BB89" s="919" t="s">
        <v>21</v>
      </c>
      <c r="BC89" s="919" t="s">
        <v>21</v>
      </c>
      <c r="BD89" s="919" t="s">
        <v>21</v>
      </c>
      <c r="BE89" s="925" t="s">
        <v>21</v>
      </c>
      <c r="BF89" s="926" t="s">
        <v>21</v>
      </c>
      <c r="BG89" s="925" t="s">
        <v>21</v>
      </c>
      <c r="BH89" s="926" t="s">
        <v>21</v>
      </c>
      <c r="BI89" s="925" t="s">
        <v>21</v>
      </c>
      <c r="BJ89" s="926" t="s">
        <v>21</v>
      </c>
      <c r="BK89" s="925" t="s">
        <v>21</v>
      </c>
      <c r="BL89" s="926" t="s">
        <v>21</v>
      </c>
      <c r="BM89" s="925" t="s">
        <v>21</v>
      </c>
      <c r="BN89" s="927"/>
      <c r="BO89" s="927"/>
      <c r="BP89" s="928" t="s">
        <v>21</v>
      </c>
      <c r="BQ89" s="928" t="s">
        <v>21</v>
      </c>
      <c r="BR89" s="928" t="s">
        <v>21</v>
      </c>
      <c r="BS89" s="928" t="s">
        <v>21</v>
      </c>
      <c r="BT89" s="928" t="s">
        <v>21</v>
      </c>
      <c r="BU89" s="928" t="s">
        <v>21</v>
      </c>
      <c r="BV89" s="934" t="s">
        <v>21</v>
      </c>
      <c r="BW89" s="934" t="s">
        <v>21</v>
      </c>
      <c r="BX89" s="1104" t="s">
        <v>21</v>
      </c>
      <c r="BY89" s="931" t="s">
        <v>21</v>
      </c>
      <c r="BZ89" s="930" t="s">
        <v>21</v>
      </c>
      <c r="CA89" s="1074" t="s">
        <v>21</v>
      </c>
      <c r="CB89" s="930" t="s">
        <v>21</v>
      </c>
      <c r="CC89" s="930" t="s">
        <v>21</v>
      </c>
      <c r="CD89" s="925" t="s">
        <v>21</v>
      </c>
      <c r="CE89" s="1130" t="s">
        <v>21</v>
      </c>
      <c r="CF89" s="1129" t="s">
        <v>21</v>
      </c>
      <c r="CG89" s="1130" t="s">
        <v>21</v>
      </c>
      <c r="CH89" s="1130" t="s">
        <v>21</v>
      </c>
      <c r="CI89" s="1131" t="s">
        <v>21</v>
      </c>
      <c r="CJ89" s="1129" t="s">
        <v>21</v>
      </c>
      <c r="CK89" s="1130" t="s">
        <v>21</v>
      </c>
      <c r="CL89" s="1130" t="s">
        <v>21</v>
      </c>
      <c r="CM89" s="1131" t="s">
        <v>21</v>
      </c>
      <c r="CN89" s="1130" t="s">
        <v>21</v>
      </c>
      <c r="CP89" s="838" t="s">
        <v>21</v>
      </c>
      <c r="CQ89" s="838" t="s">
        <v>21</v>
      </c>
      <c r="CR89" s="836"/>
    </row>
    <row r="90" spans="1:96" x14ac:dyDescent="0.25">
      <c r="A90" s="935" t="s">
        <v>2499</v>
      </c>
      <c r="B90" s="932" t="s">
        <v>2243</v>
      </c>
      <c r="C90" s="911">
        <v>600</v>
      </c>
      <c r="D90" s="911" t="s">
        <v>2116</v>
      </c>
      <c r="E90" s="912">
        <v>1140.48</v>
      </c>
      <c r="F90" s="912">
        <v>1138.58</v>
      </c>
      <c r="G90" s="910" t="s">
        <v>2271</v>
      </c>
      <c r="H90" s="912">
        <v>1137.5</v>
      </c>
      <c r="I90" s="912">
        <v>1135.5999999999999</v>
      </c>
      <c r="J90" s="914">
        <v>43.57</v>
      </c>
      <c r="K90" s="915"/>
      <c r="L90" s="916">
        <v>0.1</v>
      </c>
      <c r="M90" s="916">
        <v>0.06</v>
      </c>
      <c r="N90" s="916">
        <v>0.2</v>
      </c>
      <c r="O90" s="916">
        <v>4.84</v>
      </c>
      <c r="P90" s="915"/>
      <c r="Q90" s="916">
        <v>2.16</v>
      </c>
      <c r="R90" s="917">
        <v>0.33333333333333331</v>
      </c>
      <c r="S90" s="918">
        <v>1.4</v>
      </c>
      <c r="T90" s="918">
        <v>2.84</v>
      </c>
      <c r="U90" s="916">
        <v>4.5540000000000003</v>
      </c>
      <c r="V90" s="916">
        <v>0.92</v>
      </c>
      <c r="W90" s="915"/>
      <c r="X90" s="916">
        <v>0.28299999999999997</v>
      </c>
      <c r="Y90" s="916">
        <v>0.40699999999999997</v>
      </c>
      <c r="Z90" s="916">
        <v>4.5789999999999997</v>
      </c>
      <c r="AA90" s="916">
        <v>1.0229999999999999</v>
      </c>
      <c r="AB90" s="916">
        <v>3.0089999999999999</v>
      </c>
      <c r="AC90" s="915"/>
      <c r="AD90" s="919">
        <v>210.87899999999999</v>
      </c>
      <c r="AE90" s="920">
        <v>199.50700000000001</v>
      </c>
      <c r="AF90" s="920" t="s">
        <v>21</v>
      </c>
      <c r="AG90" s="920" t="s">
        <v>21</v>
      </c>
      <c r="AH90" s="921">
        <v>199.50700000000001</v>
      </c>
      <c r="AI90" s="921" t="s">
        <v>21</v>
      </c>
      <c r="AJ90" s="920" t="s">
        <v>21</v>
      </c>
      <c r="AK90" s="920" t="s">
        <v>21</v>
      </c>
      <c r="AL90" s="921" t="s">
        <v>21</v>
      </c>
      <c r="AM90" s="921" t="s">
        <v>21</v>
      </c>
      <c r="AN90" s="920"/>
      <c r="AO90" s="920" t="s">
        <v>21</v>
      </c>
      <c r="AP90" s="919">
        <v>60.997999999999998</v>
      </c>
      <c r="AQ90" s="933">
        <v>198.41778000000002</v>
      </c>
      <c r="AR90" s="925" t="s">
        <v>21</v>
      </c>
      <c r="AS90" s="925">
        <v>198.41778000000002</v>
      </c>
      <c r="AT90" s="925" t="s">
        <v>21</v>
      </c>
      <c r="AU90" s="925" t="s">
        <v>21</v>
      </c>
      <c r="AV90" s="926" t="s">
        <v>21</v>
      </c>
      <c r="AW90" s="926" t="s">
        <v>21</v>
      </c>
      <c r="AX90" s="926" t="s">
        <v>21</v>
      </c>
      <c r="AY90" s="926" t="s">
        <v>21</v>
      </c>
      <c r="AZ90" s="925" t="s">
        <v>21</v>
      </c>
      <c r="BA90" s="925"/>
      <c r="BB90" s="919">
        <v>6.1</v>
      </c>
      <c r="BC90" s="919" t="s">
        <v>21</v>
      </c>
      <c r="BD90" s="919" t="s">
        <v>2142</v>
      </c>
      <c r="BE90" s="925" t="s">
        <v>21</v>
      </c>
      <c r="BF90" s="926" t="s">
        <v>21</v>
      </c>
      <c r="BG90" s="925">
        <v>43.57</v>
      </c>
      <c r="BH90" s="926" t="s">
        <v>21</v>
      </c>
      <c r="BI90" s="925" t="s">
        <v>21</v>
      </c>
      <c r="BJ90" s="926" t="s">
        <v>21</v>
      </c>
      <c r="BK90" s="925" t="s">
        <v>21</v>
      </c>
      <c r="BL90" s="926" t="s">
        <v>21</v>
      </c>
      <c r="BM90" s="925" t="s">
        <v>21</v>
      </c>
      <c r="BN90" s="927"/>
      <c r="BO90" s="927"/>
      <c r="BP90" s="928">
        <v>1</v>
      </c>
      <c r="BQ90" s="928" t="s">
        <v>21</v>
      </c>
      <c r="BR90" s="928" t="s">
        <v>21</v>
      </c>
      <c r="BS90" s="928" t="s">
        <v>21</v>
      </c>
      <c r="BT90" s="928" t="s">
        <v>21</v>
      </c>
      <c r="BU90" s="928" t="s">
        <v>21</v>
      </c>
      <c r="BV90" s="934">
        <v>0.50000000000009104</v>
      </c>
      <c r="BW90" s="934">
        <v>1</v>
      </c>
      <c r="BX90" s="1104">
        <v>2</v>
      </c>
      <c r="BY90" s="931">
        <v>4</v>
      </c>
      <c r="BZ90" s="930" t="s">
        <v>21</v>
      </c>
      <c r="CA90" s="1074">
        <v>1</v>
      </c>
      <c r="CB90" s="930" t="s">
        <v>21</v>
      </c>
      <c r="CC90" s="930" t="s">
        <v>21</v>
      </c>
      <c r="CD90" s="925">
        <v>44.572000000000003</v>
      </c>
      <c r="CE90" s="1130">
        <v>131.102</v>
      </c>
      <c r="CF90" s="1129" t="s">
        <v>21</v>
      </c>
      <c r="CG90" s="1130" t="s">
        <v>21</v>
      </c>
      <c r="CH90" s="1130" t="s">
        <v>21</v>
      </c>
      <c r="CI90" s="1131" t="s">
        <v>21</v>
      </c>
      <c r="CJ90" s="1129" t="s">
        <v>21</v>
      </c>
      <c r="CK90" s="1130">
        <v>131.102</v>
      </c>
      <c r="CL90" s="1130" t="s">
        <v>21</v>
      </c>
      <c r="CM90" s="1131" t="s">
        <v>21</v>
      </c>
      <c r="CN90" s="1130" t="s">
        <v>21</v>
      </c>
      <c r="CP90" s="838" t="s">
        <v>21</v>
      </c>
      <c r="CQ90" s="838" t="s">
        <v>21</v>
      </c>
      <c r="CR90" s="836"/>
    </row>
    <row r="91" spans="1:96" x14ac:dyDescent="0.25">
      <c r="A91" s="935"/>
      <c r="B91" s="932" t="s">
        <v>2271</v>
      </c>
      <c r="C91" s="911">
        <v>600</v>
      </c>
      <c r="D91" s="911" t="s">
        <v>2116</v>
      </c>
      <c r="E91" s="912">
        <v>1137.5</v>
      </c>
      <c r="F91" s="912">
        <v>1135.55</v>
      </c>
      <c r="G91" s="910" t="s">
        <v>2264</v>
      </c>
      <c r="H91" s="912">
        <v>1133.69</v>
      </c>
      <c r="I91" s="912">
        <v>1131.79</v>
      </c>
      <c r="J91" s="914">
        <v>43.36</v>
      </c>
      <c r="K91" s="915"/>
      <c r="L91" s="916">
        <v>0.1</v>
      </c>
      <c r="M91" s="916">
        <v>0.06</v>
      </c>
      <c r="N91" s="916">
        <v>0.2</v>
      </c>
      <c r="O91" s="916">
        <v>4.8570000000000002</v>
      </c>
      <c r="P91" s="915"/>
      <c r="Q91" s="916">
        <v>2.1850000000000001</v>
      </c>
      <c r="R91" s="917">
        <v>0.33333333333333331</v>
      </c>
      <c r="S91" s="918">
        <v>1.4</v>
      </c>
      <c r="T91" s="918">
        <v>2.8570000000000002</v>
      </c>
      <c r="U91" s="916">
        <v>4.6059999999999999</v>
      </c>
      <c r="V91" s="916">
        <v>0.92</v>
      </c>
      <c r="W91" s="915"/>
      <c r="X91" s="916">
        <v>0.28299999999999997</v>
      </c>
      <c r="Y91" s="916">
        <v>0.40699999999999997</v>
      </c>
      <c r="Z91" s="916">
        <v>4.6509999999999998</v>
      </c>
      <c r="AA91" s="916">
        <v>1.0229999999999999</v>
      </c>
      <c r="AB91" s="916">
        <v>3.081</v>
      </c>
      <c r="AC91" s="915"/>
      <c r="AD91" s="919">
        <v>210.6</v>
      </c>
      <c r="AE91" s="920">
        <v>201.667</v>
      </c>
      <c r="AF91" s="920" t="s">
        <v>21</v>
      </c>
      <c r="AG91" s="920" t="s">
        <v>21</v>
      </c>
      <c r="AH91" s="921">
        <v>201.667</v>
      </c>
      <c r="AI91" s="921" t="s">
        <v>21</v>
      </c>
      <c r="AJ91" s="920" t="s">
        <v>21</v>
      </c>
      <c r="AK91" s="920" t="s">
        <v>21</v>
      </c>
      <c r="AL91" s="921" t="s">
        <v>21</v>
      </c>
      <c r="AM91" s="921" t="s">
        <v>21</v>
      </c>
      <c r="AN91" s="920"/>
      <c r="AO91" s="920" t="s">
        <v>21</v>
      </c>
      <c r="AP91" s="919">
        <v>60.704000000000001</v>
      </c>
      <c r="AQ91" s="933">
        <v>199.71616</v>
      </c>
      <c r="AR91" s="925" t="s">
        <v>21</v>
      </c>
      <c r="AS91" s="925">
        <v>199.71616</v>
      </c>
      <c r="AT91" s="925" t="s">
        <v>21</v>
      </c>
      <c r="AU91" s="925" t="s">
        <v>21</v>
      </c>
      <c r="AV91" s="926" t="s">
        <v>21</v>
      </c>
      <c r="AW91" s="926" t="s">
        <v>21</v>
      </c>
      <c r="AX91" s="926" t="s">
        <v>21</v>
      </c>
      <c r="AY91" s="926" t="s">
        <v>21</v>
      </c>
      <c r="AZ91" s="925" t="s">
        <v>21</v>
      </c>
      <c r="BA91" s="925"/>
      <c r="BB91" s="919">
        <v>6.07</v>
      </c>
      <c r="BC91" s="919" t="s">
        <v>21</v>
      </c>
      <c r="BD91" s="919" t="s">
        <v>2142</v>
      </c>
      <c r="BE91" s="925" t="s">
        <v>21</v>
      </c>
      <c r="BF91" s="926" t="s">
        <v>21</v>
      </c>
      <c r="BG91" s="925">
        <v>43.36</v>
      </c>
      <c r="BH91" s="926" t="s">
        <v>21</v>
      </c>
      <c r="BI91" s="925" t="s">
        <v>21</v>
      </c>
      <c r="BJ91" s="926" t="s">
        <v>21</v>
      </c>
      <c r="BK91" s="925" t="s">
        <v>21</v>
      </c>
      <c r="BL91" s="926" t="s">
        <v>21</v>
      </c>
      <c r="BM91" s="925" t="s">
        <v>21</v>
      </c>
      <c r="BN91" s="927"/>
      <c r="BO91" s="927"/>
      <c r="BP91" s="928">
        <v>1</v>
      </c>
      <c r="BQ91" s="928" t="s">
        <v>21</v>
      </c>
      <c r="BR91" s="928" t="s">
        <v>21</v>
      </c>
      <c r="BS91" s="928" t="s">
        <v>21</v>
      </c>
      <c r="BT91" s="928" t="s">
        <v>21</v>
      </c>
      <c r="BU91" s="928" t="s">
        <v>21</v>
      </c>
      <c r="BV91" s="934">
        <v>0.55000000000004556</v>
      </c>
      <c r="BW91" s="934">
        <v>1</v>
      </c>
      <c r="BX91" s="1104">
        <v>2</v>
      </c>
      <c r="BY91" s="931">
        <v>4</v>
      </c>
      <c r="BZ91" s="930" t="s">
        <v>21</v>
      </c>
      <c r="CA91" s="1074">
        <v>1</v>
      </c>
      <c r="CB91" s="930" t="s">
        <v>21</v>
      </c>
      <c r="CC91" s="930" t="s">
        <v>21</v>
      </c>
      <c r="CD91" s="925">
        <v>44.356999999999999</v>
      </c>
      <c r="CE91" s="1130">
        <v>133.59200000000001</v>
      </c>
      <c r="CF91" s="1129" t="s">
        <v>21</v>
      </c>
      <c r="CG91" s="1130" t="s">
        <v>21</v>
      </c>
      <c r="CH91" s="1130" t="s">
        <v>21</v>
      </c>
      <c r="CI91" s="1131" t="s">
        <v>21</v>
      </c>
      <c r="CJ91" s="1129" t="s">
        <v>21</v>
      </c>
      <c r="CK91" s="1130">
        <v>133.59200000000001</v>
      </c>
      <c r="CL91" s="1130" t="s">
        <v>21</v>
      </c>
      <c r="CM91" s="1131" t="s">
        <v>21</v>
      </c>
      <c r="CN91" s="1130" t="s">
        <v>21</v>
      </c>
      <c r="CP91" s="838" t="s">
        <v>21</v>
      </c>
      <c r="CQ91" s="838" t="s">
        <v>21</v>
      </c>
      <c r="CR91" s="836"/>
    </row>
    <row r="92" spans="1:96" x14ac:dyDescent="0.25">
      <c r="A92" s="935"/>
      <c r="B92" s="932"/>
      <c r="C92" s="911"/>
      <c r="D92" s="911"/>
      <c r="E92" s="912"/>
      <c r="F92" s="912"/>
      <c r="G92" s="910"/>
      <c r="H92" s="912"/>
      <c r="I92" s="912"/>
      <c r="J92" s="914"/>
      <c r="K92" s="915"/>
      <c r="L92" s="916" t="s">
        <v>21</v>
      </c>
      <c r="M92" s="916" t="s">
        <v>21</v>
      </c>
      <c r="N92" s="916" t="s">
        <v>21</v>
      </c>
      <c r="O92" s="916" t="s">
        <v>21</v>
      </c>
      <c r="P92" s="915"/>
      <c r="Q92" s="916" t="s">
        <v>21</v>
      </c>
      <c r="R92" s="917" t="s">
        <v>21</v>
      </c>
      <c r="S92" s="918" t="s">
        <v>21</v>
      </c>
      <c r="T92" s="918" t="s">
        <v>21</v>
      </c>
      <c r="U92" s="916" t="s">
        <v>21</v>
      </c>
      <c r="V92" s="916" t="s">
        <v>21</v>
      </c>
      <c r="W92" s="915"/>
      <c r="X92" s="916" t="s">
        <v>21</v>
      </c>
      <c r="Y92" s="916" t="s">
        <v>21</v>
      </c>
      <c r="Z92" s="916" t="s">
        <v>21</v>
      </c>
      <c r="AA92" s="916" t="s">
        <v>21</v>
      </c>
      <c r="AB92" s="916" t="s">
        <v>21</v>
      </c>
      <c r="AC92" s="915"/>
      <c r="AD92" s="919" t="s">
        <v>21</v>
      </c>
      <c r="AE92" s="920" t="s">
        <v>21</v>
      </c>
      <c r="AF92" s="920" t="s">
        <v>21</v>
      </c>
      <c r="AG92" s="920" t="s">
        <v>21</v>
      </c>
      <c r="AH92" s="921" t="s">
        <v>21</v>
      </c>
      <c r="AI92" s="921" t="s">
        <v>21</v>
      </c>
      <c r="AJ92" s="920" t="s">
        <v>21</v>
      </c>
      <c r="AK92" s="920" t="s">
        <v>21</v>
      </c>
      <c r="AL92" s="921" t="s">
        <v>21</v>
      </c>
      <c r="AM92" s="921" t="s">
        <v>21</v>
      </c>
      <c r="AN92" s="920"/>
      <c r="AO92" s="920" t="s">
        <v>21</v>
      </c>
      <c r="AP92" s="919" t="s">
        <v>21</v>
      </c>
      <c r="AQ92" s="933" t="s">
        <v>21</v>
      </c>
      <c r="AR92" s="925" t="s">
        <v>21</v>
      </c>
      <c r="AS92" s="925" t="s">
        <v>21</v>
      </c>
      <c r="AT92" s="925" t="s">
        <v>21</v>
      </c>
      <c r="AU92" s="925" t="s">
        <v>21</v>
      </c>
      <c r="AV92" s="926" t="s">
        <v>21</v>
      </c>
      <c r="AW92" s="926" t="s">
        <v>21</v>
      </c>
      <c r="AX92" s="926" t="s">
        <v>21</v>
      </c>
      <c r="AY92" s="926" t="s">
        <v>21</v>
      </c>
      <c r="AZ92" s="925" t="s">
        <v>21</v>
      </c>
      <c r="BA92" s="925"/>
      <c r="BB92" s="919" t="s">
        <v>21</v>
      </c>
      <c r="BC92" s="919" t="s">
        <v>21</v>
      </c>
      <c r="BD92" s="919" t="s">
        <v>21</v>
      </c>
      <c r="BE92" s="925" t="s">
        <v>21</v>
      </c>
      <c r="BF92" s="926" t="s">
        <v>21</v>
      </c>
      <c r="BG92" s="925" t="s">
        <v>21</v>
      </c>
      <c r="BH92" s="926" t="s">
        <v>21</v>
      </c>
      <c r="BI92" s="925" t="s">
        <v>21</v>
      </c>
      <c r="BJ92" s="926" t="s">
        <v>21</v>
      </c>
      <c r="BK92" s="925" t="s">
        <v>21</v>
      </c>
      <c r="BL92" s="926" t="s">
        <v>21</v>
      </c>
      <c r="BM92" s="925" t="s">
        <v>21</v>
      </c>
      <c r="BN92" s="927"/>
      <c r="BO92" s="927"/>
      <c r="BP92" s="928" t="s">
        <v>21</v>
      </c>
      <c r="BQ92" s="928" t="s">
        <v>21</v>
      </c>
      <c r="BR92" s="928" t="s">
        <v>21</v>
      </c>
      <c r="BS92" s="928" t="s">
        <v>21</v>
      </c>
      <c r="BT92" s="928" t="s">
        <v>21</v>
      </c>
      <c r="BU92" s="928" t="s">
        <v>21</v>
      </c>
      <c r="BV92" s="934" t="s">
        <v>21</v>
      </c>
      <c r="BW92" s="934" t="s">
        <v>21</v>
      </c>
      <c r="BX92" s="1104" t="s">
        <v>21</v>
      </c>
      <c r="BY92" s="931" t="s">
        <v>21</v>
      </c>
      <c r="BZ92" s="930" t="s">
        <v>21</v>
      </c>
      <c r="CA92" s="1074" t="s">
        <v>21</v>
      </c>
      <c r="CB92" s="930" t="s">
        <v>21</v>
      </c>
      <c r="CC92" s="930" t="s">
        <v>21</v>
      </c>
      <c r="CD92" s="925" t="s">
        <v>21</v>
      </c>
      <c r="CE92" s="1130" t="s">
        <v>21</v>
      </c>
      <c r="CF92" s="1129" t="s">
        <v>21</v>
      </c>
      <c r="CG92" s="1130" t="s">
        <v>21</v>
      </c>
      <c r="CH92" s="1130" t="s">
        <v>21</v>
      </c>
      <c r="CI92" s="1131" t="s">
        <v>21</v>
      </c>
      <c r="CJ92" s="1129" t="s">
        <v>21</v>
      </c>
      <c r="CK92" s="1130" t="s">
        <v>21</v>
      </c>
      <c r="CL92" s="1130" t="s">
        <v>21</v>
      </c>
      <c r="CM92" s="1131" t="s">
        <v>21</v>
      </c>
      <c r="CN92" s="1130" t="s">
        <v>21</v>
      </c>
      <c r="CP92" s="838" t="s">
        <v>21</v>
      </c>
      <c r="CQ92" s="838" t="s">
        <v>21</v>
      </c>
      <c r="CR92" s="836"/>
    </row>
    <row r="93" spans="1:96" s="1097" customFormat="1" x14ac:dyDescent="0.25">
      <c r="A93" s="1079" t="s">
        <v>2272</v>
      </c>
      <c r="B93" s="1078"/>
      <c r="C93" s="1076"/>
      <c r="D93" s="1076"/>
      <c r="E93" s="1077"/>
      <c r="F93" s="1077"/>
      <c r="G93" s="1078"/>
      <c r="H93" s="1077"/>
      <c r="I93" s="1077"/>
      <c r="J93" s="1080">
        <v>1089.5899999999997</v>
      </c>
      <c r="K93" s="1081"/>
      <c r="L93" s="1082"/>
      <c r="M93" s="1082"/>
      <c r="N93" s="1082"/>
      <c r="O93" s="1082"/>
      <c r="P93" s="1081"/>
      <c r="Q93" s="1082"/>
      <c r="R93" s="1083"/>
      <c r="S93" s="976"/>
      <c r="T93" s="976"/>
      <c r="U93" s="1082"/>
      <c r="V93" s="1082"/>
      <c r="W93" s="1081"/>
      <c r="X93" s="1082"/>
      <c r="Y93" s="1082"/>
      <c r="Z93" s="1082"/>
      <c r="AA93" s="1082"/>
      <c r="AB93" s="1082"/>
      <c r="AC93" s="1081"/>
      <c r="AD93" s="1084">
        <v>5602.3589999999995</v>
      </c>
      <c r="AE93" s="1085">
        <v>6454.0159999999996</v>
      </c>
      <c r="AF93" s="1085">
        <v>0</v>
      </c>
      <c r="AG93" s="1085">
        <v>0</v>
      </c>
      <c r="AH93" s="1086">
        <v>3708.0589999999993</v>
      </c>
      <c r="AI93" s="1086">
        <v>1741.7270000000001</v>
      </c>
      <c r="AJ93" s="1085">
        <v>0</v>
      </c>
      <c r="AK93" s="1085">
        <v>856.90800000000002</v>
      </c>
      <c r="AL93" s="1086">
        <v>0</v>
      </c>
      <c r="AM93" s="1086">
        <v>0</v>
      </c>
      <c r="AN93" s="1085">
        <v>0</v>
      </c>
      <c r="AO93" s="1085">
        <v>147.322</v>
      </c>
      <c r="AP93" s="1084">
        <v>1616.1789999999999</v>
      </c>
      <c r="AQ93" s="1087">
        <v>5714.2481199999984</v>
      </c>
      <c r="AR93" s="1088">
        <v>0</v>
      </c>
      <c r="AS93" s="1088">
        <v>3658.4297000000006</v>
      </c>
      <c r="AT93" s="1088">
        <v>0</v>
      </c>
      <c r="AU93" s="1088">
        <v>0</v>
      </c>
      <c r="AV93" s="1089">
        <v>0</v>
      </c>
      <c r="AW93" s="1089">
        <v>1364.84986</v>
      </c>
      <c r="AX93" s="1089">
        <v>609.77888000000007</v>
      </c>
      <c r="AY93" s="1089">
        <v>81.189679999999996</v>
      </c>
      <c r="AZ93" s="1088">
        <v>0</v>
      </c>
      <c r="BA93" s="1088">
        <v>0</v>
      </c>
      <c r="BB93" s="1084">
        <v>110.19</v>
      </c>
      <c r="BC93" s="1084">
        <v>77.14</v>
      </c>
      <c r="BD93" s="1090"/>
      <c r="BE93" s="1088">
        <v>0</v>
      </c>
      <c r="BF93" s="1089">
        <v>0</v>
      </c>
      <c r="BG93" s="1088">
        <v>787.08</v>
      </c>
      <c r="BH93" s="1089">
        <v>302.51000000000005</v>
      </c>
      <c r="BI93" s="1088">
        <v>0</v>
      </c>
      <c r="BJ93" s="1089">
        <v>0</v>
      </c>
      <c r="BK93" s="1088">
        <v>0</v>
      </c>
      <c r="BL93" s="1089">
        <v>0</v>
      </c>
      <c r="BM93" s="1088">
        <v>0</v>
      </c>
      <c r="BN93" s="1091">
        <v>0</v>
      </c>
      <c r="BO93" s="1091">
        <v>0</v>
      </c>
      <c r="BP93" s="1092">
        <v>23</v>
      </c>
      <c r="BQ93" s="1092">
        <v>9</v>
      </c>
      <c r="BR93" s="1092">
        <v>0</v>
      </c>
      <c r="BS93" s="1092">
        <v>0</v>
      </c>
      <c r="BT93" s="1092">
        <v>0</v>
      </c>
      <c r="BU93" s="1092">
        <v>0</v>
      </c>
      <c r="BV93" s="1093">
        <v>34.600000000000428</v>
      </c>
      <c r="BW93" s="1093">
        <v>45.5</v>
      </c>
      <c r="BX93" s="1105">
        <v>91</v>
      </c>
      <c r="BY93" s="1095">
        <v>155</v>
      </c>
      <c r="BZ93" s="1094">
        <v>16</v>
      </c>
      <c r="CA93" s="1094">
        <v>15</v>
      </c>
      <c r="CB93" s="1094">
        <v>0</v>
      </c>
      <c r="CC93" s="1094">
        <v>0</v>
      </c>
      <c r="CD93" s="1088">
        <v>1238.982</v>
      </c>
      <c r="CE93" s="1133">
        <v>4491.9749999999995</v>
      </c>
      <c r="CF93" s="1132">
        <v>0</v>
      </c>
      <c r="CG93" s="1133">
        <v>0</v>
      </c>
      <c r="CH93" s="1133">
        <v>0</v>
      </c>
      <c r="CI93" s="1134">
        <v>0</v>
      </c>
      <c r="CJ93" s="1132">
        <v>0</v>
      </c>
      <c r="CK93" s="1133">
        <v>2472.346</v>
      </c>
      <c r="CL93" s="1133">
        <v>0</v>
      </c>
      <c r="CM93" s="1134">
        <v>0</v>
      </c>
      <c r="CN93" s="1133">
        <v>2019.6289999999999</v>
      </c>
      <c r="CO93" s="1096"/>
      <c r="CP93" s="1096" t="s">
        <v>21</v>
      </c>
      <c r="CQ93" s="1096" t="s">
        <v>21</v>
      </c>
    </row>
    <row r="94" spans="1:96" x14ac:dyDescent="0.25">
      <c r="A94" s="935"/>
      <c r="B94" s="932"/>
      <c r="C94" s="911"/>
      <c r="D94" s="911"/>
      <c r="E94" s="912"/>
      <c r="F94" s="912"/>
      <c r="G94" s="910"/>
      <c r="H94" s="912"/>
      <c r="I94" s="912"/>
      <c r="J94" s="914"/>
      <c r="K94" s="915"/>
      <c r="L94" s="916" t="s">
        <v>21</v>
      </c>
      <c r="M94" s="916" t="s">
        <v>21</v>
      </c>
      <c r="N94" s="916" t="s">
        <v>21</v>
      </c>
      <c r="O94" s="916" t="s">
        <v>21</v>
      </c>
      <c r="P94" s="915"/>
      <c r="Q94" s="916" t="s">
        <v>21</v>
      </c>
      <c r="R94" s="917" t="s">
        <v>21</v>
      </c>
      <c r="S94" s="918" t="s">
        <v>21</v>
      </c>
      <c r="T94" s="918" t="s">
        <v>21</v>
      </c>
      <c r="U94" s="916" t="s">
        <v>21</v>
      </c>
      <c r="V94" s="916" t="s">
        <v>21</v>
      </c>
      <c r="W94" s="915"/>
      <c r="X94" s="916" t="s">
        <v>21</v>
      </c>
      <c r="Y94" s="916" t="s">
        <v>21</v>
      </c>
      <c r="Z94" s="916" t="s">
        <v>21</v>
      </c>
      <c r="AA94" s="916" t="s">
        <v>21</v>
      </c>
      <c r="AB94" s="916" t="s">
        <v>21</v>
      </c>
      <c r="AC94" s="915"/>
      <c r="AD94" s="919" t="s">
        <v>21</v>
      </c>
      <c r="AE94" s="920" t="s">
        <v>21</v>
      </c>
      <c r="AF94" s="920" t="s">
        <v>21</v>
      </c>
      <c r="AG94" s="920" t="s">
        <v>21</v>
      </c>
      <c r="AH94" s="921" t="s">
        <v>21</v>
      </c>
      <c r="AI94" s="921" t="s">
        <v>21</v>
      </c>
      <c r="AJ94" s="920" t="s">
        <v>21</v>
      </c>
      <c r="AK94" s="920" t="s">
        <v>21</v>
      </c>
      <c r="AL94" s="921" t="s">
        <v>21</v>
      </c>
      <c r="AM94" s="921" t="s">
        <v>21</v>
      </c>
      <c r="AN94" s="920"/>
      <c r="AO94" s="920" t="s">
        <v>21</v>
      </c>
      <c r="AP94" s="919" t="s">
        <v>21</v>
      </c>
      <c r="AQ94" s="933" t="s">
        <v>21</v>
      </c>
      <c r="AR94" s="925" t="s">
        <v>21</v>
      </c>
      <c r="AS94" s="925" t="s">
        <v>21</v>
      </c>
      <c r="AT94" s="925" t="s">
        <v>21</v>
      </c>
      <c r="AU94" s="925" t="s">
        <v>21</v>
      </c>
      <c r="AV94" s="926" t="s">
        <v>21</v>
      </c>
      <c r="AW94" s="926" t="s">
        <v>21</v>
      </c>
      <c r="AX94" s="926" t="s">
        <v>21</v>
      </c>
      <c r="AY94" s="926" t="s">
        <v>21</v>
      </c>
      <c r="AZ94" s="925" t="s">
        <v>21</v>
      </c>
      <c r="BA94" s="925"/>
      <c r="BB94" s="919" t="s">
        <v>21</v>
      </c>
      <c r="BC94" s="919" t="s">
        <v>21</v>
      </c>
      <c r="BD94" s="919" t="s">
        <v>21</v>
      </c>
      <c r="BE94" s="925" t="s">
        <v>21</v>
      </c>
      <c r="BF94" s="926" t="s">
        <v>21</v>
      </c>
      <c r="BG94" s="925" t="s">
        <v>21</v>
      </c>
      <c r="BH94" s="926" t="s">
        <v>21</v>
      </c>
      <c r="BI94" s="925" t="s">
        <v>21</v>
      </c>
      <c r="BJ94" s="926" t="s">
        <v>21</v>
      </c>
      <c r="BK94" s="925" t="s">
        <v>21</v>
      </c>
      <c r="BL94" s="926" t="s">
        <v>21</v>
      </c>
      <c r="BM94" s="925" t="s">
        <v>21</v>
      </c>
      <c r="BN94" s="927"/>
      <c r="BO94" s="927"/>
      <c r="BP94" s="928" t="s">
        <v>21</v>
      </c>
      <c r="BQ94" s="928" t="s">
        <v>21</v>
      </c>
      <c r="BR94" s="928" t="s">
        <v>21</v>
      </c>
      <c r="BS94" s="928" t="s">
        <v>21</v>
      </c>
      <c r="BT94" s="928" t="s">
        <v>21</v>
      </c>
      <c r="BU94" s="928" t="s">
        <v>21</v>
      </c>
      <c r="BV94" s="934" t="s">
        <v>21</v>
      </c>
      <c r="BW94" s="934" t="s">
        <v>21</v>
      </c>
      <c r="BX94" s="1104" t="s">
        <v>21</v>
      </c>
      <c r="BY94" s="931" t="s">
        <v>21</v>
      </c>
      <c r="BZ94" s="930" t="s">
        <v>21</v>
      </c>
      <c r="CA94" s="1074" t="s">
        <v>21</v>
      </c>
      <c r="CB94" s="930" t="s">
        <v>21</v>
      </c>
      <c r="CC94" s="930" t="s">
        <v>21</v>
      </c>
      <c r="CD94" s="925" t="s">
        <v>21</v>
      </c>
      <c r="CE94" s="1130" t="s">
        <v>21</v>
      </c>
      <c r="CF94" s="1129" t="s">
        <v>21</v>
      </c>
      <c r="CG94" s="1130" t="s">
        <v>21</v>
      </c>
      <c r="CH94" s="1130" t="s">
        <v>21</v>
      </c>
      <c r="CI94" s="1131" t="s">
        <v>21</v>
      </c>
      <c r="CJ94" s="1129" t="s">
        <v>21</v>
      </c>
      <c r="CK94" s="1130" t="s">
        <v>21</v>
      </c>
      <c r="CL94" s="1130" t="s">
        <v>21</v>
      </c>
      <c r="CM94" s="1131" t="s">
        <v>21</v>
      </c>
      <c r="CN94" s="1130" t="s">
        <v>21</v>
      </c>
      <c r="CP94" s="838" t="s">
        <v>21</v>
      </c>
      <c r="CQ94" s="838" t="s">
        <v>21</v>
      </c>
      <c r="CR94" s="836"/>
    </row>
    <row r="95" spans="1:96" x14ac:dyDescent="0.25">
      <c r="A95" s="935" t="s">
        <v>2500</v>
      </c>
      <c r="B95" s="932" t="s">
        <v>2225</v>
      </c>
      <c r="C95" s="911">
        <v>600</v>
      </c>
      <c r="D95" s="911" t="s">
        <v>2116</v>
      </c>
      <c r="E95" s="912">
        <v>1135.05</v>
      </c>
      <c r="F95" s="912">
        <v>1133.1500000000001</v>
      </c>
      <c r="G95" s="910" t="s">
        <v>2226</v>
      </c>
      <c r="H95" s="912">
        <v>1134.04</v>
      </c>
      <c r="I95" s="912">
        <v>1132.1400000000001</v>
      </c>
      <c r="J95" s="914">
        <v>49.86</v>
      </c>
      <c r="K95" s="915"/>
      <c r="L95" s="916">
        <v>0.1</v>
      </c>
      <c r="M95" s="916">
        <v>0.06</v>
      </c>
      <c r="N95" s="916">
        <v>0.2</v>
      </c>
      <c r="O95" s="916">
        <v>4.84</v>
      </c>
      <c r="P95" s="915"/>
      <c r="Q95" s="916">
        <v>2.16</v>
      </c>
      <c r="R95" s="917">
        <v>0.33333333333333331</v>
      </c>
      <c r="S95" s="918">
        <v>1.4</v>
      </c>
      <c r="T95" s="918">
        <v>2.84</v>
      </c>
      <c r="U95" s="916">
        <v>4.5540000000000003</v>
      </c>
      <c r="V95" s="916">
        <v>0.92</v>
      </c>
      <c r="W95" s="915"/>
      <c r="X95" s="916">
        <v>0.28299999999999997</v>
      </c>
      <c r="Y95" s="916">
        <v>0.40699999999999997</v>
      </c>
      <c r="Z95" s="916">
        <v>4.5789999999999997</v>
      </c>
      <c r="AA95" s="916">
        <v>1.0229999999999999</v>
      </c>
      <c r="AB95" s="916">
        <v>3.0089999999999999</v>
      </c>
      <c r="AC95" s="915"/>
      <c r="AD95" s="919">
        <v>241.322</v>
      </c>
      <c r="AE95" s="920">
        <v>228.309</v>
      </c>
      <c r="AF95" s="920" t="s">
        <v>21</v>
      </c>
      <c r="AG95" s="920" t="s">
        <v>21</v>
      </c>
      <c r="AH95" s="921">
        <v>228.309</v>
      </c>
      <c r="AI95" s="921" t="s">
        <v>21</v>
      </c>
      <c r="AJ95" s="920" t="s">
        <v>21</v>
      </c>
      <c r="AK95" s="920" t="s">
        <v>21</v>
      </c>
      <c r="AL95" s="921" t="s">
        <v>21</v>
      </c>
      <c r="AM95" s="921" t="s">
        <v>21</v>
      </c>
      <c r="AN95" s="920"/>
      <c r="AO95" s="920" t="s">
        <v>21</v>
      </c>
      <c r="AP95" s="919">
        <v>69.804000000000002</v>
      </c>
      <c r="AQ95" s="933">
        <v>227.06244000000001</v>
      </c>
      <c r="AR95" s="925" t="s">
        <v>21</v>
      </c>
      <c r="AS95" s="925">
        <v>227.06244000000001</v>
      </c>
      <c r="AT95" s="925" t="s">
        <v>21</v>
      </c>
      <c r="AU95" s="925" t="s">
        <v>21</v>
      </c>
      <c r="AV95" s="926" t="s">
        <v>21</v>
      </c>
      <c r="AW95" s="926" t="s">
        <v>21</v>
      </c>
      <c r="AX95" s="926" t="s">
        <v>21</v>
      </c>
      <c r="AY95" s="926" t="s">
        <v>21</v>
      </c>
      <c r="AZ95" s="925" t="s">
        <v>21</v>
      </c>
      <c r="BA95" s="925"/>
      <c r="BB95" s="919">
        <v>6.98</v>
      </c>
      <c r="BC95" s="919" t="s">
        <v>21</v>
      </c>
      <c r="BD95" s="919" t="s">
        <v>2142</v>
      </c>
      <c r="BE95" s="925" t="s">
        <v>21</v>
      </c>
      <c r="BF95" s="926" t="s">
        <v>21</v>
      </c>
      <c r="BG95" s="925">
        <v>49.86</v>
      </c>
      <c r="BH95" s="926" t="s">
        <v>21</v>
      </c>
      <c r="BI95" s="925" t="s">
        <v>21</v>
      </c>
      <c r="BJ95" s="926" t="s">
        <v>21</v>
      </c>
      <c r="BK95" s="925" t="s">
        <v>21</v>
      </c>
      <c r="BL95" s="926" t="s">
        <v>21</v>
      </c>
      <c r="BM95" s="925" t="s">
        <v>21</v>
      </c>
      <c r="BN95" s="927"/>
      <c r="BO95" s="927"/>
      <c r="BP95" s="928">
        <v>1</v>
      </c>
      <c r="BQ95" s="928" t="s">
        <v>21</v>
      </c>
      <c r="BR95" s="928" t="s">
        <v>21</v>
      </c>
      <c r="BS95" s="928" t="s">
        <v>21</v>
      </c>
      <c r="BT95" s="928" t="s">
        <v>21</v>
      </c>
      <c r="BU95" s="928" t="s">
        <v>21</v>
      </c>
      <c r="BV95" s="934">
        <v>0.49999999999986366</v>
      </c>
      <c r="BW95" s="934">
        <v>0.5</v>
      </c>
      <c r="BX95" s="1104">
        <v>1</v>
      </c>
      <c r="BY95" s="931">
        <v>3</v>
      </c>
      <c r="BZ95" s="930" t="s">
        <v>21</v>
      </c>
      <c r="CA95" s="1074">
        <v>1</v>
      </c>
      <c r="CB95" s="930" t="s">
        <v>21</v>
      </c>
      <c r="CC95" s="930" t="s">
        <v>21</v>
      </c>
      <c r="CD95" s="925">
        <v>51.006999999999998</v>
      </c>
      <c r="CE95" s="1130">
        <v>150.029</v>
      </c>
      <c r="CF95" s="1129" t="s">
        <v>21</v>
      </c>
      <c r="CG95" s="1130" t="s">
        <v>21</v>
      </c>
      <c r="CH95" s="1130" t="s">
        <v>21</v>
      </c>
      <c r="CI95" s="1131" t="s">
        <v>21</v>
      </c>
      <c r="CJ95" s="1129" t="s">
        <v>21</v>
      </c>
      <c r="CK95" s="1130">
        <v>150.029</v>
      </c>
      <c r="CL95" s="1130" t="s">
        <v>21</v>
      </c>
      <c r="CM95" s="1131" t="s">
        <v>21</v>
      </c>
      <c r="CN95" s="1130" t="s">
        <v>21</v>
      </c>
      <c r="CP95" s="838" t="s">
        <v>21</v>
      </c>
      <c r="CQ95" s="838" t="s">
        <v>21</v>
      </c>
      <c r="CR95" s="836"/>
    </row>
    <row r="96" spans="1:96" x14ac:dyDescent="0.25">
      <c r="A96" s="935"/>
      <c r="B96" s="932" t="s">
        <v>2226</v>
      </c>
      <c r="C96" s="911">
        <v>600</v>
      </c>
      <c r="D96" s="911" t="s">
        <v>2116</v>
      </c>
      <c r="E96" s="912">
        <v>1134.04</v>
      </c>
      <c r="F96" s="912">
        <v>1132.1400000000001</v>
      </c>
      <c r="G96" s="910" t="s">
        <v>2227</v>
      </c>
      <c r="H96" s="912">
        <v>1131.25</v>
      </c>
      <c r="I96" s="912">
        <v>1129.3499999999999</v>
      </c>
      <c r="J96" s="914">
        <v>25.08</v>
      </c>
      <c r="K96" s="915"/>
      <c r="L96" s="916">
        <v>0.1</v>
      </c>
      <c r="M96" s="916">
        <v>0.06</v>
      </c>
      <c r="N96" s="916">
        <v>0.2</v>
      </c>
      <c r="O96" s="916">
        <v>4.84</v>
      </c>
      <c r="P96" s="915"/>
      <c r="Q96" s="916">
        <v>2.16</v>
      </c>
      <c r="R96" s="917">
        <v>0.33333333333333331</v>
      </c>
      <c r="S96" s="918">
        <v>1.4</v>
      </c>
      <c r="T96" s="918">
        <v>2.84</v>
      </c>
      <c r="U96" s="916">
        <v>4.5540000000000003</v>
      </c>
      <c r="V96" s="916">
        <v>0.92</v>
      </c>
      <c r="W96" s="915"/>
      <c r="X96" s="916">
        <v>0.28299999999999997</v>
      </c>
      <c r="Y96" s="916">
        <v>0.40699999999999997</v>
      </c>
      <c r="Z96" s="916">
        <v>4.5789999999999997</v>
      </c>
      <c r="AA96" s="916">
        <v>1.0229999999999999</v>
      </c>
      <c r="AB96" s="916">
        <v>3.0089999999999999</v>
      </c>
      <c r="AC96" s="915"/>
      <c r="AD96" s="919">
        <v>121.387</v>
      </c>
      <c r="AE96" s="920">
        <v>114.84099999999999</v>
      </c>
      <c r="AF96" s="920" t="s">
        <v>21</v>
      </c>
      <c r="AG96" s="920" t="s">
        <v>21</v>
      </c>
      <c r="AH96" s="921">
        <v>114.84099999999999</v>
      </c>
      <c r="AI96" s="921" t="s">
        <v>21</v>
      </c>
      <c r="AJ96" s="920" t="s">
        <v>21</v>
      </c>
      <c r="AK96" s="920" t="s">
        <v>21</v>
      </c>
      <c r="AL96" s="921" t="s">
        <v>21</v>
      </c>
      <c r="AM96" s="921" t="s">
        <v>21</v>
      </c>
      <c r="AN96" s="920"/>
      <c r="AO96" s="920" t="s">
        <v>21</v>
      </c>
      <c r="AP96" s="919">
        <v>35.112000000000002</v>
      </c>
      <c r="AQ96" s="933">
        <v>114.21432</v>
      </c>
      <c r="AR96" s="925" t="s">
        <v>21</v>
      </c>
      <c r="AS96" s="925">
        <v>114.21432</v>
      </c>
      <c r="AT96" s="925" t="s">
        <v>21</v>
      </c>
      <c r="AU96" s="925" t="s">
        <v>21</v>
      </c>
      <c r="AV96" s="926" t="s">
        <v>21</v>
      </c>
      <c r="AW96" s="926" t="s">
        <v>21</v>
      </c>
      <c r="AX96" s="926" t="s">
        <v>21</v>
      </c>
      <c r="AY96" s="926" t="s">
        <v>21</v>
      </c>
      <c r="AZ96" s="925" t="s">
        <v>21</v>
      </c>
      <c r="BA96" s="925"/>
      <c r="BB96" s="919">
        <v>3.5110000000000001</v>
      </c>
      <c r="BC96" s="919" t="s">
        <v>21</v>
      </c>
      <c r="BD96" s="919" t="s">
        <v>2142</v>
      </c>
      <c r="BE96" s="925" t="s">
        <v>21</v>
      </c>
      <c r="BF96" s="926" t="s">
        <v>21</v>
      </c>
      <c r="BG96" s="925">
        <v>25.08</v>
      </c>
      <c r="BH96" s="926" t="s">
        <v>21</v>
      </c>
      <c r="BI96" s="925" t="s">
        <v>21</v>
      </c>
      <c r="BJ96" s="926" t="s">
        <v>21</v>
      </c>
      <c r="BK96" s="925" t="s">
        <v>21</v>
      </c>
      <c r="BL96" s="926" t="s">
        <v>21</v>
      </c>
      <c r="BM96" s="925" t="s">
        <v>21</v>
      </c>
      <c r="BN96" s="927"/>
      <c r="BO96" s="927"/>
      <c r="BP96" s="928">
        <v>1</v>
      </c>
      <c r="BQ96" s="928" t="s">
        <v>21</v>
      </c>
      <c r="BR96" s="928" t="s">
        <v>21</v>
      </c>
      <c r="BS96" s="928" t="s">
        <v>21</v>
      </c>
      <c r="BT96" s="928" t="s">
        <v>21</v>
      </c>
      <c r="BU96" s="928" t="s">
        <v>21</v>
      </c>
      <c r="BV96" s="934">
        <v>0.49999999999986366</v>
      </c>
      <c r="BW96" s="934">
        <v>0.5</v>
      </c>
      <c r="BX96" s="1104">
        <v>1</v>
      </c>
      <c r="BY96" s="931">
        <v>3</v>
      </c>
      <c r="BZ96" s="930" t="s">
        <v>21</v>
      </c>
      <c r="CA96" s="1074">
        <v>1</v>
      </c>
      <c r="CB96" s="930" t="s">
        <v>21</v>
      </c>
      <c r="CC96" s="930" t="s">
        <v>21</v>
      </c>
      <c r="CD96" s="925">
        <v>25.657</v>
      </c>
      <c r="CE96" s="1130">
        <v>75.465999999999994</v>
      </c>
      <c r="CF96" s="1129" t="s">
        <v>21</v>
      </c>
      <c r="CG96" s="1130" t="s">
        <v>21</v>
      </c>
      <c r="CH96" s="1130" t="s">
        <v>21</v>
      </c>
      <c r="CI96" s="1131" t="s">
        <v>21</v>
      </c>
      <c r="CJ96" s="1129" t="s">
        <v>21</v>
      </c>
      <c r="CK96" s="1130">
        <v>75.465999999999994</v>
      </c>
      <c r="CL96" s="1130" t="s">
        <v>21</v>
      </c>
      <c r="CM96" s="1131" t="s">
        <v>21</v>
      </c>
      <c r="CN96" s="1130" t="s">
        <v>21</v>
      </c>
      <c r="CP96" s="838" t="s">
        <v>21</v>
      </c>
      <c r="CQ96" s="838" t="s">
        <v>21</v>
      </c>
      <c r="CR96" s="836"/>
    </row>
    <row r="97" spans="1:96" x14ac:dyDescent="0.25">
      <c r="A97" s="935"/>
      <c r="B97" s="932" t="s">
        <v>2227</v>
      </c>
      <c r="C97" s="911">
        <v>600</v>
      </c>
      <c r="D97" s="911" t="s">
        <v>2116</v>
      </c>
      <c r="E97" s="912">
        <v>1131.25</v>
      </c>
      <c r="F97" s="912">
        <v>1129.3</v>
      </c>
      <c r="G97" s="910" t="s">
        <v>2228</v>
      </c>
      <c r="H97" s="912">
        <v>1128.75</v>
      </c>
      <c r="I97" s="912">
        <v>1126.8499999999999</v>
      </c>
      <c r="J97" s="914">
        <v>23.74</v>
      </c>
      <c r="K97" s="915"/>
      <c r="L97" s="916">
        <v>0.1</v>
      </c>
      <c r="M97" s="916">
        <v>0.06</v>
      </c>
      <c r="N97" s="916">
        <v>0.2</v>
      </c>
      <c r="O97" s="916">
        <v>4.8570000000000002</v>
      </c>
      <c r="P97" s="915"/>
      <c r="Q97" s="916">
        <v>2.1850000000000001</v>
      </c>
      <c r="R97" s="917">
        <v>0.33333333333333331</v>
      </c>
      <c r="S97" s="918">
        <v>1.4</v>
      </c>
      <c r="T97" s="918">
        <v>2.8570000000000002</v>
      </c>
      <c r="U97" s="916">
        <v>4.6059999999999999</v>
      </c>
      <c r="V97" s="916">
        <v>0.92</v>
      </c>
      <c r="W97" s="915"/>
      <c r="X97" s="916">
        <v>0.28299999999999997</v>
      </c>
      <c r="Y97" s="916">
        <v>0.40699999999999997</v>
      </c>
      <c r="Z97" s="916">
        <v>4.6509999999999998</v>
      </c>
      <c r="AA97" s="916">
        <v>1.0229999999999999</v>
      </c>
      <c r="AB97" s="916">
        <v>3.081</v>
      </c>
      <c r="AC97" s="915"/>
      <c r="AD97" s="919">
        <v>115.30500000000001</v>
      </c>
      <c r="AE97" s="920">
        <v>110.41500000000001</v>
      </c>
      <c r="AF97" s="920" t="s">
        <v>21</v>
      </c>
      <c r="AG97" s="920" t="s">
        <v>21</v>
      </c>
      <c r="AH97" s="921">
        <v>110.41500000000001</v>
      </c>
      <c r="AI97" s="921" t="s">
        <v>21</v>
      </c>
      <c r="AJ97" s="920" t="s">
        <v>21</v>
      </c>
      <c r="AK97" s="920" t="s">
        <v>21</v>
      </c>
      <c r="AL97" s="921" t="s">
        <v>21</v>
      </c>
      <c r="AM97" s="921" t="s">
        <v>21</v>
      </c>
      <c r="AN97" s="920"/>
      <c r="AO97" s="920" t="s">
        <v>21</v>
      </c>
      <c r="AP97" s="919">
        <v>33.235999999999997</v>
      </c>
      <c r="AQ97" s="933">
        <v>109.34643999999999</v>
      </c>
      <c r="AR97" s="925" t="s">
        <v>21</v>
      </c>
      <c r="AS97" s="925">
        <v>109.34643999999999</v>
      </c>
      <c r="AT97" s="925" t="s">
        <v>21</v>
      </c>
      <c r="AU97" s="925" t="s">
        <v>21</v>
      </c>
      <c r="AV97" s="926" t="s">
        <v>21</v>
      </c>
      <c r="AW97" s="926" t="s">
        <v>21</v>
      </c>
      <c r="AX97" s="926" t="s">
        <v>21</v>
      </c>
      <c r="AY97" s="926" t="s">
        <v>21</v>
      </c>
      <c r="AZ97" s="925" t="s">
        <v>21</v>
      </c>
      <c r="BA97" s="925"/>
      <c r="BB97" s="919">
        <v>3.3239999999999998</v>
      </c>
      <c r="BC97" s="919" t="s">
        <v>21</v>
      </c>
      <c r="BD97" s="919" t="s">
        <v>2142</v>
      </c>
      <c r="BE97" s="925" t="s">
        <v>21</v>
      </c>
      <c r="BF97" s="926" t="s">
        <v>21</v>
      </c>
      <c r="BG97" s="925">
        <v>23.74</v>
      </c>
      <c r="BH97" s="926" t="s">
        <v>21</v>
      </c>
      <c r="BI97" s="925" t="s">
        <v>21</v>
      </c>
      <c r="BJ97" s="926" t="s">
        <v>21</v>
      </c>
      <c r="BK97" s="925" t="s">
        <v>21</v>
      </c>
      <c r="BL97" s="926" t="s">
        <v>21</v>
      </c>
      <c r="BM97" s="925" t="s">
        <v>21</v>
      </c>
      <c r="BN97" s="927"/>
      <c r="BO97" s="927"/>
      <c r="BP97" s="928">
        <v>1</v>
      </c>
      <c r="BQ97" s="928" t="s">
        <v>21</v>
      </c>
      <c r="BR97" s="928" t="s">
        <v>21</v>
      </c>
      <c r="BS97" s="928" t="s">
        <v>21</v>
      </c>
      <c r="BT97" s="928" t="s">
        <v>21</v>
      </c>
      <c r="BU97" s="928" t="s">
        <v>21</v>
      </c>
      <c r="BV97" s="934">
        <v>0.55000000000004556</v>
      </c>
      <c r="BW97" s="934">
        <v>1</v>
      </c>
      <c r="BX97" s="1104">
        <v>2</v>
      </c>
      <c r="BY97" s="931">
        <v>4</v>
      </c>
      <c r="BZ97" s="930" t="s">
        <v>21</v>
      </c>
      <c r="CA97" s="1074" t="s">
        <v>21</v>
      </c>
      <c r="CB97" s="930" t="s">
        <v>21</v>
      </c>
      <c r="CC97" s="930" t="s">
        <v>21</v>
      </c>
      <c r="CD97" s="925">
        <v>24.286000000000001</v>
      </c>
      <c r="CE97" s="1130">
        <v>73.143000000000001</v>
      </c>
      <c r="CF97" s="1129" t="s">
        <v>21</v>
      </c>
      <c r="CG97" s="1130" t="s">
        <v>21</v>
      </c>
      <c r="CH97" s="1130" t="s">
        <v>21</v>
      </c>
      <c r="CI97" s="1131" t="s">
        <v>21</v>
      </c>
      <c r="CJ97" s="1129" t="s">
        <v>21</v>
      </c>
      <c r="CK97" s="1130">
        <v>73.143000000000001</v>
      </c>
      <c r="CL97" s="1130" t="s">
        <v>21</v>
      </c>
      <c r="CM97" s="1131" t="s">
        <v>21</v>
      </c>
      <c r="CN97" s="1130" t="s">
        <v>21</v>
      </c>
      <c r="CP97" s="838" t="s">
        <v>21</v>
      </c>
      <c r="CQ97" s="838" t="s">
        <v>21</v>
      </c>
      <c r="CR97" s="836"/>
    </row>
    <row r="98" spans="1:96" x14ac:dyDescent="0.25">
      <c r="A98" s="935"/>
      <c r="B98" s="932" t="s">
        <v>2228</v>
      </c>
      <c r="C98" s="911">
        <v>600</v>
      </c>
      <c r="D98" s="911" t="s">
        <v>2116</v>
      </c>
      <c r="E98" s="912">
        <v>1128.75</v>
      </c>
      <c r="F98" s="912">
        <v>1126.5</v>
      </c>
      <c r="G98" s="910" t="s">
        <v>2229</v>
      </c>
      <c r="H98" s="912">
        <v>1128.83</v>
      </c>
      <c r="I98" s="912">
        <v>1126.2</v>
      </c>
      <c r="J98" s="914">
        <v>50.1</v>
      </c>
      <c r="K98" s="915"/>
      <c r="L98" s="916">
        <v>0.1</v>
      </c>
      <c r="M98" s="916">
        <v>0.06</v>
      </c>
      <c r="N98" s="916">
        <v>0.2</v>
      </c>
      <c r="O98" s="916">
        <v>5.2</v>
      </c>
      <c r="P98" s="915"/>
      <c r="Q98" s="916">
        <v>2.7</v>
      </c>
      <c r="R98" s="917">
        <v>0.33333333333333331</v>
      </c>
      <c r="S98" s="918">
        <v>1.4</v>
      </c>
      <c r="T98" s="918">
        <v>3.2</v>
      </c>
      <c r="U98" s="916">
        <v>5.6920000000000002</v>
      </c>
      <c r="V98" s="916">
        <v>0.92</v>
      </c>
      <c r="W98" s="915"/>
      <c r="X98" s="916">
        <v>0.28299999999999997</v>
      </c>
      <c r="Y98" s="916">
        <v>0.40699999999999997</v>
      </c>
      <c r="Z98" s="916">
        <v>6.21</v>
      </c>
      <c r="AA98" s="916">
        <v>1.0229999999999999</v>
      </c>
      <c r="AB98" s="916">
        <v>4.6399999999999997</v>
      </c>
      <c r="AC98" s="915"/>
      <c r="AD98" s="919">
        <v>260.52</v>
      </c>
      <c r="AE98" s="920">
        <v>311.12099999999998</v>
      </c>
      <c r="AF98" s="920" t="s">
        <v>21</v>
      </c>
      <c r="AG98" s="920" t="s">
        <v>21</v>
      </c>
      <c r="AH98" s="921">
        <v>311.12099999999998</v>
      </c>
      <c r="AI98" s="921" t="s">
        <v>21</v>
      </c>
      <c r="AJ98" s="920" t="s">
        <v>21</v>
      </c>
      <c r="AK98" s="920" t="s">
        <v>21</v>
      </c>
      <c r="AL98" s="921" t="s">
        <v>21</v>
      </c>
      <c r="AM98" s="921" t="s">
        <v>21</v>
      </c>
      <c r="AN98" s="920"/>
      <c r="AO98" s="920" t="s">
        <v>21</v>
      </c>
      <c r="AP98" s="919">
        <v>70.14</v>
      </c>
      <c r="AQ98" s="933">
        <v>285.16919999999999</v>
      </c>
      <c r="AR98" s="925" t="s">
        <v>21</v>
      </c>
      <c r="AS98" s="925">
        <v>285.16919999999999</v>
      </c>
      <c r="AT98" s="925" t="s">
        <v>21</v>
      </c>
      <c r="AU98" s="925" t="s">
        <v>21</v>
      </c>
      <c r="AV98" s="926" t="s">
        <v>21</v>
      </c>
      <c r="AW98" s="926" t="s">
        <v>21</v>
      </c>
      <c r="AX98" s="926" t="s">
        <v>21</v>
      </c>
      <c r="AY98" s="926" t="s">
        <v>21</v>
      </c>
      <c r="AZ98" s="925" t="s">
        <v>21</v>
      </c>
      <c r="BA98" s="925"/>
      <c r="BB98" s="919">
        <v>7.0140000000000002</v>
      </c>
      <c r="BC98" s="919" t="s">
        <v>21</v>
      </c>
      <c r="BD98" s="919" t="s">
        <v>2142</v>
      </c>
      <c r="BE98" s="925" t="s">
        <v>21</v>
      </c>
      <c r="BF98" s="926" t="s">
        <v>21</v>
      </c>
      <c r="BG98" s="925">
        <v>50.1</v>
      </c>
      <c r="BH98" s="926" t="s">
        <v>21</v>
      </c>
      <c r="BI98" s="925" t="s">
        <v>21</v>
      </c>
      <c r="BJ98" s="926" t="s">
        <v>21</v>
      </c>
      <c r="BK98" s="925" t="s">
        <v>21</v>
      </c>
      <c r="BL98" s="926" t="s">
        <v>21</v>
      </c>
      <c r="BM98" s="925" t="s">
        <v>21</v>
      </c>
      <c r="BN98" s="927"/>
      <c r="BO98" s="927"/>
      <c r="BP98" s="928">
        <v>1</v>
      </c>
      <c r="BQ98" s="928" t="s">
        <v>21</v>
      </c>
      <c r="BR98" s="928" t="s">
        <v>21</v>
      </c>
      <c r="BS98" s="928" t="s">
        <v>21</v>
      </c>
      <c r="BT98" s="928" t="s">
        <v>21</v>
      </c>
      <c r="BU98" s="928" t="s">
        <v>21</v>
      </c>
      <c r="BV98" s="934">
        <v>0.85000000000000009</v>
      </c>
      <c r="BW98" s="934">
        <v>1</v>
      </c>
      <c r="BX98" s="1104">
        <v>2</v>
      </c>
      <c r="BY98" s="931">
        <v>4</v>
      </c>
      <c r="BZ98" s="930" t="s">
        <v>21</v>
      </c>
      <c r="CA98" s="1074">
        <v>1</v>
      </c>
      <c r="CB98" s="930" t="s">
        <v>21</v>
      </c>
      <c r="CC98" s="930" t="s">
        <v>21</v>
      </c>
      <c r="CD98" s="925">
        <v>51.252000000000002</v>
      </c>
      <c r="CE98" s="1130">
        <v>232.464</v>
      </c>
      <c r="CF98" s="1129" t="s">
        <v>21</v>
      </c>
      <c r="CG98" s="1130" t="s">
        <v>21</v>
      </c>
      <c r="CH98" s="1130" t="s">
        <v>21</v>
      </c>
      <c r="CI98" s="1131" t="s">
        <v>21</v>
      </c>
      <c r="CJ98" s="1129" t="s">
        <v>21</v>
      </c>
      <c r="CK98" s="1130">
        <v>232.464</v>
      </c>
      <c r="CL98" s="1130" t="s">
        <v>21</v>
      </c>
      <c r="CM98" s="1131" t="s">
        <v>21</v>
      </c>
      <c r="CN98" s="1130" t="s">
        <v>21</v>
      </c>
      <c r="CP98" s="838" t="s">
        <v>21</v>
      </c>
      <c r="CQ98" s="838" t="s">
        <v>21</v>
      </c>
      <c r="CR98" s="836"/>
    </row>
    <row r="99" spans="1:96" x14ac:dyDescent="0.25">
      <c r="A99" s="935"/>
      <c r="B99" s="932" t="s">
        <v>2229</v>
      </c>
      <c r="C99" s="911">
        <v>600</v>
      </c>
      <c r="D99" s="911" t="s">
        <v>2116</v>
      </c>
      <c r="E99" s="912">
        <v>1128.83</v>
      </c>
      <c r="F99" s="912">
        <v>1126.1500000000001</v>
      </c>
      <c r="G99" s="910" t="s">
        <v>2253</v>
      </c>
      <c r="H99" s="912">
        <v>1129.07</v>
      </c>
      <c r="I99" s="912">
        <v>1125.6659999999999</v>
      </c>
      <c r="J99" s="914">
        <v>46.76</v>
      </c>
      <c r="K99" s="915"/>
      <c r="L99" s="916">
        <v>0.1</v>
      </c>
      <c r="M99" s="916">
        <v>0.06</v>
      </c>
      <c r="N99" s="916">
        <v>0.2</v>
      </c>
      <c r="O99" s="916">
        <v>5.601</v>
      </c>
      <c r="P99" s="915"/>
      <c r="Q99" s="916">
        <v>3.302</v>
      </c>
      <c r="R99" s="917">
        <v>0.33333333333333331</v>
      </c>
      <c r="S99" s="918">
        <v>1.4</v>
      </c>
      <c r="T99" s="918">
        <v>3.601</v>
      </c>
      <c r="U99" s="916">
        <v>6.9610000000000003</v>
      </c>
      <c r="V99" s="916">
        <v>0.92</v>
      </c>
      <c r="W99" s="915"/>
      <c r="X99" s="916">
        <v>0.28299999999999997</v>
      </c>
      <c r="Y99" s="916">
        <v>0.40699999999999997</v>
      </c>
      <c r="Z99" s="916">
        <v>8.2569999999999997</v>
      </c>
      <c r="AA99" s="916">
        <v>1.0229999999999999</v>
      </c>
      <c r="AB99" s="916">
        <v>6.6870000000000003</v>
      </c>
      <c r="AC99" s="915"/>
      <c r="AD99" s="919">
        <v>261.90300000000002</v>
      </c>
      <c r="AE99" s="920">
        <v>386.09699999999998</v>
      </c>
      <c r="AF99" s="920" t="s">
        <v>21</v>
      </c>
      <c r="AG99" s="920" t="s">
        <v>21</v>
      </c>
      <c r="AH99" s="921" t="s">
        <v>21</v>
      </c>
      <c r="AI99" s="921" t="s">
        <v>21</v>
      </c>
      <c r="AJ99" s="920">
        <v>386.09699999999998</v>
      </c>
      <c r="AK99" s="920" t="s">
        <v>21</v>
      </c>
      <c r="AL99" s="921" t="s">
        <v>21</v>
      </c>
      <c r="AM99" s="921" t="s">
        <v>21</v>
      </c>
      <c r="AN99" s="920"/>
      <c r="AO99" s="920" t="s">
        <v>21</v>
      </c>
      <c r="AP99" s="919">
        <v>65.463999999999999</v>
      </c>
      <c r="AQ99" s="933">
        <v>325.49635999999998</v>
      </c>
      <c r="AR99" s="925" t="s">
        <v>21</v>
      </c>
      <c r="AS99" s="925" t="s">
        <v>21</v>
      </c>
      <c r="AT99" s="925">
        <v>325.49635999999998</v>
      </c>
      <c r="AU99" s="925" t="s">
        <v>21</v>
      </c>
      <c r="AV99" s="926" t="s">
        <v>21</v>
      </c>
      <c r="AW99" s="926" t="s">
        <v>21</v>
      </c>
      <c r="AX99" s="926" t="s">
        <v>21</v>
      </c>
      <c r="AY99" s="926" t="s">
        <v>21</v>
      </c>
      <c r="AZ99" s="925" t="s">
        <v>21</v>
      </c>
      <c r="BA99" s="925"/>
      <c r="BB99" s="919">
        <v>6.5460000000000003</v>
      </c>
      <c r="BC99" s="919" t="s">
        <v>21</v>
      </c>
      <c r="BD99" s="919" t="s">
        <v>2152</v>
      </c>
      <c r="BE99" s="925" t="s">
        <v>21</v>
      </c>
      <c r="BF99" s="926" t="s">
        <v>21</v>
      </c>
      <c r="BG99" s="925">
        <v>46.76</v>
      </c>
      <c r="BH99" s="926" t="s">
        <v>21</v>
      </c>
      <c r="BI99" s="925" t="s">
        <v>21</v>
      </c>
      <c r="BJ99" s="926" t="s">
        <v>21</v>
      </c>
      <c r="BK99" s="925" t="s">
        <v>21</v>
      </c>
      <c r="BL99" s="926" t="s">
        <v>21</v>
      </c>
      <c r="BM99" s="925" t="s">
        <v>21</v>
      </c>
      <c r="BN99" s="927"/>
      <c r="BO99" s="927"/>
      <c r="BP99" s="928">
        <v>1</v>
      </c>
      <c r="BQ99" s="928" t="s">
        <v>21</v>
      </c>
      <c r="BR99" s="928" t="s">
        <v>21</v>
      </c>
      <c r="BS99" s="928" t="s">
        <v>21</v>
      </c>
      <c r="BT99" s="928" t="s">
        <v>21</v>
      </c>
      <c r="BU99" s="928" t="s">
        <v>21</v>
      </c>
      <c r="BV99" s="934">
        <v>1.2799999999998364</v>
      </c>
      <c r="BW99" s="934">
        <v>1.5</v>
      </c>
      <c r="BX99" s="1104">
        <v>3</v>
      </c>
      <c r="BY99" s="931">
        <v>5</v>
      </c>
      <c r="BZ99" s="930" t="s">
        <v>21</v>
      </c>
      <c r="CA99" s="1074">
        <v>1</v>
      </c>
      <c r="CB99" s="930" t="s">
        <v>21</v>
      </c>
      <c r="CC99" s="930" t="s">
        <v>21</v>
      </c>
      <c r="CD99" s="925">
        <v>47.835000000000001</v>
      </c>
      <c r="CE99" s="1130">
        <v>312.68400000000003</v>
      </c>
      <c r="CF99" s="1129" t="s">
        <v>21</v>
      </c>
      <c r="CG99" s="1130" t="s">
        <v>21</v>
      </c>
      <c r="CH99" s="1130" t="s">
        <v>21</v>
      </c>
      <c r="CI99" s="1131" t="s">
        <v>21</v>
      </c>
      <c r="CJ99" s="1129" t="s">
        <v>21</v>
      </c>
      <c r="CK99" s="1130" t="s">
        <v>21</v>
      </c>
      <c r="CL99" s="1130" t="s">
        <v>21</v>
      </c>
      <c r="CM99" s="1131" t="s">
        <v>21</v>
      </c>
      <c r="CN99" s="1130">
        <v>312.68400000000003</v>
      </c>
      <c r="CP99" s="838" t="s">
        <v>21</v>
      </c>
      <c r="CQ99" s="838" t="s">
        <v>21</v>
      </c>
      <c r="CR99" s="836"/>
    </row>
    <row r="100" spans="1:96" x14ac:dyDescent="0.25">
      <c r="A100" s="935"/>
      <c r="B100" s="932" t="s">
        <v>2253</v>
      </c>
      <c r="C100" s="911">
        <v>600</v>
      </c>
      <c r="D100" s="911" t="s">
        <v>2116</v>
      </c>
      <c r="E100" s="912">
        <v>1129.07</v>
      </c>
      <c r="F100" s="912">
        <v>1125.6659999999999</v>
      </c>
      <c r="G100" s="910" t="s">
        <v>2254</v>
      </c>
      <c r="H100" s="912">
        <v>1124.78</v>
      </c>
      <c r="I100" s="912">
        <v>1122.8800000000001</v>
      </c>
      <c r="J100" s="914">
        <v>24.09</v>
      </c>
      <c r="K100" s="915"/>
      <c r="L100" s="916">
        <v>0.1</v>
      </c>
      <c r="M100" s="916">
        <v>0.06</v>
      </c>
      <c r="N100" s="916">
        <v>0.2</v>
      </c>
      <c r="O100" s="916">
        <v>5.3410000000000002</v>
      </c>
      <c r="P100" s="915"/>
      <c r="Q100" s="916">
        <v>2.9119999999999999</v>
      </c>
      <c r="R100" s="917">
        <v>0.33333333333333331</v>
      </c>
      <c r="S100" s="918">
        <v>1.4</v>
      </c>
      <c r="T100" s="918">
        <v>3.3410000000000002</v>
      </c>
      <c r="U100" s="916">
        <v>6.1390000000000002</v>
      </c>
      <c r="V100" s="916">
        <v>0.92</v>
      </c>
      <c r="W100" s="915"/>
      <c r="X100" s="916">
        <v>0.28299999999999997</v>
      </c>
      <c r="Y100" s="916">
        <v>0.40699999999999997</v>
      </c>
      <c r="Z100" s="916">
        <v>6.9029999999999996</v>
      </c>
      <c r="AA100" s="916">
        <v>1.0229999999999999</v>
      </c>
      <c r="AB100" s="916">
        <v>5.3330000000000002</v>
      </c>
      <c r="AC100" s="915"/>
      <c r="AD100" s="919">
        <v>128.66499999999999</v>
      </c>
      <c r="AE100" s="920">
        <v>166.29300000000001</v>
      </c>
      <c r="AF100" s="920" t="s">
        <v>21</v>
      </c>
      <c r="AG100" s="920" t="s">
        <v>21</v>
      </c>
      <c r="AH100" s="921">
        <v>166.29300000000001</v>
      </c>
      <c r="AI100" s="921" t="s">
        <v>21</v>
      </c>
      <c r="AJ100" s="920" t="s">
        <v>21</v>
      </c>
      <c r="AK100" s="920" t="s">
        <v>21</v>
      </c>
      <c r="AL100" s="921" t="s">
        <v>21</v>
      </c>
      <c r="AM100" s="921" t="s">
        <v>21</v>
      </c>
      <c r="AN100" s="920"/>
      <c r="AO100" s="920" t="s">
        <v>21</v>
      </c>
      <c r="AP100" s="919">
        <v>33.725999999999999</v>
      </c>
      <c r="AQ100" s="933">
        <v>147.88851</v>
      </c>
      <c r="AR100" s="925" t="s">
        <v>21</v>
      </c>
      <c r="AS100" s="925">
        <v>147.88851</v>
      </c>
      <c r="AT100" s="925" t="s">
        <v>21</v>
      </c>
      <c r="AU100" s="925" t="s">
        <v>21</v>
      </c>
      <c r="AV100" s="926" t="s">
        <v>21</v>
      </c>
      <c r="AW100" s="926" t="s">
        <v>21</v>
      </c>
      <c r="AX100" s="926" t="s">
        <v>21</v>
      </c>
      <c r="AY100" s="926" t="s">
        <v>21</v>
      </c>
      <c r="AZ100" s="925" t="s">
        <v>21</v>
      </c>
      <c r="BA100" s="925"/>
      <c r="BB100" s="919">
        <v>3.3730000000000002</v>
      </c>
      <c r="BC100" s="919" t="s">
        <v>21</v>
      </c>
      <c r="BD100" s="919" t="s">
        <v>2142</v>
      </c>
      <c r="BE100" s="925" t="s">
        <v>21</v>
      </c>
      <c r="BF100" s="926" t="s">
        <v>21</v>
      </c>
      <c r="BG100" s="925">
        <v>24.09</v>
      </c>
      <c r="BH100" s="926" t="s">
        <v>21</v>
      </c>
      <c r="BI100" s="925" t="s">
        <v>21</v>
      </c>
      <c r="BJ100" s="926" t="s">
        <v>21</v>
      </c>
      <c r="BK100" s="925" t="s">
        <v>21</v>
      </c>
      <c r="BL100" s="926" t="s">
        <v>21</v>
      </c>
      <c r="BM100" s="925" t="s">
        <v>21</v>
      </c>
      <c r="BN100" s="927"/>
      <c r="BO100" s="927"/>
      <c r="BP100" s="928">
        <v>1</v>
      </c>
      <c r="BQ100" s="928" t="s">
        <v>21</v>
      </c>
      <c r="BR100" s="928" t="s">
        <v>21</v>
      </c>
      <c r="BS100" s="928" t="s">
        <v>21</v>
      </c>
      <c r="BT100" s="928" t="s">
        <v>21</v>
      </c>
      <c r="BU100" s="928" t="s">
        <v>21</v>
      </c>
      <c r="BV100" s="934">
        <v>2.0039999999999965</v>
      </c>
      <c r="BW100" s="934">
        <v>2.5</v>
      </c>
      <c r="BX100" s="1104">
        <v>5</v>
      </c>
      <c r="BY100" s="931">
        <v>7</v>
      </c>
      <c r="BZ100" s="930" t="s">
        <v>21</v>
      </c>
      <c r="CA100" s="1074">
        <v>1</v>
      </c>
      <c r="CB100" s="930" t="s">
        <v>21</v>
      </c>
      <c r="CC100" s="930" t="s">
        <v>21</v>
      </c>
      <c r="CD100" s="925">
        <v>24.643999999999998</v>
      </c>
      <c r="CE100" s="1130">
        <v>128.47200000000001</v>
      </c>
      <c r="CF100" s="1129" t="s">
        <v>21</v>
      </c>
      <c r="CG100" s="1130" t="s">
        <v>21</v>
      </c>
      <c r="CH100" s="1130" t="s">
        <v>21</v>
      </c>
      <c r="CI100" s="1131" t="s">
        <v>21</v>
      </c>
      <c r="CJ100" s="1129" t="s">
        <v>21</v>
      </c>
      <c r="CK100" s="1130">
        <v>128.47200000000001</v>
      </c>
      <c r="CL100" s="1130" t="s">
        <v>21</v>
      </c>
      <c r="CM100" s="1131" t="s">
        <v>21</v>
      </c>
      <c r="CN100" s="1130" t="s">
        <v>21</v>
      </c>
      <c r="CP100" s="838" t="s">
        <v>21</v>
      </c>
      <c r="CQ100" s="838" t="s">
        <v>21</v>
      </c>
      <c r="CR100" s="836"/>
    </row>
    <row r="101" spans="1:96" x14ac:dyDescent="0.25">
      <c r="A101" s="935"/>
      <c r="B101" s="932" t="s">
        <v>2254</v>
      </c>
      <c r="C101" s="911">
        <v>800</v>
      </c>
      <c r="D101" s="911" t="s">
        <v>2116</v>
      </c>
      <c r="E101" s="912">
        <v>1124.78</v>
      </c>
      <c r="F101" s="912">
        <v>1122.53</v>
      </c>
      <c r="G101" s="910" t="s">
        <v>2255</v>
      </c>
      <c r="H101" s="912">
        <v>1127.03</v>
      </c>
      <c r="I101" s="912">
        <v>1122.3019999999999</v>
      </c>
      <c r="J101" s="914">
        <v>55.87</v>
      </c>
      <c r="K101" s="915"/>
      <c r="L101" s="916">
        <v>0.15</v>
      </c>
      <c r="M101" s="916">
        <v>7.5999999999999998E-2</v>
      </c>
      <c r="N101" s="916">
        <v>0.2</v>
      </c>
      <c r="O101" s="916">
        <v>6.2430000000000003</v>
      </c>
      <c r="P101" s="915"/>
      <c r="Q101" s="916">
        <v>3.8149999999999999</v>
      </c>
      <c r="R101" s="917">
        <v>0.33333333333333331</v>
      </c>
      <c r="S101" s="918">
        <v>1.7</v>
      </c>
      <c r="T101" s="918">
        <v>4.2430000000000003</v>
      </c>
      <c r="U101" s="916">
        <v>8.0429999999999993</v>
      </c>
      <c r="V101" s="916">
        <v>1.1519999999999999</v>
      </c>
      <c r="W101" s="915"/>
      <c r="X101" s="916">
        <v>0.503</v>
      </c>
      <c r="Y101" s="916">
        <v>0.71199999999999997</v>
      </c>
      <c r="Z101" s="916">
        <v>11.336</v>
      </c>
      <c r="AA101" s="916">
        <v>1.4339999999999999</v>
      </c>
      <c r="AB101" s="916">
        <v>8.9350000000000005</v>
      </c>
      <c r="AC101" s="915"/>
      <c r="AD101" s="919">
        <v>348.79599999999999</v>
      </c>
      <c r="AE101" s="920">
        <v>633.34199999999998</v>
      </c>
      <c r="AF101" s="920" t="s">
        <v>21</v>
      </c>
      <c r="AG101" s="920" t="s">
        <v>21</v>
      </c>
      <c r="AH101" s="921" t="s">
        <v>21</v>
      </c>
      <c r="AI101" s="921" t="s">
        <v>21</v>
      </c>
      <c r="AJ101" s="920" t="s">
        <v>21</v>
      </c>
      <c r="AK101" s="920">
        <v>633.34199999999998</v>
      </c>
      <c r="AL101" s="921" t="s">
        <v>21</v>
      </c>
      <c r="AM101" s="921" t="s">
        <v>21</v>
      </c>
      <c r="AN101" s="920"/>
      <c r="AO101" s="920" t="s">
        <v>21</v>
      </c>
      <c r="AP101" s="919">
        <v>94.978999999999999</v>
      </c>
      <c r="AQ101" s="933">
        <v>449.36240999999995</v>
      </c>
      <c r="AR101" s="925" t="s">
        <v>21</v>
      </c>
      <c r="AS101" s="925" t="s">
        <v>21</v>
      </c>
      <c r="AT101" s="925" t="s">
        <v>21</v>
      </c>
      <c r="AU101" s="925" t="s">
        <v>21</v>
      </c>
      <c r="AV101" s="926" t="s">
        <v>21</v>
      </c>
      <c r="AW101" s="926" t="s">
        <v>21</v>
      </c>
      <c r="AX101" s="926">
        <v>449.36240999999995</v>
      </c>
      <c r="AY101" s="926" t="s">
        <v>21</v>
      </c>
      <c r="AZ101" s="925" t="s">
        <v>21</v>
      </c>
      <c r="BA101" s="925"/>
      <c r="BB101" s="919" t="s">
        <v>21</v>
      </c>
      <c r="BC101" s="919">
        <v>14.247</v>
      </c>
      <c r="BD101" s="919" t="s">
        <v>2152</v>
      </c>
      <c r="BE101" s="925" t="s">
        <v>21</v>
      </c>
      <c r="BF101" s="926" t="s">
        <v>21</v>
      </c>
      <c r="BG101" s="925" t="s">
        <v>21</v>
      </c>
      <c r="BH101" s="926">
        <v>55.87</v>
      </c>
      <c r="BI101" s="925" t="s">
        <v>21</v>
      </c>
      <c r="BJ101" s="926" t="s">
        <v>21</v>
      </c>
      <c r="BK101" s="925" t="s">
        <v>21</v>
      </c>
      <c r="BL101" s="926" t="s">
        <v>21</v>
      </c>
      <c r="BM101" s="925" t="s">
        <v>21</v>
      </c>
      <c r="BN101" s="927"/>
      <c r="BO101" s="927"/>
      <c r="BP101" s="928" t="s">
        <v>21</v>
      </c>
      <c r="BQ101" s="928">
        <v>1</v>
      </c>
      <c r="BR101" s="928" t="s">
        <v>21</v>
      </c>
      <c r="BS101" s="928" t="s">
        <v>21</v>
      </c>
      <c r="BT101" s="928" t="s">
        <v>21</v>
      </c>
      <c r="BU101" s="928" t="s">
        <v>21</v>
      </c>
      <c r="BV101" s="934">
        <v>0.75</v>
      </c>
      <c r="BW101" s="934">
        <v>1</v>
      </c>
      <c r="BX101" s="1104">
        <v>2</v>
      </c>
      <c r="BY101" s="931">
        <v>4</v>
      </c>
      <c r="BZ101" s="930" t="s">
        <v>21</v>
      </c>
      <c r="CA101" s="1074" t="s">
        <v>21</v>
      </c>
      <c r="CB101" s="930" t="s">
        <v>21</v>
      </c>
      <c r="CC101" s="930" t="s">
        <v>21</v>
      </c>
      <c r="CD101" s="925">
        <v>80.117999999999995</v>
      </c>
      <c r="CE101" s="1130">
        <v>499.19799999999998</v>
      </c>
      <c r="CF101" s="1129" t="s">
        <v>21</v>
      </c>
      <c r="CG101" s="1130" t="s">
        <v>21</v>
      </c>
      <c r="CH101" s="1130" t="s">
        <v>21</v>
      </c>
      <c r="CI101" s="1131" t="s">
        <v>21</v>
      </c>
      <c r="CJ101" s="1129" t="s">
        <v>21</v>
      </c>
      <c r="CK101" s="1130" t="s">
        <v>21</v>
      </c>
      <c r="CL101" s="1130" t="s">
        <v>21</v>
      </c>
      <c r="CM101" s="1131" t="s">
        <v>21</v>
      </c>
      <c r="CN101" s="1130">
        <v>499.19799999999998</v>
      </c>
      <c r="CP101" s="838" t="s">
        <v>21</v>
      </c>
      <c r="CQ101" s="838" t="s">
        <v>21</v>
      </c>
      <c r="CR101" s="836"/>
    </row>
    <row r="102" spans="1:96" x14ac:dyDescent="0.25">
      <c r="A102" s="935"/>
      <c r="B102" s="932" t="s">
        <v>2255</v>
      </c>
      <c r="C102" s="911">
        <v>800</v>
      </c>
      <c r="D102" s="911" t="s">
        <v>2116</v>
      </c>
      <c r="E102" s="912">
        <v>1127.03</v>
      </c>
      <c r="F102" s="912">
        <v>1122.3019999999999</v>
      </c>
      <c r="G102" s="910" t="s">
        <v>2256</v>
      </c>
      <c r="H102" s="912">
        <v>1129.57</v>
      </c>
      <c r="I102" s="912">
        <v>1122.192</v>
      </c>
      <c r="J102" s="914">
        <v>20.02</v>
      </c>
      <c r="K102" s="915"/>
      <c r="L102" s="916">
        <v>0.15</v>
      </c>
      <c r="M102" s="916">
        <v>7.5999999999999998E-2</v>
      </c>
      <c r="N102" s="916">
        <v>0.2</v>
      </c>
      <c r="O102" s="916">
        <v>7.9530000000000003</v>
      </c>
      <c r="P102" s="915"/>
      <c r="Q102" s="916">
        <v>6.3789999999999996</v>
      </c>
      <c r="R102" s="917">
        <v>0.33333333333333331</v>
      </c>
      <c r="S102" s="918">
        <v>1.7</v>
      </c>
      <c r="T102" s="918">
        <v>5.9530000000000003</v>
      </c>
      <c r="U102" s="916">
        <v>13.448</v>
      </c>
      <c r="V102" s="916">
        <v>1.1519999999999999</v>
      </c>
      <c r="W102" s="915"/>
      <c r="X102" s="916">
        <v>0.503</v>
      </c>
      <c r="Y102" s="916">
        <v>0.71199999999999997</v>
      </c>
      <c r="Z102" s="916">
        <v>24.408999999999999</v>
      </c>
      <c r="AA102" s="916">
        <v>1.4339999999999999</v>
      </c>
      <c r="AB102" s="916">
        <v>22.007999999999999</v>
      </c>
      <c r="AC102" s="915"/>
      <c r="AD102" s="919">
        <v>159.21899999999999</v>
      </c>
      <c r="AE102" s="920">
        <v>488.66800000000001</v>
      </c>
      <c r="AF102" s="920" t="s">
        <v>21</v>
      </c>
      <c r="AG102" s="920" t="s">
        <v>21</v>
      </c>
      <c r="AH102" s="921" t="s">
        <v>21</v>
      </c>
      <c r="AI102" s="921" t="s">
        <v>21</v>
      </c>
      <c r="AJ102" s="920" t="s">
        <v>21</v>
      </c>
      <c r="AK102" s="920" t="s">
        <v>21</v>
      </c>
      <c r="AL102" s="921" t="s">
        <v>21</v>
      </c>
      <c r="AM102" s="921" t="s">
        <v>21</v>
      </c>
      <c r="AN102" s="920"/>
      <c r="AO102" s="920">
        <v>488.66800000000001</v>
      </c>
      <c r="AP102" s="919">
        <v>34.033999999999999</v>
      </c>
      <c r="AQ102" s="933">
        <v>269.22896000000003</v>
      </c>
      <c r="AR102" s="925" t="s">
        <v>21</v>
      </c>
      <c r="AS102" s="925" t="s">
        <v>21</v>
      </c>
      <c r="AT102" s="925" t="s">
        <v>21</v>
      </c>
      <c r="AU102" s="925" t="s">
        <v>21</v>
      </c>
      <c r="AV102" s="926" t="s">
        <v>21</v>
      </c>
      <c r="AW102" s="926" t="s">
        <v>21</v>
      </c>
      <c r="AX102" s="926" t="s">
        <v>21</v>
      </c>
      <c r="AY102" s="926">
        <v>269.22896000000003</v>
      </c>
      <c r="AZ102" s="925" t="s">
        <v>21</v>
      </c>
      <c r="BA102" s="925"/>
      <c r="BB102" s="919" t="s">
        <v>21</v>
      </c>
      <c r="BC102" s="919">
        <v>5.1050000000000004</v>
      </c>
      <c r="BD102" s="919" t="s">
        <v>2153</v>
      </c>
      <c r="BE102" s="925" t="s">
        <v>21</v>
      </c>
      <c r="BF102" s="926" t="s">
        <v>21</v>
      </c>
      <c r="BG102" s="925" t="s">
        <v>21</v>
      </c>
      <c r="BH102" s="926">
        <v>20.02</v>
      </c>
      <c r="BI102" s="925" t="s">
        <v>21</v>
      </c>
      <c r="BJ102" s="926" t="s">
        <v>21</v>
      </c>
      <c r="BK102" s="925" t="s">
        <v>21</v>
      </c>
      <c r="BL102" s="926" t="s">
        <v>21</v>
      </c>
      <c r="BM102" s="925" t="s">
        <v>21</v>
      </c>
      <c r="BN102" s="927"/>
      <c r="BO102" s="927"/>
      <c r="BP102" s="928" t="s">
        <v>21</v>
      </c>
      <c r="BQ102" s="928">
        <v>1</v>
      </c>
      <c r="BR102" s="928" t="s">
        <v>21</v>
      </c>
      <c r="BS102" s="928" t="s">
        <v>21</v>
      </c>
      <c r="BT102" s="928" t="s">
        <v>21</v>
      </c>
      <c r="BU102" s="928" t="s">
        <v>21</v>
      </c>
      <c r="BV102" s="934">
        <v>3.2280000000000655</v>
      </c>
      <c r="BW102" s="934">
        <v>3.5</v>
      </c>
      <c r="BX102" s="1104">
        <v>7</v>
      </c>
      <c r="BY102" s="931">
        <v>9</v>
      </c>
      <c r="BZ102" s="930">
        <v>1</v>
      </c>
      <c r="CA102" s="1074" t="s">
        <v>21</v>
      </c>
      <c r="CB102" s="930" t="s">
        <v>21</v>
      </c>
      <c r="CC102" s="930" t="s">
        <v>21</v>
      </c>
      <c r="CD102" s="925">
        <v>28.709</v>
      </c>
      <c r="CE102" s="1130">
        <v>440.6</v>
      </c>
      <c r="CF102" s="1129" t="s">
        <v>21</v>
      </c>
      <c r="CG102" s="1130" t="s">
        <v>21</v>
      </c>
      <c r="CH102" s="1130" t="s">
        <v>21</v>
      </c>
      <c r="CI102" s="1131" t="s">
        <v>21</v>
      </c>
      <c r="CJ102" s="1129" t="s">
        <v>21</v>
      </c>
      <c r="CK102" s="1130" t="s">
        <v>21</v>
      </c>
      <c r="CL102" s="1130" t="s">
        <v>21</v>
      </c>
      <c r="CM102" s="1131" t="s">
        <v>21</v>
      </c>
      <c r="CN102" s="1130">
        <v>440.6</v>
      </c>
      <c r="CP102" s="838" t="s">
        <v>21</v>
      </c>
      <c r="CQ102" s="838" t="s">
        <v>21</v>
      </c>
      <c r="CR102" s="836"/>
    </row>
    <row r="103" spans="1:96" x14ac:dyDescent="0.25">
      <c r="A103" s="935"/>
      <c r="B103" s="932" t="s">
        <v>2256</v>
      </c>
      <c r="C103" s="911">
        <v>800</v>
      </c>
      <c r="D103" s="911" t="s">
        <v>2116</v>
      </c>
      <c r="E103" s="912">
        <v>1129.57</v>
      </c>
      <c r="F103" s="912">
        <v>1122.0920000000001</v>
      </c>
      <c r="G103" s="910" t="s">
        <v>2257</v>
      </c>
      <c r="H103" s="912">
        <v>1128.78</v>
      </c>
      <c r="I103" s="912">
        <v>1121.923</v>
      </c>
      <c r="J103" s="914">
        <v>37.590000000000003</v>
      </c>
      <c r="K103" s="915"/>
      <c r="L103" s="916">
        <v>0.15</v>
      </c>
      <c r="M103" s="916">
        <v>7.5999999999999998E-2</v>
      </c>
      <c r="N103" s="916">
        <v>0.2</v>
      </c>
      <c r="O103" s="916">
        <v>8.6950000000000003</v>
      </c>
      <c r="P103" s="915"/>
      <c r="Q103" s="916">
        <v>7.4930000000000003</v>
      </c>
      <c r="R103" s="917">
        <v>0.33333333333333331</v>
      </c>
      <c r="S103" s="918">
        <v>1.7</v>
      </c>
      <c r="T103" s="918">
        <v>6.6950000000000003</v>
      </c>
      <c r="U103" s="916">
        <v>15.797000000000001</v>
      </c>
      <c r="V103" s="916">
        <v>1.1519999999999999</v>
      </c>
      <c r="W103" s="915"/>
      <c r="X103" s="916">
        <v>0.503</v>
      </c>
      <c r="Y103" s="916">
        <v>0.71199999999999997</v>
      </c>
      <c r="Z103" s="916">
        <v>31.452000000000002</v>
      </c>
      <c r="AA103" s="916">
        <v>1.4339999999999999</v>
      </c>
      <c r="AB103" s="916">
        <v>29.050999999999998</v>
      </c>
      <c r="AC103" s="915"/>
      <c r="AD103" s="919">
        <v>326.84500000000003</v>
      </c>
      <c r="AE103" s="920">
        <v>1182.2809999999999</v>
      </c>
      <c r="AF103" s="920" t="s">
        <v>21</v>
      </c>
      <c r="AG103" s="920" t="s">
        <v>21</v>
      </c>
      <c r="AH103" s="921" t="s">
        <v>21</v>
      </c>
      <c r="AI103" s="921" t="s">
        <v>21</v>
      </c>
      <c r="AJ103" s="920" t="s">
        <v>21</v>
      </c>
      <c r="AK103" s="920" t="s">
        <v>21</v>
      </c>
      <c r="AL103" s="921" t="s">
        <v>21</v>
      </c>
      <c r="AM103" s="921" t="s">
        <v>21</v>
      </c>
      <c r="AN103" s="920"/>
      <c r="AO103" s="920">
        <v>1182.2809999999999</v>
      </c>
      <c r="AP103" s="919">
        <v>63.902999999999999</v>
      </c>
      <c r="AQ103" s="933">
        <v>593.80923000000007</v>
      </c>
      <c r="AR103" s="925" t="s">
        <v>21</v>
      </c>
      <c r="AS103" s="925" t="s">
        <v>21</v>
      </c>
      <c r="AT103" s="925" t="s">
        <v>21</v>
      </c>
      <c r="AU103" s="925" t="s">
        <v>21</v>
      </c>
      <c r="AV103" s="926" t="s">
        <v>21</v>
      </c>
      <c r="AW103" s="926" t="s">
        <v>21</v>
      </c>
      <c r="AX103" s="926" t="s">
        <v>21</v>
      </c>
      <c r="AY103" s="926">
        <v>593.80923000000007</v>
      </c>
      <c r="AZ103" s="925" t="s">
        <v>21</v>
      </c>
      <c r="BA103" s="925"/>
      <c r="BB103" s="919" t="s">
        <v>21</v>
      </c>
      <c r="BC103" s="919">
        <v>9.5850000000000009</v>
      </c>
      <c r="BD103" s="919" t="s">
        <v>2153</v>
      </c>
      <c r="BE103" s="925" t="s">
        <v>21</v>
      </c>
      <c r="BF103" s="926" t="s">
        <v>21</v>
      </c>
      <c r="BG103" s="925" t="s">
        <v>21</v>
      </c>
      <c r="BH103" s="926">
        <v>37.590000000000003</v>
      </c>
      <c r="BI103" s="925" t="s">
        <v>21</v>
      </c>
      <c r="BJ103" s="926" t="s">
        <v>21</v>
      </c>
      <c r="BK103" s="925" t="s">
        <v>21</v>
      </c>
      <c r="BL103" s="926" t="s">
        <v>21</v>
      </c>
      <c r="BM103" s="925" t="s">
        <v>21</v>
      </c>
      <c r="BN103" s="927"/>
      <c r="BO103" s="927"/>
      <c r="BP103" s="928" t="s">
        <v>21</v>
      </c>
      <c r="BQ103" s="928">
        <v>1</v>
      </c>
      <c r="BR103" s="928" t="s">
        <v>21</v>
      </c>
      <c r="BS103" s="928" t="s">
        <v>21</v>
      </c>
      <c r="BT103" s="928" t="s">
        <v>21</v>
      </c>
      <c r="BU103" s="928" t="s">
        <v>21</v>
      </c>
      <c r="BV103" s="934">
        <v>5.9779999999998381</v>
      </c>
      <c r="BW103" s="934">
        <v>6</v>
      </c>
      <c r="BX103" s="1104">
        <v>12</v>
      </c>
      <c r="BY103" s="931">
        <v>14</v>
      </c>
      <c r="BZ103" s="930">
        <v>1</v>
      </c>
      <c r="CA103" s="1074" t="s">
        <v>21</v>
      </c>
      <c r="CB103" s="930" t="s">
        <v>21</v>
      </c>
      <c r="CC103" s="930" t="s">
        <v>21</v>
      </c>
      <c r="CD103" s="925">
        <v>53.904000000000003</v>
      </c>
      <c r="CE103" s="1130">
        <v>1092.027</v>
      </c>
      <c r="CF103" s="1129" t="s">
        <v>21</v>
      </c>
      <c r="CG103" s="1130" t="s">
        <v>21</v>
      </c>
      <c r="CH103" s="1130" t="s">
        <v>21</v>
      </c>
      <c r="CI103" s="1131" t="s">
        <v>21</v>
      </c>
      <c r="CJ103" s="1129" t="s">
        <v>21</v>
      </c>
      <c r="CK103" s="1130" t="s">
        <v>21</v>
      </c>
      <c r="CL103" s="1130" t="s">
        <v>21</v>
      </c>
      <c r="CM103" s="1131" t="s">
        <v>21</v>
      </c>
      <c r="CN103" s="1130">
        <v>1092.027</v>
      </c>
      <c r="CP103" s="838" t="s">
        <v>21</v>
      </c>
      <c r="CQ103" s="838" t="s">
        <v>21</v>
      </c>
      <c r="CR103" s="836"/>
    </row>
    <row r="104" spans="1:96" x14ac:dyDescent="0.25">
      <c r="A104" s="935"/>
      <c r="B104" s="932" t="s">
        <v>2257</v>
      </c>
      <c r="C104" s="911">
        <v>800</v>
      </c>
      <c r="D104" s="911" t="s">
        <v>2116</v>
      </c>
      <c r="E104" s="912">
        <v>1128.78</v>
      </c>
      <c r="F104" s="912">
        <v>1121.873</v>
      </c>
      <c r="G104" s="910" t="s">
        <v>2258</v>
      </c>
      <c r="H104" s="912">
        <v>1128</v>
      </c>
      <c r="I104" s="912">
        <v>1121.704</v>
      </c>
      <c r="J104" s="914">
        <v>37.590000000000003</v>
      </c>
      <c r="K104" s="915"/>
      <c r="L104" s="916">
        <v>0.15</v>
      </c>
      <c r="M104" s="916">
        <v>7.5999999999999998E-2</v>
      </c>
      <c r="N104" s="916">
        <v>0.2</v>
      </c>
      <c r="O104" s="916">
        <v>8.3179999999999996</v>
      </c>
      <c r="P104" s="915"/>
      <c r="Q104" s="916">
        <v>6.9269999999999996</v>
      </c>
      <c r="R104" s="917">
        <v>0.33333333333333331</v>
      </c>
      <c r="S104" s="918">
        <v>1.7</v>
      </c>
      <c r="T104" s="918">
        <v>6.3179999999999996</v>
      </c>
      <c r="U104" s="916">
        <v>14.603</v>
      </c>
      <c r="V104" s="916">
        <v>1.1519999999999999</v>
      </c>
      <c r="W104" s="915"/>
      <c r="X104" s="916">
        <v>0.503</v>
      </c>
      <c r="Y104" s="916">
        <v>0.71199999999999997</v>
      </c>
      <c r="Z104" s="916">
        <v>27.77</v>
      </c>
      <c r="AA104" s="916">
        <v>1.4339999999999999</v>
      </c>
      <c r="AB104" s="916">
        <v>25.369</v>
      </c>
      <c r="AC104" s="915"/>
      <c r="AD104" s="919">
        <v>312.67399999999998</v>
      </c>
      <c r="AE104" s="920">
        <v>1043.874</v>
      </c>
      <c r="AF104" s="920" t="s">
        <v>21</v>
      </c>
      <c r="AG104" s="920" t="s">
        <v>21</v>
      </c>
      <c r="AH104" s="921" t="s">
        <v>21</v>
      </c>
      <c r="AI104" s="921" t="s">
        <v>21</v>
      </c>
      <c r="AJ104" s="920" t="s">
        <v>21</v>
      </c>
      <c r="AK104" s="920" t="s">
        <v>21</v>
      </c>
      <c r="AL104" s="921" t="s">
        <v>21</v>
      </c>
      <c r="AM104" s="921" t="s">
        <v>21</v>
      </c>
      <c r="AN104" s="920"/>
      <c r="AO104" s="920">
        <v>1043.874</v>
      </c>
      <c r="AP104" s="919">
        <v>63.902999999999999</v>
      </c>
      <c r="AQ104" s="933">
        <v>548.92677000000003</v>
      </c>
      <c r="AR104" s="925" t="s">
        <v>21</v>
      </c>
      <c r="AS104" s="925" t="s">
        <v>21</v>
      </c>
      <c r="AT104" s="925" t="s">
        <v>21</v>
      </c>
      <c r="AU104" s="925" t="s">
        <v>21</v>
      </c>
      <c r="AV104" s="926" t="s">
        <v>21</v>
      </c>
      <c r="AW104" s="926" t="s">
        <v>21</v>
      </c>
      <c r="AX104" s="926" t="s">
        <v>21</v>
      </c>
      <c r="AY104" s="926">
        <v>548.92677000000003</v>
      </c>
      <c r="AZ104" s="925" t="s">
        <v>21</v>
      </c>
      <c r="BA104" s="925"/>
      <c r="BB104" s="919" t="s">
        <v>21</v>
      </c>
      <c r="BC104" s="919">
        <v>9.5850000000000009</v>
      </c>
      <c r="BD104" s="919" t="s">
        <v>2153</v>
      </c>
      <c r="BE104" s="925" t="s">
        <v>21</v>
      </c>
      <c r="BF104" s="926" t="s">
        <v>21</v>
      </c>
      <c r="BG104" s="925" t="s">
        <v>21</v>
      </c>
      <c r="BH104" s="926">
        <v>37.590000000000003</v>
      </c>
      <c r="BI104" s="925" t="s">
        <v>21</v>
      </c>
      <c r="BJ104" s="926" t="s">
        <v>21</v>
      </c>
      <c r="BK104" s="925" t="s">
        <v>21</v>
      </c>
      <c r="BL104" s="926" t="s">
        <v>21</v>
      </c>
      <c r="BM104" s="925" t="s">
        <v>21</v>
      </c>
      <c r="BN104" s="927"/>
      <c r="BO104" s="927"/>
      <c r="BP104" s="928" t="s">
        <v>21</v>
      </c>
      <c r="BQ104" s="928">
        <v>1</v>
      </c>
      <c r="BR104" s="928" t="s">
        <v>21</v>
      </c>
      <c r="BS104" s="928" t="s">
        <v>21</v>
      </c>
      <c r="BT104" s="928" t="s">
        <v>21</v>
      </c>
      <c r="BU104" s="928" t="s">
        <v>21</v>
      </c>
      <c r="BV104" s="934">
        <v>5.4069999999999254</v>
      </c>
      <c r="BW104" s="934">
        <v>5.5</v>
      </c>
      <c r="BX104" s="1104">
        <v>11</v>
      </c>
      <c r="BY104" s="931">
        <v>13</v>
      </c>
      <c r="BZ104" s="930">
        <v>1</v>
      </c>
      <c r="CA104" s="1074" t="s">
        <v>21</v>
      </c>
      <c r="CB104" s="930" t="s">
        <v>21</v>
      </c>
      <c r="CC104" s="930" t="s">
        <v>21</v>
      </c>
      <c r="CD104" s="925">
        <v>53.904000000000003</v>
      </c>
      <c r="CE104" s="1130">
        <v>953.62099999999998</v>
      </c>
      <c r="CF104" s="1129" t="s">
        <v>21</v>
      </c>
      <c r="CG104" s="1130" t="s">
        <v>21</v>
      </c>
      <c r="CH104" s="1130" t="s">
        <v>21</v>
      </c>
      <c r="CI104" s="1131" t="s">
        <v>21</v>
      </c>
      <c r="CJ104" s="1129" t="s">
        <v>21</v>
      </c>
      <c r="CK104" s="1130" t="s">
        <v>21</v>
      </c>
      <c r="CL104" s="1130" t="s">
        <v>21</v>
      </c>
      <c r="CM104" s="1131" t="s">
        <v>21</v>
      </c>
      <c r="CN104" s="1130">
        <v>953.62099999999998</v>
      </c>
      <c r="CP104" s="838" t="s">
        <v>21</v>
      </c>
      <c r="CQ104" s="838" t="s">
        <v>21</v>
      </c>
      <c r="CR104" s="836"/>
    </row>
    <row r="105" spans="1:96" x14ac:dyDescent="0.25">
      <c r="A105" s="935"/>
      <c r="B105" s="932" t="s">
        <v>2258</v>
      </c>
      <c r="C105" s="911">
        <v>800</v>
      </c>
      <c r="D105" s="911" t="s">
        <v>2116</v>
      </c>
      <c r="E105" s="912">
        <v>1128</v>
      </c>
      <c r="F105" s="912">
        <v>1121.654</v>
      </c>
      <c r="G105" s="910" t="s">
        <v>2259</v>
      </c>
      <c r="H105" s="912">
        <v>1126.8</v>
      </c>
      <c r="I105" s="912">
        <v>1121.4860000000001</v>
      </c>
      <c r="J105" s="914">
        <v>35.340000000000003</v>
      </c>
      <c r="K105" s="915"/>
      <c r="L105" s="916">
        <v>0.15</v>
      </c>
      <c r="M105" s="916">
        <v>7.5999999999999998E-2</v>
      </c>
      <c r="N105" s="916">
        <v>0.2</v>
      </c>
      <c r="O105" s="916">
        <v>7.8040000000000003</v>
      </c>
      <c r="P105" s="915"/>
      <c r="Q105" s="916">
        <v>6.1559999999999997</v>
      </c>
      <c r="R105" s="917">
        <v>0.33333333333333331</v>
      </c>
      <c r="S105" s="918">
        <v>1.7</v>
      </c>
      <c r="T105" s="918">
        <v>5.8040000000000003</v>
      </c>
      <c r="U105" s="916">
        <v>12.978</v>
      </c>
      <c r="V105" s="916">
        <v>1.1519999999999999</v>
      </c>
      <c r="W105" s="915"/>
      <c r="X105" s="916">
        <v>0.503</v>
      </c>
      <c r="Y105" s="916">
        <v>0.71199999999999997</v>
      </c>
      <c r="Z105" s="916">
        <v>23.097000000000001</v>
      </c>
      <c r="AA105" s="916">
        <v>1.4339999999999999</v>
      </c>
      <c r="AB105" s="916">
        <v>20.696000000000002</v>
      </c>
      <c r="AC105" s="915"/>
      <c r="AD105" s="919">
        <v>275.79300000000001</v>
      </c>
      <c r="AE105" s="920">
        <v>816.24800000000005</v>
      </c>
      <c r="AF105" s="920" t="s">
        <v>21</v>
      </c>
      <c r="AG105" s="920" t="s">
        <v>21</v>
      </c>
      <c r="AH105" s="921" t="s">
        <v>21</v>
      </c>
      <c r="AI105" s="921" t="s">
        <v>21</v>
      </c>
      <c r="AJ105" s="920" t="s">
        <v>21</v>
      </c>
      <c r="AK105" s="920" t="s">
        <v>21</v>
      </c>
      <c r="AL105" s="921" t="s">
        <v>21</v>
      </c>
      <c r="AM105" s="921">
        <v>816.24800000000005</v>
      </c>
      <c r="AN105" s="920"/>
      <c r="AO105" s="920" t="s">
        <v>21</v>
      </c>
      <c r="AP105" s="919">
        <v>60.078000000000003</v>
      </c>
      <c r="AQ105" s="933">
        <v>458.64252000000005</v>
      </c>
      <c r="AR105" s="925" t="s">
        <v>21</v>
      </c>
      <c r="AS105" s="925" t="s">
        <v>21</v>
      </c>
      <c r="AT105" s="925" t="s">
        <v>21</v>
      </c>
      <c r="AU105" s="925" t="s">
        <v>21</v>
      </c>
      <c r="AV105" s="926" t="s">
        <v>21</v>
      </c>
      <c r="AW105" s="926" t="s">
        <v>21</v>
      </c>
      <c r="AX105" s="926" t="s">
        <v>21</v>
      </c>
      <c r="AY105" s="926">
        <v>458.64252000000005</v>
      </c>
      <c r="AZ105" s="925" t="s">
        <v>21</v>
      </c>
      <c r="BA105" s="925"/>
      <c r="BB105" s="919" t="s">
        <v>21</v>
      </c>
      <c r="BC105" s="919">
        <v>9.0120000000000005</v>
      </c>
      <c r="BD105" s="919" t="s">
        <v>2153</v>
      </c>
      <c r="BE105" s="925" t="s">
        <v>21</v>
      </c>
      <c r="BF105" s="926" t="s">
        <v>21</v>
      </c>
      <c r="BG105" s="925" t="s">
        <v>21</v>
      </c>
      <c r="BH105" s="926">
        <v>35.340000000000003</v>
      </c>
      <c r="BI105" s="925" t="s">
        <v>21</v>
      </c>
      <c r="BJ105" s="926" t="s">
        <v>21</v>
      </c>
      <c r="BK105" s="925" t="s">
        <v>21</v>
      </c>
      <c r="BL105" s="926" t="s">
        <v>21</v>
      </c>
      <c r="BM105" s="925" t="s">
        <v>21</v>
      </c>
      <c r="BN105" s="927"/>
      <c r="BO105" s="927"/>
      <c r="BP105" s="928" t="s">
        <v>21</v>
      </c>
      <c r="BQ105" s="928">
        <v>1</v>
      </c>
      <c r="BR105" s="928" t="s">
        <v>21</v>
      </c>
      <c r="BS105" s="928" t="s">
        <v>21</v>
      </c>
      <c r="BT105" s="928" t="s">
        <v>21</v>
      </c>
      <c r="BU105" s="928" t="s">
        <v>21</v>
      </c>
      <c r="BV105" s="934">
        <v>4.8460000000000036</v>
      </c>
      <c r="BW105" s="934">
        <v>5</v>
      </c>
      <c r="BX105" s="1104">
        <v>10</v>
      </c>
      <c r="BY105" s="931">
        <v>12</v>
      </c>
      <c r="BZ105" s="930">
        <v>2</v>
      </c>
      <c r="CA105" s="1074" t="s">
        <v>21</v>
      </c>
      <c r="CB105" s="930" t="s">
        <v>21</v>
      </c>
      <c r="CC105" s="930" t="s">
        <v>21</v>
      </c>
      <c r="CD105" s="925">
        <v>50.677999999999997</v>
      </c>
      <c r="CE105" s="1130">
        <v>731.39700000000005</v>
      </c>
      <c r="CF105" s="1129" t="s">
        <v>21</v>
      </c>
      <c r="CG105" s="1130" t="s">
        <v>21</v>
      </c>
      <c r="CH105" s="1130" t="s">
        <v>21</v>
      </c>
      <c r="CI105" s="1131" t="s">
        <v>21</v>
      </c>
      <c r="CJ105" s="1129" t="s">
        <v>21</v>
      </c>
      <c r="CK105" s="1130" t="s">
        <v>21</v>
      </c>
      <c r="CL105" s="1130" t="s">
        <v>21</v>
      </c>
      <c r="CM105" s="1131" t="s">
        <v>21</v>
      </c>
      <c r="CN105" s="1130">
        <v>731.39700000000005</v>
      </c>
      <c r="CP105" s="838" t="s">
        <v>21</v>
      </c>
      <c r="CQ105" s="838" t="s">
        <v>21</v>
      </c>
      <c r="CR105" s="836"/>
    </row>
    <row r="106" spans="1:96" x14ac:dyDescent="0.25">
      <c r="A106" s="935"/>
      <c r="B106" s="932" t="s">
        <v>2259</v>
      </c>
      <c r="C106" s="911">
        <v>800</v>
      </c>
      <c r="D106" s="911" t="s">
        <v>2116</v>
      </c>
      <c r="E106" s="912">
        <v>1126.8</v>
      </c>
      <c r="F106" s="912">
        <v>1121.4860000000001</v>
      </c>
      <c r="G106" s="910" t="s">
        <v>2260</v>
      </c>
      <c r="H106" s="912">
        <v>1125.44</v>
      </c>
      <c r="I106" s="912">
        <v>1121.268</v>
      </c>
      <c r="J106" s="914">
        <v>35.21</v>
      </c>
      <c r="K106" s="915"/>
      <c r="L106" s="916">
        <v>0.15</v>
      </c>
      <c r="M106" s="916">
        <v>7.5999999999999998E-2</v>
      </c>
      <c r="N106" s="916">
        <v>0.2</v>
      </c>
      <c r="O106" s="916">
        <v>7.0789999999999997</v>
      </c>
      <c r="P106" s="915"/>
      <c r="Q106" s="916">
        <v>5.069</v>
      </c>
      <c r="R106" s="917">
        <v>0.33333333333333331</v>
      </c>
      <c r="S106" s="918">
        <v>1.7</v>
      </c>
      <c r="T106" s="918">
        <v>5.0789999999999997</v>
      </c>
      <c r="U106" s="916">
        <v>10.686</v>
      </c>
      <c r="V106" s="916">
        <v>1.1519999999999999</v>
      </c>
      <c r="W106" s="915"/>
      <c r="X106" s="916">
        <v>0.503</v>
      </c>
      <c r="Y106" s="916">
        <v>0.71199999999999997</v>
      </c>
      <c r="Z106" s="916">
        <v>17.181000000000001</v>
      </c>
      <c r="AA106" s="916">
        <v>1.4339999999999999</v>
      </c>
      <c r="AB106" s="916">
        <v>14.78</v>
      </c>
      <c r="AC106" s="915"/>
      <c r="AD106" s="919">
        <v>249.25200000000001</v>
      </c>
      <c r="AE106" s="920">
        <v>604.94299999999998</v>
      </c>
      <c r="AF106" s="920" t="s">
        <v>21</v>
      </c>
      <c r="AG106" s="920" t="s">
        <v>21</v>
      </c>
      <c r="AH106" s="921" t="s">
        <v>21</v>
      </c>
      <c r="AI106" s="921" t="s">
        <v>21</v>
      </c>
      <c r="AJ106" s="920" t="s">
        <v>21</v>
      </c>
      <c r="AK106" s="920" t="s">
        <v>21</v>
      </c>
      <c r="AL106" s="921" t="s">
        <v>21</v>
      </c>
      <c r="AM106" s="921">
        <v>604.94299999999998</v>
      </c>
      <c r="AN106" s="920"/>
      <c r="AO106" s="920" t="s">
        <v>21</v>
      </c>
      <c r="AP106" s="919">
        <v>59.856999999999999</v>
      </c>
      <c r="AQ106" s="933">
        <v>376.25405999999998</v>
      </c>
      <c r="AR106" s="925" t="s">
        <v>21</v>
      </c>
      <c r="AS106" s="925" t="s">
        <v>21</v>
      </c>
      <c r="AT106" s="925" t="s">
        <v>21</v>
      </c>
      <c r="AU106" s="925" t="s">
        <v>21</v>
      </c>
      <c r="AV106" s="926" t="s">
        <v>21</v>
      </c>
      <c r="AW106" s="926" t="s">
        <v>21</v>
      </c>
      <c r="AX106" s="926" t="s">
        <v>21</v>
      </c>
      <c r="AY106" s="926">
        <v>376.25405999999998</v>
      </c>
      <c r="AZ106" s="925" t="s">
        <v>21</v>
      </c>
      <c r="BA106" s="925"/>
      <c r="BB106" s="919" t="s">
        <v>21</v>
      </c>
      <c r="BC106" s="919">
        <v>8.9789999999999992</v>
      </c>
      <c r="BD106" s="919" t="s">
        <v>2152</v>
      </c>
      <c r="BE106" s="925" t="s">
        <v>21</v>
      </c>
      <c r="BF106" s="926" t="s">
        <v>21</v>
      </c>
      <c r="BG106" s="925" t="s">
        <v>21</v>
      </c>
      <c r="BH106" s="926">
        <v>35.21</v>
      </c>
      <c r="BI106" s="925" t="s">
        <v>21</v>
      </c>
      <c r="BJ106" s="926" t="s">
        <v>21</v>
      </c>
      <c r="BK106" s="925" t="s">
        <v>21</v>
      </c>
      <c r="BL106" s="926" t="s">
        <v>21</v>
      </c>
      <c r="BM106" s="925" t="s">
        <v>21</v>
      </c>
      <c r="BN106" s="927"/>
      <c r="BO106" s="927"/>
      <c r="BP106" s="928" t="s">
        <v>21</v>
      </c>
      <c r="BQ106" s="928">
        <v>1</v>
      </c>
      <c r="BR106" s="928" t="s">
        <v>21</v>
      </c>
      <c r="BS106" s="928" t="s">
        <v>21</v>
      </c>
      <c r="BT106" s="928" t="s">
        <v>21</v>
      </c>
      <c r="BU106" s="928" t="s">
        <v>21</v>
      </c>
      <c r="BV106" s="934">
        <v>3.8139999999998508</v>
      </c>
      <c r="BW106" s="934">
        <v>4</v>
      </c>
      <c r="BX106" s="1104">
        <v>8</v>
      </c>
      <c r="BY106" s="931">
        <v>10</v>
      </c>
      <c r="BZ106" s="930">
        <v>2</v>
      </c>
      <c r="CA106" s="1074" t="s">
        <v>21</v>
      </c>
      <c r="CB106" s="930" t="s">
        <v>21</v>
      </c>
      <c r="CC106" s="930" t="s">
        <v>21</v>
      </c>
      <c r="CD106" s="925">
        <v>50.491</v>
      </c>
      <c r="CE106" s="1130">
        <v>520.404</v>
      </c>
      <c r="CF106" s="1129" t="s">
        <v>21</v>
      </c>
      <c r="CG106" s="1130" t="s">
        <v>21</v>
      </c>
      <c r="CH106" s="1130" t="s">
        <v>21</v>
      </c>
      <c r="CI106" s="1131" t="s">
        <v>21</v>
      </c>
      <c r="CJ106" s="1129" t="s">
        <v>21</v>
      </c>
      <c r="CK106" s="1130" t="s">
        <v>21</v>
      </c>
      <c r="CL106" s="1130" t="s">
        <v>21</v>
      </c>
      <c r="CM106" s="1131" t="s">
        <v>21</v>
      </c>
      <c r="CN106" s="1130">
        <v>520.404</v>
      </c>
      <c r="CP106" s="838" t="s">
        <v>21</v>
      </c>
      <c r="CQ106" s="838" t="s">
        <v>21</v>
      </c>
      <c r="CR106" s="836"/>
    </row>
    <row r="107" spans="1:96" x14ac:dyDescent="0.25">
      <c r="A107" s="935"/>
      <c r="B107" s="932" t="s">
        <v>2260</v>
      </c>
      <c r="C107" s="911">
        <v>800</v>
      </c>
      <c r="D107" s="911" t="s">
        <v>2116</v>
      </c>
      <c r="E107" s="912">
        <v>1125.44</v>
      </c>
      <c r="F107" s="912">
        <v>1121.268</v>
      </c>
      <c r="G107" s="910" t="s">
        <v>2261</v>
      </c>
      <c r="H107" s="912">
        <v>1122.5</v>
      </c>
      <c r="I107" s="912">
        <v>1120.4000000000001</v>
      </c>
      <c r="J107" s="914">
        <v>53.84</v>
      </c>
      <c r="K107" s="915"/>
      <c r="L107" s="916">
        <v>0.15</v>
      </c>
      <c r="M107" s="916">
        <v>7.5999999999999998E-2</v>
      </c>
      <c r="N107" s="916">
        <v>0.2</v>
      </c>
      <c r="O107" s="916">
        <v>6.008</v>
      </c>
      <c r="P107" s="915"/>
      <c r="Q107" s="916">
        <v>3.4620000000000002</v>
      </c>
      <c r="R107" s="917">
        <v>0.33333333333333331</v>
      </c>
      <c r="S107" s="918">
        <v>1.7</v>
      </c>
      <c r="T107" s="918">
        <v>4.008</v>
      </c>
      <c r="U107" s="916">
        <v>7.2990000000000004</v>
      </c>
      <c r="V107" s="916">
        <v>1.1519999999999999</v>
      </c>
      <c r="W107" s="915"/>
      <c r="X107" s="916">
        <v>0.503</v>
      </c>
      <c r="Y107" s="916">
        <v>0.71199999999999997</v>
      </c>
      <c r="Z107" s="916">
        <v>9.8810000000000002</v>
      </c>
      <c r="AA107" s="916">
        <v>1.4339999999999999</v>
      </c>
      <c r="AB107" s="916">
        <v>7.48</v>
      </c>
      <c r="AC107" s="915"/>
      <c r="AD107" s="919">
        <v>323.471</v>
      </c>
      <c r="AE107" s="920">
        <v>531.99300000000005</v>
      </c>
      <c r="AF107" s="920" t="s">
        <v>21</v>
      </c>
      <c r="AG107" s="920" t="s">
        <v>21</v>
      </c>
      <c r="AH107" s="921" t="s">
        <v>21</v>
      </c>
      <c r="AI107" s="921" t="s">
        <v>21</v>
      </c>
      <c r="AJ107" s="920" t="s">
        <v>21</v>
      </c>
      <c r="AK107" s="920">
        <v>531.99300000000005</v>
      </c>
      <c r="AL107" s="921" t="s">
        <v>21</v>
      </c>
      <c r="AM107" s="921" t="s">
        <v>21</v>
      </c>
      <c r="AN107" s="920"/>
      <c r="AO107" s="920" t="s">
        <v>21</v>
      </c>
      <c r="AP107" s="919">
        <v>91.528000000000006</v>
      </c>
      <c r="AQ107" s="933">
        <v>392.97816000000006</v>
      </c>
      <c r="AR107" s="925" t="s">
        <v>21</v>
      </c>
      <c r="AS107" s="925" t="s">
        <v>21</v>
      </c>
      <c r="AT107" s="925" t="s">
        <v>21</v>
      </c>
      <c r="AU107" s="925" t="s">
        <v>21</v>
      </c>
      <c r="AV107" s="926" t="s">
        <v>21</v>
      </c>
      <c r="AW107" s="926" t="s">
        <v>21</v>
      </c>
      <c r="AX107" s="926">
        <v>392.97816000000006</v>
      </c>
      <c r="AY107" s="926" t="s">
        <v>21</v>
      </c>
      <c r="AZ107" s="925" t="s">
        <v>21</v>
      </c>
      <c r="BA107" s="925"/>
      <c r="BB107" s="919" t="s">
        <v>21</v>
      </c>
      <c r="BC107" s="919">
        <v>13.728999999999999</v>
      </c>
      <c r="BD107" s="919" t="s">
        <v>2152</v>
      </c>
      <c r="BE107" s="925" t="s">
        <v>21</v>
      </c>
      <c r="BF107" s="926" t="s">
        <v>21</v>
      </c>
      <c r="BG107" s="925" t="s">
        <v>21</v>
      </c>
      <c r="BH107" s="926">
        <v>53.84</v>
      </c>
      <c r="BI107" s="925" t="s">
        <v>21</v>
      </c>
      <c r="BJ107" s="926" t="s">
        <v>21</v>
      </c>
      <c r="BK107" s="925" t="s">
        <v>21</v>
      </c>
      <c r="BL107" s="926" t="s">
        <v>21</v>
      </c>
      <c r="BM107" s="925" t="s">
        <v>21</v>
      </c>
      <c r="BN107" s="927"/>
      <c r="BO107" s="927"/>
      <c r="BP107" s="928" t="s">
        <v>21</v>
      </c>
      <c r="BQ107" s="928">
        <v>1</v>
      </c>
      <c r="BR107" s="928" t="s">
        <v>21</v>
      </c>
      <c r="BS107" s="928" t="s">
        <v>21</v>
      </c>
      <c r="BT107" s="928" t="s">
        <v>21</v>
      </c>
      <c r="BU107" s="928" t="s">
        <v>21</v>
      </c>
      <c r="BV107" s="934">
        <v>2.6720000000000255</v>
      </c>
      <c r="BW107" s="934">
        <v>3</v>
      </c>
      <c r="BX107" s="1104">
        <v>6</v>
      </c>
      <c r="BY107" s="931">
        <v>8</v>
      </c>
      <c r="BZ107" s="930" t="s">
        <v>21</v>
      </c>
      <c r="CA107" s="1074">
        <v>1</v>
      </c>
      <c r="CB107" s="930" t="s">
        <v>21</v>
      </c>
      <c r="CC107" s="930" t="s">
        <v>21</v>
      </c>
      <c r="CD107" s="925">
        <v>77.206999999999994</v>
      </c>
      <c r="CE107" s="1130">
        <v>402.72300000000001</v>
      </c>
      <c r="CF107" s="1129" t="s">
        <v>21</v>
      </c>
      <c r="CG107" s="1130" t="s">
        <v>21</v>
      </c>
      <c r="CH107" s="1130" t="s">
        <v>21</v>
      </c>
      <c r="CI107" s="1131" t="s">
        <v>21</v>
      </c>
      <c r="CJ107" s="1129" t="s">
        <v>21</v>
      </c>
      <c r="CK107" s="1130" t="s">
        <v>21</v>
      </c>
      <c r="CL107" s="1130" t="s">
        <v>21</v>
      </c>
      <c r="CM107" s="1131" t="s">
        <v>21</v>
      </c>
      <c r="CN107" s="1130">
        <v>402.72300000000001</v>
      </c>
      <c r="CP107" s="838" t="s">
        <v>21</v>
      </c>
      <c r="CQ107" s="838" t="s">
        <v>21</v>
      </c>
      <c r="CR107" s="836"/>
    </row>
    <row r="108" spans="1:96" x14ac:dyDescent="0.25">
      <c r="A108" s="935"/>
      <c r="B108" s="932" t="s">
        <v>2261</v>
      </c>
      <c r="C108" s="911">
        <v>800</v>
      </c>
      <c r="D108" s="911" t="s">
        <v>2116</v>
      </c>
      <c r="E108" s="912">
        <v>1122.5</v>
      </c>
      <c r="F108" s="912">
        <v>1120.4000000000001</v>
      </c>
      <c r="G108" s="910" t="s">
        <v>2262</v>
      </c>
      <c r="H108" s="912">
        <v>1121.22</v>
      </c>
      <c r="I108" s="912">
        <v>1119.1199999999999</v>
      </c>
      <c r="J108" s="914">
        <v>42.14</v>
      </c>
      <c r="K108" s="915"/>
      <c r="L108" s="916">
        <v>0.15</v>
      </c>
      <c r="M108" s="916">
        <v>7.5999999999999998E-2</v>
      </c>
      <c r="N108" s="916">
        <v>0.2</v>
      </c>
      <c r="O108" s="916">
        <v>5.3170000000000002</v>
      </c>
      <c r="P108" s="915"/>
      <c r="Q108" s="916">
        <v>2.4260000000000002</v>
      </c>
      <c r="R108" s="917">
        <v>0.33333333333333331</v>
      </c>
      <c r="S108" s="918">
        <v>1.7</v>
      </c>
      <c r="T108" s="918">
        <v>3.3170000000000002</v>
      </c>
      <c r="U108" s="916">
        <v>5.1139999999999999</v>
      </c>
      <c r="V108" s="916">
        <v>1.1519999999999999</v>
      </c>
      <c r="W108" s="915"/>
      <c r="X108" s="916">
        <v>0.503</v>
      </c>
      <c r="Y108" s="916">
        <v>0.71199999999999997</v>
      </c>
      <c r="Z108" s="916">
        <v>6.0860000000000003</v>
      </c>
      <c r="AA108" s="916">
        <v>1.4339999999999999</v>
      </c>
      <c r="AB108" s="916">
        <v>3.6850000000000001</v>
      </c>
      <c r="AC108" s="915"/>
      <c r="AD108" s="919">
        <v>224.05799999999999</v>
      </c>
      <c r="AE108" s="920">
        <v>256.464</v>
      </c>
      <c r="AF108" s="920" t="s">
        <v>21</v>
      </c>
      <c r="AG108" s="920" t="s">
        <v>21</v>
      </c>
      <c r="AH108" s="921" t="s">
        <v>21</v>
      </c>
      <c r="AI108" s="921">
        <v>256.464</v>
      </c>
      <c r="AJ108" s="920" t="s">
        <v>21</v>
      </c>
      <c r="AK108" s="920" t="s">
        <v>21</v>
      </c>
      <c r="AL108" s="921" t="s">
        <v>21</v>
      </c>
      <c r="AM108" s="921" t="s">
        <v>21</v>
      </c>
      <c r="AN108" s="920"/>
      <c r="AO108" s="920" t="s">
        <v>21</v>
      </c>
      <c r="AP108" s="919">
        <v>71.638000000000005</v>
      </c>
      <c r="AQ108" s="933">
        <v>215.50396000000001</v>
      </c>
      <c r="AR108" s="925" t="s">
        <v>21</v>
      </c>
      <c r="AS108" s="925" t="s">
        <v>21</v>
      </c>
      <c r="AT108" s="925" t="s">
        <v>21</v>
      </c>
      <c r="AU108" s="925" t="s">
        <v>21</v>
      </c>
      <c r="AV108" s="926" t="s">
        <v>21</v>
      </c>
      <c r="AW108" s="926">
        <v>215.50396000000001</v>
      </c>
      <c r="AX108" s="926" t="s">
        <v>21</v>
      </c>
      <c r="AY108" s="926" t="s">
        <v>21</v>
      </c>
      <c r="AZ108" s="925" t="s">
        <v>21</v>
      </c>
      <c r="BA108" s="925"/>
      <c r="BB108" s="919" t="s">
        <v>21</v>
      </c>
      <c r="BC108" s="919">
        <v>10.746</v>
      </c>
      <c r="BD108" s="919" t="s">
        <v>2142</v>
      </c>
      <c r="BE108" s="925" t="s">
        <v>21</v>
      </c>
      <c r="BF108" s="926" t="s">
        <v>21</v>
      </c>
      <c r="BG108" s="925" t="s">
        <v>21</v>
      </c>
      <c r="BH108" s="926">
        <v>42.14</v>
      </c>
      <c r="BI108" s="925" t="s">
        <v>21</v>
      </c>
      <c r="BJ108" s="926" t="s">
        <v>21</v>
      </c>
      <c r="BK108" s="925" t="s">
        <v>21</v>
      </c>
      <c r="BL108" s="926" t="s">
        <v>21</v>
      </c>
      <c r="BM108" s="925" t="s">
        <v>21</v>
      </c>
      <c r="BN108" s="927"/>
      <c r="BO108" s="927"/>
      <c r="BP108" s="928" t="s">
        <v>21</v>
      </c>
      <c r="BQ108" s="928">
        <v>1</v>
      </c>
      <c r="BR108" s="928" t="s">
        <v>21</v>
      </c>
      <c r="BS108" s="928" t="s">
        <v>21</v>
      </c>
      <c r="BT108" s="928" t="s">
        <v>21</v>
      </c>
      <c r="BU108" s="928" t="s">
        <v>21</v>
      </c>
      <c r="BV108" s="934">
        <v>0.59999999999990905</v>
      </c>
      <c r="BW108" s="934">
        <v>1</v>
      </c>
      <c r="BX108" s="1104">
        <v>2</v>
      </c>
      <c r="BY108" s="931">
        <v>4</v>
      </c>
      <c r="BZ108" s="930" t="s">
        <v>21</v>
      </c>
      <c r="CA108" s="1074">
        <v>1</v>
      </c>
      <c r="CB108" s="930" t="s">
        <v>21</v>
      </c>
      <c r="CC108" s="930" t="s">
        <v>21</v>
      </c>
      <c r="CD108" s="925">
        <v>60.429000000000002</v>
      </c>
      <c r="CE108" s="1130">
        <v>155.286</v>
      </c>
      <c r="CF108" s="1129" t="s">
        <v>21</v>
      </c>
      <c r="CG108" s="1130" t="s">
        <v>21</v>
      </c>
      <c r="CH108" s="1130" t="s">
        <v>21</v>
      </c>
      <c r="CI108" s="1131" t="s">
        <v>21</v>
      </c>
      <c r="CJ108" s="1129" t="s">
        <v>21</v>
      </c>
      <c r="CK108" s="1130" t="s">
        <v>21</v>
      </c>
      <c r="CL108" s="1130" t="s">
        <v>21</v>
      </c>
      <c r="CM108" s="1131" t="s">
        <v>21</v>
      </c>
      <c r="CN108" s="1130">
        <v>155.286</v>
      </c>
      <c r="CP108" s="838" t="s">
        <v>21</v>
      </c>
      <c r="CQ108" s="838" t="s">
        <v>21</v>
      </c>
      <c r="CR108" s="836"/>
    </row>
    <row r="109" spans="1:96" x14ac:dyDescent="0.25">
      <c r="A109" s="935"/>
      <c r="B109" s="932" t="s">
        <v>2262</v>
      </c>
      <c r="C109" s="911">
        <v>800</v>
      </c>
      <c r="D109" s="911" t="s">
        <v>2116</v>
      </c>
      <c r="E109" s="912">
        <v>1121.22</v>
      </c>
      <c r="F109" s="912">
        <v>1119.02</v>
      </c>
      <c r="G109" s="910" t="s">
        <v>2263</v>
      </c>
      <c r="H109" s="912">
        <v>1120.509</v>
      </c>
      <c r="I109" s="912">
        <v>1118.4090000000001</v>
      </c>
      <c r="J109" s="914">
        <v>36.049999999999997</v>
      </c>
      <c r="K109" s="915"/>
      <c r="L109" s="916">
        <v>0.15</v>
      </c>
      <c r="M109" s="916">
        <v>7.5999999999999998E-2</v>
      </c>
      <c r="N109" s="916">
        <v>0.2</v>
      </c>
      <c r="O109" s="916">
        <v>5.351</v>
      </c>
      <c r="P109" s="915"/>
      <c r="Q109" s="916">
        <v>2.476</v>
      </c>
      <c r="R109" s="917">
        <v>0.33333333333333331</v>
      </c>
      <c r="S109" s="918">
        <v>1.7</v>
      </c>
      <c r="T109" s="918">
        <v>3.351</v>
      </c>
      <c r="U109" s="916">
        <v>5.22</v>
      </c>
      <c r="V109" s="916">
        <v>1.1519999999999999</v>
      </c>
      <c r="W109" s="915"/>
      <c r="X109" s="916">
        <v>0.503</v>
      </c>
      <c r="Y109" s="916">
        <v>0.71199999999999997</v>
      </c>
      <c r="Z109" s="916">
        <v>6.2530000000000001</v>
      </c>
      <c r="AA109" s="916">
        <v>1.4339999999999999</v>
      </c>
      <c r="AB109" s="916">
        <v>3.8519999999999999</v>
      </c>
      <c r="AC109" s="915"/>
      <c r="AD109" s="919">
        <v>192.904</v>
      </c>
      <c r="AE109" s="920">
        <v>225.42099999999999</v>
      </c>
      <c r="AF109" s="920" t="s">
        <v>21</v>
      </c>
      <c r="AG109" s="920" t="s">
        <v>21</v>
      </c>
      <c r="AH109" s="921" t="s">
        <v>21</v>
      </c>
      <c r="AI109" s="921">
        <v>225.42099999999999</v>
      </c>
      <c r="AJ109" s="920" t="s">
        <v>21</v>
      </c>
      <c r="AK109" s="920" t="s">
        <v>21</v>
      </c>
      <c r="AL109" s="921" t="s">
        <v>21</v>
      </c>
      <c r="AM109" s="921" t="s">
        <v>21</v>
      </c>
      <c r="AN109" s="920"/>
      <c r="AO109" s="920" t="s">
        <v>21</v>
      </c>
      <c r="AP109" s="919">
        <v>61.284999999999997</v>
      </c>
      <c r="AQ109" s="933">
        <v>188.18099999999998</v>
      </c>
      <c r="AR109" s="925" t="s">
        <v>21</v>
      </c>
      <c r="AS109" s="925" t="s">
        <v>21</v>
      </c>
      <c r="AT109" s="925" t="s">
        <v>21</v>
      </c>
      <c r="AU109" s="925" t="s">
        <v>21</v>
      </c>
      <c r="AV109" s="926" t="s">
        <v>21</v>
      </c>
      <c r="AW109" s="926">
        <v>188.18099999999998</v>
      </c>
      <c r="AX109" s="926" t="s">
        <v>21</v>
      </c>
      <c r="AY109" s="926" t="s">
        <v>21</v>
      </c>
      <c r="AZ109" s="925" t="s">
        <v>21</v>
      </c>
      <c r="BA109" s="925"/>
      <c r="BB109" s="919" t="s">
        <v>21</v>
      </c>
      <c r="BC109" s="919">
        <v>9.1929999999999996</v>
      </c>
      <c r="BD109" s="919" t="s">
        <v>2142</v>
      </c>
      <c r="BE109" s="925" t="s">
        <v>21</v>
      </c>
      <c r="BF109" s="926" t="s">
        <v>21</v>
      </c>
      <c r="BG109" s="925" t="s">
        <v>21</v>
      </c>
      <c r="BH109" s="926">
        <v>36.049999999999997</v>
      </c>
      <c r="BI109" s="925" t="s">
        <v>21</v>
      </c>
      <c r="BJ109" s="926" t="s">
        <v>21</v>
      </c>
      <c r="BK109" s="925" t="s">
        <v>21</v>
      </c>
      <c r="BL109" s="926" t="s">
        <v>21</v>
      </c>
      <c r="BM109" s="925" t="s">
        <v>21</v>
      </c>
      <c r="BN109" s="927"/>
      <c r="BO109" s="927"/>
      <c r="BP109" s="928" t="s">
        <v>21</v>
      </c>
      <c r="BQ109" s="928">
        <v>1</v>
      </c>
      <c r="BR109" s="928" t="s">
        <v>21</v>
      </c>
      <c r="BS109" s="928" t="s">
        <v>21</v>
      </c>
      <c r="BT109" s="928" t="s">
        <v>21</v>
      </c>
      <c r="BU109" s="928" t="s">
        <v>21</v>
      </c>
      <c r="BV109" s="934">
        <v>0.70000000000004547</v>
      </c>
      <c r="BW109" s="934">
        <v>1</v>
      </c>
      <c r="BX109" s="1104">
        <v>2</v>
      </c>
      <c r="BY109" s="931">
        <v>4</v>
      </c>
      <c r="BZ109" s="930" t="s">
        <v>21</v>
      </c>
      <c r="CA109" s="1074" t="s">
        <v>21</v>
      </c>
      <c r="CB109" s="930" t="s">
        <v>21</v>
      </c>
      <c r="CC109" s="930" t="s">
        <v>21</v>
      </c>
      <c r="CD109" s="925">
        <v>51.695999999999998</v>
      </c>
      <c r="CE109" s="1130">
        <v>138.86500000000001</v>
      </c>
      <c r="CF109" s="1129" t="s">
        <v>21</v>
      </c>
      <c r="CG109" s="1130" t="s">
        <v>21</v>
      </c>
      <c r="CH109" s="1130" t="s">
        <v>21</v>
      </c>
      <c r="CI109" s="1131" t="s">
        <v>21</v>
      </c>
      <c r="CJ109" s="1129" t="s">
        <v>21</v>
      </c>
      <c r="CK109" s="1130" t="s">
        <v>21</v>
      </c>
      <c r="CL109" s="1130" t="s">
        <v>21</v>
      </c>
      <c r="CM109" s="1131" t="s">
        <v>21</v>
      </c>
      <c r="CN109" s="1130">
        <v>138.86500000000001</v>
      </c>
      <c r="CP109" s="838" t="s">
        <v>21</v>
      </c>
      <c r="CQ109" s="838" t="s">
        <v>21</v>
      </c>
      <c r="CR109" s="836"/>
    </row>
    <row r="110" spans="1:96" x14ac:dyDescent="0.25">
      <c r="A110" s="935"/>
      <c r="B110" s="932" t="s">
        <v>2263</v>
      </c>
      <c r="C110" s="911">
        <v>800</v>
      </c>
      <c r="D110" s="911" t="s">
        <v>2116</v>
      </c>
      <c r="E110" s="912">
        <v>1120.509</v>
      </c>
      <c r="F110" s="912">
        <v>1118.4090000000001</v>
      </c>
      <c r="G110" s="910" t="s">
        <v>2264</v>
      </c>
      <c r="H110" s="912">
        <v>1117.97</v>
      </c>
      <c r="I110" s="912">
        <v>1115.8699999999999</v>
      </c>
      <c r="J110" s="914">
        <v>43.43</v>
      </c>
      <c r="K110" s="915"/>
      <c r="L110" s="916">
        <v>0.15</v>
      </c>
      <c r="M110" s="916">
        <v>7.5999999999999998E-2</v>
      </c>
      <c r="N110" s="916">
        <v>0.2</v>
      </c>
      <c r="O110" s="916">
        <v>5.3170000000000002</v>
      </c>
      <c r="P110" s="915"/>
      <c r="Q110" s="916">
        <v>2.4260000000000002</v>
      </c>
      <c r="R110" s="917">
        <v>0.33333333333333331</v>
      </c>
      <c r="S110" s="918">
        <v>1.7</v>
      </c>
      <c r="T110" s="918">
        <v>3.3170000000000002</v>
      </c>
      <c r="U110" s="916">
        <v>5.1139999999999999</v>
      </c>
      <c r="V110" s="916">
        <v>1.1519999999999999</v>
      </c>
      <c r="W110" s="915"/>
      <c r="X110" s="916">
        <v>0.503</v>
      </c>
      <c r="Y110" s="916">
        <v>0.71199999999999997</v>
      </c>
      <c r="Z110" s="916">
        <v>6.0860000000000003</v>
      </c>
      <c r="AA110" s="916">
        <v>1.4339999999999999</v>
      </c>
      <c r="AB110" s="916">
        <v>3.6850000000000001</v>
      </c>
      <c r="AC110" s="915"/>
      <c r="AD110" s="919">
        <v>230.917</v>
      </c>
      <c r="AE110" s="920">
        <v>264.315</v>
      </c>
      <c r="AF110" s="920" t="s">
        <v>21</v>
      </c>
      <c r="AG110" s="920" t="s">
        <v>21</v>
      </c>
      <c r="AH110" s="921" t="s">
        <v>21</v>
      </c>
      <c r="AI110" s="921">
        <v>264.315</v>
      </c>
      <c r="AJ110" s="920" t="s">
        <v>21</v>
      </c>
      <c r="AK110" s="920" t="s">
        <v>21</v>
      </c>
      <c r="AL110" s="921" t="s">
        <v>21</v>
      </c>
      <c r="AM110" s="921" t="s">
        <v>21</v>
      </c>
      <c r="AN110" s="920"/>
      <c r="AO110" s="920" t="s">
        <v>21</v>
      </c>
      <c r="AP110" s="919">
        <v>73.831000000000003</v>
      </c>
      <c r="AQ110" s="933">
        <v>222.10102000000001</v>
      </c>
      <c r="AR110" s="925" t="s">
        <v>21</v>
      </c>
      <c r="AS110" s="925" t="s">
        <v>21</v>
      </c>
      <c r="AT110" s="925" t="s">
        <v>21</v>
      </c>
      <c r="AU110" s="925" t="s">
        <v>21</v>
      </c>
      <c r="AV110" s="926" t="s">
        <v>21</v>
      </c>
      <c r="AW110" s="926">
        <v>222.10102000000001</v>
      </c>
      <c r="AX110" s="926" t="s">
        <v>21</v>
      </c>
      <c r="AY110" s="926" t="s">
        <v>21</v>
      </c>
      <c r="AZ110" s="925" t="s">
        <v>21</v>
      </c>
      <c r="BA110" s="925"/>
      <c r="BB110" s="919" t="s">
        <v>21</v>
      </c>
      <c r="BC110" s="919">
        <v>11.074999999999999</v>
      </c>
      <c r="BD110" s="919" t="s">
        <v>2142</v>
      </c>
      <c r="BE110" s="925" t="s">
        <v>21</v>
      </c>
      <c r="BF110" s="926" t="s">
        <v>21</v>
      </c>
      <c r="BG110" s="925" t="s">
        <v>21</v>
      </c>
      <c r="BH110" s="926">
        <v>43.43</v>
      </c>
      <c r="BI110" s="925" t="s">
        <v>21</v>
      </c>
      <c r="BJ110" s="926" t="s">
        <v>21</v>
      </c>
      <c r="BK110" s="925" t="s">
        <v>21</v>
      </c>
      <c r="BL110" s="926" t="s">
        <v>21</v>
      </c>
      <c r="BM110" s="925" t="s">
        <v>21</v>
      </c>
      <c r="BN110" s="927"/>
      <c r="BO110" s="927"/>
      <c r="BP110" s="928" t="s">
        <v>21</v>
      </c>
      <c r="BQ110" s="928">
        <v>1</v>
      </c>
      <c r="BR110" s="928" t="s">
        <v>21</v>
      </c>
      <c r="BS110" s="928" t="s">
        <v>21</v>
      </c>
      <c r="BT110" s="928" t="s">
        <v>21</v>
      </c>
      <c r="BU110" s="928" t="s">
        <v>21</v>
      </c>
      <c r="BV110" s="934">
        <v>0.59999999999990905</v>
      </c>
      <c r="BW110" s="934">
        <v>1</v>
      </c>
      <c r="BX110" s="1104">
        <v>2</v>
      </c>
      <c r="BY110" s="931">
        <v>4</v>
      </c>
      <c r="BZ110" s="930" t="s">
        <v>21</v>
      </c>
      <c r="CA110" s="1074" t="s">
        <v>21</v>
      </c>
      <c r="CB110" s="930" t="s">
        <v>21</v>
      </c>
      <c r="CC110" s="930" t="s">
        <v>21</v>
      </c>
      <c r="CD110" s="925">
        <v>62.279000000000003</v>
      </c>
      <c r="CE110" s="1130">
        <v>160.04</v>
      </c>
      <c r="CF110" s="1129" t="s">
        <v>21</v>
      </c>
      <c r="CG110" s="1130" t="s">
        <v>21</v>
      </c>
      <c r="CH110" s="1130" t="s">
        <v>21</v>
      </c>
      <c r="CI110" s="1131" t="s">
        <v>21</v>
      </c>
      <c r="CJ110" s="1129" t="s">
        <v>21</v>
      </c>
      <c r="CK110" s="1130" t="s">
        <v>21</v>
      </c>
      <c r="CL110" s="1130" t="s">
        <v>21</v>
      </c>
      <c r="CM110" s="1131" t="s">
        <v>21</v>
      </c>
      <c r="CN110" s="1130">
        <v>160.04</v>
      </c>
      <c r="CP110" s="838" t="s">
        <v>21</v>
      </c>
      <c r="CQ110" s="838" t="s">
        <v>21</v>
      </c>
      <c r="CR110" s="836"/>
    </row>
    <row r="111" spans="1:96" x14ac:dyDescent="0.25">
      <c r="A111" s="935"/>
      <c r="B111" s="932" t="s">
        <v>2264</v>
      </c>
      <c r="C111" s="911">
        <v>800</v>
      </c>
      <c r="D111" s="911" t="s">
        <v>2116</v>
      </c>
      <c r="E111" s="912">
        <v>1117.97</v>
      </c>
      <c r="F111" s="1098">
        <v>1114.28</v>
      </c>
      <c r="G111" s="910" t="s">
        <v>3085</v>
      </c>
      <c r="H111" s="912">
        <v>1107.5</v>
      </c>
      <c r="I111" s="912">
        <v>1106.4000000000001</v>
      </c>
      <c r="J111" s="914">
        <v>21.51</v>
      </c>
      <c r="K111" s="915"/>
      <c r="L111" s="916">
        <v>0.15</v>
      </c>
      <c r="M111" s="916">
        <v>7.5999999999999998E-2</v>
      </c>
      <c r="N111" s="916">
        <v>0.2</v>
      </c>
      <c r="O111" s="916">
        <v>5.5139999999999993</v>
      </c>
      <c r="P111" s="915"/>
      <c r="Q111" s="916">
        <v>2.7210000000000001</v>
      </c>
      <c r="R111" s="917">
        <v>0.33333333333333331</v>
      </c>
      <c r="S111" s="918">
        <v>1.7</v>
      </c>
      <c r="T111" s="918">
        <v>3.5139999999999998</v>
      </c>
      <c r="U111" s="916">
        <v>5.7359999999999998</v>
      </c>
      <c r="V111" s="916">
        <v>1.1519999999999999</v>
      </c>
      <c r="W111" s="915"/>
      <c r="X111" s="916">
        <v>0.503</v>
      </c>
      <c r="Y111" s="916">
        <v>0.71199999999999997</v>
      </c>
      <c r="Z111" s="916">
        <v>7.0940000000000003</v>
      </c>
      <c r="AA111" s="916">
        <v>1.4339999999999999</v>
      </c>
      <c r="AB111" s="916">
        <v>4.6929999999999996</v>
      </c>
      <c r="AC111" s="915"/>
      <c r="AD111" s="919">
        <v>118.60599999999999</v>
      </c>
      <c r="AE111" s="920">
        <v>152.59200000000001</v>
      </c>
      <c r="AF111" s="920" t="s">
        <v>21</v>
      </c>
      <c r="AG111" s="920" t="s">
        <v>21</v>
      </c>
      <c r="AH111" s="921" t="s">
        <v>21</v>
      </c>
      <c r="AI111" s="921">
        <v>152.59200000000001</v>
      </c>
      <c r="AJ111" s="920" t="s">
        <v>21</v>
      </c>
      <c r="AK111" s="920" t="s">
        <v>21</v>
      </c>
      <c r="AL111" s="921" t="s">
        <v>21</v>
      </c>
      <c r="AM111" s="921" t="s">
        <v>21</v>
      </c>
      <c r="AN111" s="920"/>
      <c r="AO111" s="920" t="s">
        <v>21</v>
      </c>
      <c r="AP111" s="919">
        <v>36.567</v>
      </c>
      <c r="AQ111" s="933">
        <v>123.38136</v>
      </c>
      <c r="AR111" s="925" t="s">
        <v>21</v>
      </c>
      <c r="AS111" s="925" t="s">
        <v>21</v>
      </c>
      <c r="AT111" s="925" t="s">
        <v>21</v>
      </c>
      <c r="AU111" s="925" t="s">
        <v>21</v>
      </c>
      <c r="AV111" s="926" t="s">
        <v>21</v>
      </c>
      <c r="AW111" s="926">
        <v>123.38136</v>
      </c>
      <c r="AX111" s="926" t="s">
        <v>21</v>
      </c>
      <c r="AY111" s="926" t="s">
        <v>21</v>
      </c>
      <c r="AZ111" s="925" t="s">
        <v>21</v>
      </c>
      <c r="BA111" s="925"/>
      <c r="BB111" s="919" t="s">
        <v>21</v>
      </c>
      <c r="BC111" s="919">
        <v>5.4850000000000003</v>
      </c>
      <c r="BD111" s="919" t="s">
        <v>2142</v>
      </c>
      <c r="BE111" s="925" t="s">
        <v>21</v>
      </c>
      <c r="BF111" s="926" t="s">
        <v>21</v>
      </c>
      <c r="BG111" s="925" t="s">
        <v>21</v>
      </c>
      <c r="BH111" s="926">
        <v>21.51</v>
      </c>
      <c r="BI111" s="925" t="s">
        <v>21</v>
      </c>
      <c r="BJ111" s="926" t="s">
        <v>21</v>
      </c>
      <c r="BK111" s="925" t="s">
        <v>21</v>
      </c>
      <c r="BL111" s="926" t="s">
        <v>21</v>
      </c>
      <c r="BM111" s="925" t="s">
        <v>21</v>
      </c>
      <c r="BN111" s="927"/>
      <c r="BO111" s="927"/>
      <c r="BP111" s="928" t="s">
        <v>21</v>
      </c>
      <c r="BQ111" s="928">
        <v>1</v>
      </c>
      <c r="BR111" s="928" t="s">
        <v>21</v>
      </c>
      <c r="BS111" s="928" t="s">
        <v>21</v>
      </c>
      <c r="BT111" s="928" t="s">
        <v>21</v>
      </c>
      <c r="BU111" s="928" t="s">
        <v>21</v>
      </c>
      <c r="BV111" s="934">
        <v>2.1900000000000546</v>
      </c>
      <c r="BW111" s="934">
        <v>2.5</v>
      </c>
      <c r="BX111" s="1104">
        <v>5</v>
      </c>
      <c r="BY111" s="931">
        <v>7</v>
      </c>
      <c r="BZ111" s="930">
        <v>1</v>
      </c>
      <c r="CA111" s="1074" t="s">
        <v>21</v>
      </c>
      <c r="CB111" s="930" t="s">
        <v>21</v>
      </c>
      <c r="CC111" s="930" t="s">
        <v>21</v>
      </c>
      <c r="CD111" s="925">
        <v>30.844999999999999</v>
      </c>
      <c r="CE111" s="1130">
        <v>100.946</v>
      </c>
      <c r="CF111" s="1129" t="s">
        <v>21</v>
      </c>
      <c r="CG111" s="1130" t="s">
        <v>21</v>
      </c>
      <c r="CH111" s="1130" t="s">
        <v>21</v>
      </c>
      <c r="CI111" s="1131" t="s">
        <v>21</v>
      </c>
      <c r="CJ111" s="1129" t="s">
        <v>21</v>
      </c>
      <c r="CK111" s="1130" t="s">
        <v>21</v>
      </c>
      <c r="CL111" s="1130" t="s">
        <v>21</v>
      </c>
      <c r="CM111" s="1131" t="s">
        <v>21</v>
      </c>
      <c r="CN111" s="1130">
        <v>100.946</v>
      </c>
      <c r="CP111" s="838" t="s">
        <v>21</v>
      </c>
      <c r="CQ111" s="838" t="s">
        <v>21</v>
      </c>
      <c r="CR111" s="836"/>
    </row>
    <row r="112" spans="1:96" x14ac:dyDescent="0.25">
      <c r="A112" s="935"/>
      <c r="B112" s="932"/>
      <c r="C112" s="911"/>
      <c r="D112" s="911"/>
      <c r="E112" s="912"/>
      <c r="F112" s="912"/>
      <c r="G112" s="910"/>
      <c r="H112" s="912"/>
      <c r="I112" s="912"/>
      <c r="J112" s="914"/>
      <c r="K112" s="915"/>
      <c r="L112" s="916" t="s">
        <v>21</v>
      </c>
      <c r="M112" s="916" t="s">
        <v>21</v>
      </c>
      <c r="N112" s="916" t="s">
        <v>21</v>
      </c>
      <c r="O112" s="916" t="s">
        <v>21</v>
      </c>
      <c r="P112" s="915"/>
      <c r="Q112" s="916" t="s">
        <v>21</v>
      </c>
      <c r="R112" s="917" t="s">
        <v>21</v>
      </c>
      <c r="S112" s="918" t="s">
        <v>21</v>
      </c>
      <c r="T112" s="918" t="s">
        <v>21</v>
      </c>
      <c r="U112" s="916" t="s">
        <v>21</v>
      </c>
      <c r="V112" s="916" t="s">
        <v>21</v>
      </c>
      <c r="W112" s="915"/>
      <c r="X112" s="916" t="s">
        <v>21</v>
      </c>
      <c r="Y112" s="916" t="s">
        <v>21</v>
      </c>
      <c r="Z112" s="916" t="s">
        <v>21</v>
      </c>
      <c r="AA112" s="916" t="s">
        <v>21</v>
      </c>
      <c r="AB112" s="916" t="s">
        <v>21</v>
      </c>
      <c r="AC112" s="915"/>
      <c r="AD112" s="919" t="s">
        <v>21</v>
      </c>
      <c r="AE112" s="920" t="s">
        <v>21</v>
      </c>
      <c r="AF112" s="920" t="s">
        <v>21</v>
      </c>
      <c r="AG112" s="920" t="s">
        <v>21</v>
      </c>
      <c r="AH112" s="921" t="s">
        <v>21</v>
      </c>
      <c r="AI112" s="921" t="s">
        <v>21</v>
      </c>
      <c r="AJ112" s="920" t="s">
        <v>21</v>
      </c>
      <c r="AK112" s="920" t="s">
        <v>21</v>
      </c>
      <c r="AL112" s="921" t="s">
        <v>21</v>
      </c>
      <c r="AM112" s="921" t="s">
        <v>21</v>
      </c>
      <c r="AN112" s="920"/>
      <c r="AO112" s="920" t="s">
        <v>21</v>
      </c>
      <c r="AP112" s="919" t="s">
        <v>21</v>
      </c>
      <c r="AQ112" s="933" t="s">
        <v>21</v>
      </c>
      <c r="AR112" s="925" t="s">
        <v>21</v>
      </c>
      <c r="AS112" s="925" t="s">
        <v>21</v>
      </c>
      <c r="AT112" s="925" t="s">
        <v>21</v>
      </c>
      <c r="AU112" s="925" t="s">
        <v>21</v>
      </c>
      <c r="AV112" s="926" t="s">
        <v>21</v>
      </c>
      <c r="AW112" s="926" t="s">
        <v>21</v>
      </c>
      <c r="AX112" s="926" t="s">
        <v>21</v>
      </c>
      <c r="AY112" s="926" t="s">
        <v>21</v>
      </c>
      <c r="AZ112" s="925" t="s">
        <v>21</v>
      </c>
      <c r="BA112" s="925"/>
      <c r="BB112" s="919" t="s">
        <v>21</v>
      </c>
      <c r="BC112" s="919" t="s">
        <v>21</v>
      </c>
      <c r="BD112" s="919" t="s">
        <v>21</v>
      </c>
      <c r="BE112" s="925" t="s">
        <v>21</v>
      </c>
      <c r="BF112" s="926" t="s">
        <v>21</v>
      </c>
      <c r="BG112" s="925" t="s">
        <v>21</v>
      </c>
      <c r="BH112" s="926" t="s">
        <v>21</v>
      </c>
      <c r="BI112" s="925" t="s">
        <v>21</v>
      </c>
      <c r="BJ112" s="926" t="s">
        <v>21</v>
      </c>
      <c r="BK112" s="925" t="s">
        <v>21</v>
      </c>
      <c r="BL112" s="926" t="s">
        <v>21</v>
      </c>
      <c r="BM112" s="925" t="s">
        <v>21</v>
      </c>
      <c r="BN112" s="927"/>
      <c r="BO112" s="927"/>
      <c r="BP112" s="928" t="s">
        <v>21</v>
      </c>
      <c r="BQ112" s="928" t="s">
        <v>21</v>
      </c>
      <c r="BR112" s="928" t="s">
        <v>21</v>
      </c>
      <c r="BS112" s="928" t="s">
        <v>21</v>
      </c>
      <c r="BT112" s="928" t="s">
        <v>21</v>
      </c>
      <c r="BU112" s="928" t="s">
        <v>21</v>
      </c>
      <c r="BV112" s="934" t="s">
        <v>21</v>
      </c>
      <c r="BW112" s="934" t="s">
        <v>21</v>
      </c>
      <c r="BX112" s="1104" t="s">
        <v>21</v>
      </c>
      <c r="BY112" s="931" t="s">
        <v>21</v>
      </c>
      <c r="BZ112" s="930" t="s">
        <v>21</v>
      </c>
      <c r="CA112" s="1074" t="s">
        <v>21</v>
      </c>
      <c r="CB112" s="930" t="s">
        <v>21</v>
      </c>
      <c r="CC112" s="930" t="s">
        <v>21</v>
      </c>
      <c r="CD112" s="925" t="s">
        <v>21</v>
      </c>
      <c r="CE112" s="1130" t="s">
        <v>21</v>
      </c>
      <c r="CF112" s="1129" t="s">
        <v>21</v>
      </c>
      <c r="CG112" s="1130" t="s">
        <v>21</v>
      </c>
      <c r="CH112" s="1130" t="s">
        <v>21</v>
      </c>
      <c r="CI112" s="1131" t="s">
        <v>21</v>
      </c>
      <c r="CJ112" s="1129" t="s">
        <v>21</v>
      </c>
      <c r="CK112" s="1130" t="s">
        <v>21</v>
      </c>
      <c r="CL112" s="1130" t="s">
        <v>21</v>
      </c>
      <c r="CM112" s="1131" t="s">
        <v>21</v>
      </c>
      <c r="CN112" s="1130" t="s">
        <v>21</v>
      </c>
      <c r="CP112" s="838" t="s">
        <v>21</v>
      </c>
      <c r="CQ112" s="838" t="s">
        <v>21</v>
      </c>
      <c r="CR112" s="836"/>
    </row>
    <row r="113" spans="1:96" x14ac:dyDescent="0.25">
      <c r="A113" s="935" t="s">
        <v>2501</v>
      </c>
      <c r="B113" s="932" t="s">
        <v>2230</v>
      </c>
      <c r="C113" s="911">
        <v>600</v>
      </c>
      <c r="D113" s="911" t="s">
        <v>2116</v>
      </c>
      <c r="E113" s="912">
        <v>1125.8699999999999</v>
      </c>
      <c r="F113" s="912">
        <v>1123.97</v>
      </c>
      <c r="G113" s="910" t="s">
        <v>2273</v>
      </c>
      <c r="H113" s="912">
        <v>1122.94</v>
      </c>
      <c r="I113" s="912">
        <v>1121.04</v>
      </c>
      <c r="J113" s="914">
        <v>50.65</v>
      </c>
      <c r="K113" s="915"/>
      <c r="L113" s="916">
        <v>0.1</v>
      </c>
      <c r="M113" s="916">
        <v>0.06</v>
      </c>
      <c r="N113" s="916">
        <v>0.2</v>
      </c>
      <c r="O113" s="916">
        <v>4.84</v>
      </c>
      <c r="P113" s="915"/>
      <c r="Q113" s="916">
        <v>2.16</v>
      </c>
      <c r="R113" s="917">
        <v>0.33333333333333331</v>
      </c>
      <c r="S113" s="918">
        <v>1.4</v>
      </c>
      <c r="T113" s="918">
        <v>2.84</v>
      </c>
      <c r="U113" s="916">
        <v>4.5540000000000003</v>
      </c>
      <c r="V113" s="916">
        <v>0.92</v>
      </c>
      <c r="W113" s="915"/>
      <c r="X113" s="916">
        <v>0.28299999999999997</v>
      </c>
      <c r="Y113" s="916">
        <v>0.40699999999999997</v>
      </c>
      <c r="Z113" s="916">
        <v>4.5789999999999997</v>
      </c>
      <c r="AA113" s="916">
        <v>1.0229999999999999</v>
      </c>
      <c r="AB113" s="916">
        <v>3.0089999999999999</v>
      </c>
      <c r="AC113" s="915"/>
      <c r="AD113" s="919">
        <v>245.14599999999999</v>
      </c>
      <c r="AE113" s="920">
        <v>231.92599999999999</v>
      </c>
      <c r="AF113" s="920" t="s">
        <v>21</v>
      </c>
      <c r="AG113" s="920" t="s">
        <v>21</v>
      </c>
      <c r="AH113" s="921">
        <v>231.92599999999999</v>
      </c>
      <c r="AI113" s="921" t="s">
        <v>21</v>
      </c>
      <c r="AJ113" s="920" t="s">
        <v>21</v>
      </c>
      <c r="AK113" s="920" t="s">
        <v>21</v>
      </c>
      <c r="AL113" s="921" t="s">
        <v>21</v>
      </c>
      <c r="AM113" s="921" t="s">
        <v>21</v>
      </c>
      <c r="AN113" s="920"/>
      <c r="AO113" s="920" t="s">
        <v>21</v>
      </c>
      <c r="AP113" s="919">
        <v>70.91</v>
      </c>
      <c r="AQ113" s="933">
        <v>230.6601</v>
      </c>
      <c r="AR113" s="925" t="s">
        <v>21</v>
      </c>
      <c r="AS113" s="925">
        <v>230.6601</v>
      </c>
      <c r="AT113" s="925" t="s">
        <v>21</v>
      </c>
      <c r="AU113" s="925" t="s">
        <v>21</v>
      </c>
      <c r="AV113" s="926" t="s">
        <v>21</v>
      </c>
      <c r="AW113" s="926" t="s">
        <v>21</v>
      </c>
      <c r="AX113" s="926" t="s">
        <v>21</v>
      </c>
      <c r="AY113" s="926" t="s">
        <v>21</v>
      </c>
      <c r="AZ113" s="925" t="s">
        <v>21</v>
      </c>
      <c r="BA113" s="925"/>
      <c r="BB113" s="919">
        <v>7.0910000000000002</v>
      </c>
      <c r="BC113" s="919" t="s">
        <v>21</v>
      </c>
      <c r="BD113" s="919" t="s">
        <v>2142</v>
      </c>
      <c r="BE113" s="925" t="s">
        <v>21</v>
      </c>
      <c r="BF113" s="926" t="s">
        <v>21</v>
      </c>
      <c r="BG113" s="925">
        <v>50.65</v>
      </c>
      <c r="BH113" s="926" t="s">
        <v>21</v>
      </c>
      <c r="BI113" s="925" t="s">
        <v>21</v>
      </c>
      <c r="BJ113" s="926" t="s">
        <v>21</v>
      </c>
      <c r="BK113" s="925" t="s">
        <v>21</v>
      </c>
      <c r="BL113" s="926" t="s">
        <v>21</v>
      </c>
      <c r="BM113" s="925" t="s">
        <v>21</v>
      </c>
      <c r="BN113" s="927"/>
      <c r="BO113" s="927"/>
      <c r="BP113" s="928">
        <v>1</v>
      </c>
      <c r="BQ113" s="928" t="s">
        <v>21</v>
      </c>
      <c r="BR113" s="928" t="s">
        <v>21</v>
      </c>
      <c r="BS113" s="928" t="s">
        <v>21</v>
      </c>
      <c r="BT113" s="928" t="s">
        <v>21</v>
      </c>
      <c r="BU113" s="928" t="s">
        <v>21</v>
      </c>
      <c r="BV113" s="934">
        <v>0.49999999999986366</v>
      </c>
      <c r="BW113" s="934">
        <v>0.5</v>
      </c>
      <c r="BX113" s="1104">
        <v>1</v>
      </c>
      <c r="BY113" s="931">
        <v>3</v>
      </c>
      <c r="BZ113" s="930">
        <v>1</v>
      </c>
      <c r="CA113" s="1074">
        <v>1</v>
      </c>
      <c r="CB113" s="930" t="s">
        <v>21</v>
      </c>
      <c r="CC113" s="930" t="s">
        <v>21</v>
      </c>
      <c r="CD113" s="925">
        <v>51.814999999999998</v>
      </c>
      <c r="CE113" s="1130">
        <v>152.40600000000001</v>
      </c>
      <c r="CF113" s="1129" t="s">
        <v>21</v>
      </c>
      <c r="CG113" s="1130" t="s">
        <v>21</v>
      </c>
      <c r="CH113" s="1130" t="s">
        <v>21</v>
      </c>
      <c r="CI113" s="1131" t="s">
        <v>21</v>
      </c>
      <c r="CJ113" s="1129" t="s">
        <v>21</v>
      </c>
      <c r="CK113" s="1130">
        <v>152.40600000000001</v>
      </c>
      <c r="CL113" s="1130" t="s">
        <v>21</v>
      </c>
      <c r="CM113" s="1131" t="s">
        <v>21</v>
      </c>
      <c r="CN113" s="1130" t="s">
        <v>21</v>
      </c>
      <c r="CP113" s="838" t="s">
        <v>21</v>
      </c>
      <c r="CQ113" s="838" t="s">
        <v>21</v>
      </c>
      <c r="CR113" s="836"/>
    </row>
    <row r="114" spans="1:96" x14ac:dyDescent="0.25">
      <c r="A114" s="935"/>
      <c r="B114" s="932" t="s">
        <v>2273</v>
      </c>
      <c r="C114" s="911">
        <v>600</v>
      </c>
      <c r="D114" s="911" t="s">
        <v>2116</v>
      </c>
      <c r="E114" s="912">
        <v>1122.94</v>
      </c>
      <c r="F114" s="912">
        <v>1120.99</v>
      </c>
      <c r="G114" s="910" t="s">
        <v>2262</v>
      </c>
      <c r="H114" s="912">
        <v>1121.22</v>
      </c>
      <c r="I114" s="912">
        <v>1119.32</v>
      </c>
      <c r="J114" s="914">
        <v>16.3</v>
      </c>
      <c r="K114" s="915"/>
      <c r="L114" s="916">
        <v>0.1</v>
      </c>
      <c r="M114" s="916">
        <v>0.06</v>
      </c>
      <c r="N114" s="916">
        <v>0.2</v>
      </c>
      <c r="O114" s="916">
        <v>4.8570000000000002</v>
      </c>
      <c r="P114" s="915"/>
      <c r="Q114" s="916">
        <v>2.1850000000000001</v>
      </c>
      <c r="R114" s="917">
        <v>0.33333333333333331</v>
      </c>
      <c r="S114" s="918">
        <v>1.4</v>
      </c>
      <c r="T114" s="918">
        <v>2.8570000000000002</v>
      </c>
      <c r="U114" s="916">
        <v>4.6059999999999999</v>
      </c>
      <c r="V114" s="916">
        <v>0.92</v>
      </c>
      <c r="W114" s="915"/>
      <c r="X114" s="916">
        <v>0.28299999999999997</v>
      </c>
      <c r="Y114" s="916">
        <v>0.40699999999999997</v>
      </c>
      <c r="Z114" s="916">
        <v>4.6509999999999998</v>
      </c>
      <c r="AA114" s="916">
        <v>1.0229999999999999</v>
      </c>
      <c r="AB114" s="916">
        <v>3.081</v>
      </c>
      <c r="AC114" s="915"/>
      <c r="AD114" s="919">
        <v>79.168999999999997</v>
      </c>
      <c r="AE114" s="920">
        <v>75.811000000000007</v>
      </c>
      <c r="AF114" s="920" t="s">
        <v>21</v>
      </c>
      <c r="AG114" s="920" t="s">
        <v>21</v>
      </c>
      <c r="AH114" s="921">
        <v>75.811000000000007</v>
      </c>
      <c r="AI114" s="921" t="s">
        <v>21</v>
      </c>
      <c r="AJ114" s="920" t="s">
        <v>21</v>
      </c>
      <c r="AK114" s="920" t="s">
        <v>21</v>
      </c>
      <c r="AL114" s="921" t="s">
        <v>21</v>
      </c>
      <c r="AM114" s="921" t="s">
        <v>21</v>
      </c>
      <c r="AN114" s="920"/>
      <c r="AO114" s="920" t="s">
        <v>21</v>
      </c>
      <c r="AP114" s="919">
        <v>22.82</v>
      </c>
      <c r="AQ114" s="933">
        <v>75.077799999999996</v>
      </c>
      <c r="AR114" s="925" t="s">
        <v>21</v>
      </c>
      <c r="AS114" s="925">
        <v>75.077799999999996</v>
      </c>
      <c r="AT114" s="925" t="s">
        <v>21</v>
      </c>
      <c r="AU114" s="925" t="s">
        <v>21</v>
      </c>
      <c r="AV114" s="926" t="s">
        <v>21</v>
      </c>
      <c r="AW114" s="926" t="s">
        <v>21</v>
      </c>
      <c r="AX114" s="926" t="s">
        <v>21</v>
      </c>
      <c r="AY114" s="926" t="s">
        <v>21</v>
      </c>
      <c r="AZ114" s="925" t="s">
        <v>21</v>
      </c>
      <c r="BA114" s="925"/>
      <c r="BB114" s="919">
        <v>2.282</v>
      </c>
      <c r="BC114" s="919" t="s">
        <v>21</v>
      </c>
      <c r="BD114" s="919" t="s">
        <v>2142</v>
      </c>
      <c r="BE114" s="925" t="s">
        <v>21</v>
      </c>
      <c r="BF114" s="926" t="s">
        <v>21</v>
      </c>
      <c r="BG114" s="925">
        <v>16.3</v>
      </c>
      <c r="BH114" s="926" t="s">
        <v>21</v>
      </c>
      <c r="BI114" s="925" t="s">
        <v>21</v>
      </c>
      <c r="BJ114" s="926" t="s">
        <v>21</v>
      </c>
      <c r="BK114" s="925" t="s">
        <v>21</v>
      </c>
      <c r="BL114" s="926" t="s">
        <v>21</v>
      </c>
      <c r="BM114" s="925" t="s">
        <v>21</v>
      </c>
      <c r="BN114" s="927"/>
      <c r="BO114" s="927"/>
      <c r="BP114" s="928">
        <v>1</v>
      </c>
      <c r="BQ114" s="928" t="s">
        <v>21</v>
      </c>
      <c r="BR114" s="928" t="s">
        <v>21</v>
      </c>
      <c r="BS114" s="928" t="s">
        <v>21</v>
      </c>
      <c r="BT114" s="928" t="s">
        <v>21</v>
      </c>
      <c r="BU114" s="928" t="s">
        <v>21</v>
      </c>
      <c r="BV114" s="934">
        <v>0.55000000000004556</v>
      </c>
      <c r="BW114" s="934">
        <v>1</v>
      </c>
      <c r="BX114" s="1104">
        <v>2</v>
      </c>
      <c r="BY114" s="931">
        <v>4</v>
      </c>
      <c r="BZ114" s="930" t="s">
        <v>21</v>
      </c>
      <c r="CA114" s="1074" t="s">
        <v>21</v>
      </c>
      <c r="CB114" s="930" t="s">
        <v>21</v>
      </c>
      <c r="CC114" s="930" t="s">
        <v>21</v>
      </c>
      <c r="CD114" s="925">
        <v>16.675000000000001</v>
      </c>
      <c r="CE114" s="1130">
        <v>50.22</v>
      </c>
      <c r="CF114" s="1129" t="s">
        <v>21</v>
      </c>
      <c r="CG114" s="1130" t="s">
        <v>21</v>
      </c>
      <c r="CH114" s="1130" t="s">
        <v>21</v>
      </c>
      <c r="CI114" s="1131" t="s">
        <v>21</v>
      </c>
      <c r="CJ114" s="1129" t="s">
        <v>21</v>
      </c>
      <c r="CK114" s="1130">
        <v>50.22</v>
      </c>
      <c r="CL114" s="1130" t="s">
        <v>21</v>
      </c>
      <c r="CM114" s="1131" t="s">
        <v>21</v>
      </c>
      <c r="CN114" s="1130" t="s">
        <v>21</v>
      </c>
      <c r="CP114" s="838" t="s">
        <v>21</v>
      </c>
      <c r="CQ114" s="838" t="s">
        <v>21</v>
      </c>
      <c r="CR114" s="836"/>
    </row>
    <row r="115" spans="1:96" x14ac:dyDescent="0.25">
      <c r="A115" s="935"/>
      <c r="B115" s="932"/>
      <c r="C115" s="911"/>
      <c r="D115" s="911"/>
      <c r="E115" s="912"/>
      <c r="F115" s="912"/>
      <c r="G115" s="910"/>
      <c r="H115" s="912"/>
      <c r="I115" s="912"/>
      <c r="J115" s="914"/>
      <c r="K115" s="915"/>
      <c r="L115" s="916" t="s">
        <v>21</v>
      </c>
      <c r="M115" s="916" t="s">
        <v>21</v>
      </c>
      <c r="N115" s="916" t="s">
        <v>21</v>
      </c>
      <c r="O115" s="916" t="s">
        <v>21</v>
      </c>
      <c r="P115" s="915"/>
      <c r="Q115" s="916" t="s">
        <v>21</v>
      </c>
      <c r="R115" s="917" t="s">
        <v>21</v>
      </c>
      <c r="S115" s="918" t="s">
        <v>21</v>
      </c>
      <c r="T115" s="918" t="s">
        <v>21</v>
      </c>
      <c r="U115" s="916" t="s">
        <v>21</v>
      </c>
      <c r="V115" s="916" t="s">
        <v>21</v>
      </c>
      <c r="W115" s="915"/>
      <c r="X115" s="916" t="s">
        <v>21</v>
      </c>
      <c r="Y115" s="916" t="s">
        <v>21</v>
      </c>
      <c r="Z115" s="916" t="s">
        <v>21</v>
      </c>
      <c r="AA115" s="916" t="s">
        <v>21</v>
      </c>
      <c r="AB115" s="916" t="s">
        <v>21</v>
      </c>
      <c r="AC115" s="915"/>
      <c r="AD115" s="919" t="s">
        <v>21</v>
      </c>
      <c r="AE115" s="920" t="s">
        <v>21</v>
      </c>
      <c r="AF115" s="920" t="s">
        <v>21</v>
      </c>
      <c r="AG115" s="920" t="s">
        <v>21</v>
      </c>
      <c r="AH115" s="921" t="s">
        <v>21</v>
      </c>
      <c r="AI115" s="921" t="s">
        <v>21</v>
      </c>
      <c r="AJ115" s="920" t="s">
        <v>21</v>
      </c>
      <c r="AK115" s="920" t="s">
        <v>21</v>
      </c>
      <c r="AL115" s="921" t="s">
        <v>21</v>
      </c>
      <c r="AM115" s="921" t="s">
        <v>21</v>
      </c>
      <c r="AN115" s="920"/>
      <c r="AO115" s="920" t="s">
        <v>21</v>
      </c>
      <c r="AP115" s="919" t="s">
        <v>21</v>
      </c>
      <c r="AQ115" s="933" t="s">
        <v>21</v>
      </c>
      <c r="AR115" s="925" t="s">
        <v>21</v>
      </c>
      <c r="AS115" s="925" t="s">
        <v>21</v>
      </c>
      <c r="AT115" s="925" t="s">
        <v>21</v>
      </c>
      <c r="AU115" s="925" t="s">
        <v>21</v>
      </c>
      <c r="AV115" s="926" t="s">
        <v>21</v>
      </c>
      <c r="AW115" s="926" t="s">
        <v>21</v>
      </c>
      <c r="AX115" s="926" t="s">
        <v>21</v>
      </c>
      <c r="AY115" s="926" t="s">
        <v>21</v>
      </c>
      <c r="AZ115" s="925" t="s">
        <v>21</v>
      </c>
      <c r="BA115" s="925"/>
      <c r="BB115" s="919" t="s">
        <v>21</v>
      </c>
      <c r="BC115" s="919" t="s">
        <v>21</v>
      </c>
      <c r="BD115" s="919" t="s">
        <v>21</v>
      </c>
      <c r="BE115" s="925" t="s">
        <v>21</v>
      </c>
      <c r="BF115" s="926" t="s">
        <v>21</v>
      </c>
      <c r="BG115" s="925" t="s">
        <v>21</v>
      </c>
      <c r="BH115" s="926" t="s">
        <v>21</v>
      </c>
      <c r="BI115" s="925" t="s">
        <v>21</v>
      </c>
      <c r="BJ115" s="926" t="s">
        <v>21</v>
      </c>
      <c r="BK115" s="925" t="s">
        <v>21</v>
      </c>
      <c r="BL115" s="926" t="s">
        <v>21</v>
      </c>
      <c r="BM115" s="925" t="s">
        <v>21</v>
      </c>
      <c r="BN115" s="927"/>
      <c r="BO115" s="927"/>
      <c r="BP115" s="928" t="s">
        <v>21</v>
      </c>
      <c r="BQ115" s="928" t="s">
        <v>21</v>
      </c>
      <c r="BR115" s="928" t="s">
        <v>21</v>
      </c>
      <c r="BS115" s="928" t="s">
        <v>21</v>
      </c>
      <c r="BT115" s="928" t="s">
        <v>21</v>
      </c>
      <c r="BU115" s="928" t="s">
        <v>21</v>
      </c>
      <c r="BV115" s="934" t="s">
        <v>21</v>
      </c>
      <c r="BW115" s="934" t="s">
        <v>21</v>
      </c>
      <c r="BX115" s="1104" t="s">
        <v>21</v>
      </c>
      <c r="BY115" s="931" t="s">
        <v>21</v>
      </c>
      <c r="BZ115" s="930" t="s">
        <v>21</v>
      </c>
      <c r="CA115" s="1074" t="s">
        <v>21</v>
      </c>
      <c r="CB115" s="930" t="s">
        <v>21</v>
      </c>
      <c r="CC115" s="930" t="s">
        <v>21</v>
      </c>
      <c r="CD115" s="925" t="s">
        <v>21</v>
      </c>
      <c r="CE115" s="1130" t="s">
        <v>21</v>
      </c>
      <c r="CF115" s="1129" t="s">
        <v>21</v>
      </c>
      <c r="CG115" s="1130" t="s">
        <v>21</v>
      </c>
      <c r="CH115" s="1130" t="s">
        <v>21</v>
      </c>
      <c r="CI115" s="1131" t="s">
        <v>21</v>
      </c>
      <c r="CJ115" s="1129" t="s">
        <v>21</v>
      </c>
      <c r="CK115" s="1130" t="s">
        <v>21</v>
      </c>
      <c r="CL115" s="1130" t="s">
        <v>21</v>
      </c>
      <c r="CM115" s="1131" t="s">
        <v>21</v>
      </c>
      <c r="CN115" s="1130" t="s">
        <v>21</v>
      </c>
      <c r="CP115" s="838" t="s">
        <v>21</v>
      </c>
      <c r="CQ115" s="838" t="s">
        <v>21</v>
      </c>
      <c r="CR115" s="836"/>
    </row>
    <row r="116" spans="1:96" x14ac:dyDescent="0.25">
      <c r="A116" s="935" t="s">
        <v>2502</v>
      </c>
      <c r="B116" s="932" t="s">
        <v>2231</v>
      </c>
      <c r="C116" s="911">
        <v>600</v>
      </c>
      <c r="D116" s="911" t="s">
        <v>2116</v>
      </c>
      <c r="E116" s="912">
        <v>1122.0999999999999</v>
      </c>
      <c r="F116" s="912">
        <v>1120.2</v>
      </c>
      <c r="G116" s="932" t="s">
        <v>2232</v>
      </c>
      <c r="H116" s="912">
        <v>1121.05</v>
      </c>
      <c r="I116" s="912">
        <v>1119.1500000000001</v>
      </c>
      <c r="J116" s="914">
        <v>28.83</v>
      </c>
      <c r="K116" s="915"/>
      <c r="L116" s="916">
        <v>0.1</v>
      </c>
      <c r="M116" s="916">
        <v>0.06</v>
      </c>
      <c r="N116" s="916">
        <v>0.2</v>
      </c>
      <c r="O116" s="916">
        <v>4.84</v>
      </c>
      <c r="P116" s="915"/>
      <c r="Q116" s="916">
        <v>2.16</v>
      </c>
      <c r="R116" s="917">
        <v>0.33333333333333331</v>
      </c>
      <c r="S116" s="918">
        <v>1.4</v>
      </c>
      <c r="T116" s="918">
        <v>2.84</v>
      </c>
      <c r="U116" s="916">
        <v>4.5540000000000003</v>
      </c>
      <c r="V116" s="916">
        <v>0.92</v>
      </c>
      <c r="W116" s="915"/>
      <c r="X116" s="916">
        <v>0.28299999999999997</v>
      </c>
      <c r="Y116" s="916">
        <v>0.40699999999999997</v>
      </c>
      <c r="Z116" s="916">
        <v>4.5789999999999997</v>
      </c>
      <c r="AA116" s="916">
        <v>1.0229999999999999</v>
      </c>
      <c r="AB116" s="916">
        <v>3.0089999999999999</v>
      </c>
      <c r="AC116" s="915"/>
      <c r="AD116" s="919">
        <v>139.53700000000001</v>
      </c>
      <c r="AE116" s="920">
        <v>132.01300000000001</v>
      </c>
      <c r="AF116" s="920" t="s">
        <v>21</v>
      </c>
      <c r="AG116" s="920" t="s">
        <v>21</v>
      </c>
      <c r="AH116" s="921">
        <v>132.01300000000001</v>
      </c>
      <c r="AI116" s="921" t="s">
        <v>21</v>
      </c>
      <c r="AJ116" s="920" t="s">
        <v>21</v>
      </c>
      <c r="AK116" s="920" t="s">
        <v>21</v>
      </c>
      <c r="AL116" s="921" t="s">
        <v>21</v>
      </c>
      <c r="AM116" s="921" t="s">
        <v>21</v>
      </c>
      <c r="AN116" s="920"/>
      <c r="AO116" s="920" t="s">
        <v>21</v>
      </c>
      <c r="AP116" s="919">
        <v>40.362000000000002</v>
      </c>
      <c r="AQ116" s="933">
        <v>131.29182</v>
      </c>
      <c r="AR116" s="925" t="s">
        <v>21</v>
      </c>
      <c r="AS116" s="925">
        <v>131.29182</v>
      </c>
      <c r="AT116" s="925" t="s">
        <v>21</v>
      </c>
      <c r="AU116" s="925" t="s">
        <v>21</v>
      </c>
      <c r="AV116" s="926" t="s">
        <v>21</v>
      </c>
      <c r="AW116" s="926" t="s">
        <v>21</v>
      </c>
      <c r="AX116" s="926" t="s">
        <v>21</v>
      </c>
      <c r="AY116" s="926" t="s">
        <v>21</v>
      </c>
      <c r="AZ116" s="925" t="s">
        <v>21</v>
      </c>
      <c r="BA116" s="925"/>
      <c r="BB116" s="919">
        <v>4.0359999999999996</v>
      </c>
      <c r="BC116" s="919" t="s">
        <v>21</v>
      </c>
      <c r="BD116" s="919" t="s">
        <v>2142</v>
      </c>
      <c r="BE116" s="925" t="s">
        <v>21</v>
      </c>
      <c r="BF116" s="926" t="s">
        <v>21</v>
      </c>
      <c r="BG116" s="925">
        <v>28.83</v>
      </c>
      <c r="BH116" s="926" t="s">
        <v>21</v>
      </c>
      <c r="BI116" s="925" t="s">
        <v>21</v>
      </c>
      <c r="BJ116" s="926" t="s">
        <v>21</v>
      </c>
      <c r="BK116" s="925" t="s">
        <v>21</v>
      </c>
      <c r="BL116" s="926" t="s">
        <v>21</v>
      </c>
      <c r="BM116" s="925" t="s">
        <v>21</v>
      </c>
      <c r="BN116" s="927"/>
      <c r="BO116" s="927"/>
      <c r="BP116" s="928">
        <v>1</v>
      </c>
      <c r="BQ116" s="928" t="s">
        <v>21</v>
      </c>
      <c r="BR116" s="928" t="s">
        <v>21</v>
      </c>
      <c r="BS116" s="928" t="s">
        <v>21</v>
      </c>
      <c r="BT116" s="928" t="s">
        <v>21</v>
      </c>
      <c r="BU116" s="928" t="s">
        <v>21</v>
      </c>
      <c r="BV116" s="934">
        <v>0.49999999999986366</v>
      </c>
      <c r="BW116" s="934">
        <v>0.5</v>
      </c>
      <c r="BX116" s="1104">
        <v>1</v>
      </c>
      <c r="BY116" s="931">
        <v>3</v>
      </c>
      <c r="BZ116" s="930" t="s">
        <v>21</v>
      </c>
      <c r="CA116" s="1074">
        <v>1</v>
      </c>
      <c r="CB116" s="930" t="s">
        <v>21</v>
      </c>
      <c r="CC116" s="930" t="s">
        <v>21</v>
      </c>
      <c r="CD116" s="925">
        <v>29.492999999999999</v>
      </c>
      <c r="CE116" s="1130">
        <v>86.748999999999995</v>
      </c>
      <c r="CF116" s="1129" t="s">
        <v>21</v>
      </c>
      <c r="CG116" s="1130" t="s">
        <v>21</v>
      </c>
      <c r="CH116" s="1130" t="s">
        <v>21</v>
      </c>
      <c r="CI116" s="1131" t="s">
        <v>21</v>
      </c>
      <c r="CJ116" s="1129" t="s">
        <v>21</v>
      </c>
      <c r="CK116" s="1130">
        <v>86.748999999999995</v>
      </c>
      <c r="CL116" s="1130" t="s">
        <v>21</v>
      </c>
      <c r="CM116" s="1131" t="s">
        <v>21</v>
      </c>
      <c r="CN116" s="1130" t="s">
        <v>21</v>
      </c>
      <c r="CP116" s="838" t="s">
        <v>21</v>
      </c>
      <c r="CQ116" s="838" t="s">
        <v>21</v>
      </c>
      <c r="CR116" s="836"/>
    </row>
    <row r="117" spans="1:96" x14ac:dyDescent="0.25">
      <c r="A117" s="935"/>
      <c r="B117" s="932" t="s">
        <v>2232</v>
      </c>
      <c r="C117" s="911">
        <v>600</v>
      </c>
      <c r="D117" s="911" t="s">
        <v>2116</v>
      </c>
      <c r="E117" s="912">
        <v>1121.05</v>
      </c>
      <c r="F117" s="912">
        <v>1119.0999999999999</v>
      </c>
      <c r="G117" s="932" t="s">
        <v>2274</v>
      </c>
      <c r="H117" s="912">
        <v>1120.23</v>
      </c>
      <c r="I117" s="912">
        <v>1118.33</v>
      </c>
      <c r="J117" s="914">
        <v>11.59</v>
      </c>
      <c r="K117" s="915"/>
      <c r="L117" s="916">
        <v>0.1</v>
      </c>
      <c r="M117" s="916">
        <v>0.06</v>
      </c>
      <c r="N117" s="916">
        <v>0.2</v>
      </c>
      <c r="O117" s="916">
        <v>4.8570000000000002</v>
      </c>
      <c r="P117" s="915"/>
      <c r="Q117" s="916">
        <v>2.1850000000000001</v>
      </c>
      <c r="R117" s="917">
        <v>0.33333333333333331</v>
      </c>
      <c r="S117" s="918">
        <v>1.4</v>
      </c>
      <c r="T117" s="918">
        <v>2.8570000000000002</v>
      </c>
      <c r="U117" s="916">
        <v>4.6059999999999999</v>
      </c>
      <c r="V117" s="916">
        <v>0.92</v>
      </c>
      <c r="W117" s="915"/>
      <c r="X117" s="916">
        <v>0.28299999999999997</v>
      </c>
      <c r="Y117" s="916">
        <v>0.40699999999999997</v>
      </c>
      <c r="Z117" s="916">
        <v>4.6509999999999998</v>
      </c>
      <c r="AA117" s="916">
        <v>1.0229999999999999</v>
      </c>
      <c r="AB117" s="916">
        <v>3.081</v>
      </c>
      <c r="AC117" s="915"/>
      <c r="AD117" s="919">
        <v>56.292999999999999</v>
      </c>
      <c r="AE117" s="920">
        <v>53.905000000000001</v>
      </c>
      <c r="AF117" s="920" t="s">
        <v>21</v>
      </c>
      <c r="AG117" s="920" t="s">
        <v>21</v>
      </c>
      <c r="AH117" s="921">
        <v>53.905000000000001</v>
      </c>
      <c r="AI117" s="921" t="s">
        <v>21</v>
      </c>
      <c r="AJ117" s="920" t="s">
        <v>21</v>
      </c>
      <c r="AK117" s="920" t="s">
        <v>21</v>
      </c>
      <c r="AL117" s="921" t="s">
        <v>21</v>
      </c>
      <c r="AM117" s="921" t="s">
        <v>21</v>
      </c>
      <c r="AN117" s="920"/>
      <c r="AO117" s="920" t="s">
        <v>21</v>
      </c>
      <c r="AP117" s="919">
        <v>16.225999999999999</v>
      </c>
      <c r="AQ117" s="933">
        <v>53.383539999999996</v>
      </c>
      <c r="AR117" s="925" t="s">
        <v>21</v>
      </c>
      <c r="AS117" s="925">
        <v>53.383539999999996</v>
      </c>
      <c r="AT117" s="925" t="s">
        <v>21</v>
      </c>
      <c r="AU117" s="925" t="s">
        <v>21</v>
      </c>
      <c r="AV117" s="926" t="s">
        <v>21</v>
      </c>
      <c r="AW117" s="926" t="s">
        <v>21</v>
      </c>
      <c r="AX117" s="926" t="s">
        <v>21</v>
      </c>
      <c r="AY117" s="926" t="s">
        <v>21</v>
      </c>
      <c r="AZ117" s="925" t="s">
        <v>21</v>
      </c>
      <c r="BA117" s="925"/>
      <c r="BB117" s="919">
        <v>1.623</v>
      </c>
      <c r="BC117" s="919" t="s">
        <v>21</v>
      </c>
      <c r="BD117" s="919" t="s">
        <v>2142</v>
      </c>
      <c r="BE117" s="925" t="s">
        <v>21</v>
      </c>
      <c r="BF117" s="926" t="s">
        <v>21</v>
      </c>
      <c r="BG117" s="925">
        <v>11.59</v>
      </c>
      <c r="BH117" s="926" t="s">
        <v>21</v>
      </c>
      <c r="BI117" s="925" t="s">
        <v>21</v>
      </c>
      <c r="BJ117" s="926" t="s">
        <v>21</v>
      </c>
      <c r="BK117" s="925" t="s">
        <v>21</v>
      </c>
      <c r="BL117" s="926" t="s">
        <v>21</v>
      </c>
      <c r="BM117" s="925" t="s">
        <v>21</v>
      </c>
      <c r="BN117" s="927"/>
      <c r="BO117" s="927"/>
      <c r="BP117" s="928">
        <v>1</v>
      </c>
      <c r="BQ117" s="928" t="s">
        <v>21</v>
      </c>
      <c r="BR117" s="928" t="s">
        <v>21</v>
      </c>
      <c r="BS117" s="928" t="s">
        <v>21</v>
      </c>
      <c r="BT117" s="928" t="s">
        <v>21</v>
      </c>
      <c r="BU117" s="928" t="s">
        <v>21</v>
      </c>
      <c r="BV117" s="934">
        <v>0.55000000000004556</v>
      </c>
      <c r="BW117" s="934">
        <v>1</v>
      </c>
      <c r="BX117" s="1104">
        <v>2</v>
      </c>
      <c r="BY117" s="931">
        <v>4</v>
      </c>
      <c r="BZ117" s="930">
        <v>2</v>
      </c>
      <c r="CA117" s="1074" t="s">
        <v>21</v>
      </c>
      <c r="CB117" s="930" t="s">
        <v>21</v>
      </c>
      <c r="CC117" s="930" t="s">
        <v>21</v>
      </c>
      <c r="CD117" s="925">
        <v>11.856999999999999</v>
      </c>
      <c r="CE117" s="1130">
        <v>35.709000000000003</v>
      </c>
      <c r="CF117" s="1129" t="s">
        <v>21</v>
      </c>
      <c r="CG117" s="1130" t="s">
        <v>21</v>
      </c>
      <c r="CH117" s="1130" t="s">
        <v>21</v>
      </c>
      <c r="CI117" s="1131" t="s">
        <v>21</v>
      </c>
      <c r="CJ117" s="1129" t="s">
        <v>21</v>
      </c>
      <c r="CK117" s="1130">
        <v>35.709000000000003</v>
      </c>
      <c r="CL117" s="1130" t="s">
        <v>21</v>
      </c>
      <c r="CM117" s="1131" t="s">
        <v>21</v>
      </c>
      <c r="CN117" s="1130" t="s">
        <v>21</v>
      </c>
      <c r="CP117" s="838" t="s">
        <v>21</v>
      </c>
      <c r="CQ117" s="838" t="s">
        <v>21</v>
      </c>
      <c r="CR117" s="836"/>
    </row>
    <row r="118" spans="1:96" x14ac:dyDescent="0.25">
      <c r="A118" s="935"/>
      <c r="B118" s="932" t="s">
        <v>2274</v>
      </c>
      <c r="C118" s="911">
        <v>600</v>
      </c>
      <c r="D118" s="911" t="s">
        <v>2116</v>
      </c>
      <c r="E118" s="912">
        <v>1120.23</v>
      </c>
      <c r="F118" s="912">
        <v>1118.33</v>
      </c>
      <c r="G118" s="910" t="s">
        <v>2264</v>
      </c>
      <c r="H118" s="912">
        <v>1117.97</v>
      </c>
      <c r="I118" s="912">
        <v>1116.07</v>
      </c>
      <c r="J118" s="914">
        <v>15.49</v>
      </c>
      <c r="K118" s="915"/>
      <c r="L118" s="916">
        <v>0.1</v>
      </c>
      <c r="M118" s="916">
        <v>0.06</v>
      </c>
      <c r="N118" s="916">
        <v>0.2</v>
      </c>
      <c r="O118" s="916">
        <v>4.84</v>
      </c>
      <c r="P118" s="915"/>
      <c r="Q118" s="916">
        <v>2.16</v>
      </c>
      <c r="R118" s="917">
        <v>0.33333333333333331</v>
      </c>
      <c r="S118" s="918">
        <v>1.4</v>
      </c>
      <c r="T118" s="918">
        <v>2.84</v>
      </c>
      <c r="U118" s="916">
        <v>4.5540000000000003</v>
      </c>
      <c r="V118" s="916">
        <v>0.92</v>
      </c>
      <c r="W118" s="915"/>
      <c r="X118" s="916">
        <v>0.28299999999999997</v>
      </c>
      <c r="Y118" s="916">
        <v>0.40699999999999997</v>
      </c>
      <c r="Z118" s="916">
        <v>4.5789999999999997</v>
      </c>
      <c r="AA118" s="916">
        <v>1.0229999999999999</v>
      </c>
      <c r="AB118" s="916">
        <v>3.0089999999999999</v>
      </c>
      <c r="AC118" s="915"/>
      <c r="AD118" s="919">
        <v>74.971999999999994</v>
      </c>
      <c r="AE118" s="920">
        <v>70.929000000000002</v>
      </c>
      <c r="AF118" s="920" t="s">
        <v>21</v>
      </c>
      <c r="AG118" s="920" t="s">
        <v>21</v>
      </c>
      <c r="AH118" s="921">
        <v>70.929000000000002</v>
      </c>
      <c r="AI118" s="921" t="s">
        <v>21</v>
      </c>
      <c r="AJ118" s="920" t="s">
        <v>21</v>
      </c>
      <c r="AK118" s="920" t="s">
        <v>21</v>
      </c>
      <c r="AL118" s="921" t="s">
        <v>21</v>
      </c>
      <c r="AM118" s="921" t="s">
        <v>21</v>
      </c>
      <c r="AN118" s="920"/>
      <c r="AO118" s="920" t="s">
        <v>21</v>
      </c>
      <c r="AP118" s="919">
        <v>21.686</v>
      </c>
      <c r="AQ118" s="933">
        <v>70.541460000000001</v>
      </c>
      <c r="AR118" s="925" t="s">
        <v>21</v>
      </c>
      <c r="AS118" s="925">
        <v>70.541460000000001</v>
      </c>
      <c r="AT118" s="925" t="s">
        <v>21</v>
      </c>
      <c r="AU118" s="925" t="s">
        <v>21</v>
      </c>
      <c r="AV118" s="926" t="s">
        <v>21</v>
      </c>
      <c r="AW118" s="926" t="s">
        <v>21</v>
      </c>
      <c r="AX118" s="926" t="s">
        <v>21</v>
      </c>
      <c r="AY118" s="926" t="s">
        <v>21</v>
      </c>
      <c r="AZ118" s="925" t="s">
        <v>21</v>
      </c>
      <c r="BA118" s="925"/>
      <c r="BB118" s="919">
        <v>2.169</v>
      </c>
      <c r="BC118" s="919" t="s">
        <v>21</v>
      </c>
      <c r="BD118" s="919" t="s">
        <v>2142</v>
      </c>
      <c r="BE118" s="925" t="s">
        <v>21</v>
      </c>
      <c r="BF118" s="926" t="s">
        <v>21</v>
      </c>
      <c r="BG118" s="925">
        <v>15.49</v>
      </c>
      <c r="BH118" s="926" t="s">
        <v>21</v>
      </c>
      <c r="BI118" s="925" t="s">
        <v>21</v>
      </c>
      <c r="BJ118" s="926" t="s">
        <v>21</v>
      </c>
      <c r="BK118" s="925" t="s">
        <v>21</v>
      </c>
      <c r="BL118" s="926" t="s">
        <v>21</v>
      </c>
      <c r="BM118" s="925" t="s">
        <v>21</v>
      </c>
      <c r="BN118" s="927"/>
      <c r="BO118" s="927"/>
      <c r="BP118" s="928">
        <v>1</v>
      </c>
      <c r="BQ118" s="928" t="s">
        <v>21</v>
      </c>
      <c r="BR118" s="928" t="s">
        <v>21</v>
      </c>
      <c r="BS118" s="928" t="s">
        <v>21</v>
      </c>
      <c r="BT118" s="928" t="s">
        <v>21</v>
      </c>
      <c r="BU118" s="928" t="s">
        <v>21</v>
      </c>
      <c r="BV118" s="934">
        <v>0.50000000000009104</v>
      </c>
      <c r="BW118" s="934">
        <v>1</v>
      </c>
      <c r="BX118" s="1104">
        <v>2</v>
      </c>
      <c r="BY118" s="931">
        <v>4</v>
      </c>
      <c r="BZ118" s="930" t="s">
        <v>21</v>
      </c>
      <c r="CA118" s="1074" t="s">
        <v>21</v>
      </c>
      <c r="CB118" s="930" t="s">
        <v>21</v>
      </c>
      <c r="CC118" s="930" t="s">
        <v>21</v>
      </c>
      <c r="CD118" s="925">
        <v>15.846</v>
      </c>
      <c r="CE118" s="1130">
        <v>46.609000000000002</v>
      </c>
      <c r="CF118" s="1129" t="s">
        <v>21</v>
      </c>
      <c r="CG118" s="1130" t="s">
        <v>21</v>
      </c>
      <c r="CH118" s="1130" t="s">
        <v>21</v>
      </c>
      <c r="CI118" s="1131" t="s">
        <v>21</v>
      </c>
      <c r="CJ118" s="1129" t="s">
        <v>21</v>
      </c>
      <c r="CK118" s="1130">
        <v>46.609000000000002</v>
      </c>
      <c r="CL118" s="1130" t="s">
        <v>21</v>
      </c>
      <c r="CM118" s="1131" t="s">
        <v>21</v>
      </c>
      <c r="CN118" s="1130" t="s">
        <v>21</v>
      </c>
      <c r="CP118" s="838" t="s">
        <v>21</v>
      </c>
      <c r="CQ118" s="838" t="s">
        <v>21</v>
      </c>
      <c r="CR118" s="836"/>
    </row>
    <row r="119" spans="1:96" x14ac:dyDescent="0.25">
      <c r="A119" s="935"/>
      <c r="B119" s="932"/>
      <c r="C119" s="911"/>
      <c r="D119" s="911"/>
      <c r="E119" s="912"/>
      <c r="F119" s="912"/>
      <c r="G119" s="910"/>
      <c r="H119" s="912"/>
      <c r="I119" s="912"/>
      <c r="J119" s="914"/>
      <c r="K119" s="915"/>
      <c r="L119" s="916" t="s">
        <v>21</v>
      </c>
      <c r="M119" s="916" t="s">
        <v>21</v>
      </c>
      <c r="N119" s="916" t="s">
        <v>21</v>
      </c>
      <c r="O119" s="916" t="s">
        <v>21</v>
      </c>
      <c r="P119" s="915"/>
      <c r="Q119" s="916" t="s">
        <v>21</v>
      </c>
      <c r="R119" s="917" t="s">
        <v>21</v>
      </c>
      <c r="S119" s="918" t="s">
        <v>21</v>
      </c>
      <c r="T119" s="918" t="s">
        <v>21</v>
      </c>
      <c r="U119" s="916" t="s">
        <v>21</v>
      </c>
      <c r="V119" s="916" t="s">
        <v>21</v>
      </c>
      <c r="W119" s="915"/>
      <c r="X119" s="916" t="s">
        <v>21</v>
      </c>
      <c r="Y119" s="916" t="s">
        <v>21</v>
      </c>
      <c r="Z119" s="916" t="s">
        <v>21</v>
      </c>
      <c r="AA119" s="916" t="s">
        <v>21</v>
      </c>
      <c r="AB119" s="916" t="s">
        <v>21</v>
      </c>
      <c r="AC119" s="915"/>
      <c r="AD119" s="919" t="s">
        <v>21</v>
      </c>
      <c r="AE119" s="920" t="s">
        <v>21</v>
      </c>
      <c r="AF119" s="920" t="s">
        <v>21</v>
      </c>
      <c r="AG119" s="920" t="s">
        <v>21</v>
      </c>
      <c r="AH119" s="921" t="s">
        <v>21</v>
      </c>
      <c r="AI119" s="921" t="s">
        <v>21</v>
      </c>
      <c r="AJ119" s="920" t="s">
        <v>21</v>
      </c>
      <c r="AK119" s="920" t="s">
        <v>21</v>
      </c>
      <c r="AL119" s="921" t="s">
        <v>21</v>
      </c>
      <c r="AM119" s="921" t="s">
        <v>21</v>
      </c>
      <c r="AN119" s="920"/>
      <c r="AO119" s="920" t="s">
        <v>21</v>
      </c>
      <c r="AP119" s="919" t="s">
        <v>21</v>
      </c>
      <c r="AQ119" s="933" t="s">
        <v>21</v>
      </c>
      <c r="AR119" s="925" t="s">
        <v>21</v>
      </c>
      <c r="AS119" s="925" t="s">
        <v>21</v>
      </c>
      <c r="AT119" s="925" t="s">
        <v>21</v>
      </c>
      <c r="AU119" s="925" t="s">
        <v>21</v>
      </c>
      <c r="AV119" s="926" t="s">
        <v>21</v>
      </c>
      <c r="AW119" s="926" t="s">
        <v>21</v>
      </c>
      <c r="AX119" s="926" t="s">
        <v>21</v>
      </c>
      <c r="AY119" s="926" t="s">
        <v>21</v>
      </c>
      <c r="AZ119" s="925" t="s">
        <v>21</v>
      </c>
      <c r="BA119" s="925"/>
      <c r="BB119" s="919" t="s">
        <v>21</v>
      </c>
      <c r="BC119" s="919" t="s">
        <v>21</v>
      </c>
      <c r="BD119" s="919" t="s">
        <v>21</v>
      </c>
      <c r="BE119" s="925" t="s">
        <v>21</v>
      </c>
      <c r="BF119" s="926" t="s">
        <v>21</v>
      </c>
      <c r="BG119" s="925" t="s">
        <v>21</v>
      </c>
      <c r="BH119" s="926" t="s">
        <v>21</v>
      </c>
      <c r="BI119" s="925" t="s">
        <v>21</v>
      </c>
      <c r="BJ119" s="926" t="s">
        <v>21</v>
      </c>
      <c r="BK119" s="925" t="s">
        <v>21</v>
      </c>
      <c r="BL119" s="926" t="s">
        <v>21</v>
      </c>
      <c r="BM119" s="925" t="s">
        <v>21</v>
      </c>
      <c r="BN119" s="927"/>
      <c r="BO119" s="927"/>
      <c r="BP119" s="928" t="s">
        <v>21</v>
      </c>
      <c r="BQ119" s="928" t="s">
        <v>21</v>
      </c>
      <c r="BR119" s="928" t="s">
        <v>21</v>
      </c>
      <c r="BS119" s="928" t="s">
        <v>21</v>
      </c>
      <c r="BT119" s="928" t="s">
        <v>21</v>
      </c>
      <c r="BU119" s="928" t="s">
        <v>21</v>
      </c>
      <c r="BV119" s="934" t="s">
        <v>21</v>
      </c>
      <c r="BW119" s="934" t="s">
        <v>21</v>
      </c>
      <c r="BX119" s="1104" t="s">
        <v>21</v>
      </c>
      <c r="BY119" s="931" t="s">
        <v>21</v>
      </c>
      <c r="BZ119" s="930" t="s">
        <v>21</v>
      </c>
      <c r="CA119" s="1074" t="s">
        <v>21</v>
      </c>
      <c r="CB119" s="930" t="s">
        <v>21</v>
      </c>
      <c r="CC119" s="930" t="s">
        <v>21</v>
      </c>
      <c r="CD119" s="925" t="s">
        <v>21</v>
      </c>
      <c r="CE119" s="1130" t="s">
        <v>21</v>
      </c>
      <c r="CF119" s="1129" t="s">
        <v>21</v>
      </c>
      <c r="CG119" s="1130" t="s">
        <v>21</v>
      </c>
      <c r="CH119" s="1130" t="s">
        <v>21</v>
      </c>
      <c r="CI119" s="1131" t="s">
        <v>21</v>
      </c>
      <c r="CJ119" s="1129" t="s">
        <v>21</v>
      </c>
      <c r="CK119" s="1130" t="s">
        <v>21</v>
      </c>
      <c r="CL119" s="1130" t="s">
        <v>21</v>
      </c>
      <c r="CM119" s="1131" t="s">
        <v>21</v>
      </c>
      <c r="CN119" s="1130" t="s">
        <v>21</v>
      </c>
      <c r="CP119" s="838" t="s">
        <v>21</v>
      </c>
      <c r="CQ119" s="838" t="s">
        <v>21</v>
      </c>
      <c r="CR119" s="836"/>
    </row>
    <row r="120" spans="1:96" x14ac:dyDescent="0.25">
      <c r="A120" s="935" t="s">
        <v>2503</v>
      </c>
      <c r="B120" s="932" t="s">
        <v>2234</v>
      </c>
      <c r="C120" s="911">
        <v>600</v>
      </c>
      <c r="D120" s="911" t="s">
        <v>2116</v>
      </c>
      <c r="E120" s="912">
        <v>1139.0999999999999</v>
      </c>
      <c r="F120" s="912">
        <v>1137.2</v>
      </c>
      <c r="G120" s="932" t="s">
        <v>2266</v>
      </c>
      <c r="H120" s="912">
        <v>1137.3699999999999</v>
      </c>
      <c r="I120" s="912">
        <v>1135.47</v>
      </c>
      <c r="J120" s="914">
        <v>48.13</v>
      </c>
      <c r="K120" s="915"/>
      <c r="L120" s="916">
        <v>0.1</v>
      </c>
      <c r="M120" s="916">
        <v>0.06</v>
      </c>
      <c r="N120" s="916">
        <v>0.2</v>
      </c>
      <c r="O120" s="916">
        <v>4.84</v>
      </c>
      <c r="P120" s="915"/>
      <c r="Q120" s="916">
        <v>2.16</v>
      </c>
      <c r="R120" s="917">
        <v>0.33333333333333331</v>
      </c>
      <c r="S120" s="918">
        <v>1.4</v>
      </c>
      <c r="T120" s="918">
        <v>2.84</v>
      </c>
      <c r="U120" s="916">
        <v>4.5540000000000003</v>
      </c>
      <c r="V120" s="916">
        <v>0.92</v>
      </c>
      <c r="W120" s="915"/>
      <c r="X120" s="916">
        <v>0.28299999999999997</v>
      </c>
      <c r="Y120" s="916">
        <v>0.40699999999999997</v>
      </c>
      <c r="Z120" s="916">
        <v>4.5789999999999997</v>
      </c>
      <c r="AA120" s="916">
        <v>1.0229999999999999</v>
      </c>
      <c r="AB120" s="916">
        <v>3.0089999999999999</v>
      </c>
      <c r="AC120" s="915"/>
      <c r="AD120" s="919">
        <v>232.94900000000001</v>
      </c>
      <c r="AE120" s="920">
        <v>220.387</v>
      </c>
      <c r="AF120" s="920" t="s">
        <v>21</v>
      </c>
      <c r="AG120" s="920" t="s">
        <v>21</v>
      </c>
      <c r="AH120" s="921">
        <v>220.387</v>
      </c>
      <c r="AI120" s="921" t="s">
        <v>21</v>
      </c>
      <c r="AJ120" s="920" t="s">
        <v>21</v>
      </c>
      <c r="AK120" s="920" t="s">
        <v>21</v>
      </c>
      <c r="AL120" s="921" t="s">
        <v>21</v>
      </c>
      <c r="AM120" s="921" t="s">
        <v>21</v>
      </c>
      <c r="AN120" s="920"/>
      <c r="AO120" s="920" t="s">
        <v>21</v>
      </c>
      <c r="AP120" s="919">
        <v>67.382000000000005</v>
      </c>
      <c r="AQ120" s="933">
        <v>219.18402000000003</v>
      </c>
      <c r="AR120" s="925" t="s">
        <v>21</v>
      </c>
      <c r="AS120" s="925">
        <v>219.18402000000003</v>
      </c>
      <c r="AT120" s="925" t="s">
        <v>21</v>
      </c>
      <c r="AU120" s="925" t="s">
        <v>21</v>
      </c>
      <c r="AV120" s="926" t="s">
        <v>21</v>
      </c>
      <c r="AW120" s="926" t="s">
        <v>21</v>
      </c>
      <c r="AX120" s="926" t="s">
        <v>21</v>
      </c>
      <c r="AY120" s="926" t="s">
        <v>21</v>
      </c>
      <c r="AZ120" s="925" t="s">
        <v>21</v>
      </c>
      <c r="BA120" s="925"/>
      <c r="BB120" s="919">
        <v>6.7380000000000004</v>
      </c>
      <c r="BC120" s="919" t="s">
        <v>21</v>
      </c>
      <c r="BD120" s="919" t="s">
        <v>2142</v>
      </c>
      <c r="BE120" s="925" t="s">
        <v>21</v>
      </c>
      <c r="BF120" s="926" t="s">
        <v>21</v>
      </c>
      <c r="BG120" s="925">
        <v>48.13</v>
      </c>
      <c r="BH120" s="926" t="s">
        <v>21</v>
      </c>
      <c r="BI120" s="925" t="s">
        <v>21</v>
      </c>
      <c r="BJ120" s="926" t="s">
        <v>21</v>
      </c>
      <c r="BK120" s="925" t="s">
        <v>21</v>
      </c>
      <c r="BL120" s="926" t="s">
        <v>21</v>
      </c>
      <c r="BM120" s="925" t="s">
        <v>21</v>
      </c>
      <c r="BN120" s="927"/>
      <c r="BO120" s="927"/>
      <c r="BP120" s="928">
        <v>1</v>
      </c>
      <c r="BQ120" s="928" t="s">
        <v>21</v>
      </c>
      <c r="BR120" s="928" t="s">
        <v>21</v>
      </c>
      <c r="BS120" s="928" t="s">
        <v>21</v>
      </c>
      <c r="BT120" s="928" t="s">
        <v>21</v>
      </c>
      <c r="BU120" s="928" t="s">
        <v>21</v>
      </c>
      <c r="BV120" s="934">
        <v>0.49999999999986366</v>
      </c>
      <c r="BW120" s="934">
        <v>0.5</v>
      </c>
      <c r="BX120" s="1104">
        <v>1</v>
      </c>
      <c r="BY120" s="931">
        <v>3</v>
      </c>
      <c r="BZ120" s="930">
        <v>1</v>
      </c>
      <c r="CA120" s="1074" t="s">
        <v>21</v>
      </c>
      <c r="CB120" s="930" t="s">
        <v>21</v>
      </c>
      <c r="CC120" s="930" t="s">
        <v>21</v>
      </c>
      <c r="CD120" s="925">
        <v>49.237000000000002</v>
      </c>
      <c r="CE120" s="1130">
        <v>144.82300000000001</v>
      </c>
      <c r="CF120" s="1129" t="s">
        <v>21</v>
      </c>
      <c r="CG120" s="1130" t="s">
        <v>21</v>
      </c>
      <c r="CH120" s="1130" t="s">
        <v>21</v>
      </c>
      <c r="CI120" s="1131" t="s">
        <v>21</v>
      </c>
      <c r="CJ120" s="1129" t="s">
        <v>21</v>
      </c>
      <c r="CK120" s="1130">
        <v>144.82300000000001</v>
      </c>
      <c r="CL120" s="1130" t="s">
        <v>21</v>
      </c>
      <c r="CM120" s="1131" t="s">
        <v>21</v>
      </c>
      <c r="CN120" s="1130" t="s">
        <v>21</v>
      </c>
      <c r="CP120" s="838" t="s">
        <v>21</v>
      </c>
      <c r="CQ120" s="838" t="s">
        <v>21</v>
      </c>
      <c r="CR120" s="836"/>
    </row>
    <row r="121" spans="1:96" x14ac:dyDescent="0.25">
      <c r="A121" s="935"/>
      <c r="B121" s="932" t="s">
        <v>2266</v>
      </c>
      <c r="C121" s="911">
        <v>600</v>
      </c>
      <c r="D121" s="911" t="s">
        <v>2116</v>
      </c>
      <c r="E121" s="912">
        <v>1137.3699999999999</v>
      </c>
      <c r="F121" s="912">
        <v>1135.3699999999999</v>
      </c>
      <c r="G121" s="932" t="s">
        <v>2275</v>
      </c>
      <c r="H121" s="912">
        <v>1136</v>
      </c>
      <c r="I121" s="912">
        <v>1134.0999999999999</v>
      </c>
      <c r="J121" s="914">
        <v>47.96</v>
      </c>
      <c r="K121" s="915"/>
      <c r="L121" s="916">
        <v>0.1</v>
      </c>
      <c r="M121" s="916">
        <v>0.06</v>
      </c>
      <c r="N121" s="916">
        <v>0.2</v>
      </c>
      <c r="O121" s="916">
        <v>4.8730000000000002</v>
      </c>
      <c r="P121" s="915"/>
      <c r="Q121" s="916">
        <v>2.21</v>
      </c>
      <c r="R121" s="917">
        <v>0.33333333333333331</v>
      </c>
      <c r="S121" s="918">
        <v>1.4</v>
      </c>
      <c r="T121" s="918">
        <v>2.8730000000000002</v>
      </c>
      <c r="U121" s="916">
        <v>4.6589999999999998</v>
      </c>
      <c r="V121" s="916">
        <v>0.92</v>
      </c>
      <c r="W121" s="915"/>
      <c r="X121" s="916">
        <v>0.28299999999999997</v>
      </c>
      <c r="Y121" s="916">
        <v>0.40699999999999997</v>
      </c>
      <c r="Z121" s="916">
        <v>4.7220000000000004</v>
      </c>
      <c r="AA121" s="916">
        <v>1.0229999999999999</v>
      </c>
      <c r="AB121" s="916">
        <v>3.1520000000000001</v>
      </c>
      <c r="AC121" s="915"/>
      <c r="AD121" s="919">
        <v>233.709</v>
      </c>
      <c r="AE121" s="920">
        <v>226.46700000000001</v>
      </c>
      <c r="AF121" s="920" t="s">
        <v>21</v>
      </c>
      <c r="AG121" s="920" t="s">
        <v>21</v>
      </c>
      <c r="AH121" s="921">
        <v>226.46700000000001</v>
      </c>
      <c r="AI121" s="921" t="s">
        <v>21</v>
      </c>
      <c r="AJ121" s="920" t="s">
        <v>21</v>
      </c>
      <c r="AK121" s="920" t="s">
        <v>21</v>
      </c>
      <c r="AL121" s="921" t="s">
        <v>21</v>
      </c>
      <c r="AM121" s="921" t="s">
        <v>21</v>
      </c>
      <c r="AN121" s="920"/>
      <c r="AO121" s="920" t="s">
        <v>21</v>
      </c>
      <c r="AP121" s="919">
        <v>67.144000000000005</v>
      </c>
      <c r="AQ121" s="933">
        <v>223.44564</v>
      </c>
      <c r="AR121" s="925" t="s">
        <v>21</v>
      </c>
      <c r="AS121" s="925">
        <v>223.44564</v>
      </c>
      <c r="AT121" s="925" t="s">
        <v>21</v>
      </c>
      <c r="AU121" s="925" t="s">
        <v>21</v>
      </c>
      <c r="AV121" s="926" t="s">
        <v>21</v>
      </c>
      <c r="AW121" s="926" t="s">
        <v>21</v>
      </c>
      <c r="AX121" s="926" t="s">
        <v>21</v>
      </c>
      <c r="AY121" s="926" t="s">
        <v>21</v>
      </c>
      <c r="AZ121" s="925" t="s">
        <v>21</v>
      </c>
      <c r="BA121" s="925"/>
      <c r="BB121" s="919">
        <v>6.7140000000000004</v>
      </c>
      <c r="BC121" s="919" t="s">
        <v>21</v>
      </c>
      <c r="BD121" s="919" t="s">
        <v>2142</v>
      </c>
      <c r="BE121" s="925" t="s">
        <v>21</v>
      </c>
      <c r="BF121" s="926" t="s">
        <v>21</v>
      </c>
      <c r="BG121" s="925">
        <v>47.96</v>
      </c>
      <c r="BH121" s="926" t="s">
        <v>21</v>
      </c>
      <c r="BI121" s="925" t="s">
        <v>21</v>
      </c>
      <c r="BJ121" s="926" t="s">
        <v>21</v>
      </c>
      <c r="BK121" s="925" t="s">
        <v>21</v>
      </c>
      <c r="BL121" s="926" t="s">
        <v>21</v>
      </c>
      <c r="BM121" s="925" t="s">
        <v>21</v>
      </c>
      <c r="BN121" s="927"/>
      <c r="BO121" s="927"/>
      <c r="BP121" s="928">
        <v>1</v>
      </c>
      <c r="BQ121" s="928" t="s">
        <v>21</v>
      </c>
      <c r="BR121" s="928" t="s">
        <v>21</v>
      </c>
      <c r="BS121" s="928" t="s">
        <v>21</v>
      </c>
      <c r="BT121" s="928" t="s">
        <v>21</v>
      </c>
      <c r="BU121" s="928" t="s">
        <v>21</v>
      </c>
      <c r="BV121" s="934">
        <v>0.60000000000000009</v>
      </c>
      <c r="BW121" s="934">
        <v>1</v>
      </c>
      <c r="BX121" s="1104">
        <v>2</v>
      </c>
      <c r="BY121" s="931">
        <v>4</v>
      </c>
      <c r="BZ121" s="930">
        <v>2</v>
      </c>
      <c r="CA121" s="1074" t="s">
        <v>21</v>
      </c>
      <c r="CB121" s="930" t="s">
        <v>21</v>
      </c>
      <c r="CC121" s="930" t="s">
        <v>21</v>
      </c>
      <c r="CD121" s="925">
        <v>49.063000000000002</v>
      </c>
      <c r="CE121" s="1130">
        <v>151.16999999999999</v>
      </c>
      <c r="CF121" s="1129" t="s">
        <v>21</v>
      </c>
      <c r="CG121" s="1130" t="s">
        <v>21</v>
      </c>
      <c r="CH121" s="1130" t="s">
        <v>21</v>
      </c>
      <c r="CI121" s="1131" t="s">
        <v>21</v>
      </c>
      <c r="CJ121" s="1129" t="s">
        <v>21</v>
      </c>
      <c r="CK121" s="1130">
        <v>151.16999999999999</v>
      </c>
      <c r="CL121" s="1130" t="s">
        <v>21</v>
      </c>
      <c r="CM121" s="1131" t="s">
        <v>21</v>
      </c>
      <c r="CN121" s="1130" t="s">
        <v>21</v>
      </c>
      <c r="CP121" s="838" t="s">
        <v>21</v>
      </c>
      <c r="CQ121" s="838" t="s">
        <v>21</v>
      </c>
      <c r="CR121" s="836"/>
    </row>
    <row r="122" spans="1:96" x14ac:dyDescent="0.25">
      <c r="A122" s="935"/>
      <c r="B122" s="932" t="s">
        <v>2275</v>
      </c>
      <c r="C122" s="911">
        <v>600</v>
      </c>
      <c r="D122" s="911" t="s">
        <v>2116</v>
      </c>
      <c r="E122" s="912">
        <v>1136</v>
      </c>
      <c r="F122" s="912">
        <v>1134</v>
      </c>
      <c r="G122" s="932" t="s">
        <v>2276</v>
      </c>
      <c r="H122" s="912">
        <v>1135</v>
      </c>
      <c r="I122" s="912">
        <v>1133.0999999999999</v>
      </c>
      <c r="J122" s="914">
        <v>48.6</v>
      </c>
      <c r="K122" s="915"/>
      <c r="L122" s="916">
        <v>0.1</v>
      </c>
      <c r="M122" s="916">
        <v>0.06</v>
      </c>
      <c r="N122" s="916">
        <v>0.2</v>
      </c>
      <c r="O122" s="916">
        <v>4.8730000000000002</v>
      </c>
      <c r="P122" s="915"/>
      <c r="Q122" s="916">
        <v>2.21</v>
      </c>
      <c r="R122" s="917">
        <v>0.33333333333333331</v>
      </c>
      <c r="S122" s="918">
        <v>1.4</v>
      </c>
      <c r="T122" s="918">
        <v>2.8730000000000002</v>
      </c>
      <c r="U122" s="916">
        <v>4.6589999999999998</v>
      </c>
      <c r="V122" s="916">
        <v>0.92</v>
      </c>
      <c r="W122" s="915"/>
      <c r="X122" s="916">
        <v>0.28299999999999997</v>
      </c>
      <c r="Y122" s="916">
        <v>0.40699999999999997</v>
      </c>
      <c r="Z122" s="916">
        <v>4.7220000000000004</v>
      </c>
      <c r="AA122" s="916">
        <v>1.0229999999999999</v>
      </c>
      <c r="AB122" s="916">
        <v>3.1520000000000001</v>
      </c>
      <c r="AC122" s="915"/>
      <c r="AD122" s="919">
        <v>236.828</v>
      </c>
      <c r="AE122" s="920">
        <v>229.489</v>
      </c>
      <c r="AF122" s="920" t="s">
        <v>21</v>
      </c>
      <c r="AG122" s="920" t="s">
        <v>21</v>
      </c>
      <c r="AH122" s="921">
        <v>229.489</v>
      </c>
      <c r="AI122" s="921" t="s">
        <v>21</v>
      </c>
      <c r="AJ122" s="920" t="s">
        <v>21</v>
      </c>
      <c r="AK122" s="920" t="s">
        <v>21</v>
      </c>
      <c r="AL122" s="921" t="s">
        <v>21</v>
      </c>
      <c r="AM122" s="921" t="s">
        <v>21</v>
      </c>
      <c r="AN122" s="920"/>
      <c r="AO122" s="920" t="s">
        <v>21</v>
      </c>
      <c r="AP122" s="919">
        <v>68.040000000000006</v>
      </c>
      <c r="AQ122" s="933">
        <v>226.42740000000001</v>
      </c>
      <c r="AR122" s="925" t="s">
        <v>21</v>
      </c>
      <c r="AS122" s="925">
        <v>226.42740000000001</v>
      </c>
      <c r="AT122" s="925" t="s">
        <v>21</v>
      </c>
      <c r="AU122" s="925" t="s">
        <v>21</v>
      </c>
      <c r="AV122" s="926" t="s">
        <v>21</v>
      </c>
      <c r="AW122" s="926" t="s">
        <v>21</v>
      </c>
      <c r="AX122" s="926" t="s">
        <v>21</v>
      </c>
      <c r="AY122" s="926" t="s">
        <v>21</v>
      </c>
      <c r="AZ122" s="925" t="s">
        <v>21</v>
      </c>
      <c r="BA122" s="925"/>
      <c r="BB122" s="919">
        <v>6.8040000000000003</v>
      </c>
      <c r="BC122" s="919" t="s">
        <v>21</v>
      </c>
      <c r="BD122" s="919" t="s">
        <v>2142</v>
      </c>
      <c r="BE122" s="925" t="s">
        <v>21</v>
      </c>
      <c r="BF122" s="926" t="s">
        <v>21</v>
      </c>
      <c r="BG122" s="925">
        <v>48.6</v>
      </c>
      <c r="BH122" s="926" t="s">
        <v>21</v>
      </c>
      <c r="BI122" s="925" t="s">
        <v>21</v>
      </c>
      <c r="BJ122" s="926" t="s">
        <v>21</v>
      </c>
      <c r="BK122" s="925" t="s">
        <v>21</v>
      </c>
      <c r="BL122" s="926" t="s">
        <v>21</v>
      </c>
      <c r="BM122" s="925" t="s">
        <v>21</v>
      </c>
      <c r="BN122" s="927"/>
      <c r="BO122" s="927"/>
      <c r="BP122" s="928">
        <v>1</v>
      </c>
      <c r="BQ122" s="928" t="s">
        <v>21</v>
      </c>
      <c r="BR122" s="928" t="s">
        <v>21</v>
      </c>
      <c r="BS122" s="928" t="s">
        <v>21</v>
      </c>
      <c r="BT122" s="928" t="s">
        <v>21</v>
      </c>
      <c r="BU122" s="928" t="s">
        <v>21</v>
      </c>
      <c r="BV122" s="934">
        <v>0.60000000000000009</v>
      </c>
      <c r="BW122" s="934">
        <v>1</v>
      </c>
      <c r="BX122" s="1104">
        <v>2</v>
      </c>
      <c r="BY122" s="931">
        <v>4</v>
      </c>
      <c r="BZ122" s="930">
        <v>2</v>
      </c>
      <c r="CA122" s="1074" t="s">
        <v>21</v>
      </c>
      <c r="CB122" s="930" t="s">
        <v>21</v>
      </c>
      <c r="CC122" s="930" t="s">
        <v>21</v>
      </c>
      <c r="CD122" s="925">
        <v>49.718000000000004</v>
      </c>
      <c r="CE122" s="1130">
        <v>153.18700000000001</v>
      </c>
      <c r="CF122" s="1129" t="s">
        <v>21</v>
      </c>
      <c r="CG122" s="1130" t="s">
        <v>21</v>
      </c>
      <c r="CH122" s="1130" t="s">
        <v>21</v>
      </c>
      <c r="CI122" s="1131" t="s">
        <v>21</v>
      </c>
      <c r="CJ122" s="1129" t="s">
        <v>21</v>
      </c>
      <c r="CK122" s="1130">
        <v>153.18700000000001</v>
      </c>
      <c r="CL122" s="1130" t="s">
        <v>21</v>
      </c>
      <c r="CM122" s="1131" t="s">
        <v>21</v>
      </c>
      <c r="CN122" s="1130" t="s">
        <v>21</v>
      </c>
      <c r="CP122" s="838" t="s">
        <v>21</v>
      </c>
      <c r="CQ122" s="838" t="s">
        <v>21</v>
      </c>
      <c r="CR122" s="836"/>
    </row>
    <row r="123" spans="1:96" x14ac:dyDescent="0.25">
      <c r="A123" s="935"/>
      <c r="B123" s="932" t="s">
        <v>2276</v>
      </c>
      <c r="C123" s="911">
        <v>600</v>
      </c>
      <c r="D123" s="911" t="s">
        <v>2116</v>
      </c>
      <c r="E123" s="912">
        <v>1135</v>
      </c>
      <c r="F123" s="912">
        <v>1133.0999999999999</v>
      </c>
      <c r="G123" s="932" t="s">
        <v>2277</v>
      </c>
      <c r="H123" s="912">
        <v>1134.83</v>
      </c>
      <c r="I123" s="912">
        <v>1132.93</v>
      </c>
      <c r="J123" s="914">
        <v>17.04</v>
      </c>
      <c r="K123" s="915"/>
      <c r="L123" s="916">
        <v>0.1</v>
      </c>
      <c r="M123" s="916">
        <v>0.06</v>
      </c>
      <c r="N123" s="916">
        <v>0.2</v>
      </c>
      <c r="O123" s="916">
        <v>4.84</v>
      </c>
      <c r="P123" s="915"/>
      <c r="Q123" s="916">
        <v>2.16</v>
      </c>
      <c r="R123" s="917">
        <v>0.33333333333333331</v>
      </c>
      <c r="S123" s="918">
        <v>1.4</v>
      </c>
      <c r="T123" s="918">
        <v>2.84</v>
      </c>
      <c r="U123" s="916">
        <v>4.5540000000000003</v>
      </c>
      <c r="V123" s="916">
        <v>0.92</v>
      </c>
      <c r="W123" s="915"/>
      <c r="X123" s="916">
        <v>0.28299999999999997</v>
      </c>
      <c r="Y123" s="916">
        <v>0.40699999999999997</v>
      </c>
      <c r="Z123" s="916">
        <v>4.5789999999999997</v>
      </c>
      <c r="AA123" s="916">
        <v>1.0229999999999999</v>
      </c>
      <c r="AB123" s="916">
        <v>3.0089999999999999</v>
      </c>
      <c r="AC123" s="915"/>
      <c r="AD123" s="919">
        <v>82.474000000000004</v>
      </c>
      <c r="AE123" s="920">
        <v>78.025999999999996</v>
      </c>
      <c r="AF123" s="920" t="s">
        <v>21</v>
      </c>
      <c r="AG123" s="920" t="s">
        <v>21</v>
      </c>
      <c r="AH123" s="921">
        <v>78.025999999999996</v>
      </c>
      <c r="AI123" s="921" t="s">
        <v>21</v>
      </c>
      <c r="AJ123" s="920" t="s">
        <v>21</v>
      </c>
      <c r="AK123" s="920" t="s">
        <v>21</v>
      </c>
      <c r="AL123" s="921" t="s">
        <v>21</v>
      </c>
      <c r="AM123" s="921" t="s">
        <v>21</v>
      </c>
      <c r="AN123" s="920"/>
      <c r="AO123" s="920" t="s">
        <v>21</v>
      </c>
      <c r="AP123" s="919">
        <v>23.856000000000002</v>
      </c>
      <c r="AQ123" s="933">
        <v>77.600160000000002</v>
      </c>
      <c r="AR123" s="925" t="s">
        <v>21</v>
      </c>
      <c r="AS123" s="925">
        <v>77.600160000000002</v>
      </c>
      <c r="AT123" s="925" t="s">
        <v>21</v>
      </c>
      <c r="AU123" s="925" t="s">
        <v>21</v>
      </c>
      <c r="AV123" s="926" t="s">
        <v>21</v>
      </c>
      <c r="AW123" s="926" t="s">
        <v>21</v>
      </c>
      <c r="AX123" s="926" t="s">
        <v>21</v>
      </c>
      <c r="AY123" s="926" t="s">
        <v>21</v>
      </c>
      <c r="AZ123" s="925" t="s">
        <v>21</v>
      </c>
      <c r="BA123" s="925"/>
      <c r="BB123" s="919">
        <v>2.3860000000000001</v>
      </c>
      <c r="BC123" s="919" t="s">
        <v>21</v>
      </c>
      <c r="BD123" s="919" t="s">
        <v>2142</v>
      </c>
      <c r="BE123" s="925" t="s">
        <v>21</v>
      </c>
      <c r="BF123" s="926" t="s">
        <v>21</v>
      </c>
      <c r="BG123" s="925">
        <v>17.04</v>
      </c>
      <c r="BH123" s="926" t="s">
        <v>21</v>
      </c>
      <c r="BI123" s="925" t="s">
        <v>21</v>
      </c>
      <c r="BJ123" s="926" t="s">
        <v>21</v>
      </c>
      <c r="BK123" s="925" t="s">
        <v>21</v>
      </c>
      <c r="BL123" s="926" t="s">
        <v>21</v>
      </c>
      <c r="BM123" s="925" t="s">
        <v>21</v>
      </c>
      <c r="BN123" s="927"/>
      <c r="BO123" s="927"/>
      <c r="BP123" s="928">
        <v>1</v>
      </c>
      <c r="BQ123" s="928" t="s">
        <v>21</v>
      </c>
      <c r="BR123" s="928" t="s">
        <v>21</v>
      </c>
      <c r="BS123" s="928" t="s">
        <v>21</v>
      </c>
      <c r="BT123" s="928" t="s">
        <v>21</v>
      </c>
      <c r="BU123" s="928" t="s">
        <v>21</v>
      </c>
      <c r="BV123" s="934">
        <v>0.50000000000009104</v>
      </c>
      <c r="BW123" s="934">
        <v>1</v>
      </c>
      <c r="BX123" s="1104">
        <v>2</v>
      </c>
      <c r="BY123" s="931">
        <v>4</v>
      </c>
      <c r="BZ123" s="930">
        <v>2</v>
      </c>
      <c r="CA123" s="1074" t="s">
        <v>21</v>
      </c>
      <c r="CB123" s="930" t="s">
        <v>21</v>
      </c>
      <c r="CC123" s="930" t="s">
        <v>21</v>
      </c>
      <c r="CD123" s="925">
        <v>17.431999999999999</v>
      </c>
      <c r="CE123" s="1130">
        <v>51.273000000000003</v>
      </c>
      <c r="CF123" s="1129" t="s">
        <v>21</v>
      </c>
      <c r="CG123" s="1130" t="s">
        <v>21</v>
      </c>
      <c r="CH123" s="1130" t="s">
        <v>21</v>
      </c>
      <c r="CI123" s="1131" t="s">
        <v>21</v>
      </c>
      <c r="CJ123" s="1129" t="s">
        <v>21</v>
      </c>
      <c r="CK123" s="1130">
        <v>51.273000000000003</v>
      </c>
      <c r="CL123" s="1130" t="s">
        <v>21</v>
      </c>
      <c r="CM123" s="1131" t="s">
        <v>21</v>
      </c>
      <c r="CN123" s="1130" t="s">
        <v>21</v>
      </c>
      <c r="CP123" s="838" t="s">
        <v>21</v>
      </c>
      <c r="CQ123" s="838" t="s">
        <v>21</v>
      </c>
      <c r="CR123" s="836"/>
    </row>
    <row r="124" spans="1:96" x14ac:dyDescent="0.25">
      <c r="A124" s="935"/>
      <c r="B124" s="932" t="s">
        <v>2277</v>
      </c>
      <c r="C124" s="911">
        <v>600</v>
      </c>
      <c r="D124" s="911" t="s">
        <v>2116</v>
      </c>
      <c r="E124" s="912">
        <v>1134.83</v>
      </c>
      <c r="F124" s="912">
        <v>1132.93</v>
      </c>
      <c r="G124" s="932" t="s">
        <v>2278</v>
      </c>
      <c r="H124" s="912">
        <v>1134.01</v>
      </c>
      <c r="I124" s="912">
        <v>1132.1099999999999</v>
      </c>
      <c r="J124" s="914">
        <v>22.7</v>
      </c>
      <c r="K124" s="915"/>
      <c r="L124" s="916">
        <v>0.1</v>
      </c>
      <c r="M124" s="916">
        <v>0.06</v>
      </c>
      <c r="N124" s="916">
        <v>0.2</v>
      </c>
      <c r="O124" s="916">
        <v>4.84</v>
      </c>
      <c r="P124" s="915"/>
      <c r="Q124" s="916">
        <v>2.16</v>
      </c>
      <c r="R124" s="917">
        <v>0.33333333333333331</v>
      </c>
      <c r="S124" s="918">
        <v>1.4</v>
      </c>
      <c r="T124" s="918">
        <v>2.84</v>
      </c>
      <c r="U124" s="916">
        <v>4.5540000000000003</v>
      </c>
      <c r="V124" s="916">
        <v>0.92</v>
      </c>
      <c r="W124" s="915"/>
      <c r="X124" s="916">
        <v>0.28299999999999997</v>
      </c>
      <c r="Y124" s="916">
        <v>0.40699999999999997</v>
      </c>
      <c r="Z124" s="916">
        <v>4.5789999999999997</v>
      </c>
      <c r="AA124" s="916">
        <v>1.0229999999999999</v>
      </c>
      <c r="AB124" s="916">
        <v>3.0089999999999999</v>
      </c>
      <c r="AC124" s="915"/>
      <c r="AD124" s="919">
        <v>109.86799999999999</v>
      </c>
      <c r="AE124" s="920">
        <v>103.943</v>
      </c>
      <c r="AF124" s="920" t="s">
        <v>21</v>
      </c>
      <c r="AG124" s="920" t="s">
        <v>21</v>
      </c>
      <c r="AH124" s="921">
        <v>103.943</v>
      </c>
      <c r="AI124" s="921" t="s">
        <v>21</v>
      </c>
      <c r="AJ124" s="920" t="s">
        <v>21</v>
      </c>
      <c r="AK124" s="920" t="s">
        <v>21</v>
      </c>
      <c r="AL124" s="921" t="s">
        <v>21</v>
      </c>
      <c r="AM124" s="921" t="s">
        <v>21</v>
      </c>
      <c r="AN124" s="920"/>
      <c r="AO124" s="920" t="s">
        <v>21</v>
      </c>
      <c r="AP124" s="919">
        <v>31.78</v>
      </c>
      <c r="AQ124" s="933">
        <v>103.3758</v>
      </c>
      <c r="AR124" s="925" t="s">
        <v>21</v>
      </c>
      <c r="AS124" s="925">
        <v>103.3758</v>
      </c>
      <c r="AT124" s="925" t="s">
        <v>21</v>
      </c>
      <c r="AU124" s="925" t="s">
        <v>21</v>
      </c>
      <c r="AV124" s="926" t="s">
        <v>21</v>
      </c>
      <c r="AW124" s="926" t="s">
        <v>21</v>
      </c>
      <c r="AX124" s="926" t="s">
        <v>21</v>
      </c>
      <c r="AY124" s="926" t="s">
        <v>21</v>
      </c>
      <c r="AZ124" s="925" t="s">
        <v>21</v>
      </c>
      <c r="BA124" s="925"/>
      <c r="BB124" s="919">
        <v>3.1779999999999999</v>
      </c>
      <c r="BC124" s="919" t="s">
        <v>21</v>
      </c>
      <c r="BD124" s="919" t="s">
        <v>2142</v>
      </c>
      <c r="BE124" s="925" t="s">
        <v>21</v>
      </c>
      <c r="BF124" s="926" t="s">
        <v>21</v>
      </c>
      <c r="BG124" s="925">
        <v>22.7</v>
      </c>
      <c r="BH124" s="926" t="s">
        <v>21</v>
      </c>
      <c r="BI124" s="925" t="s">
        <v>21</v>
      </c>
      <c r="BJ124" s="926" t="s">
        <v>21</v>
      </c>
      <c r="BK124" s="925" t="s">
        <v>21</v>
      </c>
      <c r="BL124" s="926" t="s">
        <v>21</v>
      </c>
      <c r="BM124" s="925" t="s">
        <v>21</v>
      </c>
      <c r="BN124" s="927"/>
      <c r="BO124" s="927"/>
      <c r="BP124" s="928">
        <v>1</v>
      </c>
      <c r="BQ124" s="928" t="s">
        <v>21</v>
      </c>
      <c r="BR124" s="928" t="s">
        <v>21</v>
      </c>
      <c r="BS124" s="928" t="s">
        <v>21</v>
      </c>
      <c r="BT124" s="928" t="s">
        <v>21</v>
      </c>
      <c r="BU124" s="928" t="s">
        <v>21</v>
      </c>
      <c r="BV124" s="934">
        <v>0.49999999999986366</v>
      </c>
      <c r="BW124" s="934">
        <v>0.5</v>
      </c>
      <c r="BX124" s="1104">
        <v>1</v>
      </c>
      <c r="BY124" s="931">
        <v>3</v>
      </c>
      <c r="BZ124" s="930">
        <v>1</v>
      </c>
      <c r="CA124" s="1074" t="s">
        <v>21</v>
      </c>
      <c r="CB124" s="930" t="s">
        <v>21</v>
      </c>
      <c r="CC124" s="930" t="s">
        <v>21</v>
      </c>
      <c r="CD124" s="925">
        <v>23.222000000000001</v>
      </c>
      <c r="CE124" s="1130">
        <v>68.304000000000002</v>
      </c>
      <c r="CF124" s="1129" t="s">
        <v>21</v>
      </c>
      <c r="CG124" s="1130" t="s">
        <v>21</v>
      </c>
      <c r="CH124" s="1130" t="s">
        <v>21</v>
      </c>
      <c r="CI124" s="1131" t="s">
        <v>21</v>
      </c>
      <c r="CJ124" s="1129" t="s">
        <v>21</v>
      </c>
      <c r="CK124" s="1130">
        <v>68.304000000000002</v>
      </c>
      <c r="CL124" s="1130" t="s">
        <v>21</v>
      </c>
      <c r="CM124" s="1131" t="s">
        <v>21</v>
      </c>
      <c r="CN124" s="1130" t="s">
        <v>21</v>
      </c>
      <c r="CP124" s="838" t="s">
        <v>21</v>
      </c>
      <c r="CQ124" s="838" t="s">
        <v>21</v>
      </c>
      <c r="CR124" s="836"/>
    </row>
    <row r="125" spans="1:96" x14ac:dyDescent="0.25">
      <c r="A125" s="935"/>
      <c r="B125" s="932" t="s">
        <v>2278</v>
      </c>
      <c r="C125" s="911">
        <v>600</v>
      </c>
      <c r="D125" s="911" t="s">
        <v>2116</v>
      </c>
      <c r="E125" s="912">
        <v>1134.01</v>
      </c>
      <c r="F125" s="912">
        <v>1131.2650000000001</v>
      </c>
      <c r="G125" s="932" t="s">
        <v>2279</v>
      </c>
      <c r="H125" s="912">
        <v>1134</v>
      </c>
      <c r="I125" s="912">
        <v>1131.223</v>
      </c>
      <c r="J125" s="914">
        <v>8.3699999999999992</v>
      </c>
      <c r="K125" s="915"/>
      <c r="L125" s="916">
        <v>0.1</v>
      </c>
      <c r="M125" s="916">
        <v>0.06</v>
      </c>
      <c r="N125" s="916">
        <v>0.2</v>
      </c>
      <c r="O125" s="916">
        <v>5.4139999999999997</v>
      </c>
      <c r="P125" s="915"/>
      <c r="Q125" s="916">
        <v>3.0209999999999999</v>
      </c>
      <c r="R125" s="917">
        <v>0.33333333333333331</v>
      </c>
      <c r="S125" s="918">
        <v>1.4</v>
      </c>
      <c r="T125" s="918">
        <v>3.4140000000000001</v>
      </c>
      <c r="U125" s="916">
        <v>6.3689999999999998</v>
      </c>
      <c r="V125" s="916">
        <v>0.92</v>
      </c>
      <c r="W125" s="915"/>
      <c r="X125" s="916">
        <v>0.28299999999999997</v>
      </c>
      <c r="Y125" s="916">
        <v>0.40699999999999997</v>
      </c>
      <c r="Z125" s="916">
        <v>7.2720000000000002</v>
      </c>
      <c r="AA125" s="916">
        <v>1.0229999999999999</v>
      </c>
      <c r="AB125" s="916">
        <v>5.702</v>
      </c>
      <c r="AC125" s="915"/>
      <c r="AD125" s="919">
        <v>45.314999999999998</v>
      </c>
      <c r="AE125" s="920">
        <v>60.866999999999997</v>
      </c>
      <c r="AF125" s="920" t="s">
        <v>21</v>
      </c>
      <c r="AG125" s="920" t="s">
        <v>21</v>
      </c>
      <c r="AH125" s="921">
        <v>60.866999999999997</v>
      </c>
      <c r="AI125" s="921" t="s">
        <v>21</v>
      </c>
      <c r="AJ125" s="920" t="s">
        <v>21</v>
      </c>
      <c r="AK125" s="920" t="s">
        <v>21</v>
      </c>
      <c r="AL125" s="921" t="s">
        <v>21</v>
      </c>
      <c r="AM125" s="921" t="s">
        <v>21</v>
      </c>
      <c r="AN125" s="920"/>
      <c r="AO125" s="920" t="s">
        <v>21</v>
      </c>
      <c r="AP125" s="919">
        <v>11.718</v>
      </c>
      <c r="AQ125" s="933">
        <v>53.30852999999999</v>
      </c>
      <c r="AR125" s="925" t="s">
        <v>21</v>
      </c>
      <c r="AS125" s="925">
        <v>53.30852999999999</v>
      </c>
      <c r="AT125" s="925" t="s">
        <v>21</v>
      </c>
      <c r="AU125" s="925" t="s">
        <v>21</v>
      </c>
      <c r="AV125" s="926" t="s">
        <v>21</v>
      </c>
      <c r="AW125" s="926" t="s">
        <v>21</v>
      </c>
      <c r="AX125" s="926" t="s">
        <v>21</v>
      </c>
      <c r="AY125" s="926" t="s">
        <v>21</v>
      </c>
      <c r="AZ125" s="925" t="s">
        <v>21</v>
      </c>
      <c r="BA125" s="925"/>
      <c r="BB125" s="919">
        <v>1.1719999999999999</v>
      </c>
      <c r="BC125" s="919" t="s">
        <v>21</v>
      </c>
      <c r="BD125" s="919" t="s">
        <v>2152</v>
      </c>
      <c r="BE125" s="925" t="s">
        <v>21</v>
      </c>
      <c r="BF125" s="926" t="s">
        <v>21</v>
      </c>
      <c r="BG125" s="925">
        <v>8.3699999999999992</v>
      </c>
      <c r="BH125" s="926" t="s">
        <v>21</v>
      </c>
      <c r="BI125" s="925" t="s">
        <v>21</v>
      </c>
      <c r="BJ125" s="926" t="s">
        <v>21</v>
      </c>
      <c r="BK125" s="925" t="s">
        <v>21</v>
      </c>
      <c r="BL125" s="926" t="s">
        <v>21</v>
      </c>
      <c r="BM125" s="925" t="s">
        <v>21</v>
      </c>
      <c r="BN125" s="927"/>
      <c r="BO125" s="927"/>
      <c r="BP125" s="928">
        <v>1</v>
      </c>
      <c r="BQ125" s="928" t="s">
        <v>21</v>
      </c>
      <c r="BR125" s="928" t="s">
        <v>21</v>
      </c>
      <c r="BS125" s="928" t="s">
        <v>21</v>
      </c>
      <c r="BT125" s="928" t="s">
        <v>21</v>
      </c>
      <c r="BU125" s="928" t="s">
        <v>21</v>
      </c>
      <c r="BV125" s="934">
        <v>1.3449999999998909</v>
      </c>
      <c r="BW125" s="934">
        <v>1.5</v>
      </c>
      <c r="BX125" s="1104">
        <v>3</v>
      </c>
      <c r="BY125" s="931">
        <v>5</v>
      </c>
      <c r="BZ125" s="930" t="s">
        <v>21</v>
      </c>
      <c r="CA125" s="1074" t="s">
        <v>21</v>
      </c>
      <c r="CB125" s="930" t="s">
        <v>21</v>
      </c>
      <c r="CC125" s="930" t="s">
        <v>21</v>
      </c>
      <c r="CD125" s="925">
        <v>8.5630000000000006</v>
      </c>
      <c r="CE125" s="1130">
        <v>47.725999999999999</v>
      </c>
      <c r="CF125" s="1129" t="s">
        <v>21</v>
      </c>
      <c r="CG125" s="1130" t="s">
        <v>21</v>
      </c>
      <c r="CH125" s="1130" t="s">
        <v>21</v>
      </c>
      <c r="CI125" s="1131" t="s">
        <v>21</v>
      </c>
      <c r="CJ125" s="1129" t="s">
        <v>21</v>
      </c>
      <c r="CK125" s="1130" t="s">
        <v>21</v>
      </c>
      <c r="CL125" s="1130">
        <v>47.725999999999999</v>
      </c>
      <c r="CM125" s="1131" t="s">
        <v>21</v>
      </c>
      <c r="CN125" s="1130" t="s">
        <v>21</v>
      </c>
      <c r="CP125" s="838" t="s">
        <v>21</v>
      </c>
      <c r="CQ125" s="838" t="s">
        <v>21</v>
      </c>
      <c r="CR125" s="836"/>
    </row>
    <row r="126" spans="1:96" x14ac:dyDescent="0.25">
      <c r="A126" s="935"/>
      <c r="B126" s="932" t="s">
        <v>2279</v>
      </c>
      <c r="C126" s="911">
        <v>600</v>
      </c>
      <c r="D126" s="911" t="s">
        <v>2116</v>
      </c>
      <c r="E126" s="912">
        <v>1134</v>
      </c>
      <c r="F126" s="912">
        <v>1131.223</v>
      </c>
      <c r="G126" s="932" t="s">
        <v>2280</v>
      </c>
      <c r="H126" s="912">
        <v>1132.51</v>
      </c>
      <c r="I126" s="912">
        <v>1130.6099999999999</v>
      </c>
      <c r="J126" s="914">
        <v>48.96</v>
      </c>
      <c r="K126" s="915"/>
      <c r="L126" s="916">
        <v>0.1</v>
      </c>
      <c r="M126" s="916">
        <v>0.06</v>
      </c>
      <c r="N126" s="916">
        <v>0.2</v>
      </c>
      <c r="O126" s="916">
        <v>5.133</v>
      </c>
      <c r="P126" s="915"/>
      <c r="Q126" s="916">
        <v>2.5990000000000002</v>
      </c>
      <c r="R126" s="917">
        <v>0.33333333333333331</v>
      </c>
      <c r="S126" s="918">
        <v>1.4</v>
      </c>
      <c r="T126" s="918">
        <v>3.133</v>
      </c>
      <c r="U126" s="916">
        <v>5.4790000000000001</v>
      </c>
      <c r="V126" s="916">
        <v>0.92</v>
      </c>
      <c r="W126" s="915"/>
      <c r="X126" s="916">
        <v>0.28299999999999997</v>
      </c>
      <c r="Y126" s="916">
        <v>0.40699999999999997</v>
      </c>
      <c r="Z126" s="916">
        <v>5.891</v>
      </c>
      <c r="AA126" s="916">
        <v>1.0229999999999999</v>
      </c>
      <c r="AB126" s="916">
        <v>4.3209999999999997</v>
      </c>
      <c r="AC126" s="915"/>
      <c r="AD126" s="919">
        <v>251.31200000000001</v>
      </c>
      <c r="AE126" s="920">
        <v>288.423</v>
      </c>
      <c r="AF126" s="920" t="s">
        <v>21</v>
      </c>
      <c r="AG126" s="920" t="s">
        <v>21</v>
      </c>
      <c r="AH126" s="921">
        <v>288.423</v>
      </c>
      <c r="AI126" s="921" t="s">
        <v>21</v>
      </c>
      <c r="AJ126" s="920" t="s">
        <v>21</v>
      </c>
      <c r="AK126" s="920" t="s">
        <v>21</v>
      </c>
      <c r="AL126" s="921" t="s">
        <v>21</v>
      </c>
      <c r="AM126" s="921" t="s">
        <v>21</v>
      </c>
      <c r="AN126" s="920"/>
      <c r="AO126" s="920" t="s">
        <v>21</v>
      </c>
      <c r="AP126" s="919">
        <v>68.543999999999997</v>
      </c>
      <c r="AQ126" s="933">
        <v>268.25184000000002</v>
      </c>
      <c r="AR126" s="925" t="s">
        <v>21</v>
      </c>
      <c r="AS126" s="925">
        <v>268.25184000000002</v>
      </c>
      <c r="AT126" s="925" t="s">
        <v>21</v>
      </c>
      <c r="AU126" s="925" t="s">
        <v>21</v>
      </c>
      <c r="AV126" s="926" t="s">
        <v>21</v>
      </c>
      <c r="AW126" s="926" t="s">
        <v>21</v>
      </c>
      <c r="AX126" s="926" t="s">
        <v>21</v>
      </c>
      <c r="AY126" s="926" t="s">
        <v>21</v>
      </c>
      <c r="AZ126" s="925" t="s">
        <v>21</v>
      </c>
      <c r="BA126" s="925"/>
      <c r="BB126" s="919">
        <v>6.8540000000000001</v>
      </c>
      <c r="BC126" s="919" t="s">
        <v>21</v>
      </c>
      <c r="BD126" s="919" t="s">
        <v>2142</v>
      </c>
      <c r="BE126" s="925" t="s">
        <v>21</v>
      </c>
      <c r="BF126" s="926" t="s">
        <v>21</v>
      </c>
      <c r="BG126" s="925">
        <v>48.96</v>
      </c>
      <c r="BH126" s="926" t="s">
        <v>21</v>
      </c>
      <c r="BI126" s="925" t="s">
        <v>21</v>
      </c>
      <c r="BJ126" s="926" t="s">
        <v>21</v>
      </c>
      <c r="BK126" s="925" t="s">
        <v>21</v>
      </c>
      <c r="BL126" s="926" t="s">
        <v>21</v>
      </c>
      <c r="BM126" s="925" t="s">
        <v>21</v>
      </c>
      <c r="BN126" s="927"/>
      <c r="BO126" s="927"/>
      <c r="BP126" s="928">
        <v>1</v>
      </c>
      <c r="BQ126" s="928" t="s">
        <v>21</v>
      </c>
      <c r="BR126" s="928" t="s">
        <v>21</v>
      </c>
      <c r="BS126" s="928" t="s">
        <v>21</v>
      </c>
      <c r="BT126" s="928" t="s">
        <v>21</v>
      </c>
      <c r="BU126" s="928" t="s">
        <v>21</v>
      </c>
      <c r="BV126" s="934">
        <v>1.3770000000000437</v>
      </c>
      <c r="BW126" s="934">
        <v>1.5</v>
      </c>
      <c r="BX126" s="1104">
        <v>3</v>
      </c>
      <c r="BY126" s="931">
        <v>5</v>
      </c>
      <c r="BZ126" s="930">
        <v>2</v>
      </c>
      <c r="CA126" s="1074" t="s">
        <v>21</v>
      </c>
      <c r="CB126" s="930" t="s">
        <v>21</v>
      </c>
      <c r="CC126" s="930" t="s">
        <v>21</v>
      </c>
      <c r="CD126" s="925">
        <v>50.085999999999999</v>
      </c>
      <c r="CE126" s="1130">
        <v>211.55600000000001</v>
      </c>
      <c r="CF126" s="1129" t="s">
        <v>21</v>
      </c>
      <c r="CG126" s="1130" t="s">
        <v>21</v>
      </c>
      <c r="CH126" s="1130" t="s">
        <v>21</v>
      </c>
      <c r="CI126" s="1131" t="s">
        <v>21</v>
      </c>
      <c r="CJ126" s="1129" t="s">
        <v>21</v>
      </c>
      <c r="CK126" s="1130">
        <v>211.55600000000001</v>
      </c>
      <c r="CL126" s="1130" t="s">
        <v>21</v>
      </c>
      <c r="CM126" s="1131" t="s">
        <v>21</v>
      </c>
      <c r="CN126" s="1130" t="s">
        <v>21</v>
      </c>
      <c r="CP126" s="838" t="s">
        <v>21</v>
      </c>
      <c r="CQ126" s="838" t="s">
        <v>21</v>
      </c>
      <c r="CR126" s="836"/>
    </row>
    <row r="127" spans="1:96" x14ac:dyDescent="0.25">
      <c r="A127" s="935"/>
      <c r="B127" s="932" t="s">
        <v>2280</v>
      </c>
      <c r="C127" s="911">
        <v>600</v>
      </c>
      <c r="D127" s="911" t="s">
        <v>2116</v>
      </c>
      <c r="E127" s="912">
        <v>1132.51</v>
      </c>
      <c r="F127" s="912">
        <v>1130.6099999999999</v>
      </c>
      <c r="G127" s="932" t="s">
        <v>2281</v>
      </c>
      <c r="H127" s="912">
        <v>1130.95</v>
      </c>
      <c r="I127" s="912">
        <v>1129.05</v>
      </c>
      <c r="J127" s="914">
        <v>53.23</v>
      </c>
      <c r="K127" s="915"/>
      <c r="L127" s="916">
        <v>0.1</v>
      </c>
      <c r="M127" s="916">
        <v>0.06</v>
      </c>
      <c r="N127" s="916">
        <v>0.2</v>
      </c>
      <c r="O127" s="916">
        <v>4.84</v>
      </c>
      <c r="P127" s="915"/>
      <c r="Q127" s="916">
        <v>2.16</v>
      </c>
      <c r="R127" s="917">
        <v>0.33333333333333331</v>
      </c>
      <c r="S127" s="918">
        <v>1.4</v>
      </c>
      <c r="T127" s="918">
        <v>2.84</v>
      </c>
      <c r="U127" s="916">
        <v>4.5540000000000003</v>
      </c>
      <c r="V127" s="916">
        <v>0.92</v>
      </c>
      <c r="W127" s="915"/>
      <c r="X127" s="916">
        <v>0.28299999999999997</v>
      </c>
      <c r="Y127" s="916">
        <v>0.40699999999999997</v>
      </c>
      <c r="Z127" s="916">
        <v>4.5789999999999997</v>
      </c>
      <c r="AA127" s="916">
        <v>1.0229999999999999</v>
      </c>
      <c r="AB127" s="916">
        <v>3.0089999999999999</v>
      </c>
      <c r="AC127" s="915"/>
      <c r="AD127" s="919">
        <v>257.63299999999998</v>
      </c>
      <c r="AE127" s="920">
        <v>243.74</v>
      </c>
      <c r="AF127" s="920" t="s">
        <v>21</v>
      </c>
      <c r="AG127" s="920" t="s">
        <v>21</v>
      </c>
      <c r="AH127" s="921">
        <v>243.74</v>
      </c>
      <c r="AI127" s="921" t="s">
        <v>21</v>
      </c>
      <c r="AJ127" s="920" t="s">
        <v>21</v>
      </c>
      <c r="AK127" s="920" t="s">
        <v>21</v>
      </c>
      <c r="AL127" s="921" t="s">
        <v>21</v>
      </c>
      <c r="AM127" s="921" t="s">
        <v>21</v>
      </c>
      <c r="AN127" s="920"/>
      <c r="AO127" s="920" t="s">
        <v>21</v>
      </c>
      <c r="AP127" s="919">
        <v>74.522000000000006</v>
      </c>
      <c r="AQ127" s="933">
        <v>242.40942000000001</v>
      </c>
      <c r="AR127" s="925" t="s">
        <v>21</v>
      </c>
      <c r="AS127" s="925">
        <v>242.40942000000001</v>
      </c>
      <c r="AT127" s="925" t="s">
        <v>21</v>
      </c>
      <c r="AU127" s="925" t="s">
        <v>21</v>
      </c>
      <c r="AV127" s="926" t="s">
        <v>21</v>
      </c>
      <c r="AW127" s="926" t="s">
        <v>21</v>
      </c>
      <c r="AX127" s="926" t="s">
        <v>21</v>
      </c>
      <c r="AY127" s="926" t="s">
        <v>21</v>
      </c>
      <c r="AZ127" s="925" t="s">
        <v>21</v>
      </c>
      <c r="BA127" s="925"/>
      <c r="BB127" s="919">
        <v>7.452</v>
      </c>
      <c r="BC127" s="919" t="s">
        <v>21</v>
      </c>
      <c r="BD127" s="919" t="s">
        <v>2142</v>
      </c>
      <c r="BE127" s="925" t="s">
        <v>21</v>
      </c>
      <c r="BF127" s="926" t="s">
        <v>21</v>
      </c>
      <c r="BG127" s="925">
        <v>53.23</v>
      </c>
      <c r="BH127" s="926" t="s">
        <v>21</v>
      </c>
      <c r="BI127" s="925" t="s">
        <v>21</v>
      </c>
      <c r="BJ127" s="926" t="s">
        <v>21</v>
      </c>
      <c r="BK127" s="925" t="s">
        <v>21</v>
      </c>
      <c r="BL127" s="926" t="s">
        <v>21</v>
      </c>
      <c r="BM127" s="925" t="s">
        <v>21</v>
      </c>
      <c r="BN127" s="927"/>
      <c r="BO127" s="927"/>
      <c r="BP127" s="928">
        <v>1</v>
      </c>
      <c r="BQ127" s="928" t="s">
        <v>21</v>
      </c>
      <c r="BR127" s="928" t="s">
        <v>21</v>
      </c>
      <c r="BS127" s="928" t="s">
        <v>21</v>
      </c>
      <c r="BT127" s="928" t="s">
        <v>21</v>
      </c>
      <c r="BU127" s="928" t="s">
        <v>21</v>
      </c>
      <c r="BV127" s="934">
        <v>0.50000000000009104</v>
      </c>
      <c r="BW127" s="934">
        <v>1</v>
      </c>
      <c r="BX127" s="1104">
        <v>2</v>
      </c>
      <c r="BY127" s="931">
        <v>4</v>
      </c>
      <c r="BZ127" s="930">
        <v>1</v>
      </c>
      <c r="CA127" s="1074">
        <v>1</v>
      </c>
      <c r="CB127" s="930" t="s">
        <v>21</v>
      </c>
      <c r="CC127" s="930" t="s">
        <v>21</v>
      </c>
      <c r="CD127" s="925">
        <v>54.454000000000001</v>
      </c>
      <c r="CE127" s="1130">
        <v>160.16900000000001</v>
      </c>
      <c r="CF127" s="1129" t="s">
        <v>21</v>
      </c>
      <c r="CG127" s="1130" t="s">
        <v>21</v>
      </c>
      <c r="CH127" s="1130" t="s">
        <v>21</v>
      </c>
      <c r="CI127" s="1131" t="s">
        <v>21</v>
      </c>
      <c r="CJ127" s="1129" t="s">
        <v>21</v>
      </c>
      <c r="CK127" s="1130">
        <v>160.16900000000001</v>
      </c>
      <c r="CL127" s="1130" t="s">
        <v>21</v>
      </c>
      <c r="CM127" s="1131" t="s">
        <v>21</v>
      </c>
      <c r="CN127" s="1130" t="s">
        <v>21</v>
      </c>
      <c r="CP127" s="838" t="s">
        <v>21</v>
      </c>
      <c r="CQ127" s="838" t="s">
        <v>21</v>
      </c>
      <c r="CR127" s="836"/>
    </row>
    <row r="128" spans="1:96" x14ac:dyDescent="0.25">
      <c r="A128" s="935"/>
      <c r="B128" s="932" t="s">
        <v>2281</v>
      </c>
      <c r="C128" s="911">
        <v>600</v>
      </c>
      <c r="D128" s="911" t="s">
        <v>2116</v>
      </c>
      <c r="E128" s="912">
        <v>1130.95</v>
      </c>
      <c r="F128" s="912">
        <v>1129.05</v>
      </c>
      <c r="G128" s="932" t="s">
        <v>2282</v>
      </c>
      <c r="H128" s="912">
        <v>1129.3</v>
      </c>
      <c r="I128" s="912">
        <v>1127.4000000000001</v>
      </c>
      <c r="J128" s="914">
        <v>38.18</v>
      </c>
      <c r="K128" s="915"/>
      <c r="L128" s="916">
        <v>0.1</v>
      </c>
      <c r="M128" s="916">
        <v>0.06</v>
      </c>
      <c r="N128" s="916">
        <v>0.2</v>
      </c>
      <c r="O128" s="916">
        <v>4.84</v>
      </c>
      <c r="P128" s="915"/>
      <c r="Q128" s="916">
        <v>2.16</v>
      </c>
      <c r="R128" s="917">
        <v>0.33333333333333331</v>
      </c>
      <c r="S128" s="918">
        <v>1.4</v>
      </c>
      <c r="T128" s="918">
        <v>2.84</v>
      </c>
      <c r="U128" s="916">
        <v>4.5540000000000003</v>
      </c>
      <c r="V128" s="916">
        <v>0.92</v>
      </c>
      <c r="W128" s="915"/>
      <c r="X128" s="916">
        <v>0.28299999999999997</v>
      </c>
      <c r="Y128" s="916">
        <v>0.40699999999999997</v>
      </c>
      <c r="Z128" s="916">
        <v>4.5789999999999997</v>
      </c>
      <c r="AA128" s="916">
        <v>1.0229999999999999</v>
      </c>
      <c r="AB128" s="916">
        <v>3.0089999999999999</v>
      </c>
      <c r="AC128" s="915"/>
      <c r="AD128" s="919">
        <v>184.791</v>
      </c>
      <c r="AE128" s="920">
        <v>174.82599999999999</v>
      </c>
      <c r="AF128" s="920" t="s">
        <v>21</v>
      </c>
      <c r="AG128" s="920" t="s">
        <v>21</v>
      </c>
      <c r="AH128" s="921">
        <v>174.82599999999999</v>
      </c>
      <c r="AI128" s="921" t="s">
        <v>21</v>
      </c>
      <c r="AJ128" s="920" t="s">
        <v>21</v>
      </c>
      <c r="AK128" s="920" t="s">
        <v>21</v>
      </c>
      <c r="AL128" s="921" t="s">
        <v>21</v>
      </c>
      <c r="AM128" s="921" t="s">
        <v>21</v>
      </c>
      <c r="AN128" s="920"/>
      <c r="AO128" s="920" t="s">
        <v>21</v>
      </c>
      <c r="AP128" s="919">
        <v>53.451999999999998</v>
      </c>
      <c r="AQ128" s="933">
        <v>173.87172000000001</v>
      </c>
      <c r="AR128" s="925" t="s">
        <v>21</v>
      </c>
      <c r="AS128" s="925">
        <v>173.87172000000001</v>
      </c>
      <c r="AT128" s="925" t="s">
        <v>21</v>
      </c>
      <c r="AU128" s="925" t="s">
        <v>21</v>
      </c>
      <c r="AV128" s="926" t="s">
        <v>21</v>
      </c>
      <c r="AW128" s="926" t="s">
        <v>21</v>
      </c>
      <c r="AX128" s="926" t="s">
        <v>21</v>
      </c>
      <c r="AY128" s="926" t="s">
        <v>21</v>
      </c>
      <c r="AZ128" s="925" t="s">
        <v>21</v>
      </c>
      <c r="BA128" s="925"/>
      <c r="BB128" s="919">
        <v>5.3449999999999998</v>
      </c>
      <c r="BC128" s="919" t="s">
        <v>21</v>
      </c>
      <c r="BD128" s="919" t="s">
        <v>2142</v>
      </c>
      <c r="BE128" s="925" t="s">
        <v>21</v>
      </c>
      <c r="BF128" s="926" t="s">
        <v>21</v>
      </c>
      <c r="BG128" s="925">
        <v>38.18</v>
      </c>
      <c r="BH128" s="926" t="s">
        <v>21</v>
      </c>
      <c r="BI128" s="925" t="s">
        <v>21</v>
      </c>
      <c r="BJ128" s="926" t="s">
        <v>21</v>
      </c>
      <c r="BK128" s="925" t="s">
        <v>21</v>
      </c>
      <c r="BL128" s="926" t="s">
        <v>21</v>
      </c>
      <c r="BM128" s="925" t="s">
        <v>21</v>
      </c>
      <c r="BN128" s="927"/>
      <c r="BO128" s="927"/>
      <c r="BP128" s="928">
        <v>1</v>
      </c>
      <c r="BQ128" s="928" t="s">
        <v>21</v>
      </c>
      <c r="BR128" s="928" t="s">
        <v>21</v>
      </c>
      <c r="BS128" s="928" t="s">
        <v>21</v>
      </c>
      <c r="BT128" s="928" t="s">
        <v>21</v>
      </c>
      <c r="BU128" s="928" t="s">
        <v>21</v>
      </c>
      <c r="BV128" s="934">
        <v>0.50000000000009104</v>
      </c>
      <c r="BW128" s="934">
        <v>1</v>
      </c>
      <c r="BX128" s="1104">
        <v>2</v>
      </c>
      <c r="BY128" s="931">
        <v>4</v>
      </c>
      <c r="BZ128" s="930">
        <v>1</v>
      </c>
      <c r="CA128" s="1074" t="s">
        <v>21</v>
      </c>
      <c r="CB128" s="930" t="s">
        <v>21</v>
      </c>
      <c r="CC128" s="930" t="s">
        <v>21</v>
      </c>
      <c r="CD128" s="925">
        <v>39.058</v>
      </c>
      <c r="CE128" s="1130">
        <v>114.884</v>
      </c>
      <c r="CF128" s="1129" t="s">
        <v>21</v>
      </c>
      <c r="CG128" s="1130" t="s">
        <v>21</v>
      </c>
      <c r="CH128" s="1130" t="s">
        <v>21</v>
      </c>
      <c r="CI128" s="1131" t="s">
        <v>21</v>
      </c>
      <c r="CJ128" s="1129" t="s">
        <v>21</v>
      </c>
      <c r="CK128" s="1130">
        <v>114.884</v>
      </c>
      <c r="CL128" s="1130" t="s">
        <v>21</v>
      </c>
      <c r="CM128" s="1131" t="s">
        <v>21</v>
      </c>
      <c r="CN128" s="1130" t="s">
        <v>21</v>
      </c>
      <c r="CP128" s="838" t="s">
        <v>21</v>
      </c>
      <c r="CQ128" s="838" t="s">
        <v>21</v>
      </c>
      <c r="CR128" s="836"/>
    </row>
    <row r="129" spans="1:96" x14ac:dyDescent="0.25">
      <c r="A129" s="935"/>
      <c r="B129" s="932" t="s">
        <v>2282</v>
      </c>
      <c r="C129" s="911">
        <v>600</v>
      </c>
      <c r="D129" s="911" t="s">
        <v>2116</v>
      </c>
      <c r="E129" s="912">
        <v>1129.3</v>
      </c>
      <c r="F129" s="912">
        <v>1127.3499999999999</v>
      </c>
      <c r="G129" s="932" t="s">
        <v>2283</v>
      </c>
      <c r="H129" s="912">
        <v>1128.01</v>
      </c>
      <c r="I129" s="912">
        <v>1126.1099999999999</v>
      </c>
      <c r="J129" s="914">
        <v>38.18</v>
      </c>
      <c r="K129" s="915"/>
      <c r="L129" s="916">
        <v>0.1</v>
      </c>
      <c r="M129" s="916">
        <v>0.06</v>
      </c>
      <c r="N129" s="916">
        <v>0.2</v>
      </c>
      <c r="O129" s="916">
        <v>4.8570000000000002</v>
      </c>
      <c r="P129" s="915"/>
      <c r="Q129" s="916">
        <v>2.1850000000000001</v>
      </c>
      <c r="R129" s="917">
        <v>0.33333333333333331</v>
      </c>
      <c r="S129" s="918">
        <v>1.4</v>
      </c>
      <c r="T129" s="918">
        <v>2.8570000000000002</v>
      </c>
      <c r="U129" s="916">
        <v>4.6059999999999999</v>
      </c>
      <c r="V129" s="916">
        <v>0.92</v>
      </c>
      <c r="W129" s="915"/>
      <c r="X129" s="916">
        <v>0.28299999999999997</v>
      </c>
      <c r="Y129" s="916">
        <v>0.40699999999999997</v>
      </c>
      <c r="Z129" s="916">
        <v>4.6509999999999998</v>
      </c>
      <c r="AA129" s="916">
        <v>1.0229999999999999</v>
      </c>
      <c r="AB129" s="916">
        <v>3.081</v>
      </c>
      <c r="AC129" s="915"/>
      <c r="AD129" s="919">
        <v>185.44</v>
      </c>
      <c r="AE129" s="920">
        <v>177.57499999999999</v>
      </c>
      <c r="AF129" s="920" t="s">
        <v>21</v>
      </c>
      <c r="AG129" s="920" t="s">
        <v>21</v>
      </c>
      <c r="AH129" s="921">
        <v>177.57499999999999</v>
      </c>
      <c r="AI129" s="921" t="s">
        <v>21</v>
      </c>
      <c r="AJ129" s="920" t="s">
        <v>21</v>
      </c>
      <c r="AK129" s="920" t="s">
        <v>21</v>
      </c>
      <c r="AL129" s="921" t="s">
        <v>21</v>
      </c>
      <c r="AM129" s="921" t="s">
        <v>21</v>
      </c>
      <c r="AN129" s="920"/>
      <c r="AO129" s="920" t="s">
        <v>21</v>
      </c>
      <c r="AP129" s="919">
        <v>53.451999999999998</v>
      </c>
      <c r="AQ129" s="933">
        <v>175.85708</v>
      </c>
      <c r="AR129" s="925" t="s">
        <v>21</v>
      </c>
      <c r="AS129" s="925">
        <v>175.85708</v>
      </c>
      <c r="AT129" s="925" t="s">
        <v>21</v>
      </c>
      <c r="AU129" s="925" t="s">
        <v>21</v>
      </c>
      <c r="AV129" s="926" t="s">
        <v>21</v>
      </c>
      <c r="AW129" s="926" t="s">
        <v>21</v>
      </c>
      <c r="AX129" s="926" t="s">
        <v>21</v>
      </c>
      <c r="AY129" s="926" t="s">
        <v>21</v>
      </c>
      <c r="AZ129" s="925" t="s">
        <v>21</v>
      </c>
      <c r="BA129" s="925"/>
      <c r="BB129" s="919">
        <v>5.3449999999999998</v>
      </c>
      <c r="BC129" s="919" t="s">
        <v>21</v>
      </c>
      <c r="BD129" s="919" t="s">
        <v>2142</v>
      </c>
      <c r="BE129" s="925" t="s">
        <v>21</v>
      </c>
      <c r="BF129" s="926" t="s">
        <v>21</v>
      </c>
      <c r="BG129" s="925">
        <v>38.18</v>
      </c>
      <c r="BH129" s="926" t="s">
        <v>21</v>
      </c>
      <c r="BI129" s="925" t="s">
        <v>21</v>
      </c>
      <c r="BJ129" s="926" t="s">
        <v>21</v>
      </c>
      <c r="BK129" s="925" t="s">
        <v>21</v>
      </c>
      <c r="BL129" s="926" t="s">
        <v>21</v>
      </c>
      <c r="BM129" s="925" t="s">
        <v>21</v>
      </c>
      <c r="BN129" s="927"/>
      <c r="BO129" s="927"/>
      <c r="BP129" s="928">
        <v>1</v>
      </c>
      <c r="BQ129" s="928" t="s">
        <v>21</v>
      </c>
      <c r="BR129" s="928" t="s">
        <v>21</v>
      </c>
      <c r="BS129" s="928" t="s">
        <v>21</v>
      </c>
      <c r="BT129" s="928" t="s">
        <v>21</v>
      </c>
      <c r="BU129" s="928" t="s">
        <v>21</v>
      </c>
      <c r="BV129" s="934">
        <v>0.55000000000004556</v>
      </c>
      <c r="BW129" s="934">
        <v>1</v>
      </c>
      <c r="BX129" s="1104">
        <v>2</v>
      </c>
      <c r="BY129" s="931">
        <v>4</v>
      </c>
      <c r="BZ129" s="930">
        <v>1</v>
      </c>
      <c r="CA129" s="1074" t="s">
        <v>21</v>
      </c>
      <c r="CB129" s="930" t="s">
        <v>21</v>
      </c>
      <c r="CC129" s="930" t="s">
        <v>21</v>
      </c>
      <c r="CD129" s="925">
        <v>39.058</v>
      </c>
      <c r="CE129" s="1130">
        <v>117.633</v>
      </c>
      <c r="CF129" s="1129" t="s">
        <v>21</v>
      </c>
      <c r="CG129" s="1130" t="s">
        <v>21</v>
      </c>
      <c r="CH129" s="1130" t="s">
        <v>21</v>
      </c>
      <c r="CI129" s="1131" t="s">
        <v>21</v>
      </c>
      <c r="CJ129" s="1129" t="s">
        <v>21</v>
      </c>
      <c r="CK129" s="1130">
        <v>117.633</v>
      </c>
      <c r="CL129" s="1130" t="s">
        <v>21</v>
      </c>
      <c r="CM129" s="1131" t="s">
        <v>21</v>
      </c>
      <c r="CN129" s="1130" t="s">
        <v>21</v>
      </c>
      <c r="CP129" s="838" t="s">
        <v>21</v>
      </c>
      <c r="CQ129" s="838" t="s">
        <v>21</v>
      </c>
      <c r="CR129" s="836"/>
    </row>
    <row r="130" spans="1:96" x14ac:dyDescent="0.25">
      <c r="A130" s="935"/>
      <c r="B130" s="932" t="s">
        <v>2283</v>
      </c>
      <c r="C130" s="911">
        <v>600</v>
      </c>
      <c r="D130" s="911" t="s">
        <v>2116</v>
      </c>
      <c r="E130" s="912">
        <v>1128.01</v>
      </c>
      <c r="F130" s="912">
        <v>1126.06</v>
      </c>
      <c r="G130" s="932" t="s">
        <v>2284</v>
      </c>
      <c r="H130" s="912">
        <v>1126.99</v>
      </c>
      <c r="I130" s="912">
        <v>1125.0899999999999</v>
      </c>
      <c r="J130" s="914">
        <v>36.64</v>
      </c>
      <c r="K130" s="915"/>
      <c r="L130" s="916">
        <v>0.1</v>
      </c>
      <c r="M130" s="916">
        <v>0.06</v>
      </c>
      <c r="N130" s="916">
        <v>0.2</v>
      </c>
      <c r="O130" s="916">
        <v>4.8570000000000002</v>
      </c>
      <c r="P130" s="915"/>
      <c r="Q130" s="916">
        <v>2.1850000000000001</v>
      </c>
      <c r="R130" s="917">
        <v>0.33333333333333331</v>
      </c>
      <c r="S130" s="918">
        <v>1.4</v>
      </c>
      <c r="T130" s="918">
        <v>2.8570000000000002</v>
      </c>
      <c r="U130" s="916">
        <v>4.6059999999999999</v>
      </c>
      <c r="V130" s="916">
        <v>0.92</v>
      </c>
      <c r="W130" s="915"/>
      <c r="X130" s="916">
        <v>0.28299999999999997</v>
      </c>
      <c r="Y130" s="916">
        <v>0.40699999999999997</v>
      </c>
      <c r="Z130" s="916">
        <v>4.6509999999999998</v>
      </c>
      <c r="AA130" s="916">
        <v>1.0229999999999999</v>
      </c>
      <c r="AB130" s="916">
        <v>3.081</v>
      </c>
      <c r="AC130" s="915"/>
      <c r="AD130" s="919">
        <v>177.96</v>
      </c>
      <c r="AE130" s="920">
        <v>170.41300000000001</v>
      </c>
      <c r="AF130" s="920" t="s">
        <v>21</v>
      </c>
      <c r="AG130" s="920" t="s">
        <v>21</v>
      </c>
      <c r="AH130" s="921">
        <v>170.41300000000001</v>
      </c>
      <c r="AI130" s="921" t="s">
        <v>21</v>
      </c>
      <c r="AJ130" s="920" t="s">
        <v>21</v>
      </c>
      <c r="AK130" s="920" t="s">
        <v>21</v>
      </c>
      <c r="AL130" s="921" t="s">
        <v>21</v>
      </c>
      <c r="AM130" s="921" t="s">
        <v>21</v>
      </c>
      <c r="AN130" s="920"/>
      <c r="AO130" s="920" t="s">
        <v>21</v>
      </c>
      <c r="AP130" s="919">
        <v>51.295999999999999</v>
      </c>
      <c r="AQ130" s="933">
        <v>168.76383999999999</v>
      </c>
      <c r="AR130" s="925" t="s">
        <v>21</v>
      </c>
      <c r="AS130" s="925">
        <v>168.76383999999999</v>
      </c>
      <c r="AT130" s="925" t="s">
        <v>21</v>
      </c>
      <c r="AU130" s="925" t="s">
        <v>21</v>
      </c>
      <c r="AV130" s="926" t="s">
        <v>21</v>
      </c>
      <c r="AW130" s="926" t="s">
        <v>21</v>
      </c>
      <c r="AX130" s="926" t="s">
        <v>21</v>
      </c>
      <c r="AY130" s="926" t="s">
        <v>21</v>
      </c>
      <c r="AZ130" s="925" t="s">
        <v>21</v>
      </c>
      <c r="BA130" s="925"/>
      <c r="BB130" s="919">
        <v>5.13</v>
      </c>
      <c r="BC130" s="919" t="s">
        <v>21</v>
      </c>
      <c r="BD130" s="919" t="s">
        <v>2142</v>
      </c>
      <c r="BE130" s="925" t="s">
        <v>21</v>
      </c>
      <c r="BF130" s="926" t="s">
        <v>21</v>
      </c>
      <c r="BG130" s="925">
        <v>36.64</v>
      </c>
      <c r="BH130" s="926" t="s">
        <v>21</v>
      </c>
      <c r="BI130" s="925" t="s">
        <v>21</v>
      </c>
      <c r="BJ130" s="926" t="s">
        <v>21</v>
      </c>
      <c r="BK130" s="925" t="s">
        <v>21</v>
      </c>
      <c r="BL130" s="926" t="s">
        <v>21</v>
      </c>
      <c r="BM130" s="925" t="s">
        <v>21</v>
      </c>
      <c r="BN130" s="927"/>
      <c r="BO130" s="927"/>
      <c r="BP130" s="928">
        <v>1</v>
      </c>
      <c r="BQ130" s="928" t="s">
        <v>21</v>
      </c>
      <c r="BR130" s="928" t="s">
        <v>21</v>
      </c>
      <c r="BS130" s="928" t="s">
        <v>21</v>
      </c>
      <c r="BT130" s="928" t="s">
        <v>21</v>
      </c>
      <c r="BU130" s="928" t="s">
        <v>21</v>
      </c>
      <c r="BV130" s="934">
        <v>0.55000000000004556</v>
      </c>
      <c r="BW130" s="934">
        <v>1</v>
      </c>
      <c r="BX130" s="1104">
        <v>2</v>
      </c>
      <c r="BY130" s="931">
        <v>4</v>
      </c>
      <c r="BZ130" s="930">
        <v>2</v>
      </c>
      <c r="CA130" s="1074" t="s">
        <v>21</v>
      </c>
      <c r="CB130" s="930" t="s">
        <v>21</v>
      </c>
      <c r="CC130" s="930" t="s">
        <v>21</v>
      </c>
      <c r="CD130" s="925">
        <v>37.482999999999997</v>
      </c>
      <c r="CE130" s="1130">
        <v>112.88800000000001</v>
      </c>
      <c r="CF130" s="1129" t="s">
        <v>21</v>
      </c>
      <c r="CG130" s="1130" t="s">
        <v>21</v>
      </c>
      <c r="CH130" s="1130" t="s">
        <v>21</v>
      </c>
      <c r="CI130" s="1131" t="s">
        <v>21</v>
      </c>
      <c r="CJ130" s="1129" t="s">
        <v>21</v>
      </c>
      <c r="CK130" s="1130">
        <v>112.88800000000001</v>
      </c>
      <c r="CL130" s="1130" t="s">
        <v>21</v>
      </c>
      <c r="CM130" s="1131" t="s">
        <v>21</v>
      </c>
      <c r="CN130" s="1130" t="s">
        <v>21</v>
      </c>
      <c r="CP130" s="838" t="s">
        <v>21</v>
      </c>
      <c r="CQ130" s="838" t="s">
        <v>21</v>
      </c>
      <c r="CR130" s="836"/>
    </row>
    <row r="131" spans="1:96" x14ac:dyDescent="0.25">
      <c r="A131" s="935"/>
      <c r="B131" s="932" t="s">
        <v>2284</v>
      </c>
      <c r="C131" s="911">
        <v>600</v>
      </c>
      <c r="D131" s="911" t="s">
        <v>2116</v>
      </c>
      <c r="E131" s="912">
        <v>1126.99</v>
      </c>
      <c r="F131" s="912">
        <v>1125.0899999999999</v>
      </c>
      <c r="G131" s="932" t="s">
        <v>2285</v>
      </c>
      <c r="H131" s="912">
        <v>1125.53</v>
      </c>
      <c r="I131" s="912">
        <v>1123.6300000000001</v>
      </c>
      <c r="J131" s="914">
        <v>38.89</v>
      </c>
      <c r="K131" s="915"/>
      <c r="L131" s="916">
        <v>0.1</v>
      </c>
      <c r="M131" s="916">
        <v>0.06</v>
      </c>
      <c r="N131" s="916">
        <v>0.2</v>
      </c>
      <c r="O131" s="916">
        <v>4.84</v>
      </c>
      <c r="P131" s="915"/>
      <c r="Q131" s="916">
        <v>2.16</v>
      </c>
      <c r="R131" s="917">
        <v>0.33333333333333331</v>
      </c>
      <c r="S131" s="918">
        <v>1.4</v>
      </c>
      <c r="T131" s="918">
        <v>2.84</v>
      </c>
      <c r="U131" s="916">
        <v>4.5540000000000003</v>
      </c>
      <c r="V131" s="916">
        <v>0.92</v>
      </c>
      <c r="W131" s="915"/>
      <c r="X131" s="916">
        <v>0.28299999999999997</v>
      </c>
      <c r="Y131" s="916">
        <v>0.40699999999999997</v>
      </c>
      <c r="Z131" s="916">
        <v>4.5789999999999997</v>
      </c>
      <c r="AA131" s="916">
        <v>1.0229999999999999</v>
      </c>
      <c r="AB131" s="916">
        <v>3.0089999999999999</v>
      </c>
      <c r="AC131" s="915"/>
      <c r="AD131" s="919">
        <v>188.22800000000001</v>
      </c>
      <c r="AE131" s="920">
        <v>178.077</v>
      </c>
      <c r="AF131" s="920" t="s">
        <v>21</v>
      </c>
      <c r="AG131" s="920" t="s">
        <v>21</v>
      </c>
      <c r="AH131" s="921">
        <v>178.077</v>
      </c>
      <c r="AI131" s="921" t="s">
        <v>21</v>
      </c>
      <c r="AJ131" s="920" t="s">
        <v>21</v>
      </c>
      <c r="AK131" s="920" t="s">
        <v>21</v>
      </c>
      <c r="AL131" s="921" t="s">
        <v>21</v>
      </c>
      <c r="AM131" s="921" t="s">
        <v>21</v>
      </c>
      <c r="AN131" s="920"/>
      <c r="AO131" s="920" t="s">
        <v>21</v>
      </c>
      <c r="AP131" s="919">
        <v>54.445999999999998</v>
      </c>
      <c r="AQ131" s="933">
        <v>177.10506000000001</v>
      </c>
      <c r="AR131" s="925" t="s">
        <v>21</v>
      </c>
      <c r="AS131" s="925">
        <v>177.10506000000001</v>
      </c>
      <c r="AT131" s="925" t="s">
        <v>21</v>
      </c>
      <c r="AU131" s="925" t="s">
        <v>21</v>
      </c>
      <c r="AV131" s="926" t="s">
        <v>21</v>
      </c>
      <c r="AW131" s="926" t="s">
        <v>21</v>
      </c>
      <c r="AX131" s="926" t="s">
        <v>21</v>
      </c>
      <c r="AY131" s="926" t="s">
        <v>21</v>
      </c>
      <c r="AZ131" s="925" t="s">
        <v>21</v>
      </c>
      <c r="BA131" s="925"/>
      <c r="BB131" s="919">
        <v>5.4450000000000003</v>
      </c>
      <c r="BC131" s="919" t="s">
        <v>21</v>
      </c>
      <c r="BD131" s="919" t="s">
        <v>2142</v>
      </c>
      <c r="BE131" s="925" t="s">
        <v>21</v>
      </c>
      <c r="BF131" s="926" t="s">
        <v>21</v>
      </c>
      <c r="BG131" s="925">
        <v>38.89</v>
      </c>
      <c r="BH131" s="926" t="s">
        <v>21</v>
      </c>
      <c r="BI131" s="925" t="s">
        <v>21</v>
      </c>
      <c r="BJ131" s="926" t="s">
        <v>21</v>
      </c>
      <c r="BK131" s="925" t="s">
        <v>21</v>
      </c>
      <c r="BL131" s="926" t="s">
        <v>21</v>
      </c>
      <c r="BM131" s="925" t="s">
        <v>21</v>
      </c>
      <c r="BN131" s="927"/>
      <c r="BO131" s="927"/>
      <c r="BP131" s="928">
        <v>1</v>
      </c>
      <c r="BQ131" s="928" t="s">
        <v>21</v>
      </c>
      <c r="BR131" s="928" t="s">
        <v>21</v>
      </c>
      <c r="BS131" s="928" t="s">
        <v>21</v>
      </c>
      <c r="BT131" s="928" t="s">
        <v>21</v>
      </c>
      <c r="BU131" s="928" t="s">
        <v>21</v>
      </c>
      <c r="BV131" s="934">
        <v>0.50000000000009104</v>
      </c>
      <c r="BW131" s="934">
        <v>1</v>
      </c>
      <c r="BX131" s="1104">
        <v>2</v>
      </c>
      <c r="BY131" s="931">
        <v>4</v>
      </c>
      <c r="BZ131" s="930">
        <v>2</v>
      </c>
      <c r="CA131" s="1074" t="s">
        <v>21</v>
      </c>
      <c r="CB131" s="930" t="s">
        <v>21</v>
      </c>
      <c r="CC131" s="930" t="s">
        <v>21</v>
      </c>
      <c r="CD131" s="925">
        <v>39.783999999999999</v>
      </c>
      <c r="CE131" s="1130">
        <v>117.02</v>
      </c>
      <c r="CF131" s="1129" t="s">
        <v>21</v>
      </c>
      <c r="CG131" s="1130" t="s">
        <v>21</v>
      </c>
      <c r="CH131" s="1130" t="s">
        <v>21</v>
      </c>
      <c r="CI131" s="1131" t="s">
        <v>21</v>
      </c>
      <c r="CJ131" s="1129" t="s">
        <v>21</v>
      </c>
      <c r="CK131" s="1130">
        <v>117.02</v>
      </c>
      <c r="CL131" s="1130" t="s">
        <v>21</v>
      </c>
      <c r="CM131" s="1131" t="s">
        <v>21</v>
      </c>
      <c r="CN131" s="1130" t="s">
        <v>21</v>
      </c>
      <c r="CP131" s="838" t="s">
        <v>21</v>
      </c>
      <c r="CQ131" s="838" t="s">
        <v>21</v>
      </c>
      <c r="CR131" s="836"/>
    </row>
    <row r="132" spans="1:96" x14ac:dyDescent="0.25">
      <c r="A132" s="935"/>
      <c r="B132" s="932" t="s">
        <v>2285</v>
      </c>
      <c r="C132" s="911">
        <v>600</v>
      </c>
      <c r="D132" s="911" t="s">
        <v>2116</v>
      </c>
      <c r="E132" s="912">
        <v>1125.53</v>
      </c>
      <c r="F132" s="912">
        <v>1123.6300000000001</v>
      </c>
      <c r="G132" s="932" t="s">
        <v>2286</v>
      </c>
      <c r="H132" s="912">
        <v>1123.56</v>
      </c>
      <c r="I132" s="912">
        <v>1121.6600000000001</v>
      </c>
      <c r="J132" s="914">
        <v>42.87</v>
      </c>
      <c r="K132" s="915"/>
      <c r="L132" s="916">
        <v>0.1</v>
      </c>
      <c r="M132" s="916">
        <v>0.06</v>
      </c>
      <c r="N132" s="916">
        <v>0.2</v>
      </c>
      <c r="O132" s="916">
        <v>4.84</v>
      </c>
      <c r="P132" s="915"/>
      <c r="Q132" s="916">
        <v>2.16</v>
      </c>
      <c r="R132" s="917">
        <v>0.33333333333333331</v>
      </c>
      <c r="S132" s="918">
        <v>1.4</v>
      </c>
      <c r="T132" s="918">
        <v>2.84</v>
      </c>
      <c r="U132" s="916">
        <v>4.5540000000000003</v>
      </c>
      <c r="V132" s="916">
        <v>0.92</v>
      </c>
      <c r="W132" s="915"/>
      <c r="X132" s="916">
        <v>0.28299999999999997</v>
      </c>
      <c r="Y132" s="916">
        <v>0.40699999999999997</v>
      </c>
      <c r="Z132" s="916">
        <v>4.5789999999999997</v>
      </c>
      <c r="AA132" s="916">
        <v>1.0229999999999999</v>
      </c>
      <c r="AB132" s="916">
        <v>3.0089999999999999</v>
      </c>
      <c r="AC132" s="915"/>
      <c r="AD132" s="919">
        <v>207.49100000000001</v>
      </c>
      <c r="AE132" s="920">
        <v>196.30199999999999</v>
      </c>
      <c r="AF132" s="920" t="s">
        <v>21</v>
      </c>
      <c r="AG132" s="920" t="s">
        <v>21</v>
      </c>
      <c r="AH132" s="921">
        <v>196.30199999999999</v>
      </c>
      <c r="AI132" s="921" t="s">
        <v>21</v>
      </c>
      <c r="AJ132" s="920" t="s">
        <v>21</v>
      </c>
      <c r="AK132" s="920" t="s">
        <v>21</v>
      </c>
      <c r="AL132" s="921" t="s">
        <v>21</v>
      </c>
      <c r="AM132" s="921" t="s">
        <v>21</v>
      </c>
      <c r="AN132" s="920"/>
      <c r="AO132" s="920" t="s">
        <v>21</v>
      </c>
      <c r="AP132" s="919">
        <v>60.018000000000001</v>
      </c>
      <c r="AQ132" s="933">
        <v>195.22998000000001</v>
      </c>
      <c r="AR132" s="925" t="s">
        <v>21</v>
      </c>
      <c r="AS132" s="925">
        <v>195.22998000000001</v>
      </c>
      <c r="AT132" s="925" t="s">
        <v>21</v>
      </c>
      <c r="AU132" s="925" t="s">
        <v>21</v>
      </c>
      <c r="AV132" s="926" t="s">
        <v>21</v>
      </c>
      <c r="AW132" s="926" t="s">
        <v>21</v>
      </c>
      <c r="AX132" s="926" t="s">
        <v>21</v>
      </c>
      <c r="AY132" s="926" t="s">
        <v>21</v>
      </c>
      <c r="AZ132" s="925" t="s">
        <v>21</v>
      </c>
      <c r="BA132" s="925"/>
      <c r="BB132" s="919">
        <v>6.0019999999999998</v>
      </c>
      <c r="BC132" s="919" t="s">
        <v>21</v>
      </c>
      <c r="BD132" s="919" t="s">
        <v>2142</v>
      </c>
      <c r="BE132" s="925" t="s">
        <v>21</v>
      </c>
      <c r="BF132" s="926" t="s">
        <v>21</v>
      </c>
      <c r="BG132" s="925">
        <v>42.87</v>
      </c>
      <c r="BH132" s="926" t="s">
        <v>21</v>
      </c>
      <c r="BI132" s="925" t="s">
        <v>21</v>
      </c>
      <c r="BJ132" s="926" t="s">
        <v>21</v>
      </c>
      <c r="BK132" s="925" t="s">
        <v>21</v>
      </c>
      <c r="BL132" s="926" t="s">
        <v>21</v>
      </c>
      <c r="BM132" s="925" t="s">
        <v>21</v>
      </c>
      <c r="BN132" s="927"/>
      <c r="BO132" s="927"/>
      <c r="BP132" s="928">
        <v>1</v>
      </c>
      <c r="BQ132" s="928" t="s">
        <v>21</v>
      </c>
      <c r="BR132" s="928" t="s">
        <v>21</v>
      </c>
      <c r="BS132" s="928" t="s">
        <v>21</v>
      </c>
      <c r="BT132" s="928" t="s">
        <v>21</v>
      </c>
      <c r="BU132" s="928" t="s">
        <v>21</v>
      </c>
      <c r="BV132" s="934">
        <v>0.49999999999986366</v>
      </c>
      <c r="BW132" s="934">
        <v>0.5</v>
      </c>
      <c r="BX132" s="1104">
        <v>1</v>
      </c>
      <c r="BY132" s="931">
        <v>3</v>
      </c>
      <c r="BZ132" s="930">
        <v>2</v>
      </c>
      <c r="CA132" s="1074" t="s">
        <v>21</v>
      </c>
      <c r="CB132" s="930" t="s">
        <v>21</v>
      </c>
      <c r="CC132" s="930" t="s">
        <v>21</v>
      </c>
      <c r="CD132" s="925">
        <v>43.856000000000002</v>
      </c>
      <c r="CE132" s="1130">
        <v>128.99600000000001</v>
      </c>
      <c r="CF132" s="1129" t="s">
        <v>21</v>
      </c>
      <c r="CG132" s="1130" t="s">
        <v>21</v>
      </c>
      <c r="CH132" s="1130" t="s">
        <v>21</v>
      </c>
      <c r="CI132" s="1131" t="s">
        <v>21</v>
      </c>
      <c r="CJ132" s="1129" t="s">
        <v>21</v>
      </c>
      <c r="CK132" s="1130">
        <v>128.99600000000001</v>
      </c>
      <c r="CL132" s="1130" t="s">
        <v>21</v>
      </c>
      <c r="CM132" s="1131" t="s">
        <v>21</v>
      </c>
      <c r="CN132" s="1130" t="s">
        <v>21</v>
      </c>
      <c r="CP132" s="838" t="s">
        <v>21</v>
      </c>
      <c r="CQ132" s="838" t="s">
        <v>21</v>
      </c>
      <c r="CR132" s="836"/>
    </row>
    <row r="133" spans="1:96" x14ac:dyDescent="0.25">
      <c r="A133" s="935"/>
      <c r="B133" s="932" t="s">
        <v>2286</v>
      </c>
      <c r="C133" s="911">
        <v>600</v>
      </c>
      <c r="D133" s="911" t="s">
        <v>2116</v>
      </c>
      <c r="E133" s="912">
        <v>1123.56</v>
      </c>
      <c r="F133" s="912">
        <v>1121.56</v>
      </c>
      <c r="G133" s="932" t="s">
        <v>2287</v>
      </c>
      <c r="H133" s="912">
        <v>1122</v>
      </c>
      <c r="I133" s="912">
        <v>1120.0999999999999</v>
      </c>
      <c r="J133" s="914">
        <v>48.89</v>
      </c>
      <c r="K133" s="915"/>
      <c r="L133" s="916">
        <v>0.1</v>
      </c>
      <c r="M133" s="916">
        <v>0.06</v>
      </c>
      <c r="N133" s="916">
        <v>0.2</v>
      </c>
      <c r="O133" s="916">
        <v>4.8730000000000002</v>
      </c>
      <c r="P133" s="915"/>
      <c r="Q133" s="916">
        <v>2.21</v>
      </c>
      <c r="R133" s="917">
        <v>0.33333333333333331</v>
      </c>
      <c r="S133" s="918">
        <v>1.4</v>
      </c>
      <c r="T133" s="918">
        <v>2.8730000000000002</v>
      </c>
      <c r="U133" s="916">
        <v>4.6589999999999998</v>
      </c>
      <c r="V133" s="916">
        <v>0.92</v>
      </c>
      <c r="W133" s="915"/>
      <c r="X133" s="916">
        <v>0.28299999999999997</v>
      </c>
      <c r="Y133" s="916">
        <v>0.40699999999999997</v>
      </c>
      <c r="Z133" s="916">
        <v>4.7220000000000004</v>
      </c>
      <c r="AA133" s="916">
        <v>1.0229999999999999</v>
      </c>
      <c r="AB133" s="916">
        <v>3.1520000000000001</v>
      </c>
      <c r="AC133" s="915"/>
      <c r="AD133" s="919">
        <v>238.24100000000001</v>
      </c>
      <c r="AE133" s="920">
        <v>230.85900000000001</v>
      </c>
      <c r="AF133" s="920" t="s">
        <v>21</v>
      </c>
      <c r="AG133" s="920" t="s">
        <v>21</v>
      </c>
      <c r="AH133" s="921">
        <v>230.85900000000001</v>
      </c>
      <c r="AI133" s="921" t="s">
        <v>21</v>
      </c>
      <c r="AJ133" s="920" t="s">
        <v>21</v>
      </c>
      <c r="AK133" s="920" t="s">
        <v>21</v>
      </c>
      <c r="AL133" s="921" t="s">
        <v>21</v>
      </c>
      <c r="AM133" s="921" t="s">
        <v>21</v>
      </c>
      <c r="AN133" s="920"/>
      <c r="AO133" s="920" t="s">
        <v>21</v>
      </c>
      <c r="AP133" s="919">
        <v>68.445999999999998</v>
      </c>
      <c r="AQ133" s="933">
        <v>227.77850999999998</v>
      </c>
      <c r="AR133" s="925" t="s">
        <v>21</v>
      </c>
      <c r="AS133" s="925">
        <v>227.77850999999998</v>
      </c>
      <c r="AT133" s="925" t="s">
        <v>21</v>
      </c>
      <c r="AU133" s="925" t="s">
        <v>21</v>
      </c>
      <c r="AV133" s="926" t="s">
        <v>21</v>
      </c>
      <c r="AW133" s="926" t="s">
        <v>21</v>
      </c>
      <c r="AX133" s="926" t="s">
        <v>21</v>
      </c>
      <c r="AY133" s="926" t="s">
        <v>21</v>
      </c>
      <c r="AZ133" s="925" t="s">
        <v>21</v>
      </c>
      <c r="BA133" s="925"/>
      <c r="BB133" s="919">
        <v>6.8449999999999998</v>
      </c>
      <c r="BC133" s="919" t="s">
        <v>21</v>
      </c>
      <c r="BD133" s="919" t="s">
        <v>2142</v>
      </c>
      <c r="BE133" s="925" t="s">
        <v>21</v>
      </c>
      <c r="BF133" s="926" t="s">
        <v>21</v>
      </c>
      <c r="BG133" s="925">
        <v>48.89</v>
      </c>
      <c r="BH133" s="926" t="s">
        <v>21</v>
      </c>
      <c r="BI133" s="925" t="s">
        <v>21</v>
      </c>
      <c r="BJ133" s="926" t="s">
        <v>21</v>
      </c>
      <c r="BK133" s="925" t="s">
        <v>21</v>
      </c>
      <c r="BL133" s="926" t="s">
        <v>21</v>
      </c>
      <c r="BM133" s="925" t="s">
        <v>21</v>
      </c>
      <c r="BN133" s="927"/>
      <c r="BO133" s="927"/>
      <c r="BP133" s="928">
        <v>1</v>
      </c>
      <c r="BQ133" s="928" t="s">
        <v>21</v>
      </c>
      <c r="BR133" s="928" t="s">
        <v>21</v>
      </c>
      <c r="BS133" s="928" t="s">
        <v>21</v>
      </c>
      <c r="BT133" s="928" t="s">
        <v>21</v>
      </c>
      <c r="BU133" s="928" t="s">
        <v>21</v>
      </c>
      <c r="BV133" s="934">
        <v>0.60000000000000009</v>
      </c>
      <c r="BW133" s="934">
        <v>1</v>
      </c>
      <c r="BX133" s="1104">
        <v>2</v>
      </c>
      <c r="BY133" s="931">
        <v>4</v>
      </c>
      <c r="BZ133" s="930">
        <v>2</v>
      </c>
      <c r="CA133" s="1074" t="s">
        <v>21</v>
      </c>
      <c r="CB133" s="930" t="s">
        <v>21</v>
      </c>
      <c r="CC133" s="930" t="s">
        <v>21</v>
      </c>
      <c r="CD133" s="925">
        <v>50.014000000000003</v>
      </c>
      <c r="CE133" s="1130">
        <v>154.101</v>
      </c>
      <c r="CF133" s="1129" t="s">
        <v>21</v>
      </c>
      <c r="CG133" s="1130" t="s">
        <v>21</v>
      </c>
      <c r="CH133" s="1130" t="s">
        <v>21</v>
      </c>
      <c r="CI133" s="1131" t="s">
        <v>21</v>
      </c>
      <c r="CJ133" s="1129" t="s">
        <v>21</v>
      </c>
      <c r="CK133" s="1130">
        <v>154.101</v>
      </c>
      <c r="CL133" s="1130" t="s">
        <v>21</v>
      </c>
      <c r="CM133" s="1131" t="s">
        <v>21</v>
      </c>
      <c r="CN133" s="1130" t="s">
        <v>21</v>
      </c>
      <c r="CP133" s="838" t="s">
        <v>21</v>
      </c>
      <c r="CQ133" s="838" t="s">
        <v>21</v>
      </c>
      <c r="CR133" s="836"/>
    </row>
    <row r="134" spans="1:96" x14ac:dyDescent="0.25">
      <c r="A134" s="935"/>
      <c r="B134" s="932" t="s">
        <v>2287</v>
      </c>
      <c r="C134" s="911">
        <v>600</v>
      </c>
      <c r="D134" s="911" t="s">
        <v>2116</v>
      </c>
      <c r="E134" s="912">
        <v>1122</v>
      </c>
      <c r="F134" s="912">
        <v>1120.0999999999999</v>
      </c>
      <c r="G134" s="932" t="s">
        <v>2288</v>
      </c>
      <c r="H134" s="912">
        <v>1120.07</v>
      </c>
      <c r="I134" s="912">
        <v>1118.17</v>
      </c>
      <c r="J134" s="914">
        <v>49.33</v>
      </c>
      <c r="K134" s="915"/>
      <c r="L134" s="916">
        <v>0.1</v>
      </c>
      <c r="M134" s="916">
        <v>0.06</v>
      </c>
      <c r="N134" s="916">
        <v>0.2</v>
      </c>
      <c r="O134" s="916">
        <v>4.84</v>
      </c>
      <c r="P134" s="915"/>
      <c r="Q134" s="916">
        <v>2.16</v>
      </c>
      <c r="R134" s="917">
        <v>0.33333333333333331</v>
      </c>
      <c r="S134" s="918">
        <v>1.4</v>
      </c>
      <c r="T134" s="918">
        <v>2.84</v>
      </c>
      <c r="U134" s="916">
        <v>4.5540000000000003</v>
      </c>
      <c r="V134" s="916">
        <v>0.92</v>
      </c>
      <c r="W134" s="915"/>
      <c r="X134" s="916">
        <v>0.28299999999999997</v>
      </c>
      <c r="Y134" s="916">
        <v>0.40699999999999997</v>
      </c>
      <c r="Z134" s="916">
        <v>4.5789999999999997</v>
      </c>
      <c r="AA134" s="916">
        <v>1.0229999999999999</v>
      </c>
      <c r="AB134" s="916">
        <v>3.0089999999999999</v>
      </c>
      <c r="AC134" s="915"/>
      <c r="AD134" s="919">
        <v>238.75700000000001</v>
      </c>
      <c r="AE134" s="920">
        <v>225.88200000000001</v>
      </c>
      <c r="AF134" s="920" t="s">
        <v>21</v>
      </c>
      <c r="AG134" s="920" t="s">
        <v>21</v>
      </c>
      <c r="AH134" s="921">
        <v>225.88200000000001</v>
      </c>
      <c r="AI134" s="921" t="s">
        <v>21</v>
      </c>
      <c r="AJ134" s="920" t="s">
        <v>21</v>
      </c>
      <c r="AK134" s="920" t="s">
        <v>21</v>
      </c>
      <c r="AL134" s="921" t="s">
        <v>21</v>
      </c>
      <c r="AM134" s="921" t="s">
        <v>21</v>
      </c>
      <c r="AN134" s="920"/>
      <c r="AO134" s="920" t="s">
        <v>21</v>
      </c>
      <c r="AP134" s="919">
        <v>69.061999999999998</v>
      </c>
      <c r="AQ134" s="933">
        <v>224.64882</v>
      </c>
      <c r="AR134" s="925" t="s">
        <v>21</v>
      </c>
      <c r="AS134" s="925">
        <v>224.64882</v>
      </c>
      <c r="AT134" s="925" t="s">
        <v>21</v>
      </c>
      <c r="AU134" s="925" t="s">
        <v>21</v>
      </c>
      <c r="AV134" s="926" t="s">
        <v>21</v>
      </c>
      <c r="AW134" s="926" t="s">
        <v>21</v>
      </c>
      <c r="AX134" s="926" t="s">
        <v>21</v>
      </c>
      <c r="AY134" s="926" t="s">
        <v>21</v>
      </c>
      <c r="AZ134" s="925" t="s">
        <v>21</v>
      </c>
      <c r="BA134" s="925"/>
      <c r="BB134" s="919">
        <v>6.9059999999999997</v>
      </c>
      <c r="BC134" s="919" t="s">
        <v>21</v>
      </c>
      <c r="BD134" s="919" t="s">
        <v>2142</v>
      </c>
      <c r="BE134" s="925" t="s">
        <v>21</v>
      </c>
      <c r="BF134" s="926" t="s">
        <v>21</v>
      </c>
      <c r="BG134" s="925">
        <v>49.33</v>
      </c>
      <c r="BH134" s="926" t="s">
        <v>21</v>
      </c>
      <c r="BI134" s="925" t="s">
        <v>21</v>
      </c>
      <c r="BJ134" s="926" t="s">
        <v>21</v>
      </c>
      <c r="BK134" s="925" t="s">
        <v>21</v>
      </c>
      <c r="BL134" s="926" t="s">
        <v>21</v>
      </c>
      <c r="BM134" s="925" t="s">
        <v>21</v>
      </c>
      <c r="BN134" s="927"/>
      <c r="BO134" s="927"/>
      <c r="BP134" s="928">
        <v>1</v>
      </c>
      <c r="BQ134" s="928" t="s">
        <v>21</v>
      </c>
      <c r="BR134" s="928" t="s">
        <v>21</v>
      </c>
      <c r="BS134" s="928" t="s">
        <v>21</v>
      </c>
      <c r="BT134" s="928" t="s">
        <v>21</v>
      </c>
      <c r="BU134" s="928" t="s">
        <v>21</v>
      </c>
      <c r="BV134" s="934">
        <v>0.50000000000009104</v>
      </c>
      <c r="BW134" s="934">
        <v>1</v>
      </c>
      <c r="BX134" s="1104">
        <v>2</v>
      </c>
      <c r="BY134" s="931">
        <v>4</v>
      </c>
      <c r="BZ134" s="930">
        <v>2</v>
      </c>
      <c r="CA134" s="1074" t="s">
        <v>21</v>
      </c>
      <c r="CB134" s="930" t="s">
        <v>21</v>
      </c>
      <c r="CC134" s="930" t="s">
        <v>21</v>
      </c>
      <c r="CD134" s="925">
        <v>50.465000000000003</v>
      </c>
      <c r="CE134" s="1130">
        <v>148.434</v>
      </c>
      <c r="CF134" s="1129" t="s">
        <v>21</v>
      </c>
      <c r="CG134" s="1130" t="s">
        <v>21</v>
      </c>
      <c r="CH134" s="1130" t="s">
        <v>21</v>
      </c>
      <c r="CI134" s="1131" t="s">
        <v>21</v>
      </c>
      <c r="CJ134" s="1129" t="s">
        <v>21</v>
      </c>
      <c r="CK134" s="1130">
        <v>148.434</v>
      </c>
      <c r="CL134" s="1130" t="s">
        <v>21</v>
      </c>
      <c r="CM134" s="1131" t="s">
        <v>21</v>
      </c>
      <c r="CN134" s="1130" t="s">
        <v>21</v>
      </c>
      <c r="CP134" s="838" t="s">
        <v>21</v>
      </c>
      <c r="CQ134" s="838" t="s">
        <v>21</v>
      </c>
      <c r="CR134" s="836"/>
    </row>
    <row r="135" spans="1:96" x14ac:dyDescent="0.25">
      <c r="A135" s="935"/>
      <c r="B135" s="932" t="s">
        <v>2288</v>
      </c>
      <c r="C135" s="911">
        <v>600</v>
      </c>
      <c r="D135" s="911" t="s">
        <v>2116</v>
      </c>
      <c r="E135" s="912">
        <v>1120.07</v>
      </c>
      <c r="F135" s="912">
        <v>1118.1199999999999</v>
      </c>
      <c r="G135" s="932" t="s">
        <v>2289</v>
      </c>
      <c r="H135" s="912">
        <v>1118.19</v>
      </c>
      <c r="I135" s="912">
        <v>1116.29</v>
      </c>
      <c r="J135" s="914">
        <v>49.33</v>
      </c>
      <c r="K135" s="915"/>
      <c r="L135" s="916">
        <v>0.1</v>
      </c>
      <c r="M135" s="916">
        <v>0.06</v>
      </c>
      <c r="N135" s="916">
        <v>0.2</v>
      </c>
      <c r="O135" s="916">
        <v>4.8570000000000002</v>
      </c>
      <c r="P135" s="915"/>
      <c r="Q135" s="916">
        <v>2.1850000000000001</v>
      </c>
      <c r="R135" s="917">
        <v>0.33333333333333331</v>
      </c>
      <c r="S135" s="918">
        <v>1.4</v>
      </c>
      <c r="T135" s="918">
        <v>2.8570000000000002</v>
      </c>
      <c r="U135" s="916">
        <v>4.6059999999999999</v>
      </c>
      <c r="V135" s="916">
        <v>0.92</v>
      </c>
      <c r="W135" s="915"/>
      <c r="X135" s="916">
        <v>0.28299999999999997</v>
      </c>
      <c r="Y135" s="916">
        <v>0.40699999999999997</v>
      </c>
      <c r="Z135" s="916">
        <v>4.6509999999999998</v>
      </c>
      <c r="AA135" s="916">
        <v>1.0229999999999999</v>
      </c>
      <c r="AB135" s="916">
        <v>3.081</v>
      </c>
      <c r="AC135" s="915"/>
      <c r="AD135" s="919">
        <v>239.596</v>
      </c>
      <c r="AE135" s="920">
        <v>229.434</v>
      </c>
      <c r="AF135" s="920" t="s">
        <v>21</v>
      </c>
      <c r="AG135" s="920" t="s">
        <v>21</v>
      </c>
      <c r="AH135" s="921">
        <v>229.434</v>
      </c>
      <c r="AI135" s="921" t="s">
        <v>21</v>
      </c>
      <c r="AJ135" s="920" t="s">
        <v>21</v>
      </c>
      <c r="AK135" s="920" t="s">
        <v>21</v>
      </c>
      <c r="AL135" s="921" t="s">
        <v>21</v>
      </c>
      <c r="AM135" s="921" t="s">
        <v>21</v>
      </c>
      <c r="AN135" s="920"/>
      <c r="AO135" s="920" t="s">
        <v>21</v>
      </c>
      <c r="AP135" s="919">
        <v>69.061999999999998</v>
      </c>
      <c r="AQ135" s="933">
        <v>227.21397999999999</v>
      </c>
      <c r="AR135" s="925" t="s">
        <v>21</v>
      </c>
      <c r="AS135" s="925">
        <v>227.21397999999999</v>
      </c>
      <c r="AT135" s="925" t="s">
        <v>21</v>
      </c>
      <c r="AU135" s="925" t="s">
        <v>21</v>
      </c>
      <c r="AV135" s="926" t="s">
        <v>21</v>
      </c>
      <c r="AW135" s="926" t="s">
        <v>21</v>
      </c>
      <c r="AX135" s="926" t="s">
        <v>21</v>
      </c>
      <c r="AY135" s="926" t="s">
        <v>21</v>
      </c>
      <c r="AZ135" s="925" t="s">
        <v>21</v>
      </c>
      <c r="BA135" s="925"/>
      <c r="BB135" s="919">
        <v>6.9059999999999997</v>
      </c>
      <c r="BC135" s="919" t="s">
        <v>21</v>
      </c>
      <c r="BD135" s="919" t="s">
        <v>2142</v>
      </c>
      <c r="BE135" s="925" t="s">
        <v>21</v>
      </c>
      <c r="BF135" s="926" t="s">
        <v>21</v>
      </c>
      <c r="BG135" s="925">
        <v>49.33</v>
      </c>
      <c r="BH135" s="926" t="s">
        <v>21</v>
      </c>
      <c r="BI135" s="925" t="s">
        <v>21</v>
      </c>
      <c r="BJ135" s="926" t="s">
        <v>21</v>
      </c>
      <c r="BK135" s="925" t="s">
        <v>21</v>
      </c>
      <c r="BL135" s="926" t="s">
        <v>21</v>
      </c>
      <c r="BM135" s="925" t="s">
        <v>21</v>
      </c>
      <c r="BN135" s="927"/>
      <c r="BO135" s="927"/>
      <c r="BP135" s="928">
        <v>1</v>
      </c>
      <c r="BQ135" s="928" t="s">
        <v>21</v>
      </c>
      <c r="BR135" s="928" t="s">
        <v>21</v>
      </c>
      <c r="BS135" s="928" t="s">
        <v>21</v>
      </c>
      <c r="BT135" s="928" t="s">
        <v>21</v>
      </c>
      <c r="BU135" s="928" t="s">
        <v>21</v>
      </c>
      <c r="BV135" s="934">
        <v>0.55000000000004556</v>
      </c>
      <c r="BW135" s="934">
        <v>1</v>
      </c>
      <c r="BX135" s="1104">
        <v>2</v>
      </c>
      <c r="BY135" s="931">
        <v>4</v>
      </c>
      <c r="BZ135" s="930" t="s">
        <v>21</v>
      </c>
      <c r="CA135" s="1074">
        <v>1</v>
      </c>
      <c r="CB135" s="930" t="s">
        <v>21</v>
      </c>
      <c r="CC135" s="930" t="s">
        <v>21</v>
      </c>
      <c r="CD135" s="925">
        <v>50.465000000000003</v>
      </c>
      <c r="CE135" s="1130">
        <v>151.98599999999999</v>
      </c>
      <c r="CF135" s="1129" t="s">
        <v>21</v>
      </c>
      <c r="CG135" s="1130" t="s">
        <v>21</v>
      </c>
      <c r="CH135" s="1130" t="s">
        <v>21</v>
      </c>
      <c r="CI135" s="1131" t="s">
        <v>21</v>
      </c>
      <c r="CJ135" s="1129" t="s">
        <v>21</v>
      </c>
      <c r="CK135" s="1130">
        <v>151.98599999999999</v>
      </c>
      <c r="CL135" s="1130" t="s">
        <v>21</v>
      </c>
      <c r="CM135" s="1131" t="s">
        <v>21</v>
      </c>
      <c r="CN135" s="1130" t="s">
        <v>21</v>
      </c>
      <c r="CP135" s="838" t="s">
        <v>21</v>
      </c>
      <c r="CQ135" s="838" t="s">
        <v>21</v>
      </c>
      <c r="CR135" s="836"/>
    </row>
    <row r="136" spans="1:96" x14ac:dyDescent="0.25">
      <c r="A136" s="935"/>
      <c r="B136" s="932" t="s">
        <v>2289</v>
      </c>
      <c r="C136" s="911">
        <v>600</v>
      </c>
      <c r="D136" s="911" t="s">
        <v>2116</v>
      </c>
      <c r="E136" s="912">
        <v>1118.19</v>
      </c>
      <c r="F136" s="912">
        <v>1116.24</v>
      </c>
      <c r="G136" s="932" t="s">
        <v>2290</v>
      </c>
      <c r="H136" s="912">
        <v>1116.3900000000001</v>
      </c>
      <c r="I136" s="912">
        <v>1114.49</v>
      </c>
      <c r="J136" s="914">
        <v>48.11</v>
      </c>
      <c r="K136" s="915"/>
      <c r="L136" s="916">
        <v>0.1</v>
      </c>
      <c r="M136" s="916">
        <v>0.06</v>
      </c>
      <c r="N136" s="916">
        <v>0.2</v>
      </c>
      <c r="O136" s="916">
        <v>4.8570000000000002</v>
      </c>
      <c r="P136" s="915"/>
      <c r="Q136" s="916">
        <v>2.1850000000000001</v>
      </c>
      <c r="R136" s="917">
        <v>0.33333333333333331</v>
      </c>
      <c r="S136" s="918">
        <v>1.4</v>
      </c>
      <c r="T136" s="918">
        <v>2.8570000000000002</v>
      </c>
      <c r="U136" s="916">
        <v>4.6059999999999999</v>
      </c>
      <c r="V136" s="916">
        <v>0.92</v>
      </c>
      <c r="W136" s="915"/>
      <c r="X136" s="916">
        <v>0.28299999999999997</v>
      </c>
      <c r="Y136" s="916">
        <v>0.40699999999999997</v>
      </c>
      <c r="Z136" s="916">
        <v>4.6509999999999998</v>
      </c>
      <c r="AA136" s="916">
        <v>1.0229999999999999</v>
      </c>
      <c r="AB136" s="916">
        <v>3.081</v>
      </c>
      <c r="AC136" s="915"/>
      <c r="AD136" s="919">
        <v>233.67</v>
      </c>
      <c r="AE136" s="920">
        <v>223.76</v>
      </c>
      <c r="AF136" s="920" t="s">
        <v>21</v>
      </c>
      <c r="AG136" s="920" t="s">
        <v>21</v>
      </c>
      <c r="AH136" s="921">
        <v>223.76</v>
      </c>
      <c r="AI136" s="921" t="s">
        <v>21</v>
      </c>
      <c r="AJ136" s="920" t="s">
        <v>21</v>
      </c>
      <c r="AK136" s="920" t="s">
        <v>21</v>
      </c>
      <c r="AL136" s="921" t="s">
        <v>21</v>
      </c>
      <c r="AM136" s="921" t="s">
        <v>21</v>
      </c>
      <c r="AN136" s="920"/>
      <c r="AO136" s="920" t="s">
        <v>21</v>
      </c>
      <c r="AP136" s="919">
        <v>67.353999999999999</v>
      </c>
      <c r="AQ136" s="933">
        <v>221.59466</v>
      </c>
      <c r="AR136" s="925" t="s">
        <v>21</v>
      </c>
      <c r="AS136" s="925">
        <v>221.59466</v>
      </c>
      <c r="AT136" s="925" t="s">
        <v>21</v>
      </c>
      <c r="AU136" s="925" t="s">
        <v>21</v>
      </c>
      <c r="AV136" s="926" t="s">
        <v>21</v>
      </c>
      <c r="AW136" s="926" t="s">
        <v>21</v>
      </c>
      <c r="AX136" s="926" t="s">
        <v>21</v>
      </c>
      <c r="AY136" s="926" t="s">
        <v>21</v>
      </c>
      <c r="AZ136" s="925" t="s">
        <v>21</v>
      </c>
      <c r="BA136" s="925"/>
      <c r="BB136" s="919">
        <v>6.7350000000000003</v>
      </c>
      <c r="BC136" s="919" t="s">
        <v>21</v>
      </c>
      <c r="BD136" s="919" t="s">
        <v>2142</v>
      </c>
      <c r="BE136" s="925" t="s">
        <v>21</v>
      </c>
      <c r="BF136" s="926" t="s">
        <v>21</v>
      </c>
      <c r="BG136" s="925">
        <v>48.11</v>
      </c>
      <c r="BH136" s="926" t="s">
        <v>21</v>
      </c>
      <c r="BI136" s="925" t="s">
        <v>21</v>
      </c>
      <c r="BJ136" s="926" t="s">
        <v>21</v>
      </c>
      <c r="BK136" s="925" t="s">
        <v>21</v>
      </c>
      <c r="BL136" s="926" t="s">
        <v>21</v>
      </c>
      <c r="BM136" s="925" t="s">
        <v>21</v>
      </c>
      <c r="BN136" s="927"/>
      <c r="BO136" s="927"/>
      <c r="BP136" s="928">
        <v>1</v>
      </c>
      <c r="BQ136" s="928" t="s">
        <v>21</v>
      </c>
      <c r="BR136" s="928" t="s">
        <v>21</v>
      </c>
      <c r="BS136" s="928" t="s">
        <v>21</v>
      </c>
      <c r="BT136" s="928" t="s">
        <v>21</v>
      </c>
      <c r="BU136" s="928" t="s">
        <v>21</v>
      </c>
      <c r="BV136" s="934">
        <v>0.55000000000004556</v>
      </c>
      <c r="BW136" s="934">
        <v>1</v>
      </c>
      <c r="BX136" s="1104">
        <v>2</v>
      </c>
      <c r="BY136" s="931">
        <v>4</v>
      </c>
      <c r="BZ136" s="930" t="s">
        <v>21</v>
      </c>
      <c r="CA136" s="1074">
        <v>1</v>
      </c>
      <c r="CB136" s="930" t="s">
        <v>21</v>
      </c>
      <c r="CC136" s="930" t="s">
        <v>21</v>
      </c>
      <c r="CD136" s="925">
        <v>49.216999999999999</v>
      </c>
      <c r="CE136" s="1130">
        <v>148.227</v>
      </c>
      <c r="CF136" s="1129" t="s">
        <v>21</v>
      </c>
      <c r="CG136" s="1130" t="s">
        <v>21</v>
      </c>
      <c r="CH136" s="1130" t="s">
        <v>21</v>
      </c>
      <c r="CI136" s="1131" t="s">
        <v>21</v>
      </c>
      <c r="CJ136" s="1129" t="s">
        <v>21</v>
      </c>
      <c r="CK136" s="1130">
        <v>148.227</v>
      </c>
      <c r="CL136" s="1130" t="s">
        <v>21</v>
      </c>
      <c r="CM136" s="1131" t="s">
        <v>21</v>
      </c>
      <c r="CN136" s="1130" t="s">
        <v>21</v>
      </c>
      <c r="CP136" s="838" t="s">
        <v>21</v>
      </c>
      <c r="CQ136" s="838" t="s">
        <v>21</v>
      </c>
      <c r="CR136" s="836"/>
    </row>
    <row r="137" spans="1:96" x14ac:dyDescent="0.25">
      <c r="A137" s="935"/>
      <c r="B137" s="932" t="s">
        <v>2290</v>
      </c>
      <c r="C137" s="911">
        <v>800</v>
      </c>
      <c r="D137" s="911" t="s">
        <v>2116</v>
      </c>
      <c r="E137" s="912">
        <v>1116.3900000000001</v>
      </c>
      <c r="F137" s="912">
        <v>1113.703</v>
      </c>
      <c r="G137" s="932" t="s">
        <v>2291</v>
      </c>
      <c r="H137" s="912">
        <v>1114</v>
      </c>
      <c r="I137" s="912">
        <v>1111.9000000000001</v>
      </c>
      <c r="J137" s="914">
        <v>52.35</v>
      </c>
      <c r="K137" s="915"/>
      <c r="L137" s="916">
        <v>0.15</v>
      </c>
      <c r="M137" s="916">
        <v>7.5999999999999998E-2</v>
      </c>
      <c r="N137" s="916">
        <v>0.2</v>
      </c>
      <c r="O137" s="916">
        <v>5.5129999999999999</v>
      </c>
      <c r="P137" s="915"/>
      <c r="Q137" s="916">
        <v>2.72</v>
      </c>
      <c r="R137" s="917">
        <v>0.33333333333333331</v>
      </c>
      <c r="S137" s="918">
        <v>1.7</v>
      </c>
      <c r="T137" s="918">
        <v>3.5129999999999999</v>
      </c>
      <c r="U137" s="916">
        <v>5.734</v>
      </c>
      <c r="V137" s="916">
        <v>1.1519999999999999</v>
      </c>
      <c r="W137" s="915"/>
      <c r="X137" s="916">
        <v>0.503</v>
      </c>
      <c r="Y137" s="916">
        <v>0.71199999999999997</v>
      </c>
      <c r="Z137" s="916">
        <v>7.09</v>
      </c>
      <c r="AA137" s="916">
        <v>1.4339999999999999</v>
      </c>
      <c r="AB137" s="916">
        <v>4.6890000000000001</v>
      </c>
      <c r="AC137" s="915"/>
      <c r="AD137" s="919">
        <v>288.60599999999999</v>
      </c>
      <c r="AE137" s="920">
        <v>371.16199999999998</v>
      </c>
      <c r="AF137" s="920" t="s">
        <v>21</v>
      </c>
      <c r="AG137" s="920" t="s">
        <v>21</v>
      </c>
      <c r="AH137" s="921" t="s">
        <v>21</v>
      </c>
      <c r="AI137" s="921">
        <v>371.16199999999998</v>
      </c>
      <c r="AJ137" s="920" t="s">
        <v>21</v>
      </c>
      <c r="AK137" s="920" t="s">
        <v>21</v>
      </c>
      <c r="AL137" s="921" t="s">
        <v>21</v>
      </c>
      <c r="AM137" s="921" t="s">
        <v>21</v>
      </c>
      <c r="AN137" s="920"/>
      <c r="AO137" s="920" t="s">
        <v>21</v>
      </c>
      <c r="AP137" s="919">
        <v>88.995000000000005</v>
      </c>
      <c r="AQ137" s="933">
        <v>300.17489999999998</v>
      </c>
      <c r="AR137" s="925" t="s">
        <v>21</v>
      </c>
      <c r="AS137" s="925" t="s">
        <v>21</v>
      </c>
      <c r="AT137" s="925" t="s">
        <v>21</v>
      </c>
      <c r="AU137" s="925" t="s">
        <v>21</v>
      </c>
      <c r="AV137" s="926" t="s">
        <v>21</v>
      </c>
      <c r="AW137" s="926">
        <v>300.17489999999998</v>
      </c>
      <c r="AX137" s="926" t="s">
        <v>21</v>
      </c>
      <c r="AY137" s="926" t="s">
        <v>21</v>
      </c>
      <c r="AZ137" s="925" t="s">
        <v>21</v>
      </c>
      <c r="BA137" s="925"/>
      <c r="BB137" s="919" t="s">
        <v>21</v>
      </c>
      <c r="BC137" s="919">
        <v>13.349</v>
      </c>
      <c r="BD137" s="919" t="s">
        <v>2142</v>
      </c>
      <c r="BE137" s="925" t="s">
        <v>21</v>
      </c>
      <c r="BF137" s="926" t="s">
        <v>21</v>
      </c>
      <c r="BG137" s="925" t="s">
        <v>21</v>
      </c>
      <c r="BH137" s="926">
        <v>52.35</v>
      </c>
      <c r="BI137" s="925" t="s">
        <v>21</v>
      </c>
      <c r="BJ137" s="926" t="s">
        <v>21</v>
      </c>
      <c r="BK137" s="925" t="s">
        <v>21</v>
      </c>
      <c r="BL137" s="926" t="s">
        <v>21</v>
      </c>
      <c r="BM137" s="925" t="s">
        <v>21</v>
      </c>
      <c r="BN137" s="927"/>
      <c r="BO137" s="927"/>
      <c r="BP137" s="928" t="s">
        <v>21</v>
      </c>
      <c r="BQ137" s="928">
        <v>1</v>
      </c>
      <c r="BR137" s="928" t="s">
        <v>21</v>
      </c>
      <c r="BS137" s="928" t="s">
        <v>21</v>
      </c>
      <c r="BT137" s="928" t="s">
        <v>21</v>
      </c>
      <c r="BU137" s="928" t="s">
        <v>21</v>
      </c>
      <c r="BV137" s="934">
        <v>1.1870000000001255</v>
      </c>
      <c r="BW137" s="934">
        <v>1.5</v>
      </c>
      <c r="BX137" s="1104">
        <v>3</v>
      </c>
      <c r="BY137" s="931">
        <v>5</v>
      </c>
      <c r="BZ137" s="930" t="s">
        <v>21</v>
      </c>
      <c r="CA137" s="1074">
        <v>1</v>
      </c>
      <c r="CB137" s="930" t="s">
        <v>21</v>
      </c>
      <c r="CC137" s="930" t="s">
        <v>21</v>
      </c>
      <c r="CD137" s="925">
        <v>75.069999999999993</v>
      </c>
      <c r="CE137" s="1130">
        <v>245.46899999999999</v>
      </c>
      <c r="CF137" s="1129" t="s">
        <v>21</v>
      </c>
      <c r="CG137" s="1130" t="s">
        <v>21</v>
      </c>
      <c r="CH137" s="1130" t="s">
        <v>21</v>
      </c>
      <c r="CI137" s="1131" t="s">
        <v>21</v>
      </c>
      <c r="CJ137" s="1129" t="s">
        <v>21</v>
      </c>
      <c r="CK137" s="1130" t="s">
        <v>21</v>
      </c>
      <c r="CL137" s="1130" t="s">
        <v>21</v>
      </c>
      <c r="CM137" s="1131" t="s">
        <v>21</v>
      </c>
      <c r="CN137" s="1130">
        <v>245.46899999999999</v>
      </c>
      <c r="CP137" s="838" t="s">
        <v>21</v>
      </c>
      <c r="CQ137" s="838" t="s">
        <v>21</v>
      </c>
      <c r="CR137" s="836"/>
    </row>
    <row r="138" spans="1:96" x14ac:dyDescent="0.25">
      <c r="A138" s="935"/>
      <c r="B138" s="932" t="s">
        <v>2291</v>
      </c>
      <c r="C138" s="911">
        <v>800</v>
      </c>
      <c r="D138" s="911" t="s">
        <v>2116</v>
      </c>
      <c r="E138" s="912">
        <v>1114</v>
      </c>
      <c r="F138" s="912">
        <v>1111.9000000000001</v>
      </c>
      <c r="G138" s="910" t="s">
        <v>3084</v>
      </c>
      <c r="H138" s="912">
        <v>1113.8</v>
      </c>
      <c r="I138" s="912">
        <v>1112.7860000000001</v>
      </c>
      <c r="J138" s="914">
        <v>19.39</v>
      </c>
      <c r="K138" s="915"/>
      <c r="L138" s="916">
        <v>0.15</v>
      </c>
      <c r="M138" s="916">
        <v>7.5999999999999998E-2</v>
      </c>
      <c r="N138" s="916">
        <v>0.2</v>
      </c>
      <c r="O138" s="916">
        <v>4.9550000000000001</v>
      </c>
      <c r="P138" s="915"/>
      <c r="Q138" s="916">
        <v>1.883</v>
      </c>
      <c r="R138" s="917">
        <v>0.33333333333333331</v>
      </c>
      <c r="S138" s="918">
        <v>1.7</v>
      </c>
      <c r="T138" s="918">
        <v>2.9550000000000001</v>
      </c>
      <c r="U138" s="916">
        <v>3.97</v>
      </c>
      <c r="V138" s="916">
        <v>1.1519999999999999</v>
      </c>
      <c r="W138" s="915"/>
      <c r="X138" s="916">
        <v>0.503</v>
      </c>
      <c r="Y138" s="916">
        <v>0.71199999999999997</v>
      </c>
      <c r="Z138" s="916">
        <v>4.383</v>
      </c>
      <c r="AA138" s="916">
        <v>1.4339999999999999</v>
      </c>
      <c r="AB138" s="916">
        <v>1.982</v>
      </c>
      <c r="AC138" s="915"/>
      <c r="AD138" s="919">
        <v>96.076999999999998</v>
      </c>
      <c r="AE138" s="920">
        <v>84.986000000000004</v>
      </c>
      <c r="AF138" s="920" t="s">
        <v>21</v>
      </c>
      <c r="AG138" s="920" t="s">
        <v>21</v>
      </c>
      <c r="AH138" s="921" t="s">
        <v>21</v>
      </c>
      <c r="AI138" s="921">
        <v>84.986000000000004</v>
      </c>
      <c r="AJ138" s="920" t="s">
        <v>21</v>
      </c>
      <c r="AK138" s="920" t="s">
        <v>21</v>
      </c>
      <c r="AL138" s="921" t="s">
        <v>21</v>
      </c>
      <c r="AM138" s="921" t="s">
        <v>21</v>
      </c>
      <c r="AN138" s="920"/>
      <c r="AO138" s="920" t="s">
        <v>21</v>
      </c>
      <c r="AP138" s="919">
        <v>32.963000000000001</v>
      </c>
      <c r="AQ138" s="933">
        <v>76.978300000000004</v>
      </c>
      <c r="AR138" s="925" t="s">
        <v>21</v>
      </c>
      <c r="AS138" s="925" t="s">
        <v>21</v>
      </c>
      <c r="AT138" s="925" t="s">
        <v>21</v>
      </c>
      <c r="AU138" s="925" t="s">
        <v>21</v>
      </c>
      <c r="AV138" s="926" t="s">
        <v>21</v>
      </c>
      <c r="AW138" s="926">
        <v>76.978300000000004</v>
      </c>
      <c r="AX138" s="926" t="s">
        <v>21</v>
      </c>
      <c r="AY138" s="926" t="s">
        <v>21</v>
      </c>
      <c r="AZ138" s="925" t="s">
        <v>21</v>
      </c>
      <c r="BA138" s="925"/>
      <c r="BB138" s="919" t="s">
        <v>21</v>
      </c>
      <c r="BC138" s="919">
        <v>4.944</v>
      </c>
      <c r="BD138" s="919" t="s">
        <v>2142</v>
      </c>
      <c r="BE138" s="925" t="s">
        <v>21</v>
      </c>
      <c r="BF138" s="926" t="s">
        <v>21</v>
      </c>
      <c r="BG138" s="925" t="s">
        <v>21</v>
      </c>
      <c r="BH138" s="926">
        <v>19.39</v>
      </c>
      <c r="BI138" s="925" t="s">
        <v>21</v>
      </c>
      <c r="BJ138" s="926" t="s">
        <v>21</v>
      </c>
      <c r="BK138" s="925" t="s">
        <v>21</v>
      </c>
      <c r="BL138" s="926" t="s">
        <v>21</v>
      </c>
      <c r="BM138" s="925" t="s">
        <v>21</v>
      </c>
      <c r="BN138" s="927"/>
      <c r="BO138" s="927"/>
      <c r="BP138" s="928" t="s">
        <v>21</v>
      </c>
      <c r="BQ138" s="928">
        <v>1</v>
      </c>
      <c r="BR138" s="928" t="s">
        <v>21</v>
      </c>
      <c r="BS138" s="928" t="s">
        <v>21</v>
      </c>
      <c r="BT138" s="928" t="s">
        <v>21</v>
      </c>
      <c r="BU138" s="928" t="s">
        <v>21</v>
      </c>
      <c r="BV138" s="934">
        <v>0.59999999999990905</v>
      </c>
      <c r="BW138" s="934">
        <v>1</v>
      </c>
      <c r="BX138" s="1104">
        <v>2</v>
      </c>
      <c r="BY138" s="931">
        <v>4</v>
      </c>
      <c r="BZ138" s="930" t="s">
        <v>21</v>
      </c>
      <c r="CA138" s="1074" t="s">
        <v>21</v>
      </c>
      <c r="CB138" s="930" t="s">
        <v>21</v>
      </c>
      <c r="CC138" s="930" t="s">
        <v>21</v>
      </c>
      <c r="CD138" s="925">
        <v>27.805</v>
      </c>
      <c r="CE138" s="1130">
        <v>38.430999999999997</v>
      </c>
      <c r="CF138" s="1129" t="s">
        <v>21</v>
      </c>
      <c r="CG138" s="1130" t="s">
        <v>21</v>
      </c>
      <c r="CH138" s="1130" t="s">
        <v>21</v>
      </c>
      <c r="CI138" s="1131" t="s">
        <v>21</v>
      </c>
      <c r="CJ138" s="1129" t="s">
        <v>21</v>
      </c>
      <c r="CK138" s="1130">
        <v>38.430999999999997</v>
      </c>
      <c r="CL138" s="1130" t="s">
        <v>21</v>
      </c>
      <c r="CM138" s="1131" t="s">
        <v>21</v>
      </c>
      <c r="CN138" s="1130" t="s">
        <v>21</v>
      </c>
      <c r="CP138" s="838" t="s">
        <v>21</v>
      </c>
      <c r="CQ138" s="838" t="s">
        <v>21</v>
      </c>
      <c r="CR138" s="836"/>
    </row>
    <row r="139" spans="1:96" x14ac:dyDescent="0.25">
      <c r="A139" s="935"/>
      <c r="B139" s="932"/>
      <c r="C139" s="911"/>
      <c r="D139" s="911"/>
      <c r="E139" s="912"/>
      <c r="F139" s="912"/>
      <c r="G139" s="910"/>
      <c r="H139" s="912"/>
      <c r="I139" s="912"/>
      <c r="J139" s="914"/>
      <c r="K139" s="915"/>
      <c r="L139" s="916" t="s">
        <v>21</v>
      </c>
      <c r="M139" s="916" t="s">
        <v>21</v>
      </c>
      <c r="N139" s="916" t="s">
        <v>21</v>
      </c>
      <c r="O139" s="916" t="s">
        <v>21</v>
      </c>
      <c r="P139" s="915"/>
      <c r="Q139" s="916" t="s">
        <v>21</v>
      </c>
      <c r="R139" s="917" t="s">
        <v>21</v>
      </c>
      <c r="S139" s="918" t="s">
        <v>21</v>
      </c>
      <c r="T139" s="918" t="s">
        <v>21</v>
      </c>
      <c r="U139" s="916" t="s">
        <v>21</v>
      </c>
      <c r="V139" s="916" t="s">
        <v>21</v>
      </c>
      <c r="W139" s="915"/>
      <c r="X139" s="916" t="s">
        <v>21</v>
      </c>
      <c r="Y139" s="916" t="s">
        <v>21</v>
      </c>
      <c r="Z139" s="916" t="s">
        <v>21</v>
      </c>
      <c r="AA139" s="916" t="s">
        <v>21</v>
      </c>
      <c r="AB139" s="916" t="s">
        <v>21</v>
      </c>
      <c r="AC139" s="915"/>
      <c r="AD139" s="919" t="s">
        <v>21</v>
      </c>
      <c r="AE139" s="920" t="s">
        <v>21</v>
      </c>
      <c r="AF139" s="920" t="s">
        <v>21</v>
      </c>
      <c r="AG139" s="920" t="s">
        <v>21</v>
      </c>
      <c r="AH139" s="921" t="s">
        <v>21</v>
      </c>
      <c r="AI139" s="921" t="s">
        <v>21</v>
      </c>
      <c r="AJ139" s="920" t="s">
        <v>21</v>
      </c>
      <c r="AK139" s="920" t="s">
        <v>21</v>
      </c>
      <c r="AL139" s="921" t="s">
        <v>21</v>
      </c>
      <c r="AM139" s="921" t="s">
        <v>21</v>
      </c>
      <c r="AN139" s="920"/>
      <c r="AO139" s="920" t="s">
        <v>21</v>
      </c>
      <c r="AP139" s="919" t="s">
        <v>21</v>
      </c>
      <c r="AQ139" s="933" t="s">
        <v>21</v>
      </c>
      <c r="AR139" s="925" t="s">
        <v>21</v>
      </c>
      <c r="AS139" s="925" t="s">
        <v>21</v>
      </c>
      <c r="AT139" s="925" t="s">
        <v>21</v>
      </c>
      <c r="AU139" s="925" t="s">
        <v>21</v>
      </c>
      <c r="AV139" s="926" t="s">
        <v>21</v>
      </c>
      <c r="AW139" s="926" t="s">
        <v>21</v>
      </c>
      <c r="AX139" s="926" t="s">
        <v>21</v>
      </c>
      <c r="AY139" s="926" t="s">
        <v>21</v>
      </c>
      <c r="AZ139" s="925" t="s">
        <v>21</v>
      </c>
      <c r="BA139" s="925"/>
      <c r="BB139" s="919" t="s">
        <v>21</v>
      </c>
      <c r="BC139" s="919" t="s">
        <v>21</v>
      </c>
      <c r="BD139" s="919" t="s">
        <v>21</v>
      </c>
      <c r="BE139" s="925" t="s">
        <v>21</v>
      </c>
      <c r="BF139" s="926" t="s">
        <v>21</v>
      </c>
      <c r="BG139" s="925" t="s">
        <v>21</v>
      </c>
      <c r="BH139" s="926" t="s">
        <v>21</v>
      </c>
      <c r="BI139" s="925" t="s">
        <v>21</v>
      </c>
      <c r="BJ139" s="926" t="s">
        <v>21</v>
      </c>
      <c r="BK139" s="925" t="s">
        <v>21</v>
      </c>
      <c r="BL139" s="926" t="s">
        <v>21</v>
      </c>
      <c r="BM139" s="925" t="s">
        <v>21</v>
      </c>
      <c r="BN139" s="927"/>
      <c r="BO139" s="927"/>
      <c r="BP139" s="928" t="s">
        <v>21</v>
      </c>
      <c r="BQ139" s="928" t="s">
        <v>21</v>
      </c>
      <c r="BR139" s="928" t="s">
        <v>21</v>
      </c>
      <c r="BS139" s="928" t="s">
        <v>21</v>
      </c>
      <c r="BT139" s="928" t="s">
        <v>21</v>
      </c>
      <c r="BU139" s="928" t="s">
        <v>21</v>
      </c>
      <c r="BV139" s="934" t="s">
        <v>21</v>
      </c>
      <c r="BW139" s="934" t="s">
        <v>21</v>
      </c>
      <c r="BX139" s="1104" t="s">
        <v>21</v>
      </c>
      <c r="BY139" s="931" t="s">
        <v>21</v>
      </c>
      <c r="BZ139" s="930" t="s">
        <v>21</v>
      </c>
      <c r="CA139" s="1074" t="s">
        <v>21</v>
      </c>
      <c r="CB139" s="930" t="s">
        <v>21</v>
      </c>
      <c r="CC139" s="930" t="s">
        <v>21</v>
      </c>
      <c r="CD139" s="925" t="s">
        <v>21</v>
      </c>
      <c r="CE139" s="1130" t="s">
        <v>21</v>
      </c>
      <c r="CF139" s="1129" t="s">
        <v>21</v>
      </c>
      <c r="CG139" s="1130" t="s">
        <v>21</v>
      </c>
      <c r="CH139" s="1130" t="s">
        <v>21</v>
      </c>
      <c r="CI139" s="1131" t="s">
        <v>21</v>
      </c>
      <c r="CJ139" s="1129" t="s">
        <v>21</v>
      </c>
      <c r="CK139" s="1130" t="s">
        <v>21</v>
      </c>
      <c r="CL139" s="1130" t="s">
        <v>21</v>
      </c>
      <c r="CM139" s="1131" t="s">
        <v>21</v>
      </c>
      <c r="CN139" s="1130" t="s">
        <v>21</v>
      </c>
      <c r="CP139" s="838" t="s">
        <v>21</v>
      </c>
      <c r="CQ139" s="838" t="s">
        <v>21</v>
      </c>
      <c r="CR139" s="836"/>
    </row>
    <row r="140" spans="1:96" x14ac:dyDescent="0.25">
      <c r="A140" s="935" t="s">
        <v>2504</v>
      </c>
      <c r="B140" s="932" t="s">
        <v>2235</v>
      </c>
      <c r="C140" s="911">
        <v>600</v>
      </c>
      <c r="D140" s="911" t="s">
        <v>2116</v>
      </c>
      <c r="E140" s="912">
        <v>1133.43</v>
      </c>
      <c r="F140" s="912">
        <v>1131.53</v>
      </c>
      <c r="G140" s="910" t="s">
        <v>2278</v>
      </c>
      <c r="H140" s="912">
        <v>1134.01</v>
      </c>
      <c r="I140" s="912">
        <v>1131.2650000000001</v>
      </c>
      <c r="J140" s="914">
        <v>53</v>
      </c>
      <c r="K140" s="915"/>
      <c r="L140" s="916">
        <v>0.1</v>
      </c>
      <c r="M140" s="916">
        <v>0.06</v>
      </c>
      <c r="N140" s="916">
        <v>0.2</v>
      </c>
      <c r="O140" s="916">
        <v>5.1210000000000004</v>
      </c>
      <c r="P140" s="915"/>
      <c r="Q140" s="916">
        <v>2.5819999999999999</v>
      </c>
      <c r="R140" s="917">
        <v>0.33333333333333331</v>
      </c>
      <c r="S140" s="918">
        <v>1.4</v>
      </c>
      <c r="T140" s="918">
        <v>3.121</v>
      </c>
      <c r="U140" s="916">
        <v>5.4429999999999996</v>
      </c>
      <c r="V140" s="916">
        <v>0.92</v>
      </c>
      <c r="W140" s="915"/>
      <c r="X140" s="916">
        <v>0.28299999999999997</v>
      </c>
      <c r="Y140" s="916">
        <v>0.40699999999999997</v>
      </c>
      <c r="Z140" s="916">
        <v>5.8369999999999997</v>
      </c>
      <c r="AA140" s="916">
        <v>1.0229999999999999</v>
      </c>
      <c r="AB140" s="916">
        <v>4.2670000000000003</v>
      </c>
      <c r="AC140" s="915"/>
      <c r="AD140" s="919">
        <v>271.41300000000001</v>
      </c>
      <c r="AE140" s="920">
        <v>309.36099999999999</v>
      </c>
      <c r="AF140" s="920" t="s">
        <v>21</v>
      </c>
      <c r="AG140" s="920" t="s">
        <v>21</v>
      </c>
      <c r="AH140" s="921">
        <v>309.36099999999999</v>
      </c>
      <c r="AI140" s="921" t="s">
        <v>21</v>
      </c>
      <c r="AJ140" s="920" t="s">
        <v>21</v>
      </c>
      <c r="AK140" s="920" t="s">
        <v>21</v>
      </c>
      <c r="AL140" s="921" t="s">
        <v>21</v>
      </c>
      <c r="AM140" s="921" t="s">
        <v>21</v>
      </c>
      <c r="AN140" s="920"/>
      <c r="AO140" s="920" t="s">
        <v>21</v>
      </c>
      <c r="AP140" s="919">
        <v>74.2</v>
      </c>
      <c r="AQ140" s="933">
        <v>288.47899999999998</v>
      </c>
      <c r="AR140" s="925" t="s">
        <v>21</v>
      </c>
      <c r="AS140" s="925">
        <v>288.47899999999998</v>
      </c>
      <c r="AT140" s="925" t="s">
        <v>21</v>
      </c>
      <c r="AU140" s="925" t="s">
        <v>21</v>
      </c>
      <c r="AV140" s="926" t="s">
        <v>21</v>
      </c>
      <c r="AW140" s="926" t="s">
        <v>21</v>
      </c>
      <c r="AX140" s="926" t="s">
        <v>21</v>
      </c>
      <c r="AY140" s="926" t="s">
        <v>21</v>
      </c>
      <c r="AZ140" s="925" t="s">
        <v>21</v>
      </c>
      <c r="BA140" s="925"/>
      <c r="BB140" s="919">
        <v>7.42</v>
      </c>
      <c r="BC140" s="919" t="s">
        <v>21</v>
      </c>
      <c r="BD140" s="919" t="s">
        <v>2142</v>
      </c>
      <c r="BE140" s="925" t="s">
        <v>21</v>
      </c>
      <c r="BF140" s="926" t="s">
        <v>21</v>
      </c>
      <c r="BG140" s="925">
        <v>53</v>
      </c>
      <c r="BH140" s="926" t="s">
        <v>21</v>
      </c>
      <c r="BI140" s="925" t="s">
        <v>21</v>
      </c>
      <c r="BJ140" s="926" t="s">
        <v>21</v>
      </c>
      <c r="BK140" s="925" t="s">
        <v>21</v>
      </c>
      <c r="BL140" s="926" t="s">
        <v>21</v>
      </c>
      <c r="BM140" s="925" t="s">
        <v>21</v>
      </c>
      <c r="BN140" s="927"/>
      <c r="BO140" s="927"/>
      <c r="BP140" s="928">
        <v>1</v>
      </c>
      <c r="BQ140" s="928" t="s">
        <v>21</v>
      </c>
      <c r="BR140" s="928" t="s">
        <v>21</v>
      </c>
      <c r="BS140" s="928" t="s">
        <v>21</v>
      </c>
      <c r="BT140" s="928" t="s">
        <v>21</v>
      </c>
      <c r="BU140" s="928" t="s">
        <v>21</v>
      </c>
      <c r="BV140" s="934">
        <v>0.50000000000009104</v>
      </c>
      <c r="BW140" s="934">
        <v>1</v>
      </c>
      <c r="BX140" s="1104">
        <v>2</v>
      </c>
      <c r="BY140" s="931">
        <v>4</v>
      </c>
      <c r="BZ140" s="930" t="s">
        <v>21</v>
      </c>
      <c r="CA140" s="1074">
        <v>1</v>
      </c>
      <c r="CB140" s="930" t="s">
        <v>21</v>
      </c>
      <c r="CC140" s="930" t="s">
        <v>21</v>
      </c>
      <c r="CD140" s="925">
        <v>54.219000000000001</v>
      </c>
      <c r="CE140" s="1130">
        <v>226.15100000000001</v>
      </c>
      <c r="CF140" s="1129" t="s">
        <v>21</v>
      </c>
      <c r="CG140" s="1130" t="s">
        <v>21</v>
      </c>
      <c r="CH140" s="1130" t="s">
        <v>21</v>
      </c>
      <c r="CI140" s="1131" t="s">
        <v>21</v>
      </c>
      <c r="CJ140" s="1129" t="s">
        <v>21</v>
      </c>
      <c r="CK140" s="1130">
        <v>226.15100000000001</v>
      </c>
      <c r="CL140" s="1130" t="s">
        <v>21</v>
      </c>
      <c r="CM140" s="1131" t="s">
        <v>21</v>
      </c>
      <c r="CN140" s="1130" t="s">
        <v>21</v>
      </c>
      <c r="CP140" s="838" t="s">
        <v>21</v>
      </c>
      <c r="CQ140" s="838" t="s">
        <v>21</v>
      </c>
      <c r="CR140" s="836"/>
    </row>
    <row r="141" spans="1:96" x14ac:dyDescent="0.25">
      <c r="A141" s="935"/>
      <c r="B141" s="932"/>
      <c r="C141" s="911"/>
      <c r="D141" s="911"/>
      <c r="E141" s="912"/>
      <c r="F141" s="912"/>
      <c r="G141" s="910"/>
      <c r="H141" s="912"/>
      <c r="I141" s="912"/>
      <c r="J141" s="914"/>
      <c r="K141" s="915"/>
      <c r="L141" s="916" t="s">
        <v>21</v>
      </c>
      <c r="M141" s="916" t="s">
        <v>21</v>
      </c>
      <c r="N141" s="916" t="s">
        <v>21</v>
      </c>
      <c r="O141" s="916" t="s">
        <v>21</v>
      </c>
      <c r="P141" s="915"/>
      <c r="Q141" s="916" t="s">
        <v>21</v>
      </c>
      <c r="R141" s="917" t="s">
        <v>21</v>
      </c>
      <c r="S141" s="918" t="s">
        <v>21</v>
      </c>
      <c r="T141" s="918" t="s">
        <v>21</v>
      </c>
      <c r="U141" s="916" t="s">
        <v>21</v>
      </c>
      <c r="V141" s="916" t="s">
        <v>21</v>
      </c>
      <c r="W141" s="915"/>
      <c r="X141" s="916" t="s">
        <v>21</v>
      </c>
      <c r="Y141" s="916" t="s">
        <v>21</v>
      </c>
      <c r="Z141" s="916" t="s">
        <v>21</v>
      </c>
      <c r="AA141" s="916" t="s">
        <v>21</v>
      </c>
      <c r="AB141" s="916" t="s">
        <v>21</v>
      </c>
      <c r="AC141" s="915"/>
      <c r="AD141" s="919" t="s">
        <v>21</v>
      </c>
      <c r="AE141" s="920" t="s">
        <v>21</v>
      </c>
      <c r="AF141" s="920" t="s">
        <v>21</v>
      </c>
      <c r="AG141" s="920" t="s">
        <v>21</v>
      </c>
      <c r="AH141" s="921" t="s">
        <v>21</v>
      </c>
      <c r="AI141" s="921" t="s">
        <v>21</v>
      </c>
      <c r="AJ141" s="920" t="s">
        <v>21</v>
      </c>
      <c r="AK141" s="920" t="s">
        <v>21</v>
      </c>
      <c r="AL141" s="921" t="s">
        <v>21</v>
      </c>
      <c r="AM141" s="921" t="s">
        <v>21</v>
      </c>
      <c r="AN141" s="920"/>
      <c r="AO141" s="920" t="s">
        <v>21</v>
      </c>
      <c r="AP141" s="919" t="s">
        <v>21</v>
      </c>
      <c r="AQ141" s="933" t="s">
        <v>21</v>
      </c>
      <c r="AR141" s="925" t="s">
        <v>21</v>
      </c>
      <c r="AS141" s="925" t="s">
        <v>21</v>
      </c>
      <c r="AT141" s="925" t="s">
        <v>21</v>
      </c>
      <c r="AU141" s="925" t="s">
        <v>21</v>
      </c>
      <c r="AV141" s="926" t="s">
        <v>21</v>
      </c>
      <c r="AW141" s="926" t="s">
        <v>21</v>
      </c>
      <c r="AX141" s="926" t="s">
        <v>21</v>
      </c>
      <c r="AY141" s="926" t="s">
        <v>21</v>
      </c>
      <c r="AZ141" s="925" t="s">
        <v>21</v>
      </c>
      <c r="BA141" s="925"/>
      <c r="BB141" s="919" t="s">
        <v>21</v>
      </c>
      <c r="BC141" s="919" t="s">
        <v>21</v>
      </c>
      <c r="BD141" s="919" t="s">
        <v>21</v>
      </c>
      <c r="BE141" s="925" t="s">
        <v>21</v>
      </c>
      <c r="BF141" s="926" t="s">
        <v>21</v>
      </c>
      <c r="BG141" s="925" t="s">
        <v>21</v>
      </c>
      <c r="BH141" s="926" t="s">
        <v>21</v>
      </c>
      <c r="BI141" s="925" t="s">
        <v>21</v>
      </c>
      <c r="BJ141" s="926" t="s">
        <v>21</v>
      </c>
      <c r="BK141" s="925" t="s">
        <v>21</v>
      </c>
      <c r="BL141" s="926" t="s">
        <v>21</v>
      </c>
      <c r="BM141" s="925" t="s">
        <v>21</v>
      </c>
      <c r="BN141" s="927"/>
      <c r="BO141" s="927"/>
      <c r="BP141" s="928" t="s">
        <v>21</v>
      </c>
      <c r="BQ141" s="928" t="s">
        <v>21</v>
      </c>
      <c r="BR141" s="928" t="s">
        <v>21</v>
      </c>
      <c r="BS141" s="928" t="s">
        <v>21</v>
      </c>
      <c r="BT141" s="928" t="s">
        <v>21</v>
      </c>
      <c r="BU141" s="928" t="s">
        <v>21</v>
      </c>
      <c r="BV141" s="934" t="s">
        <v>21</v>
      </c>
      <c r="BW141" s="934" t="s">
        <v>21</v>
      </c>
      <c r="BX141" s="1104" t="s">
        <v>21</v>
      </c>
      <c r="BY141" s="931" t="s">
        <v>21</v>
      </c>
      <c r="BZ141" s="930" t="s">
        <v>21</v>
      </c>
      <c r="CA141" s="1074" t="s">
        <v>21</v>
      </c>
      <c r="CB141" s="930" t="s">
        <v>21</v>
      </c>
      <c r="CC141" s="930" t="s">
        <v>21</v>
      </c>
      <c r="CD141" s="925" t="s">
        <v>21</v>
      </c>
      <c r="CE141" s="1130" t="s">
        <v>21</v>
      </c>
      <c r="CF141" s="1129" t="s">
        <v>21</v>
      </c>
      <c r="CG141" s="1130" t="s">
        <v>21</v>
      </c>
      <c r="CH141" s="1130" t="s">
        <v>21</v>
      </c>
      <c r="CI141" s="1131" t="s">
        <v>21</v>
      </c>
      <c r="CJ141" s="1129" t="s">
        <v>21</v>
      </c>
      <c r="CK141" s="1130" t="s">
        <v>21</v>
      </c>
      <c r="CL141" s="1130" t="s">
        <v>21</v>
      </c>
      <c r="CM141" s="1131" t="s">
        <v>21</v>
      </c>
      <c r="CN141" s="1130" t="s">
        <v>21</v>
      </c>
      <c r="CP141" s="838" t="s">
        <v>21</v>
      </c>
      <c r="CQ141" s="838" t="s">
        <v>21</v>
      </c>
      <c r="CR141" s="836"/>
    </row>
    <row r="142" spans="1:96" x14ac:dyDescent="0.25">
      <c r="A142" s="935" t="s">
        <v>2505</v>
      </c>
      <c r="B142" s="932" t="s">
        <v>2236</v>
      </c>
      <c r="C142" s="911">
        <v>600</v>
      </c>
      <c r="D142" s="911" t="s">
        <v>2116</v>
      </c>
      <c r="E142" s="912">
        <v>1116.76</v>
      </c>
      <c r="F142" s="912">
        <v>1114.8599999999999</v>
      </c>
      <c r="G142" s="910" t="s">
        <v>2237</v>
      </c>
      <c r="H142" s="912">
        <v>1116.02</v>
      </c>
      <c r="I142" s="912">
        <v>1114.1199999999999</v>
      </c>
      <c r="J142" s="914">
        <v>17.440000000000001</v>
      </c>
      <c r="K142" s="915"/>
      <c r="L142" s="916">
        <v>0.1</v>
      </c>
      <c r="M142" s="916">
        <v>0.06</v>
      </c>
      <c r="N142" s="916">
        <v>0.2</v>
      </c>
      <c r="O142" s="916">
        <v>4.84</v>
      </c>
      <c r="P142" s="915"/>
      <c r="Q142" s="916">
        <v>2.16</v>
      </c>
      <c r="R142" s="917">
        <v>0.33333333333333331</v>
      </c>
      <c r="S142" s="918">
        <v>1.4</v>
      </c>
      <c r="T142" s="918">
        <v>2.84</v>
      </c>
      <c r="U142" s="916">
        <v>4.5540000000000003</v>
      </c>
      <c r="V142" s="916">
        <v>0.92</v>
      </c>
      <c r="W142" s="915"/>
      <c r="X142" s="916">
        <v>0.28299999999999997</v>
      </c>
      <c r="Y142" s="916">
        <v>0.40699999999999997</v>
      </c>
      <c r="Z142" s="916">
        <v>4.5789999999999997</v>
      </c>
      <c r="AA142" s="916">
        <v>1.0229999999999999</v>
      </c>
      <c r="AB142" s="916">
        <v>3.0089999999999999</v>
      </c>
      <c r="AC142" s="915"/>
      <c r="AD142" s="919">
        <v>84.41</v>
      </c>
      <c r="AE142" s="920">
        <v>79.858000000000004</v>
      </c>
      <c r="AF142" s="920" t="s">
        <v>21</v>
      </c>
      <c r="AG142" s="920" t="s">
        <v>21</v>
      </c>
      <c r="AH142" s="921">
        <v>79.858000000000004</v>
      </c>
      <c r="AI142" s="921" t="s">
        <v>21</v>
      </c>
      <c r="AJ142" s="920" t="s">
        <v>21</v>
      </c>
      <c r="AK142" s="920" t="s">
        <v>21</v>
      </c>
      <c r="AL142" s="921" t="s">
        <v>21</v>
      </c>
      <c r="AM142" s="921" t="s">
        <v>21</v>
      </c>
      <c r="AN142" s="920"/>
      <c r="AO142" s="920" t="s">
        <v>21</v>
      </c>
      <c r="AP142" s="919">
        <v>24.416</v>
      </c>
      <c r="AQ142" s="933">
        <v>79.421760000000006</v>
      </c>
      <c r="AR142" s="925" t="s">
        <v>21</v>
      </c>
      <c r="AS142" s="925">
        <v>79.421760000000006</v>
      </c>
      <c r="AT142" s="925" t="s">
        <v>21</v>
      </c>
      <c r="AU142" s="925" t="s">
        <v>21</v>
      </c>
      <c r="AV142" s="926" t="s">
        <v>21</v>
      </c>
      <c r="AW142" s="926" t="s">
        <v>21</v>
      </c>
      <c r="AX142" s="926" t="s">
        <v>21</v>
      </c>
      <c r="AY142" s="926" t="s">
        <v>21</v>
      </c>
      <c r="AZ142" s="925" t="s">
        <v>21</v>
      </c>
      <c r="BA142" s="925"/>
      <c r="BB142" s="919">
        <v>2.4420000000000002</v>
      </c>
      <c r="BC142" s="919" t="s">
        <v>21</v>
      </c>
      <c r="BD142" s="919" t="s">
        <v>2142</v>
      </c>
      <c r="BE142" s="925" t="s">
        <v>21</v>
      </c>
      <c r="BF142" s="926" t="s">
        <v>21</v>
      </c>
      <c r="BG142" s="925">
        <v>17.440000000000001</v>
      </c>
      <c r="BH142" s="926" t="s">
        <v>21</v>
      </c>
      <c r="BI142" s="925" t="s">
        <v>21</v>
      </c>
      <c r="BJ142" s="926" t="s">
        <v>21</v>
      </c>
      <c r="BK142" s="925" t="s">
        <v>21</v>
      </c>
      <c r="BL142" s="926" t="s">
        <v>21</v>
      </c>
      <c r="BM142" s="925" t="s">
        <v>21</v>
      </c>
      <c r="BN142" s="927"/>
      <c r="BO142" s="927"/>
      <c r="BP142" s="928">
        <v>1</v>
      </c>
      <c r="BQ142" s="928" t="s">
        <v>21</v>
      </c>
      <c r="BR142" s="928" t="s">
        <v>21</v>
      </c>
      <c r="BS142" s="928" t="s">
        <v>21</v>
      </c>
      <c r="BT142" s="928" t="s">
        <v>21</v>
      </c>
      <c r="BU142" s="928" t="s">
        <v>21</v>
      </c>
      <c r="BV142" s="934">
        <v>0.50000000000009104</v>
      </c>
      <c r="BW142" s="934">
        <v>1</v>
      </c>
      <c r="BX142" s="1104">
        <v>2</v>
      </c>
      <c r="BY142" s="931">
        <v>4</v>
      </c>
      <c r="BZ142" s="930">
        <v>1</v>
      </c>
      <c r="CA142" s="1074" t="s">
        <v>21</v>
      </c>
      <c r="CB142" s="930" t="s">
        <v>21</v>
      </c>
      <c r="CC142" s="930" t="s">
        <v>21</v>
      </c>
      <c r="CD142" s="925">
        <v>17.841000000000001</v>
      </c>
      <c r="CE142" s="1130">
        <v>52.476999999999997</v>
      </c>
      <c r="CF142" s="1129" t="s">
        <v>21</v>
      </c>
      <c r="CG142" s="1130" t="s">
        <v>21</v>
      </c>
      <c r="CH142" s="1130" t="s">
        <v>21</v>
      </c>
      <c r="CI142" s="1131" t="s">
        <v>21</v>
      </c>
      <c r="CJ142" s="1129" t="s">
        <v>21</v>
      </c>
      <c r="CK142" s="1130">
        <v>52.476999999999997</v>
      </c>
      <c r="CL142" s="1130" t="s">
        <v>21</v>
      </c>
      <c r="CM142" s="1131" t="s">
        <v>21</v>
      </c>
      <c r="CN142" s="1130" t="s">
        <v>21</v>
      </c>
      <c r="CP142" s="838" t="s">
        <v>21</v>
      </c>
      <c r="CQ142" s="838" t="s">
        <v>21</v>
      </c>
      <c r="CR142" s="836"/>
    </row>
    <row r="143" spans="1:96" x14ac:dyDescent="0.25">
      <c r="A143" s="935"/>
      <c r="B143" s="932" t="s">
        <v>2237</v>
      </c>
      <c r="C143" s="911">
        <v>600</v>
      </c>
      <c r="D143" s="911" t="s">
        <v>2116</v>
      </c>
      <c r="E143" s="912">
        <v>1116.02</v>
      </c>
      <c r="F143" s="912">
        <v>1114.1199999999999</v>
      </c>
      <c r="G143" s="910" t="s">
        <v>2290</v>
      </c>
      <c r="H143" s="912">
        <v>1116.3900000000001</v>
      </c>
      <c r="I143" s="912">
        <v>1113.903</v>
      </c>
      <c r="J143" s="914">
        <v>43.32</v>
      </c>
      <c r="K143" s="915"/>
      <c r="L143" s="916">
        <v>0.1</v>
      </c>
      <c r="M143" s="916">
        <v>0.06</v>
      </c>
      <c r="N143" s="916">
        <v>0.2</v>
      </c>
      <c r="O143" s="916">
        <v>5.0359999999999996</v>
      </c>
      <c r="P143" s="915"/>
      <c r="Q143" s="916">
        <v>2.4540000000000002</v>
      </c>
      <c r="R143" s="917">
        <v>0.33333333333333331</v>
      </c>
      <c r="S143" s="918">
        <v>1.4</v>
      </c>
      <c r="T143" s="918">
        <v>3.036</v>
      </c>
      <c r="U143" s="916">
        <v>5.173</v>
      </c>
      <c r="V143" s="916">
        <v>0.92</v>
      </c>
      <c r="W143" s="915"/>
      <c r="X143" s="916">
        <v>0.28299999999999997</v>
      </c>
      <c r="Y143" s="916">
        <v>0.40699999999999997</v>
      </c>
      <c r="Z143" s="916">
        <v>5.4429999999999996</v>
      </c>
      <c r="AA143" s="916">
        <v>1.0229999999999999</v>
      </c>
      <c r="AB143" s="916">
        <v>3.8730000000000002</v>
      </c>
      <c r="AC143" s="915"/>
      <c r="AD143" s="919">
        <v>218.16</v>
      </c>
      <c r="AE143" s="920">
        <v>235.791</v>
      </c>
      <c r="AF143" s="920" t="s">
        <v>21</v>
      </c>
      <c r="AG143" s="920" t="s">
        <v>21</v>
      </c>
      <c r="AH143" s="921">
        <v>235.791</v>
      </c>
      <c r="AI143" s="921" t="s">
        <v>21</v>
      </c>
      <c r="AJ143" s="920" t="s">
        <v>21</v>
      </c>
      <c r="AK143" s="920" t="s">
        <v>21</v>
      </c>
      <c r="AL143" s="921" t="s">
        <v>21</v>
      </c>
      <c r="AM143" s="921" t="s">
        <v>21</v>
      </c>
      <c r="AN143" s="920"/>
      <c r="AO143" s="920" t="s">
        <v>21</v>
      </c>
      <c r="AP143" s="919">
        <v>60.648000000000003</v>
      </c>
      <c r="AQ143" s="933">
        <v>224.09435999999999</v>
      </c>
      <c r="AR143" s="925" t="s">
        <v>21</v>
      </c>
      <c r="AS143" s="925">
        <v>224.09435999999999</v>
      </c>
      <c r="AT143" s="925" t="s">
        <v>21</v>
      </c>
      <c r="AU143" s="925" t="s">
        <v>21</v>
      </c>
      <c r="AV143" s="926" t="s">
        <v>21</v>
      </c>
      <c r="AW143" s="926" t="s">
        <v>21</v>
      </c>
      <c r="AX143" s="926" t="s">
        <v>21</v>
      </c>
      <c r="AY143" s="926" t="s">
        <v>21</v>
      </c>
      <c r="AZ143" s="925" t="s">
        <v>21</v>
      </c>
      <c r="BA143" s="925"/>
      <c r="BB143" s="919">
        <v>6.0650000000000004</v>
      </c>
      <c r="BC143" s="919" t="s">
        <v>21</v>
      </c>
      <c r="BD143" s="919" t="s">
        <v>2142</v>
      </c>
      <c r="BE143" s="925" t="s">
        <v>21</v>
      </c>
      <c r="BF143" s="926" t="s">
        <v>21</v>
      </c>
      <c r="BG143" s="925">
        <v>43.32</v>
      </c>
      <c r="BH143" s="926" t="s">
        <v>21</v>
      </c>
      <c r="BI143" s="925" t="s">
        <v>21</v>
      </c>
      <c r="BJ143" s="926" t="s">
        <v>21</v>
      </c>
      <c r="BK143" s="925" t="s">
        <v>21</v>
      </c>
      <c r="BL143" s="926" t="s">
        <v>21</v>
      </c>
      <c r="BM143" s="925" t="s">
        <v>21</v>
      </c>
      <c r="BN143" s="927"/>
      <c r="BO143" s="927"/>
      <c r="BP143" s="928">
        <v>1</v>
      </c>
      <c r="BQ143" s="928" t="s">
        <v>21</v>
      </c>
      <c r="BR143" s="928" t="s">
        <v>21</v>
      </c>
      <c r="BS143" s="928" t="s">
        <v>21</v>
      </c>
      <c r="BT143" s="928" t="s">
        <v>21</v>
      </c>
      <c r="BU143" s="928" t="s">
        <v>21</v>
      </c>
      <c r="BV143" s="934">
        <v>0.50000000000009104</v>
      </c>
      <c r="BW143" s="934">
        <v>1</v>
      </c>
      <c r="BX143" s="1104">
        <v>2</v>
      </c>
      <c r="BY143" s="931">
        <v>4</v>
      </c>
      <c r="BZ143" s="930">
        <v>1</v>
      </c>
      <c r="CA143" s="1074" t="s">
        <v>21</v>
      </c>
      <c r="CB143" s="930" t="s">
        <v>21</v>
      </c>
      <c r="CC143" s="930" t="s">
        <v>21</v>
      </c>
      <c r="CD143" s="925">
        <v>44.316000000000003</v>
      </c>
      <c r="CE143" s="1130">
        <v>167.77799999999999</v>
      </c>
      <c r="CF143" s="1129" t="s">
        <v>21</v>
      </c>
      <c r="CG143" s="1130" t="s">
        <v>21</v>
      </c>
      <c r="CH143" s="1130" t="s">
        <v>21</v>
      </c>
      <c r="CI143" s="1131" t="s">
        <v>21</v>
      </c>
      <c r="CJ143" s="1129" t="s">
        <v>21</v>
      </c>
      <c r="CK143" s="1130">
        <v>167.77799999999999</v>
      </c>
      <c r="CL143" s="1130" t="s">
        <v>21</v>
      </c>
      <c r="CM143" s="1131" t="s">
        <v>21</v>
      </c>
      <c r="CN143" s="1130" t="s">
        <v>21</v>
      </c>
      <c r="CP143" s="838" t="s">
        <v>21</v>
      </c>
      <c r="CQ143" s="838" t="s">
        <v>21</v>
      </c>
      <c r="CR143" s="836"/>
    </row>
    <row r="144" spans="1:96" x14ac:dyDescent="0.25">
      <c r="A144" s="935"/>
      <c r="B144" s="932"/>
      <c r="C144" s="911"/>
      <c r="D144" s="911"/>
      <c r="E144" s="912"/>
      <c r="F144" s="912"/>
      <c r="G144" s="910"/>
      <c r="H144" s="912"/>
      <c r="I144" s="912"/>
      <c r="J144" s="914"/>
      <c r="K144" s="915"/>
      <c r="L144" s="916" t="s">
        <v>21</v>
      </c>
      <c r="M144" s="916" t="s">
        <v>21</v>
      </c>
      <c r="N144" s="916" t="s">
        <v>21</v>
      </c>
      <c r="O144" s="916" t="s">
        <v>21</v>
      </c>
      <c r="P144" s="915"/>
      <c r="Q144" s="916" t="s">
        <v>21</v>
      </c>
      <c r="R144" s="917" t="s">
        <v>21</v>
      </c>
      <c r="S144" s="918" t="s">
        <v>21</v>
      </c>
      <c r="T144" s="918" t="s">
        <v>21</v>
      </c>
      <c r="U144" s="916" t="s">
        <v>21</v>
      </c>
      <c r="V144" s="916" t="s">
        <v>21</v>
      </c>
      <c r="W144" s="915"/>
      <c r="X144" s="916" t="s">
        <v>21</v>
      </c>
      <c r="Y144" s="916" t="s">
        <v>21</v>
      </c>
      <c r="Z144" s="916" t="s">
        <v>21</v>
      </c>
      <c r="AA144" s="916" t="s">
        <v>21</v>
      </c>
      <c r="AB144" s="916" t="s">
        <v>21</v>
      </c>
      <c r="AC144" s="915"/>
      <c r="AD144" s="919" t="s">
        <v>21</v>
      </c>
      <c r="AE144" s="920" t="s">
        <v>21</v>
      </c>
      <c r="AF144" s="920" t="s">
        <v>21</v>
      </c>
      <c r="AG144" s="920" t="s">
        <v>21</v>
      </c>
      <c r="AH144" s="921" t="s">
        <v>21</v>
      </c>
      <c r="AI144" s="921" t="s">
        <v>21</v>
      </c>
      <c r="AJ144" s="920" t="s">
        <v>21</v>
      </c>
      <c r="AK144" s="920" t="s">
        <v>21</v>
      </c>
      <c r="AL144" s="921" t="s">
        <v>21</v>
      </c>
      <c r="AM144" s="921" t="s">
        <v>21</v>
      </c>
      <c r="AN144" s="920"/>
      <c r="AO144" s="920" t="s">
        <v>21</v>
      </c>
      <c r="AP144" s="919" t="s">
        <v>21</v>
      </c>
      <c r="AQ144" s="933" t="s">
        <v>21</v>
      </c>
      <c r="AR144" s="925" t="s">
        <v>21</v>
      </c>
      <c r="AS144" s="925" t="s">
        <v>21</v>
      </c>
      <c r="AT144" s="925" t="s">
        <v>21</v>
      </c>
      <c r="AU144" s="925" t="s">
        <v>21</v>
      </c>
      <c r="AV144" s="926" t="s">
        <v>21</v>
      </c>
      <c r="AW144" s="926" t="s">
        <v>21</v>
      </c>
      <c r="AX144" s="926" t="s">
        <v>21</v>
      </c>
      <c r="AY144" s="926" t="s">
        <v>21</v>
      </c>
      <c r="AZ144" s="925" t="s">
        <v>21</v>
      </c>
      <c r="BA144" s="925"/>
      <c r="BB144" s="919" t="s">
        <v>21</v>
      </c>
      <c r="BC144" s="919" t="s">
        <v>21</v>
      </c>
      <c r="BD144" s="919" t="s">
        <v>21</v>
      </c>
      <c r="BE144" s="925" t="s">
        <v>21</v>
      </c>
      <c r="BF144" s="926" t="s">
        <v>21</v>
      </c>
      <c r="BG144" s="925" t="s">
        <v>21</v>
      </c>
      <c r="BH144" s="926" t="s">
        <v>21</v>
      </c>
      <c r="BI144" s="925" t="s">
        <v>21</v>
      </c>
      <c r="BJ144" s="926" t="s">
        <v>21</v>
      </c>
      <c r="BK144" s="925" t="s">
        <v>21</v>
      </c>
      <c r="BL144" s="926" t="s">
        <v>21</v>
      </c>
      <c r="BM144" s="925" t="s">
        <v>21</v>
      </c>
      <c r="BN144" s="927"/>
      <c r="BO144" s="927"/>
      <c r="BP144" s="928" t="s">
        <v>21</v>
      </c>
      <c r="BQ144" s="928" t="s">
        <v>21</v>
      </c>
      <c r="BR144" s="928" t="s">
        <v>21</v>
      </c>
      <c r="BS144" s="928" t="s">
        <v>21</v>
      </c>
      <c r="BT144" s="928" t="s">
        <v>21</v>
      </c>
      <c r="BU144" s="928" t="s">
        <v>21</v>
      </c>
      <c r="BV144" s="934" t="s">
        <v>21</v>
      </c>
      <c r="BW144" s="934" t="s">
        <v>21</v>
      </c>
      <c r="BX144" s="1104" t="s">
        <v>21</v>
      </c>
      <c r="BY144" s="931" t="s">
        <v>21</v>
      </c>
      <c r="BZ144" s="930" t="s">
        <v>21</v>
      </c>
      <c r="CA144" s="1074" t="s">
        <v>21</v>
      </c>
      <c r="CB144" s="930" t="s">
        <v>21</v>
      </c>
      <c r="CC144" s="930" t="s">
        <v>21</v>
      </c>
      <c r="CD144" s="925" t="s">
        <v>21</v>
      </c>
      <c r="CE144" s="1130" t="s">
        <v>21</v>
      </c>
      <c r="CF144" s="1129" t="s">
        <v>21</v>
      </c>
      <c r="CG144" s="1130" t="s">
        <v>21</v>
      </c>
      <c r="CH144" s="1130" t="s">
        <v>21</v>
      </c>
      <c r="CI144" s="1131" t="s">
        <v>21</v>
      </c>
      <c r="CJ144" s="1129" t="s">
        <v>21</v>
      </c>
      <c r="CK144" s="1130" t="s">
        <v>21</v>
      </c>
      <c r="CL144" s="1130" t="s">
        <v>21</v>
      </c>
      <c r="CM144" s="1131" t="s">
        <v>21</v>
      </c>
      <c r="CN144" s="1130" t="s">
        <v>21</v>
      </c>
      <c r="CP144" s="838" t="s">
        <v>21</v>
      </c>
      <c r="CQ144" s="838" t="s">
        <v>21</v>
      </c>
      <c r="CR144" s="836"/>
    </row>
    <row r="145" spans="1:96" x14ac:dyDescent="0.25">
      <c r="A145" s="935" t="s">
        <v>2506</v>
      </c>
      <c r="B145" s="932" t="s">
        <v>2269</v>
      </c>
      <c r="C145" s="911">
        <v>600</v>
      </c>
      <c r="D145" s="911" t="s">
        <v>2116</v>
      </c>
      <c r="E145" s="912">
        <v>1132.79</v>
      </c>
      <c r="F145" s="912">
        <v>1130.8900000000001</v>
      </c>
      <c r="G145" s="932" t="s">
        <v>2270</v>
      </c>
      <c r="H145" s="912">
        <v>1133.3499999999999</v>
      </c>
      <c r="I145" s="912">
        <v>1130.7329999999999</v>
      </c>
      <c r="J145" s="914">
        <v>31.37</v>
      </c>
      <c r="K145" s="915"/>
      <c r="L145" s="916">
        <v>0.1</v>
      </c>
      <c r="M145" s="916">
        <v>0.06</v>
      </c>
      <c r="N145" s="916">
        <v>0.2</v>
      </c>
      <c r="O145" s="916">
        <v>5.0790000000000006</v>
      </c>
      <c r="P145" s="915"/>
      <c r="Q145" s="916">
        <v>2.5179999999999998</v>
      </c>
      <c r="R145" s="917">
        <v>0.33333333333333331</v>
      </c>
      <c r="S145" s="918">
        <v>1.4</v>
      </c>
      <c r="T145" s="918">
        <v>3.0790000000000002</v>
      </c>
      <c r="U145" s="916">
        <v>5.3079999999999998</v>
      </c>
      <c r="V145" s="916">
        <v>0.92</v>
      </c>
      <c r="W145" s="915"/>
      <c r="X145" s="916">
        <v>0.28299999999999997</v>
      </c>
      <c r="Y145" s="916">
        <v>0.40699999999999997</v>
      </c>
      <c r="Z145" s="916">
        <v>5.6390000000000002</v>
      </c>
      <c r="AA145" s="916">
        <v>1.0229999999999999</v>
      </c>
      <c r="AB145" s="916">
        <v>4.069</v>
      </c>
      <c r="AC145" s="915"/>
      <c r="AD145" s="919">
        <v>159.328</v>
      </c>
      <c r="AE145" s="920">
        <v>176.89500000000001</v>
      </c>
      <c r="AF145" s="920" t="s">
        <v>21</v>
      </c>
      <c r="AG145" s="920" t="s">
        <v>21</v>
      </c>
      <c r="AH145" s="921">
        <v>176.89500000000001</v>
      </c>
      <c r="AI145" s="921" t="s">
        <v>21</v>
      </c>
      <c r="AJ145" s="920" t="s">
        <v>21</v>
      </c>
      <c r="AK145" s="920" t="s">
        <v>21</v>
      </c>
      <c r="AL145" s="921" t="s">
        <v>21</v>
      </c>
      <c r="AM145" s="921" t="s">
        <v>21</v>
      </c>
      <c r="AN145" s="920"/>
      <c r="AO145" s="920" t="s">
        <v>21</v>
      </c>
      <c r="AP145" s="919">
        <v>43.917999999999999</v>
      </c>
      <c r="AQ145" s="933">
        <v>166.51195999999999</v>
      </c>
      <c r="AR145" s="925" t="s">
        <v>21</v>
      </c>
      <c r="AS145" s="925">
        <v>166.51195999999999</v>
      </c>
      <c r="AT145" s="925" t="s">
        <v>21</v>
      </c>
      <c r="AU145" s="925" t="s">
        <v>21</v>
      </c>
      <c r="AV145" s="926" t="s">
        <v>21</v>
      </c>
      <c r="AW145" s="926" t="s">
        <v>21</v>
      </c>
      <c r="AX145" s="926" t="s">
        <v>21</v>
      </c>
      <c r="AY145" s="926" t="s">
        <v>21</v>
      </c>
      <c r="AZ145" s="925" t="s">
        <v>21</v>
      </c>
      <c r="BA145" s="925"/>
      <c r="BB145" s="919">
        <v>4.3920000000000003</v>
      </c>
      <c r="BC145" s="919" t="s">
        <v>21</v>
      </c>
      <c r="BD145" s="919" t="s">
        <v>2142</v>
      </c>
      <c r="BE145" s="925" t="s">
        <v>21</v>
      </c>
      <c r="BF145" s="926" t="s">
        <v>21</v>
      </c>
      <c r="BG145" s="925">
        <v>31.37</v>
      </c>
      <c r="BH145" s="926" t="s">
        <v>21</v>
      </c>
      <c r="BI145" s="925" t="s">
        <v>21</v>
      </c>
      <c r="BJ145" s="926" t="s">
        <v>21</v>
      </c>
      <c r="BK145" s="925" t="s">
        <v>21</v>
      </c>
      <c r="BL145" s="926" t="s">
        <v>21</v>
      </c>
      <c r="BM145" s="925" t="s">
        <v>21</v>
      </c>
      <c r="BN145" s="927"/>
      <c r="BO145" s="927"/>
      <c r="BP145" s="928">
        <v>1</v>
      </c>
      <c r="BQ145" s="928" t="s">
        <v>21</v>
      </c>
      <c r="BR145" s="928" t="s">
        <v>21</v>
      </c>
      <c r="BS145" s="928" t="s">
        <v>21</v>
      </c>
      <c r="BT145" s="928" t="s">
        <v>21</v>
      </c>
      <c r="BU145" s="928" t="s">
        <v>21</v>
      </c>
      <c r="BV145" s="934">
        <v>0.49999999999986366</v>
      </c>
      <c r="BW145" s="934">
        <v>0.5</v>
      </c>
      <c r="BX145" s="1104">
        <v>1</v>
      </c>
      <c r="BY145" s="931">
        <v>3</v>
      </c>
      <c r="BZ145" s="930" t="s">
        <v>21</v>
      </c>
      <c r="CA145" s="1074">
        <v>1</v>
      </c>
      <c r="CB145" s="930" t="s">
        <v>21</v>
      </c>
      <c r="CC145" s="930" t="s">
        <v>21</v>
      </c>
      <c r="CD145" s="925">
        <v>32.091999999999999</v>
      </c>
      <c r="CE145" s="1130">
        <v>127.645</v>
      </c>
      <c r="CF145" s="1129" t="s">
        <v>21</v>
      </c>
      <c r="CG145" s="1130" t="s">
        <v>21</v>
      </c>
      <c r="CH145" s="1130" t="s">
        <v>21</v>
      </c>
      <c r="CI145" s="1131" t="s">
        <v>21</v>
      </c>
      <c r="CJ145" s="1129" t="s">
        <v>21</v>
      </c>
      <c r="CK145" s="1130">
        <v>127.645</v>
      </c>
      <c r="CL145" s="1130" t="s">
        <v>21</v>
      </c>
      <c r="CM145" s="1131" t="s">
        <v>21</v>
      </c>
      <c r="CN145" s="1130" t="s">
        <v>21</v>
      </c>
      <c r="CP145" s="838" t="s">
        <v>21</v>
      </c>
      <c r="CQ145" s="838" t="s">
        <v>21</v>
      </c>
      <c r="CR145" s="836"/>
    </row>
    <row r="146" spans="1:96" x14ac:dyDescent="0.25">
      <c r="A146" s="935"/>
      <c r="B146" s="932" t="s">
        <v>2270</v>
      </c>
      <c r="C146" s="911">
        <v>600</v>
      </c>
      <c r="D146" s="911" t="s">
        <v>2116</v>
      </c>
      <c r="E146" s="912">
        <v>1133.3499999999999</v>
      </c>
      <c r="F146" s="912">
        <v>1130.633</v>
      </c>
      <c r="G146" s="932" t="s">
        <v>2292</v>
      </c>
      <c r="H146" s="912">
        <v>1132.4100000000001</v>
      </c>
      <c r="I146" s="912">
        <v>1130.51</v>
      </c>
      <c r="J146" s="914">
        <v>31.37</v>
      </c>
      <c r="K146" s="915"/>
      <c r="L146" s="916">
        <v>0.1</v>
      </c>
      <c r="M146" s="916">
        <v>0.06</v>
      </c>
      <c r="N146" s="916">
        <v>0.2</v>
      </c>
      <c r="O146" s="916">
        <v>5.1120000000000001</v>
      </c>
      <c r="P146" s="915"/>
      <c r="Q146" s="916">
        <v>2.5680000000000001</v>
      </c>
      <c r="R146" s="917">
        <v>0.33333333333333331</v>
      </c>
      <c r="S146" s="918">
        <v>1.4</v>
      </c>
      <c r="T146" s="918">
        <v>3.1120000000000001</v>
      </c>
      <c r="U146" s="916">
        <v>5.4139999999999997</v>
      </c>
      <c r="V146" s="916">
        <v>0.92</v>
      </c>
      <c r="W146" s="915"/>
      <c r="X146" s="916">
        <v>0.28299999999999997</v>
      </c>
      <c r="Y146" s="916">
        <v>0.40699999999999997</v>
      </c>
      <c r="Z146" s="916">
        <v>5.7930000000000001</v>
      </c>
      <c r="AA146" s="916">
        <v>1.0229999999999999</v>
      </c>
      <c r="AB146" s="916">
        <v>4.2229999999999999</v>
      </c>
      <c r="AC146" s="915"/>
      <c r="AD146" s="919">
        <v>160.363</v>
      </c>
      <c r="AE146" s="920">
        <v>181.726</v>
      </c>
      <c r="AF146" s="920" t="s">
        <v>21</v>
      </c>
      <c r="AG146" s="920" t="s">
        <v>21</v>
      </c>
      <c r="AH146" s="921">
        <v>181.726</v>
      </c>
      <c r="AI146" s="921" t="s">
        <v>21</v>
      </c>
      <c r="AJ146" s="920" t="s">
        <v>21</v>
      </c>
      <c r="AK146" s="920" t="s">
        <v>21</v>
      </c>
      <c r="AL146" s="921" t="s">
        <v>21</v>
      </c>
      <c r="AM146" s="921" t="s">
        <v>21</v>
      </c>
      <c r="AN146" s="920"/>
      <c r="AO146" s="920" t="s">
        <v>21</v>
      </c>
      <c r="AP146" s="919">
        <v>43.917999999999999</v>
      </c>
      <c r="AQ146" s="933">
        <v>169.83717999999999</v>
      </c>
      <c r="AR146" s="925" t="s">
        <v>21</v>
      </c>
      <c r="AS146" s="925">
        <v>169.83717999999999</v>
      </c>
      <c r="AT146" s="925" t="s">
        <v>21</v>
      </c>
      <c r="AU146" s="925" t="s">
        <v>21</v>
      </c>
      <c r="AV146" s="926" t="s">
        <v>21</v>
      </c>
      <c r="AW146" s="926" t="s">
        <v>21</v>
      </c>
      <c r="AX146" s="926" t="s">
        <v>21</v>
      </c>
      <c r="AY146" s="926" t="s">
        <v>21</v>
      </c>
      <c r="AZ146" s="925" t="s">
        <v>21</v>
      </c>
      <c r="BA146" s="925"/>
      <c r="BB146" s="919">
        <v>4.3920000000000003</v>
      </c>
      <c r="BC146" s="919" t="s">
        <v>21</v>
      </c>
      <c r="BD146" s="919" t="s">
        <v>2142</v>
      </c>
      <c r="BE146" s="925" t="s">
        <v>21</v>
      </c>
      <c r="BF146" s="926" t="s">
        <v>21</v>
      </c>
      <c r="BG146" s="925">
        <v>31.37</v>
      </c>
      <c r="BH146" s="926" t="s">
        <v>21</v>
      </c>
      <c r="BI146" s="925" t="s">
        <v>21</v>
      </c>
      <c r="BJ146" s="926" t="s">
        <v>21</v>
      </c>
      <c r="BK146" s="925" t="s">
        <v>21</v>
      </c>
      <c r="BL146" s="926" t="s">
        <v>21</v>
      </c>
      <c r="BM146" s="925" t="s">
        <v>21</v>
      </c>
      <c r="BN146" s="927"/>
      <c r="BO146" s="927"/>
      <c r="BP146" s="928">
        <v>1</v>
      </c>
      <c r="BQ146" s="928" t="s">
        <v>21</v>
      </c>
      <c r="BR146" s="928" t="s">
        <v>21</v>
      </c>
      <c r="BS146" s="928" t="s">
        <v>21</v>
      </c>
      <c r="BT146" s="928" t="s">
        <v>21</v>
      </c>
      <c r="BU146" s="928" t="s">
        <v>21</v>
      </c>
      <c r="BV146" s="934">
        <v>1.3169999999998709</v>
      </c>
      <c r="BW146" s="934">
        <v>1.5</v>
      </c>
      <c r="BX146" s="1104">
        <v>3</v>
      </c>
      <c r="BY146" s="931">
        <v>5</v>
      </c>
      <c r="BZ146" s="930" t="s">
        <v>21</v>
      </c>
      <c r="CA146" s="1074" t="s">
        <v>21</v>
      </c>
      <c r="CB146" s="930" t="s">
        <v>21</v>
      </c>
      <c r="CC146" s="930" t="s">
        <v>21</v>
      </c>
      <c r="CD146" s="925">
        <v>32.091999999999999</v>
      </c>
      <c r="CE146" s="1130">
        <v>132.476</v>
      </c>
      <c r="CF146" s="1129" t="s">
        <v>21</v>
      </c>
      <c r="CG146" s="1130" t="s">
        <v>21</v>
      </c>
      <c r="CH146" s="1130" t="s">
        <v>21</v>
      </c>
      <c r="CI146" s="1131" t="s">
        <v>21</v>
      </c>
      <c r="CJ146" s="1129" t="s">
        <v>21</v>
      </c>
      <c r="CK146" s="1130">
        <v>132.476</v>
      </c>
      <c r="CL146" s="1130" t="s">
        <v>21</v>
      </c>
      <c r="CM146" s="1131" t="s">
        <v>21</v>
      </c>
      <c r="CN146" s="1130" t="s">
        <v>21</v>
      </c>
      <c r="CP146" s="838" t="s">
        <v>21</v>
      </c>
      <c r="CQ146" s="838" t="s">
        <v>21</v>
      </c>
      <c r="CR146" s="836"/>
    </row>
    <row r="147" spans="1:96" x14ac:dyDescent="0.25">
      <c r="A147" s="935"/>
      <c r="B147" s="932" t="s">
        <v>2292</v>
      </c>
      <c r="C147" s="911">
        <v>600</v>
      </c>
      <c r="D147" s="911" t="s">
        <v>2116</v>
      </c>
      <c r="E147" s="912">
        <v>1132.4100000000001</v>
      </c>
      <c r="F147" s="912">
        <v>1130.51</v>
      </c>
      <c r="G147" s="932" t="s">
        <v>2293</v>
      </c>
      <c r="H147" s="912">
        <v>1128.31</v>
      </c>
      <c r="I147" s="912">
        <v>1126.4100000000001</v>
      </c>
      <c r="J147" s="914">
        <v>38.229999999999997</v>
      </c>
      <c r="K147" s="915"/>
      <c r="L147" s="916">
        <v>0.1</v>
      </c>
      <c r="M147" s="916">
        <v>0.06</v>
      </c>
      <c r="N147" s="916">
        <v>0.2</v>
      </c>
      <c r="O147" s="916">
        <v>4.84</v>
      </c>
      <c r="P147" s="915"/>
      <c r="Q147" s="916">
        <v>2.16</v>
      </c>
      <c r="R147" s="917">
        <v>0.33333333333333331</v>
      </c>
      <c r="S147" s="918">
        <v>1.4</v>
      </c>
      <c r="T147" s="918">
        <v>2.84</v>
      </c>
      <c r="U147" s="916">
        <v>4.5540000000000003</v>
      </c>
      <c r="V147" s="916">
        <v>0.92</v>
      </c>
      <c r="W147" s="915"/>
      <c r="X147" s="916">
        <v>0.28299999999999997</v>
      </c>
      <c r="Y147" s="916">
        <v>0.40699999999999997</v>
      </c>
      <c r="Z147" s="916">
        <v>4.5789999999999997</v>
      </c>
      <c r="AA147" s="916">
        <v>1.0229999999999999</v>
      </c>
      <c r="AB147" s="916">
        <v>3.0089999999999999</v>
      </c>
      <c r="AC147" s="915"/>
      <c r="AD147" s="919">
        <v>185.03299999999999</v>
      </c>
      <c r="AE147" s="920">
        <v>175.05500000000001</v>
      </c>
      <c r="AF147" s="920" t="s">
        <v>21</v>
      </c>
      <c r="AG147" s="920" t="s">
        <v>21</v>
      </c>
      <c r="AH147" s="921">
        <v>175.05500000000001</v>
      </c>
      <c r="AI147" s="921" t="s">
        <v>21</v>
      </c>
      <c r="AJ147" s="920" t="s">
        <v>21</v>
      </c>
      <c r="AK147" s="920" t="s">
        <v>21</v>
      </c>
      <c r="AL147" s="921" t="s">
        <v>21</v>
      </c>
      <c r="AM147" s="921" t="s">
        <v>21</v>
      </c>
      <c r="AN147" s="920"/>
      <c r="AO147" s="920" t="s">
        <v>21</v>
      </c>
      <c r="AP147" s="919">
        <v>53.521999999999998</v>
      </c>
      <c r="AQ147" s="933">
        <v>174.09942000000001</v>
      </c>
      <c r="AR147" s="925" t="s">
        <v>21</v>
      </c>
      <c r="AS147" s="925">
        <v>174.09942000000001</v>
      </c>
      <c r="AT147" s="925" t="s">
        <v>21</v>
      </c>
      <c r="AU147" s="925" t="s">
        <v>21</v>
      </c>
      <c r="AV147" s="926" t="s">
        <v>21</v>
      </c>
      <c r="AW147" s="926" t="s">
        <v>21</v>
      </c>
      <c r="AX147" s="926" t="s">
        <v>21</v>
      </c>
      <c r="AY147" s="926" t="s">
        <v>21</v>
      </c>
      <c r="AZ147" s="925" t="s">
        <v>21</v>
      </c>
      <c r="BA147" s="925"/>
      <c r="BB147" s="919">
        <v>5.3520000000000003</v>
      </c>
      <c r="BC147" s="919" t="s">
        <v>21</v>
      </c>
      <c r="BD147" s="919" t="s">
        <v>2142</v>
      </c>
      <c r="BE147" s="925" t="s">
        <v>21</v>
      </c>
      <c r="BF147" s="926" t="s">
        <v>21</v>
      </c>
      <c r="BG147" s="925">
        <v>38.229999999999997</v>
      </c>
      <c r="BH147" s="926" t="s">
        <v>21</v>
      </c>
      <c r="BI147" s="925" t="s">
        <v>21</v>
      </c>
      <c r="BJ147" s="926" t="s">
        <v>21</v>
      </c>
      <c r="BK147" s="925" t="s">
        <v>21</v>
      </c>
      <c r="BL147" s="926" t="s">
        <v>21</v>
      </c>
      <c r="BM147" s="925" t="s">
        <v>21</v>
      </c>
      <c r="BN147" s="927"/>
      <c r="BO147" s="927"/>
      <c r="BP147" s="928">
        <v>1</v>
      </c>
      <c r="BQ147" s="928" t="s">
        <v>21</v>
      </c>
      <c r="BR147" s="928" t="s">
        <v>21</v>
      </c>
      <c r="BS147" s="928" t="s">
        <v>21</v>
      </c>
      <c r="BT147" s="928" t="s">
        <v>21</v>
      </c>
      <c r="BU147" s="928" t="s">
        <v>21</v>
      </c>
      <c r="BV147" s="934">
        <v>0.50000000000009104</v>
      </c>
      <c r="BW147" s="934">
        <v>1</v>
      </c>
      <c r="BX147" s="1104">
        <v>2</v>
      </c>
      <c r="BY147" s="931">
        <v>4</v>
      </c>
      <c r="BZ147" s="930" t="s">
        <v>21</v>
      </c>
      <c r="CA147" s="1074">
        <v>1</v>
      </c>
      <c r="CB147" s="930" t="s">
        <v>21</v>
      </c>
      <c r="CC147" s="930" t="s">
        <v>21</v>
      </c>
      <c r="CD147" s="925">
        <v>39.109000000000002</v>
      </c>
      <c r="CE147" s="1130">
        <v>115.03400000000001</v>
      </c>
      <c r="CF147" s="1129" t="s">
        <v>21</v>
      </c>
      <c r="CG147" s="1130" t="s">
        <v>21</v>
      </c>
      <c r="CH147" s="1130" t="s">
        <v>21</v>
      </c>
      <c r="CI147" s="1131" t="s">
        <v>21</v>
      </c>
      <c r="CJ147" s="1129" t="s">
        <v>21</v>
      </c>
      <c r="CK147" s="1130">
        <v>115.03400000000001</v>
      </c>
      <c r="CL147" s="1130" t="s">
        <v>21</v>
      </c>
      <c r="CM147" s="1131" t="s">
        <v>21</v>
      </c>
      <c r="CN147" s="1130" t="s">
        <v>21</v>
      </c>
      <c r="CP147" s="838" t="s">
        <v>21</v>
      </c>
      <c r="CQ147" s="838" t="s">
        <v>21</v>
      </c>
      <c r="CR147" s="836"/>
    </row>
    <row r="148" spans="1:96" x14ac:dyDescent="0.25">
      <c r="A148" s="935"/>
      <c r="B148" s="932" t="s">
        <v>2293</v>
      </c>
      <c r="C148" s="911">
        <v>600</v>
      </c>
      <c r="D148" s="911" t="s">
        <v>2116</v>
      </c>
      <c r="E148" s="912">
        <v>1128.31</v>
      </c>
      <c r="F148" s="912">
        <v>1126.1600000000001</v>
      </c>
      <c r="G148" s="932" t="s">
        <v>2294</v>
      </c>
      <c r="H148" s="912">
        <v>1127.71</v>
      </c>
      <c r="I148" s="912">
        <v>1125.81</v>
      </c>
      <c r="J148" s="914">
        <v>40.93</v>
      </c>
      <c r="K148" s="915"/>
      <c r="L148" s="916">
        <v>0.1</v>
      </c>
      <c r="M148" s="916">
        <v>0.06</v>
      </c>
      <c r="N148" s="916">
        <v>0.2</v>
      </c>
      <c r="O148" s="916">
        <v>4.923</v>
      </c>
      <c r="P148" s="915"/>
      <c r="Q148" s="916">
        <v>2.2850000000000001</v>
      </c>
      <c r="R148" s="917">
        <v>0.33333333333333331</v>
      </c>
      <c r="S148" s="918">
        <v>1.4</v>
      </c>
      <c r="T148" s="918">
        <v>2.923</v>
      </c>
      <c r="U148" s="916">
        <v>4.8170000000000002</v>
      </c>
      <c r="V148" s="916">
        <v>0.92</v>
      </c>
      <c r="W148" s="915"/>
      <c r="X148" s="916">
        <v>0.28299999999999997</v>
      </c>
      <c r="Y148" s="916">
        <v>0.40699999999999997</v>
      </c>
      <c r="Z148" s="916">
        <v>4.9390000000000001</v>
      </c>
      <c r="AA148" s="916">
        <v>1.0229999999999999</v>
      </c>
      <c r="AB148" s="916">
        <v>3.3690000000000002</v>
      </c>
      <c r="AC148" s="915"/>
      <c r="AD148" s="919">
        <v>201.49799999999999</v>
      </c>
      <c r="AE148" s="920">
        <v>202.15299999999999</v>
      </c>
      <c r="AF148" s="920" t="s">
        <v>21</v>
      </c>
      <c r="AG148" s="920" t="s">
        <v>21</v>
      </c>
      <c r="AH148" s="921">
        <v>202.15299999999999</v>
      </c>
      <c r="AI148" s="921" t="s">
        <v>21</v>
      </c>
      <c r="AJ148" s="920" t="s">
        <v>21</v>
      </c>
      <c r="AK148" s="920" t="s">
        <v>21</v>
      </c>
      <c r="AL148" s="921" t="s">
        <v>21</v>
      </c>
      <c r="AM148" s="921" t="s">
        <v>21</v>
      </c>
      <c r="AN148" s="920"/>
      <c r="AO148" s="920" t="s">
        <v>21</v>
      </c>
      <c r="AP148" s="919">
        <v>57.302</v>
      </c>
      <c r="AQ148" s="933">
        <v>197.15980999999999</v>
      </c>
      <c r="AR148" s="925" t="s">
        <v>21</v>
      </c>
      <c r="AS148" s="925">
        <v>197.15980999999999</v>
      </c>
      <c r="AT148" s="925" t="s">
        <v>21</v>
      </c>
      <c r="AU148" s="925" t="s">
        <v>21</v>
      </c>
      <c r="AV148" s="926" t="s">
        <v>21</v>
      </c>
      <c r="AW148" s="926" t="s">
        <v>21</v>
      </c>
      <c r="AX148" s="926" t="s">
        <v>21</v>
      </c>
      <c r="AY148" s="926" t="s">
        <v>21</v>
      </c>
      <c r="AZ148" s="925" t="s">
        <v>21</v>
      </c>
      <c r="BA148" s="925"/>
      <c r="BB148" s="919">
        <v>5.73</v>
      </c>
      <c r="BC148" s="919" t="s">
        <v>21</v>
      </c>
      <c r="BD148" s="919" t="s">
        <v>2142</v>
      </c>
      <c r="BE148" s="925" t="s">
        <v>21</v>
      </c>
      <c r="BF148" s="926" t="s">
        <v>21</v>
      </c>
      <c r="BG148" s="925">
        <v>40.93</v>
      </c>
      <c r="BH148" s="926" t="s">
        <v>21</v>
      </c>
      <c r="BI148" s="925" t="s">
        <v>21</v>
      </c>
      <c r="BJ148" s="926" t="s">
        <v>21</v>
      </c>
      <c r="BK148" s="925" t="s">
        <v>21</v>
      </c>
      <c r="BL148" s="926" t="s">
        <v>21</v>
      </c>
      <c r="BM148" s="925" t="s">
        <v>21</v>
      </c>
      <c r="BN148" s="927"/>
      <c r="BO148" s="927"/>
      <c r="BP148" s="928">
        <v>1</v>
      </c>
      <c r="BQ148" s="928" t="s">
        <v>21</v>
      </c>
      <c r="BR148" s="928" t="s">
        <v>21</v>
      </c>
      <c r="BS148" s="928" t="s">
        <v>21</v>
      </c>
      <c r="BT148" s="928" t="s">
        <v>21</v>
      </c>
      <c r="BU148" s="928" t="s">
        <v>21</v>
      </c>
      <c r="BV148" s="934">
        <v>0.74999999999986366</v>
      </c>
      <c r="BW148" s="934">
        <v>1</v>
      </c>
      <c r="BX148" s="1104">
        <v>2</v>
      </c>
      <c r="BY148" s="931">
        <v>4</v>
      </c>
      <c r="BZ148" s="930" t="s">
        <v>21</v>
      </c>
      <c r="CA148" s="1074" t="s">
        <v>21</v>
      </c>
      <c r="CB148" s="930" t="s">
        <v>21</v>
      </c>
      <c r="CC148" s="930" t="s">
        <v>21</v>
      </c>
      <c r="CD148" s="925">
        <v>41.871000000000002</v>
      </c>
      <c r="CE148" s="1130">
        <v>137.893</v>
      </c>
      <c r="CF148" s="1129" t="s">
        <v>21</v>
      </c>
      <c r="CG148" s="1130" t="s">
        <v>21</v>
      </c>
      <c r="CH148" s="1130" t="s">
        <v>21</v>
      </c>
      <c r="CI148" s="1131" t="s">
        <v>21</v>
      </c>
      <c r="CJ148" s="1129" t="s">
        <v>21</v>
      </c>
      <c r="CK148" s="1130">
        <v>137.893</v>
      </c>
      <c r="CL148" s="1130" t="s">
        <v>21</v>
      </c>
      <c r="CM148" s="1131" t="s">
        <v>21</v>
      </c>
      <c r="CN148" s="1130" t="s">
        <v>21</v>
      </c>
      <c r="CP148" s="838" t="s">
        <v>21</v>
      </c>
      <c r="CQ148" s="838" t="s">
        <v>21</v>
      </c>
      <c r="CR148" s="836"/>
    </row>
    <row r="149" spans="1:96" x14ac:dyDescent="0.25">
      <c r="A149" s="935"/>
      <c r="B149" s="932" t="s">
        <v>2294</v>
      </c>
      <c r="C149" s="911">
        <v>600</v>
      </c>
      <c r="D149" s="911" t="s">
        <v>2116</v>
      </c>
      <c r="E149" s="912">
        <v>1127.71</v>
      </c>
      <c r="F149" s="912">
        <v>1124.31</v>
      </c>
      <c r="G149" s="910" t="s">
        <v>2437</v>
      </c>
      <c r="H149" s="912">
        <v>1126.81</v>
      </c>
      <c r="I149" s="912">
        <v>1125.81</v>
      </c>
      <c r="J149" s="914">
        <v>11.71</v>
      </c>
      <c r="K149" s="915"/>
      <c r="L149" s="916">
        <v>0.1</v>
      </c>
      <c r="M149" s="916">
        <v>0.06</v>
      </c>
      <c r="N149" s="916">
        <v>0.2</v>
      </c>
      <c r="O149" s="916">
        <v>5.04</v>
      </c>
      <c r="P149" s="915"/>
      <c r="Q149" s="916">
        <v>2.46</v>
      </c>
      <c r="R149" s="917">
        <v>0.33333333333333331</v>
      </c>
      <c r="S149" s="918">
        <v>1.4</v>
      </c>
      <c r="T149" s="918">
        <v>3.04</v>
      </c>
      <c r="U149" s="916">
        <v>5.1859999999999999</v>
      </c>
      <c r="V149" s="916">
        <v>0.92</v>
      </c>
      <c r="W149" s="915"/>
      <c r="X149" s="916">
        <v>0.28299999999999997</v>
      </c>
      <c r="Y149" s="916">
        <v>0.40699999999999997</v>
      </c>
      <c r="Z149" s="916">
        <v>5.4610000000000003</v>
      </c>
      <c r="AA149" s="916">
        <v>1.0229999999999999</v>
      </c>
      <c r="AB149" s="916">
        <v>3.891</v>
      </c>
      <c r="AC149" s="915"/>
      <c r="AD149" s="919">
        <v>59.018000000000001</v>
      </c>
      <c r="AE149" s="920">
        <v>63.948</v>
      </c>
      <c r="AF149" s="920" t="s">
        <v>21</v>
      </c>
      <c r="AG149" s="920" t="s">
        <v>21</v>
      </c>
      <c r="AH149" s="921">
        <v>63.948</v>
      </c>
      <c r="AI149" s="921" t="s">
        <v>21</v>
      </c>
      <c r="AJ149" s="920" t="s">
        <v>21</v>
      </c>
      <c r="AK149" s="920" t="s">
        <v>21</v>
      </c>
      <c r="AL149" s="921" t="s">
        <v>21</v>
      </c>
      <c r="AM149" s="921" t="s">
        <v>21</v>
      </c>
      <c r="AN149" s="920"/>
      <c r="AO149" s="920" t="s">
        <v>21</v>
      </c>
      <c r="AP149" s="919">
        <v>16.393999999999998</v>
      </c>
      <c r="AQ149" s="933">
        <v>60.728060000000006</v>
      </c>
      <c r="AR149" s="925" t="s">
        <v>21</v>
      </c>
      <c r="AS149" s="925">
        <v>60.728060000000006</v>
      </c>
      <c r="AT149" s="925" t="s">
        <v>21</v>
      </c>
      <c r="AU149" s="925" t="s">
        <v>21</v>
      </c>
      <c r="AV149" s="926" t="s">
        <v>21</v>
      </c>
      <c r="AW149" s="926" t="s">
        <v>21</v>
      </c>
      <c r="AX149" s="926" t="s">
        <v>21</v>
      </c>
      <c r="AY149" s="926" t="s">
        <v>21</v>
      </c>
      <c r="AZ149" s="925" t="s">
        <v>21</v>
      </c>
      <c r="BA149" s="925"/>
      <c r="BB149" s="919">
        <v>1.639</v>
      </c>
      <c r="BC149" s="919" t="s">
        <v>21</v>
      </c>
      <c r="BD149" s="919" t="s">
        <v>2142</v>
      </c>
      <c r="BE149" s="925" t="s">
        <v>21</v>
      </c>
      <c r="BF149" s="926" t="s">
        <v>21</v>
      </c>
      <c r="BG149" s="925">
        <v>11.71</v>
      </c>
      <c r="BH149" s="926" t="s">
        <v>21</v>
      </c>
      <c r="BI149" s="925" t="s">
        <v>21</v>
      </c>
      <c r="BJ149" s="926" t="s">
        <v>21</v>
      </c>
      <c r="BK149" s="925" t="s">
        <v>21</v>
      </c>
      <c r="BL149" s="926" t="s">
        <v>21</v>
      </c>
      <c r="BM149" s="925" t="s">
        <v>21</v>
      </c>
      <c r="BN149" s="927"/>
      <c r="BO149" s="927"/>
      <c r="BP149" s="928">
        <v>1</v>
      </c>
      <c r="BQ149" s="928" t="s">
        <v>21</v>
      </c>
      <c r="BR149" s="928" t="s">
        <v>21</v>
      </c>
      <c r="BS149" s="928" t="s">
        <v>21</v>
      </c>
      <c r="BT149" s="928" t="s">
        <v>21</v>
      </c>
      <c r="BU149" s="928" t="s">
        <v>21</v>
      </c>
      <c r="BV149" s="934">
        <v>2.000000000000091</v>
      </c>
      <c r="BW149" s="934">
        <v>2.5</v>
      </c>
      <c r="BX149" s="1104">
        <v>5</v>
      </c>
      <c r="BY149" s="931">
        <v>7</v>
      </c>
      <c r="BZ149" s="930" t="s">
        <v>21</v>
      </c>
      <c r="CA149" s="1074" t="s">
        <v>21</v>
      </c>
      <c r="CB149" s="930" t="s">
        <v>21</v>
      </c>
      <c r="CC149" s="930" t="s">
        <v>21</v>
      </c>
      <c r="CD149" s="925">
        <v>11.978999999999999</v>
      </c>
      <c r="CE149" s="1130">
        <v>45.564</v>
      </c>
      <c r="CF149" s="1129" t="s">
        <v>21</v>
      </c>
      <c r="CG149" s="1130" t="s">
        <v>21</v>
      </c>
      <c r="CH149" s="1130" t="s">
        <v>21</v>
      </c>
      <c r="CI149" s="1131" t="s">
        <v>21</v>
      </c>
      <c r="CJ149" s="1129" t="s">
        <v>21</v>
      </c>
      <c r="CK149" s="1130">
        <v>45.564</v>
      </c>
      <c r="CL149" s="1130" t="s">
        <v>21</v>
      </c>
      <c r="CM149" s="1131" t="s">
        <v>21</v>
      </c>
      <c r="CN149" s="1130" t="s">
        <v>21</v>
      </c>
      <c r="CP149" s="838" t="s">
        <v>21</v>
      </c>
      <c r="CQ149" s="838" t="s">
        <v>21</v>
      </c>
      <c r="CR149" s="836"/>
    </row>
    <row r="150" spans="1:96" x14ac:dyDescent="0.25">
      <c r="A150" s="935"/>
      <c r="B150" s="932" t="s">
        <v>2437</v>
      </c>
      <c r="C150" s="911"/>
      <c r="D150" s="911"/>
      <c r="E150" s="912">
        <v>1126.81</v>
      </c>
      <c r="F150" s="912">
        <v>1125.81</v>
      </c>
      <c r="G150" s="910" t="s">
        <v>2233</v>
      </c>
      <c r="H150" s="912">
        <v>1105.42</v>
      </c>
      <c r="I150" s="912">
        <v>1103.98</v>
      </c>
      <c r="J150" s="914">
        <v>30.41</v>
      </c>
      <c r="K150" s="915"/>
      <c r="L150" s="916"/>
      <c r="M150" s="916"/>
      <c r="N150" s="916"/>
      <c r="O150" s="916"/>
      <c r="P150" s="915"/>
      <c r="Q150" s="916"/>
      <c r="R150" s="917"/>
      <c r="S150" s="918"/>
      <c r="T150" s="918"/>
      <c r="U150" s="916"/>
      <c r="V150" s="916"/>
      <c r="W150" s="915"/>
      <c r="X150" s="916"/>
      <c r="Y150" s="916"/>
      <c r="Z150" s="916"/>
      <c r="AA150" s="916"/>
      <c r="AB150" s="916"/>
      <c r="AC150" s="915"/>
      <c r="AD150" s="919"/>
      <c r="AE150" s="920"/>
      <c r="AF150" s="920"/>
      <c r="AG150" s="920"/>
      <c r="AH150" s="921"/>
      <c r="AI150" s="921"/>
      <c r="AJ150" s="920"/>
      <c r="AK150" s="920"/>
      <c r="AL150" s="921"/>
      <c r="AM150" s="921"/>
      <c r="AN150" s="920"/>
      <c r="AO150" s="920" t="s">
        <v>21</v>
      </c>
      <c r="AP150" s="919"/>
      <c r="AQ150" s="933"/>
      <c r="AR150" s="925"/>
      <c r="AS150" s="925"/>
      <c r="AT150" s="925"/>
      <c r="AU150" s="925"/>
      <c r="AV150" s="926"/>
      <c r="AW150" s="926"/>
      <c r="AX150" s="926"/>
      <c r="AY150" s="926"/>
      <c r="AZ150" s="925"/>
      <c r="BA150" s="925"/>
      <c r="BB150" s="919"/>
      <c r="BC150" s="919"/>
      <c r="BD150" s="919"/>
      <c r="BE150" s="925"/>
      <c r="BF150" s="926"/>
      <c r="BG150" s="925"/>
      <c r="BH150" s="926"/>
      <c r="BI150" s="925"/>
      <c r="BJ150" s="926"/>
      <c r="BK150" s="925"/>
      <c r="BL150" s="926"/>
      <c r="BM150" s="925"/>
      <c r="BN150" s="927"/>
      <c r="BO150" s="927"/>
      <c r="BP150" s="928" t="s">
        <v>21</v>
      </c>
      <c r="BQ150" s="928" t="s">
        <v>21</v>
      </c>
      <c r="BR150" s="928" t="s">
        <v>21</v>
      </c>
      <c r="BS150" s="928" t="s">
        <v>21</v>
      </c>
      <c r="BT150" s="928" t="s">
        <v>21</v>
      </c>
      <c r="BU150" s="928"/>
      <c r="BV150" s="934" t="s">
        <v>21</v>
      </c>
      <c r="BW150" s="934"/>
      <c r="BX150" s="1104"/>
      <c r="BY150" s="931" t="s">
        <v>21</v>
      </c>
      <c r="BZ150" s="930"/>
      <c r="CA150" s="1074"/>
      <c r="CB150" s="930"/>
      <c r="CC150" s="930"/>
      <c r="CD150" s="925"/>
      <c r="CE150" s="1130"/>
      <c r="CF150" s="1129" t="s">
        <v>21</v>
      </c>
      <c r="CG150" s="1130" t="s">
        <v>21</v>
      </c>
      <c r="CH150" s="1130" t="s">
        <v>21</v>
      </c>
      <c r="CI150" s="1131" t="s">
        <v>21</v>
      </c>
      <c r="CJ150" s="1129" t="s">
        <v>21</v>
      </c>
      <c r="CK150" s="1130" t="s">
        <v>21</v>
      </c>
      <c r="CL150" s="1130" t="s">
        <v>21</v>
      </c>
      <c r="CM150" s="1131" t="s">
        <v>21</v>
      </c>
      <c r="CN150" s="1130" t="s">
        <v>21</v>
      </c>
      <c r="CP150" s="838" t="s">
        <v>21</v>
      </c>
      <c r="CQ150" s="838" t="s">
        <v>21</v>
      </c>
      <c r="CR150" s="836"/>
    </row>
    <row r="151" spans="1:96" x14ac:dyDescent="0.25">
      <c r="A151" s="935"/>
      <c r="B151" s="932"/>
      <c r="C151" s="911"/>
      <c r="D151" s="911"/>
      <c r="E151" s="912"/>
      <c r="F151" s="912"/>
      <c r="G151" s="910"/>
      <c r="H151" s="912"/>
      <c r="I151" s="912"/>
      <c r="J151" s="914"/>
      <c r="K151" s="915"/>
      <c r="L151" s="916" t="s">
        <v>21</v>
      </c>
      <c r="M151" s="916" t="s">
        <v>21</v>
      </c>
      <c r="N151" s="916" t="s">
        <v>21</v>
      </c>
      <c r="O151" s="916" t="s">
        <v>21</v>
      </c>
      <c r="P151" s="915"/>
      <c r="Q151" s="916" t="s">
        <v>21</v>
      </c>
      <c r="R151" s="917" t="s">
        <v>21</v>
      </c>
      <c r="S151" s="918" t="s">
        <v>21</v>
      </c>
      <c r="T151" s="918" t="s">
        <v>21</v>
      </c>
      <c r="U151" s="916" t="s">
        <v>21</v>
      </c>
      <c r="V151" s="916" t="s">
        <v>21</v>
      </c>
      <c r="W151" s="915"/>
      <c r="X151" s="916" t="s">
        <v>21</v>
      </c>
      <c r="Y151" s="916" t="s">
        <v>21</v>
      </c>
      <c r="Z151" s="916" t="s">
        <v>21</v>
      </c>
      <c r="AA151" s="916" t="s">
        <v>21</v>
      </c>
      <c r="AB151" s="916" t="s">
        <v>21</v>
      </c>
      <c r="AC151" s="915"/>
      <c r="AD151" s="919" t="s">
        <v>21</v>
      </c>
      <c r="AE151" s="920" t="s">
        <v>21</v>
      </c>
      <c r="AF151" s="920" t="s">
        <v>21</v>
      </c>
      <c r="AG151" s="920" t="s">
        <v>21</v>
      </c>
      <c r="AH151" s="921" t="s">
        <v>21</v>
      </c>
      <c r="AI151" s="921" t="s">
        <v>21</v>
      </c>
      <c r="AJ151" s="920" t="s">
        <v>21</v>
      </c>
      <c r="AK151" s="920" t="s">
        <v>21</v>
      </c>
      <c r="AL151" s="921" t="s">
        <v>21</v>
      </c>
      <c r="AM151" s="921" t="s">
        <v>21</v>
      </c>
      <c r="AN151" s="920"/>
      <c r="AO151" s="920" t="s">
        <v>21</v>
      </c>
      <c r="AP151" s="919" t="s">
        <v>21</v>
      </c>
      <c r="AQ151" s="933" t="s">
        <v>21</v>
      </c>
      <c r="AR151" s="925" t="s">
        <v>21</v>
      </c>
      <c r="AS151" s="925" t="s">
        <v>21</v>
      </c>
      <c r="AT151" s="925" t="s">
        <v>21</v>
      </c>
      <c r="AU151" s="925" t="s">
        <v>21</v>
      </c>
      <c r="AV151" s="926" t="s">
        <v>21</v>
      </c>
      <c r="AW151" s="926" t="s">
        <v>21</v>
      </c>
      <c r="AX151" s="926" t="s">
        <v>21</v>
      </c>
      <c r="AY151" s="926" t="s">
        <v>21</v>
      </c>
      <c r="AZ151" s="925" t="s">
        <v>21</v>
      </c>
      <c r="BA151" s="925"/>
      <c r="BB151" s="919" t="s">
        <v>21</v>
      </c>
      <c r="BC151" s="919" t="s">
        <v>21</v>
      </c>
      <c r="BD151" s="919" t="s">
        <v>21</v>
      </c>
      <c r="BE151" s="925" t="s">
        <v>21</v>
      </c>
      <c r="BF151" s="926" t="s">
        <v>21</v>
      </c>
      <c r="BG151" s="925" t="s">
        <v>21</v>
      </c>
      <c r="BH151" s="926" t="s">
        <v>21</v>
      </c>
      <c r="BI151" s="925" t="s">
        <v>21</v>
      </c>
      <c r="BJ151" s="926" t="s">
        <v>21</v>
      </c>
      <c r="BK151" s="925" t="s">
        <v>21</v>
      </c>
      <c r="BL151" s="926" t="s">
        <v>21</v>
      </c>
      <c r="BM151" s="925" t="s">
        <v>21</v>
      </c>
      <c r="BN151" s="927"/>
      <c r="BO151" s="927"/>
      <c r="BP151" s="928" t="s">
        <v>21</v>
      </c>
      <c r="BQ151" s="928" t="s">
        <v>21</v>
      </c>
      <c r="BR151" s="928" t="s">
        <v>21</v>
      </c>
      <c r="BS151" s="928" t="s">
        <v>21</v>
      </c>
      <c r="BT151" s="928" t="s">
        <v>21</v>
      </c>
      <c r="BU151" s="928" t="s">
        <v>21</v>
      </c>
      <c r="BV151" s="934" t="s">
        <v>21</v>
      </c>
      <c r="BW151" s="934" t="s">
        <v>21</v>
      </c>
      <c r="BX151" s="1104" t="s">
        <v>21</v>
      </c>
      <c r="BY151" s="931" t="s">
        <v>21</v>
      </c>
      <c r="BZ151" s="930" t="s">
        <v>21</v>
      </c>
      <c r="CA151" s="1074" t="s">
        <v>21</v>
      </c>
      <c r="CB151" s="930" t="s">
        <v>21</v>
      </c>
      <c r="CC151" s="930" t="s">
        <v>21</v>
      </c>
      <c r="CD151" s="925" t="s">
        <v>21</v>
      </c>
      <c r="CE151" s="1130" t="s">
        <v>21</v>
      </c>
      <c r="CF151" s="1129" t="s">
        <v>21</v>
      </c>
      <c r="CG151" s="1130" t="s">
        <v>21</v>
      </c>
      <c r="CH151" s="1130" t="s">
        <v>21</v>
      </c>
      <c r="CI151" s="1131" t="s">
        <v>21</v>
      </c>
      <c r="CJ151" s="1129" t="s">
        <v>21</v>
      </c>
      <c r="CK151" s="1130" t="s">
        <v>21</v>
      </c>
      <c r="CL151" s="1130" t="s">
        <v>21</v>
      </c>
      <c r="CM151" s="1131" t="s">
        <v>21</v>
      </c>
      <c r="CN151" s="1130" t="s">
        <v>21</v>
      </c>
      <c r="CP151" s="838" t="s">
        <v>21</v>
      </c>
      <c r="CQ151" s="838" t="s">
        <v>21</v>
      </c>
      <c r="CR151" s="836"/>
    </row>
    <row r="152" spans="1:96" x14ac:dyDescent="0.25">
      <c r="A152" s="935" t="s">
        <v>2507</v>
      </c>
      <c r="B152" s="932" t="s">
        <v>2240</v>
      </c>
      <c r="C152" s="911">
        <v>600</v>
      </c>
      <c r="D152" s="911" t="s">
        <v>2116</v>
      </c>
      <c r="E152" s="912">
        <v>1133.49</v>
      </c>
      <c r="F152" s="1098">
        <v>1131.99</v>
      </c>
      <c r="G152" s="910" t="s">
        <v>2293</v>
      </c>
      <c r="H152" s="912">
        <v>1128.31</v>
      </c>
      <c r="I152" s="912">
        <v>1126.4100000000001</v>
      </c>
      <c r="J152" s="914">
        <v>25.49</v>
      </c>
      <c r="K152" s="915"/>
      <c r="L152" s="916">
        <v>0.1</v>
      </c>
      <c r="M152" s="916">
        <v>0.06</v>
      </c>
      <c r="N152" s="916">
        <v>0.2</v>
      </c>
      <c r="O152" s="916">
        <v>4.7069999999999999</v>
      </c>
      <c r="P152" s="915"/>
      <c r="Q152" s="916">
        <v>1.96</v>
      </c>
      <c r="R152" s="917">
        <v>0.33333333333333331</v>
      </c>
      <c r="S152" s="918">
        <v>1.4</v>
      </c>
      <c r="T152" s="918">
        <v>2.7069999999999999</v>
      </c>
      <c r="U152" s="916">
        <v>4.1319999999999997</v>
      </c>
      <c r="V152" s="916">
        <v>0.92</v>
      </c>
      <c r="W152" s="915"/>
      <c r="X152" s="916">
        <v>0.28299999999999997</v>
      </c>
      <c r="Y152" s="916">
        <v>0.40699999999999997</v>
      </c>
      <c r="Z152" s="916">
        <v>4.0250000000000004</v>
      </c>
      <c r="AA152" s="916">
        <v>1.0229999999999999</v>
      </c>
      <c r="AB152" s="916">
        <v>2.4550000000000001</v>
      </c>
      <c r="AC152" s="915"/>
      <c r="AD152" s="919">
        <v>119.98099999999999</v>
      </c>
      <c r="AE152" s="920">
        <v>102.59699999999999</v>
      </c>
      <c r="AF152" s="920" t="s">
        <v>21</v>
      </c>
      <c r="AG152" s="920" t="s">
        <v>21</v>
      </c>
      <c r="AH152" s="921">
        <v>102.59699999999999</v>
      </c>
      <c r="AI152" s="921" t="s">
        <v>21</v>
      </c>
      <c r="AJ152" s="920" t="s">
        <v>21</v>
      </c>
      <c r="AK152" s="920" t="s">
        <v>21</v>
      </c>
      <c r="AL152" s="921" t="s">
        <v>21</v>
      </c>
      <c r="AM152" s="921" t="s">
        <v>21</v>
      </c>
      <c r="AN152" s="920"/>
      <c r="AO152" s="920" t="s">
        <v>21</v>
      </c>
      <c r="AP152" s="919">
        <v>35.686</v>
      </c>
      <c r="AQ152" s="933">
        <v>105.32467999999999</v>
      </c>
      <c r="AR152" s="925" t="s">
        <v>21</v>
      </c>
      <c r="AS152" s="925">
        <v>105.32467999999999</v>
      </c>
      <c r="AT152" s="925" t="s">
        <v>21</v>
      </c>
      <c r="AU152" s="925" t="s">
        <v>21</v>
      </c>
      <c r="AV152" s="926" t="s">
        <v>21</v>
      </c>
      <c r="AW152" s="926" t="s">
        <v>21</v>
      </c>
      <c r="AX152" s="926" t="s">
        <v>21</v>
      </c>
      <c r="AY152" s="926" t="s">
        <v>21</v>
      </c>
      <c r="AZ152" s="925" t="s">
        <v>21</v>
      </c>
      <c r="BA152" s="925"/>
      <c r="BB152" s="919">
        <v>3.569</v>
      </c>
      <c r="BC152" s="919" t="s">
        <v>21</v>
      </c>
      <c r="BD152" s="919" t="s">
        <v>2142</v>
      </c>
      <c r="BE152" s="925" t="s">
        <v>21</v>
      </c>
      <c r="BF152" s="926" t="s">
        <v>21</v>
      </c>
      <c r="BG152" s="925">
        <v>25.49</v>
      </c>
      <c r="BH152" s="926" t="s">
        <v>21</v>
      </c>
      <c r="BI152" s="925" t="s">
        <v>21</v>
      </c>
      <c r="BJ152" s="926" t="s">
        <v>21</v>
      </c>
      <c r="BK152" s="925" t="s">
        <v>21</v>
      </c>
      <c r="BL152" s="926" t="s">
        <v>21</v>
      </c>
      <c r="BM152" s="925" t="s">
        <v>21</v>
      </c>
      <c r="BN152" s="927"/>
      <c r="BO152" s="927"/>
      <c r="BP152" s="928">
        <v>1</v>
      </c>
      <c r="BQ152" s="928" t="s">
        <v>21</v>
      </c>
      <c r="BR152" s="928" t="s">
        <v>21</v>
      </c>
      <c r="BS152" s="928" t="s">
        <v>21</v>
      </c>
      <c r="BT152" s="928" t="s">
        <v>21</v>
      </c>
      <c r="BU152" s="928" t="s">
        <v>21</v>
      </c>
      <c r="BV152" s="934">
        <v>0.10000000000000009</v>
      </c>
      <c r="BW152" s="934">
        <v>0.5</v>
      </c>
      <c r="BX152" s="1104">
        <v>1</v>
      </c>
      <c r="BY152" s="931">
        <v>3</v>
      </c>
      <c r="BZ152" s="930" t="s">
        <v>21</v>
      </c>
      <c r="CA152" s="1074">
        <v>1</v>
      </c>
      <c r="CB152" s="930" t="s">
        <v>21</v>
      </c>
      <c r="CC152" s="930" t="s">
        <v>21</v>
      </c>
      <c r="CD152" s="925">
        <v>26.076000000000001</v>
      </c>
      <c r="CE152" s="1130">
        <v>62.578000000000003</v>
      </c>
      <c r="CF152" s="1129" t="s">
        <v>21</v>
      </c>
      <c r="CG152" s="1130" t="s">
        <v>21</v>
      </c>
      <c r="CH152" s="1130" t="s">
        <v>21</v>
      </c>
      <c r="CI152" s="1131" t="s">
        <v>21</v>
      </c>
      <c r="CJ152" s="1129" t="s">
        <v>21</v>
      </c>
      <c r="CK152" s="1130">
        <v>62.578000000000003</v>
      </c>
      <c r="CL152" s="1130" t="s">
        <v>21</v>
      </c>
      <c r="CM152" s="1131" t="s">
        <v>21</v>
      </c>
      <c r="CN152" s="1130" t="s">
        <v>21</v>
      </c>
      <c r="CP152" s="838" t="s">
        <v>21</v>
      </c>
      <c r="CQ152" s="838" t="s">
        <v>21</v>
      </c>
      <c r="CR152" s="836"/>
    </row>
    <row r="153" spans="1:96" x14ac:dyDescent="0.25">
      <c r="A153" s="935"/>
      <c r="B153" s="932"/>
      <c r="C153" s="911"/>
      <c r="D153" s="911"/>
      <c r="E153" s="912"/>
      <c r="F153" s="912"/>
      <c r="G153" s="910"/>
      <c r="H153" s="912"/>
      <c r="I153" s="912"/>
      <c r="J153" s="914"/>
      <c r="K153" s="915"/>
      <c r="L153" s="916" t="s">
        <v>21</v>
      </c>
      <c r="M153" s="916" t="s">
        <v>21</v>
      </c>
      <c r="N153" s="916" t="s">
        <v>21</v>
      </c>
      <c r="O153" s="916" t="s">
        <v>21</v>
      </c>
      <c r="P153" s="915"/>
      <c r="Q153" s="916" t="s">
        <v>21</v>
      </c>
      <c r="R153" s="917" t="s">
        <v>21</v>
      </c>
      <c r="S153" s="918" t="s">
        <v>21</v>
      </c>
      <c r="T153" s="918" t="s">
        <v>21</v>
      </c>
      <c r="U153" s="916" t="s">
        <v>21</v>
      </c>
      <c r="V153" s="916" t="s">
        <v>21</v>
      </c>
      <c r="W153" s="915"/>
      <c r="X153" s="916" t="s">
        <v>21</v>
      </c>
      <c r="Y153" s="916" t="s">
        <v>21</v>
      </c>
      <c r="Z153" s="916" t="s">
        <v>21</v>
      </c>
      <c r="AA153" s="916" t="s">
        <v>21</v>
      </c>
      <c r="AB153" s="916" t="s">
        <v>21</v>
      </c>
      <c r="AC153" s="915"/>
      <c r="AD153" s="919" t="s">
        <v>21</v>
      </c>
      <c r="AE153" s="920" t="s">
        <v>21</v>
      </c>
      <c r="AF153" s="920" t="s">
        <v>21</v>
      </c>
      <c r="AG153" s="920" t="s">
        <v>21</v>
      </c>
      <c r="AH153" s="921" t="s">
        <v>21</v>
      </c>
      <c r="AI153" s="921" t="s">
        <v>21</v>
      </c>
      <c r="AJ153" s="920" t="s">
        <v>21</v>
      </c>
      <c r="AK153" s="920" t="s">
        <v>21</v>
      </c>
      <c r="AL153" s="921" t="s">
        <v>21</v>
      </c>
      <c r="AM153" s="921" t="s">
        <v>21</v>
      </c>
      <c r="AN153" s="920"/>
      <c r="AO153" s="920" t="s">
        <v>21</v>
      </c>
      <c r="AP153" s="919" t="s">
        <v>21</v>
      </c>
      <c r="AQ153" s="933" t="s">
        <v>21</v>
      </c>
      <c r="AR153" s="925" t="s">
        <v>21</v>
      </c>
      <c r="AS153" s="925" t="s">
        <v>21</v>
      </c>
      <c r="AT153" s="925" t="s">
        <v>21</v>
      </c>
      <c r="AU153" s="925" t="s">
        <v>21</v>
      </c>
      <c r="AV153" s="926" t="s">
        <v>21</v>
      </c>
      <c r="AW153" s="926" t="s">
        <v>21</v>
      </c>
      <c r="AX153" s="926" t="s">
        <v>21</v>
      </c>
      <c r="AY153" s="926" t="s">
        <v>21</v>
      </c>
      <c r="AZ153" s="925" t="s">
        <v>21</v>
      </c>
      <c r="BA153" s="925"/>
      <c r="BB153" s="919" t="s">
        <v>21</v>
      </c>
      <c r="BC153" s="919" t="s">
        <v>21</v>
      </c>
      <c r="BD153" s="919" t="s">
        <v>21</v>
      </c>
      <c r="BE153" s="925" t="s">
        <v>21</v>
      </c>
      <c r="BF153" s="926" t="s">
        <v>21</v>
      </c>
      <c r="BG153" s="925" t="s">
        <v>21</v>
      </c>
      <c r="BH153" s="926" t="s">
        <v>21</v>
      </c>
      <c r="BI153" s="925" t="s">
        <v>21</v>
      </c>
      <c r="BJ153" s="926" t="s">
        <v>21</v>
      </c>
      <c r="BK153" s="925" t="s">
        <v>21</v>
      </c>
      <c r="BL153" s="926" t="s">
        <v>21</v>
      </c>
      <c r="BM153" s="925" t="s">
        <v>21</v>
      </c>
      <c r="BN153" s="927"/>
      <c r="BO153" s="927"/>
      <c r="BP153" s="928" t="s">
        <v>21</v>
      </c>
      <c r="BQ153" s="928" t="s">
        <v>21</v>
      </c>
      <c r="BR153" s="928" t="s">
        <v>21</v>
      </c>
      <c r="BS153" s="928" t="s">
        <v>21</v>
      </c>
      <c r="BT153" s="928" t="s">
        <v>21</v>
      </c>
      <c r="BU153" s="928" t="s">
        <v>21</v>
      </c>
      <c r="BV153" s="934" t="s">
        <v>21</v>
      </c>
      <c r="BW153" s="934" t="s">
        <v>21</v>
      </c>
      <c r="BX153" s="1104" t="s">
        <v>21</v>
      </c>
      <c r="BY153" s="931" t="s">
        <v>21</v>
      </c>
      <c r="BZ153" s="930" t="s">
        <v>21</v>
      </c>
      <c r="CA153" s="1074" t="s">
        <v>21</v>
      </c>
      <c r="CB153" s="930" t="s">
        <v>21</v>
      </c>
      <c r="CC153" s="930" t="s">
        <v>21</v>
      </c>
      <c r="CD153" s="925" t="s">
        <v>21</v>
      </c>
      <c r="CE153" s="1130" t="s">
        <v>21</v>
      </c>
      <c r="CF153" s="1129" t="s">
        <v>21</v>
      </c>
      <c r="CG153" s="1130" t="s">
        <v>21</v>
      </c>
      <c r="CH153" s="1130" t="s">
        <v>21</v>
      </c>
      <c r="CI153" s="1131" t="s">
        <v>21</v>
      </c>
      <c r="CJ153" s="1129" t="s">
        <v>21</v>
      </c>
      <c r="CK153" s="1130" t="s">
        <v>21</v>
      </c>
      <c r="CL153" s="1130" t="s">
        <v>21</v>
      </c>
      <c r="CM153" s="1131" t="s">
        <v>21</v>
      </c>
      <c r="CN153" s="1130" t="s">
        <v>21</v>
      </c>
      <c r="CP153" s="838" t="s">
        <v>21</v>
      </c>
      <c r="CQ153" s="838" t="s">
        <v>21</v>
      </c>
      <c r="CR153" s="836"/>
    </row>
    <row r="154" spans="1:96" x14ac:dyDescent="0.25">
      <c r="A154" s="935" t="s">
        <v>2508</v>
      </c>
      <c r="B154" s="932" t="s">
        <v>2243</v>
      </c>
      <c r="C154" s="911">
        <v>600</v>
      </c>
      <c r="D154" s="911" t="s">
        <v>2116</v>
      </c>
      <c r="E154" s="912">
        <v>1133.19</v>
      </c>
      <c r="F154" s="912">
        <v>1131.29</v>
      </c>
      <c r="G154" s="932" t="s">
        <v>2271</v>
      </c>
      <c r="H154" s="912">
        <v>1131.69</v>
      </c>
      <c r="I154" s="912">
        <v>1129.79</v>
      </c>
      <c r="J154" s="914">
        <v>17.32</v>
      </c>
      <c r="K154" s="915"/>
      <c r="L154" s="916">
        <v>0.1</v>
      </c>
      <c r="M154" s="916">
        <v>0.06</v>
      </c>
      <c r="N154" s="916">
        <v>0.2</v>
      </c>
      <c r="O154" s="916">
        <v>4.84</v>
      </c>
      <c r="P154" s="915"/>
      <c r="Q154" s="916">
        <v>2.16</v>
      </c>
      <c r="R154" s="917">
        <v>0.33333333333333331</v>
      </c>
      <c r="S154" s="918">
        <v>1.4</v>
      </c>
      <c r="T154" s="918">
        <v>2.84</v>
      </c>
      <c r="U154" s="916">
        <v>4.5540000000000003</v>
      </c>
      <c r="V154" s="916">
        <v>0.92</v>
      </c>
      <c r="W154" s="915"/>
      <c r="X154" s="916">
        <v>0.28299999999999997</v>
      </c>
      <c r="Y154" s="916">
        <v>0.40699999999999997</v>
      </c>
      <c r="Z154" s="916">
        <v>4.5789999999999997</v>
      </c>
      <c r="AA154" s="916">
        <v>1.0229999999999999</v>
      </c>
      <c r="AB154" s="916">
        <v>3.0089999999999999</v>
      </c>
      <c r="AC154" s="915"/>
      <c r="AD154" s="919">
        <v>83.828999999999994</v>
      </c>
      <c r="AE154" s="920">
        <v>79.308000000000007</v>
      </c>
      <c r="AF154" s="920" t="s">
        <v>21</v>
      </c>
      <c r="AG154" s="920" t="s">
        <v>21</v>
      </c>
      <c r="AH154" s="921">
        <v>79.308000000000007</v>
      </c>
      <c r="AI154" s="921" t="s">
        <v>21</v>
      </c>
      <c r="AJ154" s="920" t="s">
        <v>21</v>
      </c>
      <c r="AK154" s="920" t="s">
        <v>21</v>
      </c>
      <c r="AL154" s="921" t="s">
        <v>21</v>
      </c>
      <c r="AM154" s="921" t="s">
        <v>21</v>
      </c>
      <c r="AN154" s="920"/>
      <c r="AO154" s="920" t="s">
        <v>21</v>
      </c>
      <c r="AP154" s="919">
        <v>24.248000000000001</v>
      </c>
      <c r="AQ154" s="933">
        <v>78.875280000000004</v>
      </c>
      <c r="AR154" s="925" t="s">
        <v>21</v>
      </c>
      <c r="AS154" s="925">
        <v>78.875280000000004</v>
      </c>
      <c r="AT154" s="925" t="s">
        <v>21</v>
      </c>
      <c r="AU154" s="925" t="s">
        <v>21</v>
      </c>
      <c r="AV154" s="926" t="s">
        <v>21</v>
      </c>
      <c r="AW154" s="926" t="s">
        <v>21</v>
      </c>
      <c r="AX154" s="926" t="s">
        <v>21</v>
      </c>
      <c r="AY154" s="926" t="s">
        <v>21</v>
      </c>
      <c r="AZ154" s="925" t="s">
        <v>21</v>
      </c>
      <c r="BA154" s="925"/>
      <c r="BB154" s="919">
        <v>2.4249999999999998</v>
      </c>
      <c r="BC154" s="919" t="s">
        <v>21</v>
      </c>
      <c r="BD154" s="919" t="s">
        <v>2142</v>
      </c>
      <c r="BE154" s="925" t="s">
        <v>21</v>
      </c>
      <c r="BF154" s="926" t="s">
        <v>21</v>
      </c>
      <c r="BG154" s="925">
        <v>17.32</v>
      </c>
      <c r="BH154" s="926" t="s">
        <v>21</v>
      </c>
      <c r="BI154" s="925" t="s">
        <v>21</v>
      </c>
      <c r="BJ154" s="926" t="s">
        <v>21</v>
      </c>
      <c r="BK154" s="925" t="s">
        <v>21</v>
      </c>
      <c r="BL154" s="926" t="s">
        <v>21</v>
      </c>
      <c r="BM154" s="925" t="s">
        <v>21</v>
      </c>
      <c r="BN154" s="927"/>
      <c r="BO154" s="927"/>
      <c r="BP154" s="928">
        <v>1</v>
      </c>
      <c r="BQ154" s="928" t="s">
        <v>21</v>
      </c>
      <c r="BR154" s="928" t="s">
        <v>21</v>
      </c>
      <c r="BS154" s="928" t="s">
        <v>21</v>
      </c>
      <c r="BT154" s="928" t="s">
        <v>21</v>
      </c>
      <c r="BU154" s="928" t="s">
        <v>21</v>
      </c>
      <c r="BV154" s="934">
        <v>0.50000000000009104</v>
      </c>
      <c r="BW154" s="934">
        <v>1</v>
      </c>
      <c r="BX154" s="1104">
        <v>2</v>
      </c>
      <c r="BY154" s="931">
        <v>4</v>
      </c>
      <c r="BZ154" s="930" t="s">
        <v>21</v>
      </c>
      <c r="CA154" s="1074">
        <v>1</v>
      </c>
      <c r="CB154" s="930" t="s">
        <v>21</v>
      </c>
      <c r="CC154" s="930" t="s">
        <v>21</v>
      </c>
      <c r="CD154" s="925">
        <v>17.718</v>
      </c>
      <c r="CE154" s="1130">
        <v>52.116</v>
      </c>
      <c r="CF154" s="1129" t="s">
        <v>21</v>
      </c>
      <c r="CG154" s="1130" t="s">
        <v>21</v>
      </c>
      <c r="CH154" s="1130" t="s">
        <v>21</v>
      </c>
      <c r="CI154" s="1131" t="s">
        <v>21</v>
      </c>
      <c r="CJ154" s="1129" t="s">
        <v>21</v>
      </c>
      <c r="CK154" s="1130">
        <v>52.116</v>
      </c>
      <c r="CL154" s="1130" t="s">
        <v>21</v>
      </c>
      <c r="CM154" s="1131" t="s">
        <v>21</v>
      </c>
      <c r="CN154" s="1130" t="s">
        <v>21</v>
      </c>
      <c r="CP154" s="838" t="s">
        <v>21</v>
      </c>
      <c r="CQ154" s="838" t="s">
        <v>21</v>
      </c>
      <c r="CR154" s="836"/>
    </row>
    <row r="155" spans="1:96" x14ac:dyDescent="0.25">
      <c r="A155" s="935"/>
      <c r="B155" s="932" t="s">
        <v>2271</v>
      </c>
      <c r="C155" s="911">
        <v>600</v>
      </c>
      <c r="D155" s="911" t="s">
        <v>2116</v>
      </c>
      <c r="E155" s="912">
        <v>1131.69</v>
      </c>
      <c r="F155" s="912">
        <v>1129.74</v>
      </c>
      <c r="G155" s="932" t="s">
        <v>2295</v>
      </c>
      <c r="H155" s="912">
        <v>1131.3800000000001</v>
      </c>
      <c r="I155" s="912">
        <v>1129.48</v>
      </c>
      <c r="J155" s="914">
        <v>19.690000000000001</v>
      </c>
      <c r="K155" s="915"/>
      <c r="L155" s="916">
        <v>0.1</v>
      </c>
      <c r="M155" s="916">
        <v>0.06</v>
      </c>
      <c r="N155" s="916">
        <v>0.2</v>
      </c>
      <c r="O155" s="916">
        <v>4.8570000000000002</v>
      </c>
      <c r="P155" s="915"/>
      <c r="Q155" s="916">
        <v>2.1850000000000001</v>
      </c>
      <c r="R155" s="917">
        <v>0.33333333333333331</v>
      </c>
      <c r="S155" s="918">
        <v>1.4</v>
      </c>
      <c r="T155" s="918">
        <v>2.8570000000000002</v>
      </c>
      <c r="U155" s="916">
        <v>4.6059999999999999</v>
      </c>
      <c r="V155" s="916">
        <v>0.92</v>
      </c>
      <c r="W155" s="915"/>
      <c r="X155" s="916">
        <v>0.28299999999999997</v>
      </c>
      <c r="Y155" s="916">
        <v>0.40699999999999997</v>
      </c>
      <c r="Z155" s="916">
        <v>4.6509999999999998</v>
      </c>
      <c r="AA155" s="916">
        <v>1.0229999999999999</v>
      </c>
      <c r="AB155" s="916">
        <v>3.081</v>
      </c>
      <c r="AC155" s="915"/>
      <c r="AD155" s="919">
        <v>95.634</v>
      </c>
      <c r="AE155" s="920">
        <v>91.578000000000003</v>
      </c>
      <c r="AF155" s="920" t="s">
        <v>21</v>
      </c>
      <c r="AG155" s="920" t="s">
        <v>21</v>
      </c>
      <c r="AH155" s="921">
        <v>91.578000000000003</v>
      </c>
      <c r="AI155" s="921" t="s">
        <v>21</v>
      </c>
      <c r="AJ155" s="920" t="s">
        <v>21</v>
      </c>
      <c r="AK155" s="920" t="s">
        <v>21</v>
      </c>
      <c r="AL155" s="921" t="s">
        <v>21</v>
      </c>
      <c r="AM155" s="921" t="s">
        <v>21</v>
      </c>
      <c r="AN155" s="920"/>
      <c r="AO155" s="920" t="s">
        <v>21</v>
      </c>
      <c r="AP155" s="919">
        <v>27.565999999999999</v>
      </c>
      <c r="AQ155" s="933">
        <v>90.692140000000009</v>
      </c>
      <c r="AR155" s="925" t="s">
        <v>21</v>
      </c>
      <c r="AS155" s="925">
        <v>90.692140000000009</v>
      </c>
      <c r="AT155" s="925" t="s">
        <v>21</v>
      </c>
      <c r="AU155" s="925" t="s">
        <v>21</v>
      </c>
      <c r="AV155" s="926" t="s">
        <v>21</v>
      </c>
      <c r="AW155" s="926" t="s">
        <v>21</v>
      </c>
      <c r="AX155" s="926" t="s">
        <v>21</v>
      </c>
      <c r="AY155" s="926" t="s">
        <v>21</v>
      </c>
      <c r="AZ155" s="925" t="s">
        <v>21</v>
      </c>
      <c r="BA155" s="925"/>
      <c r="BB155" s="919">
        <v>2.7570000000000001</v>
      </c>
      <c r="BC155" s="919" t="s">
        <v>21</v>
      </c>
      <c r="BD155" s="919" t="s">
        <v>2142</v>
      </c>
      <c r="BE155" s="925" t="s">
        <v>21</v>
      </c>
      <c r="BF155" s="926" t="s">
        <v>21</v>
      </c>
      <c r="BG155" s="925">
        <v>19.690000000000001</v>
      </c>
      <c r="BH155" s="926" t="s">
        <v>21</v>
      </c>
      <c r="BI155" s="925" t="s">
        <v>21</v>
      </c>
      <c r="BJ155" s="926" t="s">
        <v>21</v>
      </c>
      <c r="BK155" s="925" t="s">
        <v>21</v>
      </c>
      <c r="BL155" s="926" t="s">
        <v>21</v>
      </c>
      <c r="BM155" s="925" t="s">
        <v>21</v>
      </c>
      <c r="BN155" s="927"/>
      <c r="BO155" s="927"/>
      <c r="BP155" s="928">
        <v>1</v>
      </c>
      <c r="BQ155" s="928" t="s">
        <v>21</v>
      </c>
      <c r="BR155" s="928" t="s">
        <v>21</v>
      </c>
      <c r="BS155" s="928" t="s">
        <v>21</v>
      </c>
      <c r="BT155" s="928" t="s">
        <v>21</v>
      </c>
      <c r="BU155" s="928" t="s">
        <v>21</v>
      </c>
      <c r="BV155" s="934">
        <v>0.55000000000004556</v>
      </c>
      <c r="BW155" s="934">
        <v>1</v>
      </c>
      <c r="BX155" s="1104">
        <v>2</v>
      </c>
      <c r="BY155" s="931">
        <v>4</v>
      </c>
      <c r="BZ155" s="930">
        <v>1</v>
      </c>
      <c r="CA155" s="1074" t="s">
        <v>21</v>
      </c>
      <c r="CB155" s="930" t="s">
        <v>21</v>
      </c>
      <c r="CC155" s="930" t="s">
        <v>21</v>
      </c>
      <c r="CD155" s="925">
        <v>20.143000000000001</v>
      </c>
      <c r="CE155" s="1130">
        <v>60.664999999999999</v>
      </c>
      <c r="CF155" s="1129" t="s">
        <v>21</v>
      </c>
      <c r="CG155" s="1130" t="s">
        <v>21</v>
      </c>
      <c r="CH155" s="1130" t="s">
        <v>21</v>
      </c>
      <c r="CI155" s="1131" t="s">
        <v>21</v>
      </c>
      <c r="CJ155" s="1129" t="s">
        <v>21</v>
      </c>
      <c r="CK155" s="1130">
        <v>60.664999999999999</v>
      </c>
      <c r="CL155" s="1130" t="s">
        <v>21</v>
      </c>
      <c r="CM155" s="1131" t="s">
        <v>21</v>
      </c>
      <c r="CN155" s="1130" t="s">
        <v>21</v>
      </c>
      <c r="CP155" s="838" t="s">
        <v>21</v>
      </c>
      <c r="CQ155" s="838" t="s">
        <v>21</v>
      </c>
      <c r="CR155" s="836"/>
    </row>
    <row r="156" spans="1:96" x14ac:dyDescent="0.25">
      <c r="A156" s="935"/>
      <c r="B156" s="932" t="s">
        <v>2295</v>
      </c>
      <c r="C156" s="911">
        <v>600</v>
      </c>
      <c r="D156" s="911" t="s">
        <v>2116</v>
      </c>
      <c r="E156" s="912">
        <v>1131.3800000000001</v>
      </c>
      <c r="F156" s="912">
        <v>1129.48</v>
      </c>
      <c r="G156" s="932" t="s">
        <v>2296</v>
      </c>
      <c r="H156" s="912">
        <v>1127.8800000000001</v>
      </c>
      <c r="I156" s="912">
        <v>1125.98</v>
      </c>
      <c r="J156" s="914">
        <v>19.39</v>
      </c>
      <c r="K156" s="915"/>
      <c r="L156" s="916">
        <v>0.1</v>
      </c>
      <c r="M156" s="916">
        <v>0.06</v>
      </c>
      <c r="N156" s="916">
        <v>0.2</v>
      </c>
      <c r="O156" s="916">
        <v>4.84</v>
      </c>
      <c r="P156" s="915"/>
      <c r="Q156" s="916">
        <v>2.16</v>
      </c>
      <c r="R156" s="917">
        <v>0.33333333333333331</v>
      </c>
      <c r="S156" s="918">
        <v>1.4</v>
      </c>
      <c r="T156" s="918">
        <v>2.84</v>
      </c>
      <c r="U156" s="916">
        <v>4.5540000000000003</v>
      </c>
      <c r="V156" s="916">
        <v>0.92</v>
      </c>
      <c r="W156" s="915"/>
      <c r="X156" s="916">
        <v>0.28299999999999997</v>
      </c>
      <c r="Y156" s="916">
        <v>0.40699999999999997</v>
      </c>
      <c r="Z156" s="916">
        <v>4.5789999999999997</v>
      </c>
      <c r="AA156" s="916">
        <v>1.0229999999999999</v>
      </c>
      <c r="AB156" s="916">
        <v>3.0089999999999999</v>
      </c>
      <c r="AC156" s="915"/>
      <c r="AD156" s="919">
        <v>93.847999999999999</v>
      </c>
      <c r="AE156" s="920">
        <v>88.787000000000006</v>
      </c>
      <c r="AF156" s="920" t="s">
        <v>21</v>
      </c>
      <c r="AG156" s="920" t="s">
        <v>21</v>
      </c>
      <c r="AH156" s="921">
        <v>88.787000000000006</v>
      </c>
      <c r="AI156" s="921" t="s">
        <v>21</v>
      </c>
      <c r="AJ156" s="920" t="s">
        <v>21</v>
      </c>
      <c r="AK156" s="920" t="s">
        <v>21</v>
      </c>
      <c r="AL156" s="921" t="s">
        <v>21</v>
      </c>
      <c r="AM156" s="921" t="s">
        <v>21</v>
      </c>
      <c r="AN156" s="920"/>
      <c r="AO156" s="920" t="s">
        <v>21</v>
      </c>
      <c r="AP156" s="919">
        <v>27.146000000000001</v>
      </c>
      <c r="AQ156" s="933">
        <v>88.302060000000012</v>
      </c>
      <c r="AR156" s="925" t="s">
        <v>21</v>
      </c>
      <c r="AS156" s="925">
        <v>88.302060000000012</v>
      </c>
      <c r="AT156" s="925" t="s">
        <v>21</v>
      </c>
      <c r="AU156" s="925" t="s">
        <v>21</v>
      </c>
      <c r="AV156" s="926" t="s">
        <v>21</v>
      </c>
      <c r="AW156" s="926" t="s">
        <v>21</v>
      </c>
      <c r="AX156" s="926" t="s">
        <v>21</v>
      </c>
      <c r="AY156" s="926" t="s">
        <v>21</v>
      </c>
      <c r="AZ156" s="925" t="s">
        <v>21</v>
      </c>
      <c r="BA156" s="925"/>
      <c r="BB156" s="919">
        <v>2.7149999999999999</v>
      </c>
      <c r="BC156" s="919" t="s">
        <v>21</v>
      </c>
      <c r="BD156" s="919" t="s">
        <v>2142</v>
      </c>
      <c r="BE156" s="925" t="s">
        <v>21</v>
      </c>
      <c r="BF156" s="926" t="s">
        <v>21</v>
      </c>
      <c r="BG156" s="925">
        <v>19.39</v>
      </c>
      <c r="BH156" s="926" t="s">
        <v>21</v>
      </c>
      <c r="BI156" s="925" t="s">
        <v>21</v>
      </c>
      <c r="BJ156" s="926" t="s">
        <v>21</v>
      </c>
      <c r="BK156" s="925" t="s">
        <v>21</v>
      </c>
      <c r="BL156" s="926" t="s">
        <v>21</v>
      </c>
      <c r="BM156" s="925" t="s">
        <v>21</v>
      </c>
      <c r="BN156" s="927"/>
      <c r="BO156" s="927"/>
      <c r="BP156" s="928">
        <v>1</v>
      </c>
      <c r="BQ156" s="928" t="s">
        <v>21</v>
      </c>
      <c r="BR156" s="928" t="s">
        <v>21</v>
      </c>
      <c r="BS156" s="928" t="s">
        <v>21</v>
      </c>
      <c r="BT156" s="928" t="s">
        <v>21</v>
      </c>
      <c r="BU156" s="928" t="s">
        <v>21</v>
      </c>
      <c r="BV156" s="934">
        <v>0.50000000000009104</v>
      </c>
      <c r="BW156" s="934">
        <v>1</v>
      </c>
      <c r="BX156" s="1104">
        <v>2</v>
      </c>
      <c r="BY156" s="931">
        <v>4</v>
      </c>
      <c r="BZ156" s="930">
        <v>2</v>
      </c>
      <c r="CA156" s="1074"/>
      <c r="CB156" s="930" t="s">
        <v>21</v>
      </c>
      <c r="CC156" s="930" t="s">
        <v>21</v>
      </c>
      <c r="CD156" s="925">
        <v>19.835999999999999</v>
      </c>
      <c r="CE156" s="1130">
        <v>58.344999999999999</v>
      </c>
      <c r="CF156" s="1129" t="s">
        <v>21</v>
      </c>
      <c r="CG156" s="1130" t="s">
        <v>21</v>
      </c>
      <c r="CH156" s="1130" t="s">
        <v>21</v>
      </c>
      <c r="CI156" s="1131" t="s">
        <v>21</v>
      </c>
      <c r="CJ156" s="1129" t="s">
        <v>21</v>
      </c>
      <c r="CK156" s="1130">
        <v>58.344999999999999</v>
      </c>
      <c r="CL156" s="1130" t="s">
        <v>21</v>
      </c>
      <c r="CM156" s="1131" t="s">
        <v>21</v>
      </c>
      <c r="CN156" s="1130" t="s">
        <v>21</v>
      </c>
      <c r="CP156" s="838" t="s">
        <v>21</v>
      </c>
      <c r="CQ156" s="838" t="s">
        <v>21</v>
      </c>
      <c r="CR156" s="836"/>
    </row>
    <row r="157" spans="1:96" x14ac:dyDescent="0.25">
      <c r="A157" s="935"/>
      <c r="B157" s="932" t="s">
        <v>2296</v>
      </c>
      <c r="C157" s="911">
        <v>600</v>
      </c>
      <c r="D157" s="911" t="s">
        <v>2116</v>
      </c>
      <c r="E157" s="912">
        <v>1127.8800000000001</v>
      </c>
      <c r="F157" s="912">
        <v>1125.98</v>
      </c>
      <c r="G157" s="910" t="s">
        <v>2294</v>
      </c>
      <c r="H157" s="912">
        <v>1127.71</v>
      </c>
      <c r="I157" s="912">
        <v>1125.81</v>
      </c>
      <c r="J157" s="914">
        <v>8.5500000000000007</v>
      </c>
      <c r="K157" s="915"/>
      <c r="L157" s="916">
        <v>0.1</v>
      </c>
      <c r="M157" s="916">
        <v>0.06</v>
      </c>
      <c r="N157" s="916">
        <v>0.2</v>
      </c>
      <c r="O157" s="916">
        <v>4.84</v>
      </c>
      <c r="P157" s="915"/>
      <c r="Q157" s="916">
        <v>2.16</v>
      </c>
      <c r="R157" s="917">
        <v>0.33333333333333331</v>
      </c>
      <c r="S157" s="918">
        <v>1.4</v>
      </c>
      <c r="T157" s="918">
        <v>2.84</v>
      </c>
      <c r="U157" s="916">
        <v>4.5540000000000003</v>
      </c>
      <c r="V157" s="916">
        <v>0.92</v>
      </c>
      <c r="W157" s="915"/>
      <c r="X157" s="916">
        <v>0.28299999999999997</v>
      </c>
      <c r="Y157" s="916">
        <v>0.40699999999999997</v>
      </c>
      <c r="Z157" s="916">
        <v>4.5789999999999997</v>
      </c>
      <c r="AA157" s="916">
        <v>1.0229999999999999</v>
      </c>
      <c r="AB157" s="916">
        <v>3.0089999999999999</v>
      </c>
      <c r="AC157" s="915"/>
      <c r="AD157" s="919">
        <v>41.381999999999998</v>
      </c>
      <c r="AE157" s="920">
        <v>39.15</v>
      </c>
      <c r="AF157" s="920" t="s">
        <v>21</v>
      </c>
      <c r="AG157" s="920" t="s">
        <v>21</v>
      </c>
      <c r="AH157" s="921">
        <v>39.15</v>
      </c>
      <c r="AI157" s="921" t="s">
        <v>21</v>
      </c>
      <c r="AJ157" s="920" t="s">
        <v>21</v>
      </c>
      <c r="AK157" s="920" t="s">
        <v>21</v>
      </c>
      <c r="AL157" s="921" t="s">
        <v>21</v>
      </c>
      <c r="AM157" s="921" t="s">
        <v>21</v>
      </c>
      <c r="AN157" s="920"/>
      <c r="AO157" s="920" t="s">
        <v>21</v>
      </c>
      <c r="AP157" s="919">
        <v>11.97</v>
      </c>
      <c r="AQ157" s="933">
        <v>38.936700000000009</v>
      </c>
      <c r="AR157" s="925" t="s">
        <v>21</v>
      </c>
      <c r="AS157" s="925">
        <v>38.936700000000009</v>
      </c>
      <c r="AT157" s="925" t="s">
        <v>21</v>
      </c>
      <c r="AU157" s="925" t="s">
        <v>21</v>
      </c>
      <c r="AV157" s="926" t="s">
        <v>21</v>
      </c>
      <c r="AW157" s="926" t="s">
        <v>21</v>
      </c>
      <c r="AX157" s="926" t="s">
        <v>21</v>
      </c>
      <c r="AY157" s="926" t="s">
        <v>21</v>
      </c>
      <c r="AZ157" s="925" t="s">
        <v>21</v>
      </c>
      <c r="BA157" s="925"/>
      <c r="BB157" s="919">
        <v>1.1970000000000001</v>
      </c>
      <c r="BC157" s="919" t="s">
        <v>21</v>
      </c>
      <c r="BD157" s="919" t="s">
        <v>2142</v>
      </c>
      <c r="BE157" s="925" t="s">
        <v>21</v>
      </c>
      <c r="BF157" s="926" t="s">
        <v>21</v>
      </c>
      <c r="BG157" s="925">
        <v>8.5500000000000007</v>
      </c>
      <c r="BH157" s="926" t="s">
        <v>21</v>
      </c>
      <c r="BI157" s="925" t="s">
        <v>21</v>
      </c>
      <c r="BJ157" s="926" t="s">
        <v>21</v>
      </c>
      <c r="BK157" s="925" t="s">
        <v>21</v>
      </c>
      <c r="BL157" s="926" t="s">
        <v>21</v>
      </c>
      <c r="BM157" s="925" t="s">
        <v>21</v>
      </c>
      <c r="BN157" s="927"/>
      <c r="BO157" s="927"/>
      <c r="BP157" s="928">
        <v>1</v>
      </c>
      <c r="BQ157" s="928" t="s">
        <v>21</v>
      </c>
      <c r="BR157" s="928" t="s">
        <v>21</v>
      </c>
      <c r="BS157" s="928" t="s">
        <v>21</v>
      </c>
      <c r="BT157" s="928" t="s">
        <v>21</v>
      </c>
      <c r="BU157" s="928" t="s">
        <v>21</v>
      </c>
      <c r="BV157" s="934">
        <v>0.50000000000009104</v>
      </c>
      <c r="BW157" s="934">
        <v>1</v>
      </c>
      <c r="BX157" s="1104">
        <v>2</v>
      </c>
      <c r="BY157" s="931">
        <v>4</v>
      </c>
      <c r="BZ157" s="930">
        <v>1</v>
      </c>
      <c r="CA157" s="1074" t="s">
        <v>21</v>
      </c>
      <c r="CB157" s="930" t="s">
        <v>21</v>
      </c>
      <c r="CC157" s="930" t="s">
        <v>21</v>
      </c>
      <c r="CD157" s="925">
        <v>8.7469999999999999</v>
      </c>
      <c r="CE157" s="1130">
        <v>25.727</v>
      </c>
      <c r="CF157" s="1129" t="s">
        <v>21</v>
      </c>
      <c r="CG157" s="1130" t="s">
        <v>21</v>
      </c>
      <c r="CH157" s="1130" t="s">
        <v>21</v>
      </c>
      <c r="CI157" s="1131" t="s">
        <v>21</v>
      </c>
      <c r="CJ157" s="1129" t="s">
        <v>21</v>
      </c>
      <c r="CK157" s="1130">
        <v>25.727</v>
      </c>
      <c r="CL157" s="1130" t="s">
        <v>21</v>
      </c>
      <c r="CM157" s="1131" t="s">
        <v>21</v>
      </c>
      <c r="CN157" s="1130" t="s">
        <v>21</v>
      </c>
      <c r="CP157" s="838" t="s">
        <v>21</v>
      </c>
      <c r="CQ157" s="838" t="s">
        <v>21</v>
      </c>
      <c r="CR157" s="836"/>
    </row>
    <row r="158" spans="1:96" x14ac:dyDescent="0.25">
      <c r="A158" s="935"/>
      <c r="B158" s="932"/>
      <c r="C158" s="911"/>
      <c r="D158" s="911"/>
      <c r="E158" s="912"/>
      <c r="F158" s="912"/>
      <c r="G158" s="910"/>
      <c r="H158" s="912"/>
      <c r="I158" s="912"/>
      <c r="J158" s="914"/>
      <c r="K158" s="915"/>
      <c r="L158" s="916" t="s">
        <v>21</v>
      </c>
      <c r="M158" s="916" t="s">
        <v>21</v>
      </c>
      <c r="N158" s="916" t="s">
        <v>21</v>
      </c>
      <c r="O158" s="916" t="s">
        <v>21</v>
      </c>
      <c r="P158" s="915"/>
      <c r="Q158" s="916" t="s">
        <v>21</v>
      </c>
      <c r="R158" s="917" t="s">
        <v>21</v>
      </c>
      <c r="S158" s="918" t="s">
        <v>21</v>
      </c>
      <c r="T158" s="918" t="s">
        <v>21</v>
      </c>
      <c r="U158" s="916" t="s">
        <v>21</v>
      </c>
      <c r="V158" s="916" t="s">
        <v>21</v>
      </c>
      <c r="W158" s="915"/>
      <c r="X158" s="916" t="s">
        <v>21</v>
      </c>
      <c r="Y158" s="916" t="s">
        <v>21</v>
      </c>
      <c r="Z158" s="916" t="s">
        <v>21</v>
      </c>
      <c r="AA158" s="916" t="s">
        <v>21</v>
      </c>
      <c r="AB158" s="916" t="s">
        <v>21</v>
      </c>
      <c r="AC158" s="915"/>
      <c r="AD158" s="919" t="s">
        <v>21</v>
      </c>
      <c r="AE158" s="920" t="s">
        <v>21</v>
      </c>
      <c r="AF158" s="920" t="s">
        <v>21</v>
      </c>
      <c r="AG158" s="920" t="s">
        <v>21</v>
      </c>
      <c r="AH158" s="921" t="s">
        <v>21</v>
      </c>
      <c r="AI158" s="921" t="s">
        <v>21</v>
      </c>
      <c r="AJ158" s="920" t="s">
        <v>21</v>
      </c>
      <c r="AK158" s="920" t="s">
        <v>21</v>
      </c>
      <c r="AL158" s="921" t="s">
        <v>21</v>
      </c>
      <c r="AM158" s="921" t="s">
        <v>21</v>
      </c>
      <c r="AN158" s="920"/>
      <c r="AO158" s="920" t="s">
        <v>21</v>
      </c>
      <c r="AP158" s="919" t="s">
        <v>21</v>
      </c>
      <c r="AQ158" s="933" t="s">
        <v>21</v>
      </c>
      <c r="AR158" s="925" t="s">
        <v>21</v>
      </c>
      <c r="AS158" s="925" t="s">
        <v>21</v>
      </c>
      <c r="AT158" s="925" t="s">
        <v>21</v>
      </c>
      <c r="AU158" s="925" t="s">
        <v>21</v>
      </c>
      <c r="AV158" s="926" t="s">
        <v>21</v>
      </c>
      <c r="AW158" s="926" t="s">
        <v>21</v>
      </c>
      <c r="AX158" s="926" t="s">
        <v>21</v>
      </c>
      <c r="AY158" s="926" t="s">
        <v>21</v>
      </c>
      <c r="AZ158" s="925" t="s">
        <v>21</v>
      </c>
      <c r="BA158" s="925"/>
      <c r="BB158" s="919" t="s">
        <v>21</v>
      </c>
      <c r="BC158" s="919" t="s">
        <v>21</v>
      </c>
      <c r="BD158" s="919" t="s">
        <v>21</v>
      </c>
      <c r="BE158" s="925" t="s">
        <v>21</v>
      </c>
      <c r="BF158" s="926" t="s">
        <v>21</v>
      </c>
      <c r="BG158" s="925" t="s">
        <v>21</v>
      </c>
      <c r="BH158" s="926" t="s">
        <v>21</v>
      </c>
      <c r="BI158" s="925" t="s">
        <v>21</v>
      </c>
      <c r="BJ158" s="926" t="s">
        <v>21</v>
      </c>
      <c r="BK158" s="925" t="s">
        <v>21</v>
      </c>
      <c r="BL158" s="926" t="s">
        <v>21</v>
      </c>
      <c r="BM158" s="925" t="s">
        <v>21</v>
      </c>
      <c r="BN158" s="927"/>
      <c r="BO158" s="927"/>
      <c r="BP158" s="928" t="s">
        <v>21</v>
      </c>
      <c r="BQ158" s="928" t="s">
        <v>21</v>
      </c>
      <c r="BR158" s="928" t="s">
        <v>21</v>
      </c>
      <c r="BS158" s="928" t="s">
        <v>21</v>
      </c>
      <c r="BT158" s="928" t="s">
        <v>21</v>
      </c>
      <c r="BU158" s="928" t="s">
        <v>21</v>
      </c>
      <c r="BV158" s="934" t="s">
        <v>21</v>
      </c>
      <c r="BW158" s="934" t="s">
        <v>21</v>
      </c>
      <c r="BX158" s="1104" t="s">
        <v>21</v>
      </c>
      <c r="BY158" s="931" t="s">
        <v>21</v>
      </c>
      <c r="BZ158" s="930" t="s">
        <v>21</v>
      </c>
      <c r="CA158" s="1074" t="s">
        <v>21</v>
      </c>
      <c r="CB158" s="930" t="s">
        <v>21</v>
      </c>
      <c r="CC158" s="930" t="s">
        <v>21</v>
      </c>
      <c r="CD158" s="925" t="s">
        <v>21</v>
      </c>
      <c r="CE158" s="1130" t="s">
        <v>21</v>
      </c>
      <c r="CF158" s="1129" t="s">
        <v>21</v>
      </c>
      <c r="CG158" s="1130" t="s">
        <v>21</v>
      </c>
      <c r="CH158" s="1130" t="s">
        <v>21</v>
      </c>
      <c r="CI158" s="1131" t="s">
        <v>21</v>
      </c>
      <c r="CJ158" s="1129" t="s">
        <v>21</v>
      </c>
      <c r="CK158" s="1130" t="s">
        <v>21</v>
      </c>
      <c r="CL158" s="1130" t="s">
        <v>21</v>
      </c>
      <c r="CM158" s="1131" t="s">
        <v>21</v>
      </c>
      <c r="CN158" s="1130" t="s">
        <v>21</v>
      </c>
      <c r="CP158" s="838" t="s">
        <v>21</v>
      </c>
      <c r="CQ158" s="838" t="s">
        <v>21</v>
      </c>
      <c r="CR158" s="836"/>
    </row>
    <row r="159" spans="1:96" x14ac:dyDescent="0.25">
      <c r="A159" s="935" t="s">
        <v>2509</v>
      </c>
      <c r="B159" s="932" t="s">
        <v>2245</v>
      </c>
      <c r="C159" s="911">
        <v>600</v>
      </c>
      <c r="D159" s="911" t="s">
        <v>2116</v>
      </c>
      <c r="E159" s="912">
        <v>1130.6300000000001</v>
      </c>
      <c r="F159" s="912">
        <v>1128.73</v>
      </c>
      <c r="G159" s="932" t="s">
        <v>2246</v>
      </c>
      <c r="H159" s="912">
        <v>1127</v>
      </c>
      <c r="I159" s="912">
        <v>1125.0999999999999</v>
      </c>
      <c r="J159" s="914">
        <v>32</v>
      </c>
      <c r="K159" s="915"/>
      <c r="L159" s="916">
        <v>0.1</v>
      </c>
      <c r="M159" s="916">
        <v>0.06</v>
      </c>
      <c r="N159" s="916">
        <v>0.2</v>
      </c>
      <c r="O159" s="916">
        <v>4.84</v>
      </c>
      <c r="P159" s="915"/>
      <c r="Q159" s="916">
        <v>2.16</v>
      </c>
      <c r="R159" s="917">
        <v>0.33333333333333331</v>
      </c>
      <c r="S159" s="918">
        <v>1.4</v>
      </c>
      <c r="T159" s="918">
        <v>2.84</v>
      </c>
      <c r="U159" s="916">
        <v>4.5540000000000003</v>
      </c>
      <c r="V159" s="916">
        <v>0.92</v>
      </c>
      <c r="W159" s="915"/>
      <c r="X159" s="916">
        <v>0.28299999999999997</v>
      </c>
      <c r="Y159" s="916">
        <v>0.40699999999999997</v>
      </c>
      <c r="Z159" s="916">
        <v>4.5789999999999997</v>
      </c>
      <c r="AA159" s="916">
        <v>1.0229999999999999</v>
      </c>
      <c r="AB159" s="916">
        <v>3.0089999999999999</v>
      </c>
      <c r="AC159" s="915"/>
      <c r="AD159" s="919">
        <v>154.88</v>
      </c>
      <c r="AE159" s="920">
        <v>146.52799999999999</v>
      </c>
      <c r="AF159" s="920" t="s">
        <v>21</v>
      </c>
      <c r="AG159" s="920" t="s">
        <v>21</v>
      </c>
      <c r="AH159" s="921">
        <v>146.52799999999999</v>
      </c>
      <c r="AI159" s="921" t="s">
        <v>21</v>
      </c>
      <c r="AJ159" s="920" t="s">
        <v>21</v>
      </c>
      <c r="AK159" s="920" t="s">
        <v>21</v>
      </c>
      <c r="AL159" s="921" t="s">
        <v>21</v>
      </c>
      <c r="AM159" s="921" t="s">
        <v>21</v>
      </c>
      <c r="AN159" s="920"/>
      <c r="AO159" s="920" t="s">
        <v>21</v>
      </c>
      <c r="AP159" s="919">
        <v>44.8</v>
      </c>
      <c r="AQ159" s="933">
        <v>145.72800000000001</v>
      </c>
      <c r="AR159" s="925" t="s">
        <v>21</v>
      </c>
      <c r="AS159" s="925">
        <v>145.72800000000001</v>
      </c>
      <c r="AT159" s="925" t="s">
        <v>21</v>
      </c>
      <c r="AU159" s="925" t="s">
        <v>21</v>
      </c>
      <c r="AV159" s="926" t="s">
        <v>21</v>
      </c>
      <c r="AW159" s="926" t="s">
        <v>21</v>
      </c>
      <c r="AX159" s="926" t="s">
        <v>21</v>
      </c>
      <c r="AY159" s="926" t="s">
        <v>21</v>
      </c>
      <c r="AZ159" s="925" t="s">
        <v>21</v>
      </c>
      <c r="BA159" s="925"/>
      <c r="BB159" s="919">
        <v>4.4800000000000004</v>
      </c>
      <c r="BC159" s="919" t="s">
        <v>21</v>
      </c>
      <c r="BD159" s="919" t="s">
        <v>2142</v>
      </c>
      <c r="BE159" s="925" t="s">
        <v>21</v>
      </c>
      <c r="BF159" s="926" t="s">
        <v>21</v>
      </c>
      <c r="BG159" s="925">
        <v>32</v>
      </c>
      <c r="BH159" s="926" t="s">
        <v>21</v>
      </c>
      <c r="BI159" s="925" t="s">
        <v>21</v>
      </c>
      <c r="BJ159" s="926" t="s">
        <v>21</v>
      </c>
      <c r="BK159" s="925" t="s">
        <v>21</v>
      </c>
      <c r="BL159" s="926" t="s">
        <v>21</v>
      </c>
      <c r="BM159" s="925" t="s">
        <v>21</v>
      </c>
      <c r="BN159" s="927"/>
      <c r="BO159" s="927"/>
      <c r="BP159" s="928">
        <v>1</v>
      </c>
      <c r="BQ159" s="928" t="s">
        <v>21</v>
      </c>
      <c r="BR159" s="928" t="s">
        <v>21</v>
      </c>
      <c r="BS159" s="928" t="s">
        <v>21</v>
      </c>
      <c r="BT159" s="928" t="s">
        <v>21</v>
      </c>
      <c r="BU159" s="928" t="s">
        <v>21</v>
      </c>
      <c r="BV159" s="934">
        <v>0.50000000000009104</v>
      </c>
      <c r="BW159" s="934">
        <v>1</v>
      </c>
      <c r="BX159" s="1104">
        <v>2</v>
      </c>
      <c r="BY159" s="931">
        <v>4</v>
      </c>
      <c r="BZ159" s="930">
        <v>1</v>
      </c>
      <c r="CA159" s="1074" t="s">
        <v>21</v>
      </c>
      <c r="CB159" s="930" t="s">
        <v>21</v>
      </c>
      <c r="CC159" s="930" t="s">
        <v>21</v>
      </c>
      <c r="CD159" s="925">
        <v>32.735999999999997</v>
      </c>
      <c r="CE159" s="1130">
        <v>96.287999999999997</v>
      </c>
      <c r="CF159" s="1129" t="s">
        <v>21</v>
      </c>
      <c r="CG159" s="1130" t="s">
        <v>21</v>
      </c>
      <c r="CH159" s="1130" t="s">
        <v>21</v>
      </c>
      <c r="CI159" s="1131" t="s">
        <v>21</v>
      </c>
      <c r="CJ159" s="1129" t="s">
        <v>21</v>
      </c>
      <c r="CK159" s="1130">
        <v>96.287999999999997</v>
      </c>
      <c r="CL159" s="1130" t="s">
        <v>21</v>
      </c>
      <c r="CM159" s="1131" t="s">
        <v>21</v>
      </c>
      <c r="CN159" s="1130" t="s">
        <v>21</v>
      </c>
      <c r="CP159" s="838" t="s">
        <v>21</v>
      </c>
      <c r="CQ159" s="838" t="s">
        <v>21</v>
      </c>
      <c r="CR159" s="836"/>
    </row>
    <row r="160" spans="1:96" x14ac:dyDescent="0.25">
      <c r="A160" s="935"/>
      <c r="B160" s="932" t="s">
        <v>2246</v>
      </c>
      <c r="C160" s="911">
        <v>600</v>
      </c>
      <c r="D160" s="911" t="s">
        <v>2116</v>
      </c>
      <c r="E160" s="912">
        <v>1127</v>
      </c>
      <c r="F160" s="912">
        <v>1123.5999999999999</v>
      </c>
      <c r="G160" s="932" t="s">
        <v>2437</v>
      </c>
      <c r="H160" s="912">
        <v>1123.5999999999999</v>
      </c>
      <c r="I160" s="912">
        <v>1122.5999999999999</v>
      </c>
      <c r="J160" s="914">
        <v>14.59</v>
      </c>
      <c r="K160" s="915"/>
      <c r="L160" s="916">
        <v>0.1</v>
      </c>
      <c r="M160" s="916">
        <v>0.06</v>
      </c>
      <c r="N160" s="916">
        <v>0.2</v>
      </c>
      <c r="O160" s="916">
        <v>5.04</v>
      </c>
      <c r="P160" s="915"/>
      <c r="Q160" s="916">
        <v>2.46</v>
      </c>
      <c r="R160" s="917">
        <v>0.33333333333333331</v>
      </c>
      <c r="S160" s="918">
        <v>1.4</v>
      </c>
      <c r="T160" s="918">
        <v>3.04</v>
      </c>
      <c r="U160" s="916">
        <v>5.1859999999999999</v>
      </c>
      <c r="V160" s="916">
        <v>0.92</v>
      </c>
      <c r="W160" s="915"/>
      <c r="X160" s="916">
        <v>0.28299999999999997</v>
      </c>
      <c r="Y160" s="916">
        <v>0.40699999999999997</v>
      </c>
      <c r="Z160" s="916">
        <v>5.4610000000000003</v>
      </c>
      <c r="AA160" s="916">
        <v>1.0229999999999999</v>
      </c>
      <c r="AB160" s="916">
        <v>3.891</v>
      </c>
      <c r="AC160" s="915"/>
      <c r="AD160" s="919">
        <v>73.534000000000006</v>
      </c>
      <c r="AE160" s="920">
        <v>79.676000000000002</v>
      </c>
      <c r="AF160" s="920" t="s">
        <v>21</v>
      </c>
      <c r="AG160" s="920" t="s">
        <v>21</v>
      </c>
      <c r="AH160" s="921">
        <v>79.676000000000002</v>
      </c>
      <c r="AI160" s="921" t="s">
        <v>21</v>
      </c>
      <c r="AJ160" s="920" t="s">
        <v>21</v>
      </c>
      <c r="AK160" s="920" t="s">
        <v>21</v>
      </c>
      <c r="AL160" s="921" t="s">
        <v>21</v>
      </c>
      <c r="AM160" s="921" t="s">
        <v>21</v>
      </c>
      <c r="AN160" s="920"/>
      <c r="AO160" s="920" t="s">
        <v>21</v>
      </c>
      <c r="AP160" s="919">
        <v>20.425999999999998</v>
      </c>
      <c r="AQ160" s="933">
        <v>75.663740000000004</v>
      </c>
      <c r="AR160" s="925" t="s">
        <v>21</v>
      </c>
      <c r="AS160" s="925">
        <v>75.663740000000004</v>
      </c>
      <c r="AT160" s="925" t="s">
        <v>21</v>
      </c>
      <c r="AU160" s="925" t="s">
        <v>21</v>
      </c>
      <c r="AV160" s="926" t="s">
        <v>21</v>
      </c>
      <c r="AW160" s="926" t="s">
        <v>21</v>
      </c>
      <c r="AX160" s="926" t="s">
        <v>21</v>
      </c>
      <c r="AY160" s="926" t="s">
        <v>21</v>
      </c>
      <c r="AZ160" s="925" t="s">
        <v>21</v>
      </c>
      <c r="BA160" s="925"/>
      <c r="BB160" s="919">
        <v>2.0430000000000001</v>
      </c>
      <c r="BC160" s="919" t="s">
        <v>21</v>
      </c>
      <c r="BD160" s="919" t="s">
        <v>2142</v>
      </c>
      <c r="BE160" s="925" t="s">
        <v>21</v>
      </c>
      <c r="BF160" s="926" t="s">
        <v>21</v>
      </c>
      <c r="BG160" s="925">
        <v>14.59</v>
      </c>
      <c r="BH160" s="926" t="s">
        <v>21</v>
      </c>
      <c r="BI160" s="925" t="s">
        <v>21</v>
      </c>
      <c r="BJ160" s="926" t="s">
        <v>21</v>
      </c>
      <c r="BK160" s="925" t="s">
        <v>21</v>
      </c>
      <c r="BL160" s="926" t="s">
        <v>21</v>
      </c>
      <c r="BM160" s="925" t="s">
        <v>21</v>
      </c>
      <c r="BN160" s="927"/>
      <c r="BO160" s="927"/>
      <c r="BP160" s="928">
        <v>1</v>
      </c>
      <c r="BQ160" s="928" t="s">
        <v>21</v>
      </c>
      <c r="BR160" s="928" t="s">
        <v>21</v>
      </c>
      <c r="BS160" s="928" t="s">
        <v>21</v>
      </c>
      <c r="BT160" s="928" t="s">
        <v>21</v>
      </c>
      <c r="BU160" s="928" t="s">
        <v>21</v>
      </c>
      <c r="BV160" s="934">
        <v>2.000000000000091</v>
      </c>
      <c r="BW160" s="934">
        <v>2.5</v>
      </c>
      <c r="BX160" s="1104">
        <v>5</v>
      </c>
      <c r="BY160" s="931">
        <v>7</v>
      </c>
      <c r="BZ160" s="930">
        <v>1</v>
      </c>
      <c r="CA160" s="1074" t="s">
        <v>21</v>
      </c>
      <c r="CB160" s="930" t="s">
        <v>21</v>
      </c>
      <c r="CC160" s="930" t="s">
        <v>21</v>
      </c>
      <c r="CD160" s="925">
        <v>14.926</v>
      </c>
      <c r="CE160" s="1130">
        <v>56.77</v>
      </c>
      <c r="CF160" s="1129" t="s">
        <v>21</v>
      </c>
      <c r="CG160" s="1130" t="s">
        <v>21</v>
      </c>
      <c r="CH160" s="1130" t="s">
        <v>21</v>
      </c>
      <c r="CI160" s="1131" t="s">
        <v>21</v>
      </c>
      <c r="CJ160" s="1129" t="s">
        <v>21</v>
      </c>
      <c r="CK160" s="1130">
        <v>56.77</v>
      </c>
      <c r="CL160" s="1130" t="s">
        <v>21</v>
      </c>
      <c r="CM160" s="1131" t="s">
        <v>21</v>
      </c>
      <c r="CN160" s="1130" t="s">
        <v>21</v>
      </c>
      <c r="CP160" s="838" t="s">
        <v>21</v>
      </c>
      <c r="CQ160" s="838" t="s">
        <v>21</v>
      </c>
      <c r="CR160" s="836"/>
    </row>
    <row r="161" spans="1:96" x14ac:dyDescent="0.25">
      <c r="A161" s="935"/>
      <c r="B161" s="932" t="s">
        <v>2437</v>
      </c>
      <c r="C161" s="911"/>
      <c r="D161" s="911"/>
      <c r="E161" s="912">
        <v>1123.5999999999999</v>
      </c>
      <c r="F161" s="912">
        <v>1122.5999999999999</v>
      </c>
      <c r="G161" s="910" t="s">
        <v>3464</v>
      </c>
      <c r="H161" s="912">
        <v>1107.3</v>
      </c>
      <c r="I161" s="912">
        <v>1106</v>
      </c>
      <c r="J161" s="914">
        <v>33.04</v>
      </c>
      <c r="K161" s="915"/>
      <c r="L161" s="916"/>
      <c r="M161" s="916"/>
      <c r="N161" s="916"/>
      <c r="O161" s="916"/>
      <c r="P161" s="915"/>
      <c r="Q161" s="916"/>
      <c r="R161" s="917"/>
      <c r="S161" s="918"/>
      <c r="T161" s="918"/>
      <c r="U161" s="916"/>
      <c r="V161" s="916"/>
      <c r="W161" s="915"/>
      <c r="X161" s="916"/>
      <c r="Y161" s="916"/>
      <c r="Z161" s="916"/>
      <c r="AA161" s="916"/>
      <c r="AB161" s="916"/>
      <c r="AC161" s="915"/>
      <c r="AD161" s="919"/>
      <c r="AE161" s="920"/>
      <c r="AF161" s="920"/>
      <c r="AG161" s="920"/>
      <c r="AH161" s="921"/>
      <c r="AI161" s="921"/>
      <c r="AJ161" s="920"/>
      <c r="AK161" s="920"/>
      <c r="AL161" s="921"/>
      <c r="AM161" s="921"/>
      <c r="AN161" s="920"/>
      <c r="AO161" s="920" t="s">
        <v>21</v>
      </c>
      <c r="AP161" s="919"/>
      <c r="AQ161" s="933"/>
      <c r="AR161" s="925"/>
      <c r="AS161" s="925"/>
      <c r="AT161" s="925"/>
      <c r="AU161" s="925"/>
      <c r="AV161" s="926"/>
      <c r="AW161" s="926"/>
      <c r="AX161" s="926"/>
      <c r="AY161" s="926"/>
      <c r="AZ161" s="925"/>
      <c r="BA161" s="925"/>
      <c r="BB161" s="919"/>
      <c r="BC161" s="919"/>
      <c r="BD161" s="919"/>
      <c r="BE161" s="925"/>
      <c r="BF161" s="926"/>
      <c r="BG161" s="925"/>
      <c r="BH161" s="926"/>
      <c r="BI161" s="925"/>
      <c r="BJ161" s="926"/>
      <c r="BK161" s="925"/>
      <c r="BL161" s="926"/>
      <c r="BM161" s="925"/>
      <c r="BN161" s="927"/>
      <c r="BO161" s="927"/>
      <c r="BP161" s="928" t="s">
        <v>21</v>
      </c>
      <c r="BQ161" s="928" t="s">
        <v>21</v>
      </c>
      <c r="BR161" s="928" t="s">
        <v>21</v>
      </c>
      <c r="BS161" s="928" t="s">
        <v>21</v>
      </c>
      <c r="BT161" s="928" t="s">
        <v>21</v>
      </c>
      <c r="BU161" s="928"/>
      <c r="BV161" s="934" t="s">
        <v>21</v>
      </c>
      <c r="BW161" s="934"/>
      <c r="BX161" s="1104"/>
      <c r="BY161" s="931" t="s">
        <v>21</v>
      </c>
      <c r="BZ161" s="930"/>
      <c r="CA161" s="1074"/>
      <c r="CB161" s="930"/>
      <c r="CC161" s="930"/>
      <c r="CD161" s="925"/>
      <c r="CE161" s="1130"/>
      <c r="CF161" s="1129" t="s">
        <v>21</v>
      </c>
      <c r="CG161" s="1130" t="s">
        <v>21</v>
      </c>
      <c r="CH161" s="1130" t="s">
        <v>21</v>
      </c>
      <c r="CI161" s="1131" t="s">
        <v>21</v>
      </c>
      <c r="CJ161" s="1129" t="s">
        <v>21</v>
      </c>
      <c r="CK161" s="1130" t="s">
        <v>21</v>
      </c>
      <c r="CL161" s="1130" t="s">
        <v>21</v>
      </c>
      <c r="CM161" s="1131" t="s">
        <v>21</v>
      </c>
      <c r="CN161" s="1130" t="s">
        <v>21</v>
      </c>
      <c r="CP161" s="838" t="s">
        <v>21</v>
      </c>
      <c r="CQ161" s="838" t="s">
        <v>21</v>
      </c>
      <c r="CR161" s="836"/>
    </row>
    <row r="162" spans="1:96" x14ac:dyDescent="0.25">
      <c r="A162" s="935"/>
      <c r="B162" s="932"/>
      <c r="C162" s="911"/>
      <c r="D162" s="911"/>
      <c r="E162" s="912"/>
      <c r="F162" s="912"/>
      <c r="G162" s="910"/>
      <c r="H162" s="912"/>
      <c r="I162" s="912"/>
      <c r="J162" s="914"/>
      <c r="K162" s="915"/>
      <c r="L162" s="916" t="s">
        <v>21</v>
      </c>
      <c r="M162" s="916" t="s">
        <v>21</v>
      </c>
      <c r="N162" s="916" t="s">
        <v>21</v>
      </c>
      <c r="O162" s="916" t="s">
        <v>21</v>
      </c>
      <c r="P162" s="915"/>
      <c r="Q162" s="916" t="s">
        <v>21</v>
      </c>
      <c r="R162" s="917" t="s">
        <v>21</v>
      </c>
      <c r="S162" s="918" t="s">
        <v>21</v>
      </c>
      <c r="T162" s="918" t="s">
        <v>21</v>
      </c>
      <c r="U162" s="916" t="s">
        <v>21</v>
      </c>
      <c r="V162" s="916" t="s">
        <v>21</v>
      </c>
      <c r="W162" s="915"/>
      <c r="X162" s="916" t="s">
        <v>21</v>
      </c>
      <c r="Y162" s="916" t="s">
        <v>21</v>
      </c>
      <c r="Z162" s="916" t="s">
        <v>21</v>
      </c>
      <c r="AA162" s="916" t="s">
        <v>21</v>
      </c>
      <c r="AB162" s="916" t="s">
        <v>21</v>
      </c>
      <c r="AC162" s="915"/>
      <c r="AD162" s="919" t="s">
        <v>21</v>
      </c>
      <c r="AE162" s="920" t="s">
        <v>21</v>
      </c>
      <c r="AF162" s="920" t="s">
        <v>21</v>
      </c>
      <c r="AG162" s="920" t="s">
        <v>21</v>
      </c>
      <c r="AH162" s="921" t="s">
        <v>21</v>
      </c>
      <c r="AI162" s="921" t="s">
        <v>21</v>
      </c>
      <c r="AJ162" s="920" t="s">
        <v>21</v>
      </c>
      <c r="AK162" s="920" t="s">
        <v>21</v>
      </c>
      <c r="AL162" s="921" t="s">
        <v>21</v>
      </c>
      <c r="AM162" s="921" t="s">
        <v>21</v>
      </c>
      <c r="AN162" s="920"/>
      <c r="AO162" s="920" t="s">
        <v>21</v>
      </c>
      <c r="AP162" s="919" t="s">
        <v>21</v>
      </c>
      <c r="AQ162" s="933" t="s">
        <v>21</v>
      </c>
      <c r="AR162" s="925" t="s">
        <v>21</v>
      </c>
      <c r="AS162" s="925" t="s">
        <v>21</v>
      </c>
      <c r="AT162" s="925" t="s">
        <v>21</v>
      </c>
      <c r="AU162" s="925" t="s">
        <v>21</v>
      </c>
      <c r="AV162" s="926" t="s">
        <v>21</v>
      </c>
      <c r="AW162" s="926" t="s">
        <v>21</v>
      </c>
      <c r="AX162" s="926" t="s">
        <v>21</v>
      </c>
      <c r="AY162" s="926" t="s">
        <v>21</v>
      </c>
      <c r="AZ162" s="925" t="s">
        <v>21</v>
      </c>
      <c r="BA162" s="925"/>
      <c r="BB162" s="919" t="s">
        <v>21</v>
      </c>
      <c r="BC162" s="919" t="s">
        <v>21</v>
      </c>
      <c r="BD162" s="919" t="s">
        <v>21</v>
      </c>
      <c r="BE162" s="925" t="s">
        <v>21</v>
      </c>
      <c r="BF162" s="926" t="s">
        <v>21</v>
      </c>
      <c r="BG162" s="925" t="s">
        <v>21</v>
      </c>
      <c r="BH162" s="926" t="s">
        <v>21</v>
      </c>
      <c r="BI162" s="925" t="s">
        <v>21</v>
      </c>
      <c r="BJ162" s="926" t="s">
        <v>21</v>
      </c>
      <c r="BK162" s="925" t="s">
        <v>21</v>
      </c>
      <c r="BL162" s="926" t="s">
        <v>21</v>
      </c>
      <c r="BM162" s="925" t="s">
        <v>21</v>
      </c>
      <c r="BN162" s="927"/>
      <c r="BO162" s="927"/>
      <c r="BP162" s="928" t="s">
        <v>21</v>
      </c>
      <c r="BQ162" s="928" t="s">
        <v>21</v>
      </c>
      <c r="BR162" s="928" t="s">
        <v>21</v>
      </c>
      <c r="BS162" s="928" t="s">
        <v>21</v>
      </c>
      <c r="BT162" s="928" t="s">
        <v>21</v>
      </c>
      <c r="BU162" s="928" t="s">
        <v>21</v>
      </c>
      <c r="BV162" s="934" t="s">
        <v>21</v>
      </c>
      <c r="BW162" s="934" t="s">
        <v>21</v>
      </c>
      <c r="BX162" s="1104" t="s">
        <v>21</v>
      </c>
      <c r="BY162" s="931" t="s">
        <v>21</v>
      </c>
      <c r="BZ162" s="930" t="s">
        <v>21</v>
      </c>
      <c r="CA162" s="1074" t="s">
        <v>21</v>
      </c>
      <c r="CB162" s="930" t="s">
        <v>21</v>
      </c>
      <c r="CC162" s="930" t="s">
        <v>21</v>
      </c>
      <c r="CD162" s="925" t="s">
        <v>21</v>
      </c>
      <c r="CE162" s="1130" t="s">
        <v>21</v>
      </c>
      <c r="CF162" s="1129" t="s">
        <v>21</v>
      </c>
      <c r="CG162" s="1130" t="s">
        <v>21</v>
      </c>
      <c r="CH162" s="1130" t="s">
        <v>21</v>
      </c>
      <c r="CI162" s="1131" t="s">
        <v>21</v>
      </c>
      <c r="CJ162" s="1129" t="s">
        <v>21</v>
      </c>
      <c r="CK162" s="1130" t="s">
        <v>21</v>
      </c>
      <c r="CL162" s="1130" t="s">
        <v>21</v>
      </c>
      <c r="CM162" s="1131" t="s">
        <v>21</v>
      </c>
      <c r="CN162" s="1130" t="s">
        <v>21</v>
      </c>
      <c r="CP162" s="838" t="s">
        <v>21</v>
      </c>
      <c r="CQ162" s="838" t="s">
        <v>21</v>
      </c>
      <c r="CR162" s="836"/>
    </row>
    <row r="163" spans="1:96" x14ac:dyDescent="0.25">
      <c r="A163" s="935"/>
      <c r="B163" s="932" t="s">
        <v>3102</v>
      </c>
      <c r="C163" s="911">
        <v>600</v>
      </c>
      <c r="D163" s="911" t="s">
        <v>2116</v>
      </c>
      <c r="E163" s="912">
        <v>1115</v>
      </c>
      <c r="F163" s="912">
        <v>1112</v>
      </c>
      <c r="G163" s="910" t="s">
        <v>2437</v>
      </c>
      <c r="H163" s="912">
        <v>1111.636</v>
      </c>
      <c r="I163" s="912">
        <v>1111</v>
      </c>
      <c r="J163" s="914">
        <v>19.5</v>
      </c>
      <c r="K163" s="915"/>
      <c r="L163" s="916">
        <v>0.1</v>
      </c>
      <c r="M163" s="916">
        <v>0.06</v>
      </c>
      <c r="N163" s="916">
        <v>0.2</v>
      </c>
      <c r="O163" s="916">
        <v>4.7850000000000001</v>
      </c>
      <c r="P163" s="915"/>
      <c r="Q163" s="916">
        <v>2.0779999999999998</v>
      </c>
      <c r="R163" s="917">
        <v>0.33333333333333331</v>
      </c>
      <c r="S163" s="918">
        <v>1.4</v>
      </c>
      <c r="T163" s="918">
        <v>2.7850000000000001</v>
      </c>
      <c r="U163" s="916">
        <v>4.3810000000000002</v>
      </c>
      <c r="V163" s="916">
        <v>0.92</v>
      </c>
      <c r="W163" s="915"/>
      <c r="X163" s="916">
        <v>0.28299999999999997</v>
      </c>
      <c r="Y163" s="916">
        <v>0.40699999999999997</v>
      </c>
      <c r="Z163" s="916">
        <v>4.3479999999999999</v>
      </c>
      <c r="AA163" s="916">
        <v>1.0229999999999999</v>
      </c>
      <c r="AB163" s="916">
        <v>2.778</v>
      </c>
      <c r="AC163" s="915"/>
      <c r="AD163" s="919">
        <v>93.308000000000007</v>
      </c>
      <c r="AE163" s="920">
        <v>84.786000000000001</v>
      </c>
      <c r="AF163" s="920" t="s">
        <v>21</v>
      </c>
      <c r="AG163" s="920" t="s">
        <v>21</v>
      </c>
      <c r="AH163" s="921">
        <v>84.786000000000001</v>
      </c>
      <c r="AI163" s="921" t="s">
        <v>21</v>
      </c>
      <c r="AJ163" s="920" t="s">
        <v>21</v>
      </c>
      <c r="AK163" s="920" t="s">
        <v>21</v>
      </c>
      <c r="AL163" s="921" t="s">
        <v>21</v>
      </c>
      <c r="AM163" s="921" t="s">
        <v>21</v>
      </c>
      <c r="AN163" s="920"/>
      <c r="AO163" s="920" t="s">
        <v>21</v>
      </c>
      <c r="AP163" s="919">
        <v>27.3</v>
      </c>
      <c r="AQ163" s="933">
        <v>85.429500000000004</v>
      </c>
      <c r="AR163" s="925" t="s">
        <v>21</v>
      </c>
      <c r="AS163" s="925">
        <v>85.429500000000004</v>
      </c>
      <c r="AT163" s="925" t="s">
        <v>21</v>
      </c>
      <c r="AU163" s="925" t="s">
        <v>21</v>
      </c>
      <c r="AV163" s="926" t="s">
        <v>21</v>
      </c>
      <c r="AW163" s="926" t="s">
        <v>21</v>
      </c>
      <c r="AX163" s="926" t="s">
        <v>21</v>
      </c>
      <c r="AY163" s="926" t="s">
        <v>21</v>
      </c>
      <c r="AZ163" s="925" t="s">
        <v>21</v>
      </c>
      <c r="BA163" s="925"/>
      <c r="BB163" s="919">
        <v>2.73</v>
      </c>
      <c r="BC163" s="919" t="s">
        <v>21</v>
      </c>
      <c r="BD163" s="919" t="s">
        <v>2142</v>
      </c>
      <c r="BE163" s="925" t="s">
        <v>21</v>
      </c>
      <c r="BF163" s="926" t="s">
        <v>21</v>
      </c>
      <c r="BG163" s="925">
        <v>19.5</v>
      </c>
      <c r="BH163" s="926" t="s">
        <v>21</v>
      </c>
      <c r="BI163" s="925" t="s">
        <v>21</v>
      </c>
      <c r="BJ163" s="926" t="s">
        <v>21</v>
      </c>
      <c r="BK163" s="925" t="s">
        <v>21</v>
      </c>
      <c r="BL163" s="926" t="s">
        <v>21</v>
      </c>
      <c r="BM163" s="925" t="s">
        <v>21</v>
      </c>
      <c r="BN163" s="927"/>
      <c r="BO163" s="927"/>
      <c r="BP163" s="928">
        <v>1</v>
      </c>
      <c r="BQ163" s="928" t="s">
        <v>21</v>
      </c>
      <c r="BR163" s="928" t="s">
        <v>21</v>
      </c>
      <c r="BS163" s="928" t="s">
        <v>21</v>
      </c>
      <c r="BT163" s="928" t="s">
        <v>21</v>
      </c>
      <c r="BU163" s="928" t="s">
        <v>21</v>
      </c>
      <c r="BV163" s="934">
        <v>1.6</v>
      </c>
      <c r="BW163" s="934">
        <v>2</v>
      </c>
      <c r="BX163" s="1104">
        <v>4</v>
      </c>
      <c r="BY163" s="931">
        <v>6</v>
      </c>
      <c r="BZ163" s="930" t="s">
        <v>21</v>
      </c>
      <c r="CA163" s="1074" t="s">
        <v>21</v>
      </c>
      <c r="CB163" s="930" t="s">
        <v>21</v>
      </c>
      <c r="CC163" s="930" t="s">
        <v>21</v>
      </c>
      <c r="CD163" s="925">
        <v>19.949000000000002</v>
      </c>
      <c r="CE163" s="1130">
        <v>54.170999999999999</v>
      </c>
      <c r="CF163" s="1129" t="s">
        <v>21</v>
      </c>
      <c r="CG163" s="1130" t="s">
        <v>21</v>
      </c>
      <c r="CH163" s="1130" t="s">
        <v>21</v>
      </c>
      <c r="CI163" s="1131" t="s">
        <v>21</v>
      </c>
      <c r="CJ163" s="1129" t="s">
        <v>21</v>
      </c>
      <c r="CK163" s="1130">
        <v>54.170999999999999</v>
      </c>
      <c r="CL163" s="1130" t="s">
        <v>21</v>
      </c>
      <c r="CM163" s="1131" t="s">
        <v>21</v>
      </c>
      <c r="CN163" s="1130" t="s">
        <v>21</v>
      </c>
      <c r="CP163" s="838" t="s">
        <v>21</v>
      </c>
      <c r="CQ163" s="838" t="s">
        <v>21</v>
      </c>
      <c r="CR163" s="836"/>
    </row>
    <row r="164" spans="1:96" x14ac:dyDescent="0.25">
      <c r="A164" s="935"/>
      <c r="B164" s="932"/>
      <c r="C164" s="911"/>
      <c r="D164" s="911"/>
      <c r="E164" s="912"/>
      <c r="F164" s="912"/>
      <c r="G164" s="910"/>
      <c r="H164" s="912"/>
      <c r="I164" s="912"/>
      <c r="J164" s="914"/>
      <c r="K164" s="915"/>
      <c r="L164" s="916" t="s">
        <v>21</v>
      </c>
      <c r="M164" s="916" t="s">
        <v>21</v>
      </c>
      <c r="N164" s="916" t="s">
        <v>21</v>
      </c>
      <c r="O164" s="916" t="s">
        <v>21</v>
      </c>
      <c r="P164" s="915"/>
      <c r="Q164" s="916" t="s">
        <v>21</v>
      </c>
      <c r="R164" s="917" t="s">
        <v>21</v>
      </c>
      <c r="S164" s="918" t="s">
        <v>21</v>
      </c>
      <c r="T164" s="918" t="s">
        <v>21</v>
      </c>
      <c r="U164" s="916" t="s">
        <v>21</v>
      </c>
      <c r="V164" s="916" t="s">
        <v>21</v>
      </c>
      <c r="W164" s="915"/>
      <c r="X164" s="916" t="s">
        <v>21</v>
      </c>
      <c r="Y164" s="916" t="s">
        <v>21</v>
      </c>
      <c r="Z164" s="916" t="s">
        <v>21</v>
      </c>
      <c r="AA164" s="916" t="s">
        <v>21</v>
      </c>
      <c r="AB164" s="916" t="s">
        <v>21</v>
      </c>
      <c r="AC164" s="915"/>
      <c r="AD164" s="919" t="s">
        <v>21</v>
      </c>
      <c r="AE164" s="920" t="s">
        <v>21</v>
      </c>
      <c r="AF164" s="920" t="s">
        <v>21</v>
      </c>
      <c r="AG164" s="920" t="s">
        <v>21</v>
      </c>
      <c r="AH164" s="921" t="s">
        <v>21</v>
      </c>
      <c r="AI164" s="921" t="s">
        <v>21</v>
      </c>
      <c r="AJ164" s="920" t="s">
        <v>21</v>
      </c>
      <c r="AK164" s="920" t="s">
        <v>21</v>
      </c>
      <c r="AL164" s="921" t="s">
        <v>21</v>
      </c>
      <c r="AM164" s="921" t="s">
        <v>21</v>
      </c>
      <c r="AN164" s="920"/>
      <c r="AO164" s="920" t="s">
        <v>21</v>
      </c>
      <c r="AP164" s="919" t="s">
        <v>21</v>
      </c>
      <c r="AQ164" s="933" t="s">
        <v>21</v>
      </c>
      <c r="AR164" s="925" t="s">
        <v>21</v>
      </c>
      <c r="AS164" s="925" t="s">
        <v>21</v>
      </c>
      <c r="AT164" s="925" t="s">
        <v>21</v>
      </c>
      <c r="AU164" s="925" t="s">
        <v>21</v>
      </c>
      <c r="AV164" s="926" t="s">
        <v>21</v>
      </c>
      <c r="AW164" s="926" t="s">
        <v>21</v>
      </c>
      <c r="AX164" s="926" t="s">
        <v>21</v>
      </c>
      <c r="AY164" s="926" t="s">
        <v>21</v>
      </c>
      <c r="AZ164" s="925" t="s">
        <v>21</v>
      </c>
      <c r="BA164" s="925"/>
      <c r="BB164" s="919" t="s">
        <v>21</v>
      </c>
      <c r="BC164" s="919" t="s">
        <v>21</v>
      </c>
      <c r="BD164" s="919" t="s">
        <v>21</v>
      </c>
      <c r="BE164" s="925" t="s">
        <v>21</v>
      </c>
      <c r="BF164" s="926" t="s">
        <v>21</v>
      </c>
      <c r="BG164" s="925" t="s">
        <v>21</v>
      </c>
      <c r="BH164" s="926" t="s">
        <v>21</v>
      </c>
      <c r="BI164" s="925" t="s">
        <v>21</v>
      </c>
      <c r="BJ164" s="926" t="s">
        <v>21</v>
      </c>
      <c r="BK164" s="925" t="s">
        <v>21</v>
      </c>
      <c r="BL164" s="926" t="s">
        <v>21</v>
      </c>
      <c r="BM164" s="925" t="s">
        <v>21</v>
      </c>
      <c r="BN164" s="927"/>
      <c r="BO164" s="927"/>
      <c r="BP164" s="928" t="s">
        <v>21</v>
      </c>
      <c r="BQ164" s="928" t="s">
        <v>21</v>
      </c>
      <c r="BR164" s="928" t="s">
        <v>21</v>
      </c>
      <c r="BS164" s="928" t="s">
        <v>21</v>
      </c>
      <c r="BT164" s="928" t="s">
        <v>21</v>
      </c>
      <c r="BU164" s="928" t="s">
        <v>21</v>
      </c>
      <c r="BV164" s="934" t="s">
        <v>21</v>
      </c>
      <c r="BW164" s="934" t="s">
        <v>21</v>
      </c>
      <c r="BX164" s="1104" t="s">
        <v>21</v>
      </c>
      <c r="BY164" s="931" t="s">
        <v>21</v>
      </c>
      <c r="BZ164" s="930" t="s">
        <v>21</v>
      </c>
      <c r="CA164" s="1074" t="s">
        <v>21</v>
      </c>
      <c r="CB164" s="930" t="s">
        <v>21</v>
      </c>
      <c r="CC164" s="930" t="s">
        <v>21</v>
      </c>
      <c r="CD164" s="925" t="s">
        <v>21</v>
      </c>
      <c r="CE164" s="1130" t="s">
        <v>21</v>
      </c>
      <c r="CF164" s="1129" t="s">
        <v>21</v>
      </c>
      <c r="CG164" s="1130" t="s">
        <v>21</v>
      </c>
      <c r="CH164" s="1130" t="s">
        <v>21</v>
      </c>
      <c r="CI164" s="1131" t="s">
        <v>21</v>
      </c>
      <c r="CJ164" s="1129" t="s">
        <v>21</v>
      </c>
      <c r="CK164" s="1130" t="s">
        <v>21</v>
      </c>
      <c r="CL164" s="1130" t="s">
        <v>21</v>
      </c>
      <c r="CM164" s="1131" t="s">
        <v>21</v>
      </c>
      <c r="CN164" s="1130" t="s">
        <v>21</v>
      </c>
      <c r="CP164" s="838" t="s">
        <v>21</v>
      </c>
      <c r="CQ164" s="838" t="s">
        <v>21</v>
      </c>
      <c r="CR164" s="836"/>
    </row>
    <row r="165" spans="1:96" s="1097" customFormat="1" x14ac:dyDescent="0.25">
      <c r="A165" s="1079" t="s">
        <v>2411</v>
      </c>
      <c r="B165" s="1078"/>
      <c r="C165" s="1076"/>
      <c r="D165" s="1076"/>
      <c r="E165" s="1077"/>
      <c r="F165" s="1077"/>
      <c r="G165" s="1078"/>
      <c r="H165" s="1077"/>
      <c r="I165" s="1077"/>
      <c r="J165" s="1080">
        <v>2005.58</v>
      </c>
      <c r="K165" s="1081"/>
      <c r="L165" s="1082"/>
      <c r="M165" s="1082"/>
      <c r="N165" s="1082"/>
      <c r="O165" s="1082"/>
      <c r="P165" s="1081"/>
      <c r="Q165" s="1082"/>
      <c r="R165" s="1083"/>
      <c r="S165" s="976"/>
      <c r="T165" s="976"/>
      <c r="U165" s="1082"/>
      <c r="V165" s="1082"/>
      <c r="W165" s="1081"/>
      <c r="X165" s="1082"/>
      <c r="Y165" s="1082"/>
      <c r="Z165" s="1082"/>
      <c r="AA165" s="1082"/>
      <c r="AB165" s="1082"/>
      <c r="AC165" s="1081"/>
      <c r="AD165" s="1084">
        <v>10311.317999999996</v>
      </c>
      <c r="AE165" s="1085">
        <v>13933.616000000002</v>
      </c>
      <c r="AF165" s="1085">
        <v>0</v>
      </c>
      <c r="AG165" s="1085">
        <v>0</v>
      </c>
      <c r="AH165" s="1086">
        <v>6891.2300000000014</v>
      </c>
      <c r="AI165" s="1086">
        <v>1354.94</v>
      </c>
      <c r="AJ165" s="1085">
        <v>386.09699999999998</v>
      </c>
      <c r="AK165" s="1085">
        <v>1165.335</v>
      </c>
      <c r="AL165" s="1086">
        <v>0</v>
      </c>
      <c r="AM165" s="1086">
        <v>1421.191</v>
      </c>
      <c r="AN165" s="1085">
        <v>0</v>
      </c>
      <c r="AO165" s="1085">
        <v>2714.8230000000003</v>
      </c>
      <c r="AP165" s="1084">
        <v>2866.0810000000001</v>
      </c>
      <c r="AQ165" s="1087">
        <v>11261.004749999996</v>
      </c>
      <c r="AR165" s="1088">
        <v>0</v>
      </c>
      <c r="AS165" s="1088">
        <v>6719.9857400000019</v>
      </c>
      <c r="AT165" s="1088">
        <v>325.49635999999998</v>
      </c>
      <c r="AU165" s="1088">
        <v>0</v>
      </c>
      <c r="AV165" s="1089">
        <v>0</v>
      </c>
      <c r="AW165" s="1089">
        <v>1126.3205399999999</v>
      </c>
      <c r="AX165" s="1089">
        <v>842.34057000000007</v>
      </c>
      <c r="AY165" s="1089">
        <v>2246.8615400000003</v>
      </c>
      <c r="AZ165" s="1088">
        <v>0</v>
      </c>
      <c r="BA165" s="1088">
        <v>0</v>
      </c>
      <c r="BB165" s="1084">
        <v>203.25399999999996</v>
      </c>
      <c r="BC165" s="1084">
        <v>125.03400000000001</v>
      </c>
      <c r="BD165" s="1090"/>
      <c r="BE165" s="1088">
        <v>0</v>
      </c>
      <c r="BF165" s="1089">
        <v>0</v>
      </c>
      <c r="BG165" s="1088">
        <v>1451.7999999999997</v>
      </c>
      <c r="BH165" s="1089">
        <v>490.33000000000004</v>
      </c>
      <c r="BI165" s="1088">
        <v>0</v>
      </c>
      <c r="BJ165" s="1089">
        <v>0</v>
      </c>
      <c r="BK165" s="1088">
        <v>0</v>
      </c>
      <c r="BL165" s="1089">
        <v>0</v>
      </c>
      <c r="BM165" s="1088">
        <v>0</v>
      </c>
      <c r="BN165" s="1091">
        <v>0</v>
      </c>
      <c r="BO165" s="1091">
        <v>0</v>
      </c>
      <c r="BP165" s="1092">
        <v>44</v>
      </c>
      <c r="BQ165" s="1092">
        <v>13</v>
      </c>
      <c r="BR165" s="1092">
        <v>0</v>
      </c>
      <c r="BS165" s="1092">
        <v>0</v>
      </c>
      <c r="BT165" s="1092">
        <v>0</v>
      </c>
      <c r="BU165" s="1092">
        <v>0</v>
      </c>
      <c r="BV165" s="1093">
        <v>64.394999999999939</v>
      </c>
      <c r="BW165" s="1093">
        <v>83</v>
      </c>
      <c r="BX165" s="1105">
        <v>166</v>
      </c>
      <c r="BY165" s="1095">
        <v>280</v>
      </c>
      <c r="BZ165" s="1094">
        <v>42</v>
      </c>
      <c r="CA165" s="1094">
        <v>18</v>
      </c>
      <c r="CB165" s="1094">
        <v>0</v>
      </c>
      <c r="CC165" s="1094">
        <v>0</v>
      </c>
      <c r="CD165" s="1088">
        <v>2188.3269999999998</v>
      </c>
      <c r="CE165" s="1133">
        <v>10477.013000000004</v>
      </c>
      <c r="CF165" s="1132">
        <v>0</v>
      </c>
      <c r="CG165" s="1133">
        <v>0</v>
      </c>
      <c r="CH165" s="1133">
        <v>0</v>
      </c>
      <c r="CI165" s="1134">
        <v>0</v>
      </c>
      <c r="CJ165" s="1132">
        <v>0</v>
      </c>
      <c r="CK165" s="1133">
        <v>4676.027000000001</v>
      </c>
      <c r="CL165" s="1133">
        <v>47.725999999999999</v>
      </c>
      <c r="CM165" s="1134">
        <v>0</v>
      </c>
      <c r="CN165" s="1133">
        <v>5753.26</v>
      </c>
      <c r="CO165" s="1096"/>
      <c r="CP165" s="1096" t="s">
        <v>21</v>
      </c>
      <c r="CQ165" s="1096" t="s">
        <v>21</v>
      </c>
    </row>
    <row r="166" spans="1:96" x14ac:dyDescent="0.25">
      <c r="A166" s="935"/>
      <c r="B166" s="932"/>
      <c r="C166" s="911"/>
      <c r="D166" s="911"/>
      <c r="E166" s="912"/>
      <c r="F166" s="912"/>
      <c r="G166" s="910"/>
      <c r="H166" s="912"/>
      <c r="I166" s="912"/>
      <c r="J166" s="914"/>
      <c r="K166" s="915"/>
      <c r="L166" s="916" t="s">
        <v>21</v>
      </c>
      <c r="M166" s="916" t="s">
        <v>21</v>
      </c>
      <c r="N166" s="916" t="s">
        <v>21</v>
      </c>
      <c r="O166" s="916" t="s">
        <v>21</v>
      </c>
      <c r="P166" s="915"/>
      <c r="Q166" s="916" t="s">
        <v>21</v>
      </c>
      <c r="R166" s="917" t="s">
        <v>21</v>
      </c>
      <c r="S166" s="918" t="s">
        <v>21</v>
      </c>
      <c r="T166" s="918" t="s">
        <v>21</v>
      </c>
      <c r="U166" s="916" t="s">
        <v>21</v>
      </c>
      <c r="V166" s="916" t="s">
        <v>21</v>
      </c>
      <c r="W166" s="915"/>
      <c r="X166" s="916" t="s">
        <v>21</v>
      </c>
      <c r="Y166" s="916" t="s">
        <v>21</v>
      </c>
      <c r="Z166" s="916" t="s">
        <v>21</v>
      </c>
      <c r="AA166" s="916" t="s">
        <v>21</v>
      </c>
      <c r="AB166" s="916" t="s">
        <v>21</v>
      </c>
      <c r="AC166" s="915"/>
      <c r="AD166" s="919" t="s">
        <v>21</v>
      </c>
      <c r="AE166" s="920" t="s">
        <v>21</v>
      </c>
      <c r="AF166" s="920" t="s">
        <v>21</v>
      </c>
      <c r="AG166" s="920" t="s">
        <v>21</v>
      </c>
      <c r="AH166" s="921" t="s">
        <v>21</v>
      </c>
      <c r="AI166" s="921" t="s">
        <v>21</v>
      </c>
      <c r="AJ166" s="920" t="s">
        <v>21</v>
      </c>
      <c r="AK166" s="920" t="s">
        <v>21</v>
      </c>
      <c r="AL166" s="921" t="s">
        <v>21</v>
      </c>
      <c r="AM166" s="921" t="s">
        <v>21</v>
      </c>
      <c r="AN166" s="920"/>
      <c r="AO166" s="920" t="s">
        <v>21</v>
      </c>
      <c r="AP166" s="919" t="s">
        <v>21</v>
      </c>
      <c r="AQ166" s="933" t="s">
        <v>21</v>
      </c>
      <c r="AR166" s="925" t="s">
        <v>21</v>
      </c>
      <c r="AS166" s="925" t="s">
        <v>21</v>
      </c>
      <c r="AT166" s="925" t="s">
        <v>21</v>
      </c>
      <c r="AU166" s="925" t="s">
        <v>21</v>
      </c>
      <c r="AV166" s="926" t="s">
        <v>21</v>
      </c>
      <c r="AW166" s="926" t="s">
        <v>21</v>
      </c>
      <c r="AX166" s="926" t="s">
        <v>21</v>
      </c>
      <c r="AY166" s="926" t="s">
        <v>21</v>
      </c>
      <c r="AZ166" s="925" t="s">
        <v>21</v>
      </c>
      <c r="BA166" s="925"/>
      <c r="BB166" s="919" t="s">
        <v>21</v>
      </c>
      <c r="BC166" s="919" t="s">
        <v>21</v>
      </c>
      <c r="BD166" s="919" t="s">
        <v>21</v>
      </c>
      <c r="BE166" s="925" t="s">
        <v>21</v>
      </c>
      <c r="BF166" s="926" t="s">
        <v>21</v>
      </c>
      <c r="BG166" s="925" t="s">
        <v>21</v>
      </c>
      <c r="BH166" s="926" t="s">
        <v>21</v>
      </c>
      <c r="BI166" s="925" t="s">
        <v>21</v>
      </c>
      <c r="BJ166" s="926" t="s">
        <v>21</v>
      </c>
      <c r="BK166" s="925" t="s">
        <v>21</v>
      </c>
      <c r="BL166" s="926" t="s">
        <v>21</v>
      </c>
      <c r="BM166" s="925" t="s">
        <v>21</v>
      </c>
      <c r="BN166" s="927"/>
      <c r="BO166" s="927"/>
      <c r="BP166" s="928" t="s">
        <v>21</v>
      </c>
      <c r="BQ166" s="928" t="s">
        <v>21</v>
      </c>
      <c r="BR166" s="928" t="s">
        <v>21</v>
      </c>
      <c r="BS166" s="928" t="s">
        <v>21</v>
      </c>
      <c r="BT166" s="928" t="s">
        <v>21</v>
      </c>
      <c r="BU166" s="928" t="s">
        <v>21</v>
      </c>
      <c r="BV166" s="934" t="s">
        <v>21</v>
      </c>
      <c r="BW166" s="934" t="s">
        <v>21</v>
      </c>
      <c r="BX166" s="1104" t="s">
        <v>21</v>
      </c>
      <c r="BY166" s="931" t="s">
        <v>21</v>
      </c>
      <c r="BZ166" s="930" t="s">
        <v>21</v>
      </c>
      <c r="CA166" s="1074" t="s">
        <v>21</v>
      </c>
      <c r="CB166" s="930" t="s">
        <v>21</v>
      </c>
      <c r="CC166" s="930" t="s">
        <v>21</v>
      </c>
      <c r="CD166" s="925" t="s">
        <v>21</v>
      </c>
      <c r="CE166" s="1130" t="s">
        <v>21</v>
      </c>
      <c r="CF166" s="1129" t="s">
        <v>21</v>
      </c>
      <c r="CG166" s="1130" t="s">
        <v>21</v>
      </c>
      <c r="CH166" s="1130" t="s">
        <v>21</v>
      </c>
      <c r="CI166" s="1131" t="s">
        <v>21</v>
      </c>
      <c r="CJ166" s="1129" t="s">
        <v>21</v>
      </c>
      <c r="CK166" s="1130" t="s">
        <v>21</v>
      </c>
      <c r="CL166" s="1130" t="s">
        <v>21</v>
      </c>
      <c r="CM166" s="1131" t="s">
        <v>21</v>
      </c>
      <c r="CN166" s="1130" t="s">
        <v>21</v>
      </c>
      <c r="CP166" s="838" t="s">
        <v>21</v>
      </c>
      <c r="CQ166" s="838" t="s">
        <v>21</v>
      </c>
      <c r="CR166" s="836"/>
    </row>
    <row r="167" spans="1:96" x14ac:dyDescent="0.25">
      <c r="A167" s="935" t="s">
        <v>2510</v>
      </c>
      <c r="B167" s="932" t="s">
        <v>2225</v>
      </c>
      <c r="C167" s="911">
        <v>600</v>
      </c>
      <c r="D167" s="911" t="s">
        <v>2116</v>
      </c>
      <c r="E167" s="912">
        <v>1176.46</v>
      </c>
      <c r="F167" s="912">
        <v>1174.56</v>
      </c>
      <c r="G167" s="932" t="s">
        <v>2226</v>
      </c>
      <c r="H167" s="912">
        <v>1174.95</v>
      </c>
      <c r="I167" s="912">
        <v>1173.05</v>
      </c>
      <c r="J167" s="914">
        <v>28.35</v>
      </c>
      <c r="K167" s="915"/>
      <c r="L167" s="916">
        <v>0.1</v>
      </c>
      <c r="M167" s="916">
        <v>0.06</v>
      </c>
      <c r="N167" s="916">
        <v>0.2</v>
      </c>
      <c r="O167" s="916">
        <v>4.84</v>
      </c>
      <c r="P167" s="915"/>
      <c r="Q167" s="916">
        <v>2.16</v>
      </c>
      <c r="R167" s="917">
        <v>0.33333333333333331</v>
      </c>
      <c r="S167" s="918">
        <v>1.4</v>
      </c>
      <c r="T167" s="918">
        <v>2.84</v>
      </c>
      <c r="U167" s="916">
        <v>4.5540000000000003</v>
      </c>
      <c r="V167" s="916">
        <v>0.92</v>
      </c>
      <c r="W167" s="915"/>
      <c r="X167" s="916">
        <v>0.28299999999999997</v>
      </c>
      <c r="Y167" s="916">
        <v>0.40699999999999997</v>
      </c>
      <c r="Z167" s="916">
        <v>4.5789999999999997</v>
      </c>
      <c r="AA167" s="916">
        <v>1.0229999999999999</v>
      </c>
      <c r="AB167" s="916">
        <v>3.0089999999999999</v>
      </c>
      <c r="AC167" s="915"/>
      <c r="AD167" s="919">
        <v>137.214</v>
      </c>
      <c r="AE167" s="920">
        <v>129.815</v>
      </c>
      <c r="AF167" s="920" t="s">
        <v>21</v>
      </c>
      <c r="AG167" s="920" t="s">
        <v>21</v>
      </c>
      <c r="AH167" s="921">
        <v>129.815</v>
      </c>
      <c r="AI167" s="921" t="s">
        <v>21</v>
      </c>
      <c r="AJ167" s="920" t="s">
        <v>21</v>
      </c>
      <c r="AK167" s="920" t="s">
        <v>21</v>
      </c>
      <c r="AL167" s="921" t="s">
        <v>21</v>
      </c>
      <c r="AM167" s="921" t="s">
        <v>21</v>
      </c>
      <c r="AN167" s="920"/>
      <c r="AO167" s="920" t="s">
        <v>21</v>
      </c>
      <c r="AP167" s="919">
        <v>39.69</v>
      </c>
      <c r="AQ167" s="933">
        <v>129.10590000000002</v>
      </c>
      <c r="AR167" s="925" t="s">
        <v>21</v>
      </c>
      <c r="AS167" s="925">
        <v>129.10590000000002</v>
      </c>
      <c r="AT167" s="925" t="s">
        <v>21</v>
      </c>
      <c r="AU167" s="925" t="s">
        <v>21</v>
      </c>
      <c r="AV167" s="926" t="s">
        <v>21</v>
      </c>
      <c r="AW167" s="926" t="s">
        <v>21</v>
      </c>
      <c r="AX167" s="926" t="s">
        <v>21</v>
      </c>
      <c r="AY167" s="926" t="s">
        <v>21</v>
      </c>
      <c r="AZ167" s="925" t="s">
        <v>21</v>
      </c>
      <c r="BA167" s="925"/>
      <c r="BB167" s="919">
        <v>3.9689999999999999</v>
      </c>
      <c r="BC167" s="919" t="s">
        <v>21</v>
      </c>
      <c r="BD167" s="919" t="s">
        <v>2142</v>
      </c>
      <c r="BE167" s="925" t="s">
        <v>21</v>
      </c>
      <c r="BF167" s="926" t="s">
        <v>21</v>
      </c>
      <c r="BG167" s="925">
        <v>28.35</v>
      </c>
      <c r="BH167" s="926" t="s">
        <v>21</v>
      </c>
      <c r="BI167" s="925" t="s">
        <v>21</v>
      </c>
      <c r="BJ167" s="926" t="s">
        <v>21</v>
      </c>
      <c r="BK167" s="925" t="s">
        <v>21</v>
      </c>
      <c r="BL167" s="926" t="s">
        <v>21</v>
      </c>
      <c r="BM167" s="925" t="s">
        <v>21</v>
      </c>
      <c r="BN167" s="927"/>
      <c r="BO167" s="927"/>
      <c r="BP167" s="928">
        <v>1</v>
      </c>
      <c r="BQ167" s="928" t="s">
        <v>21</v>
      </c>
      <c r="BR167" s="928" t="s">
        <v>21</v>
      </c>
      <c r="BS167" s="928" t="s">
        <v>21</v>
      </c>
      <c r="BT167" s="928" t="s">
        <v>21</v>
      </c>
      <c r="BU167" s="928" t="s">
        <v>21</v>
      </c>
      <c r="BV167" s="934">
        <v>0.50000000000009104</v>
      </c>
      <c r="BW167" s="934">
        <v>1</v>
      </c>
      <c r="BX167" s="1104">
        <v>2</v>
      </c>
      <c r="BY167" s="931">
        <v>4</v>
      </c>
      <c r="BZ167" s="930" t="s">
        <v>21</v>
      </c>
      <c r="CA167" s="1074" t="s">
        <v>21</v>
      </c>
      <c r="CB167" s="930" t="s">
        <v>21</v>
      </c>
      <c r="CC167" s="930" t="s">
        <v>21</v>
      </c>
      <c r="CD167" s="925">
        <v>29.001999999999999</v>
      </c>
      <c r="CE167" s="1130">
        <v>85.305000000000007</v>
      </c>
      <c r="CF167" s="1129" t="s">
        <v>21</v>
      </c>
      <c r="CG167" s="1130" t="s">
        <v>21</v>
      </c>
      <c r="CH167" s="1130" t="s">
        <v>21</v>
      </c>
      <c r="CI167" s="1131" t="s">
        <v>21</v>
      </c>
      <c r="CJ167" s="1129" t="s">
        <v>21</v>
      </c>
      <c r="CK167" s="1130">
        <v>85.305000000000007</v>
      </c>
      <c r="CL167" s="1130" t="s">
        <v>21</v>
      </c>
      <c r="CM167" s="1131" t="s">
        <v>21</v>
      </c>
      <c r="CN167" s="1130" t="s">
        <v>21</v>
      </c>
      <c r="CP167" s="838" t="s">
        <v>21</v>
      </c>
      <c r="CQ167" s="838" t="s">
        <v>21</v>
      </c>
      <c r="CR167" s="836"/>
    </row>
    <row r="168" spans="1:96" x14ac:dyDescent="0.25">
      <c r="A168" s="935"/>
      <c r="B168" s="932" t="s">
        <v>2226</v>
      </c>
      <c r="C168" s="911">
        <v>600</v>
      </c>
      <c r="D168" s="911" t="s">
        <v>2116</v>
      </c>
      <c r="E168" s="912">
        <v>1174.95</v>
      </c>
      <c r="F168" s="912">
        <v>1173</v>
      </c>
      <c r="G168" s="932" t="s">
        <v>2227</v>
      </c>
      <c r="H168" s="912">
        <v>1173</v>
      </c>
      <c r="I168" s="912">
        <v>1171.0999999999999</v>
      </c>
      <c r="J168" s="914">
        <v>39.76</v>
      </c>
      <c r="K168" s="915"/>
      <c r="L168" s="916">
        <v>0.1</v>
      </c>
      <c r="M168" s="916">
        <v>0.06</v>
      </c>
      <c r="N168" s="916">
        <v>0.2</v>
      </c>
      <c r="O168" s="916">
        <v>4.8570000000000002</v>
      </c>
      <c r="P168" s="915"/>
      <c r="Q168" s="916">
        <v>2.1850000000000001</v>
      </c>
      <c r="R168" s="917">
        <v>0.33333333333333331</v>
      </c>
      <c r="S168" s="918">
        <v>1.4</v>
      </c>
      <c r="T168" s="918">
        <v>2.8570000000000002</v>
      </c>
      <c r="U168" s="916">
        <v>4.6059999999999999</v>
      </c>
      <c r="V168" s="916">
        <v>0.92</v>
      </c>
      <c r="W168" s="915"/>
      <c r="X168" s="916">
        <v>0.28299999999999997</v>
      </c>
      <c r="Y168" s="916">
        <v>0.40699999999999997</v>
      </c>
      <c r="Z168" s="916">
        <v>4.6509999999999998</v>
      </c>
      <c r="AA168" s="916">
        <v>1.0229999999999999</v>
      </c>
      <c r="AB168" s="916">
        <v>3.081</v>
      </c>
      <c r="AC168" s="915"/>
      <c r="AD168" s="919">
        <v>193.114</v>
      </c>
      <c r="AE168" s="920">
        <v>184.92400000000001</v>
      </c>
      <c r="AF168" s="920" t="s">
        <v>21</v>
      </c>
      <c r="AG168" s="920" t="s">
        <v>21</v>
      </c>
      <c r="AH168" s="921">
        <v>184.92400000000001</v>
      </c>
      <c r="AI168" s="921" t="s">
        <v>21</v>
      </c>
      <c r="AJ168" s="920" t="s">
        <v>21</v>
      </c>
      <c r="AK168" s="920" t="s">
        <v>21</v>
      </c>
      <c r="AL168" s="921" t="s">
        <v>21</v>
      </c>
      <c r="AM168" s="921" t="s">
        <v>21</v>
      </c>
      <c r="AN168" s="920"/>
      <c r="AO168" s="920" t="s">
        <v>21</v>
      </c>
      <c r="AP168" s="919">
        <v>55.664000000000001</v>
      </c>
      <c r="AQ168" s="933">
        <v>183.13455999999999</v>
      </c>
      <c r="AR168" s="925" t="s">
        <v>21</v>
      </c>
      <c r="AS168" s="925">
        <v>183.13455999999999</v>
      </c>
      <c r="AT168" s="925" t="s">
        <v>21</v>
      </c>
      <c r="AU168" s="925" t="s">
        <v>21</v>
      </c>
      <c r="AV168" s="926" t="s">
        <v>21</v>
      </c>
      <c r="AW168" s="926" t="s">
        <v>21</v>
      </c>
      <c r="AX168" s="926" t="s">
        <v>21</v>
      </c>
      <c r="AY168" s="926" t="s">
        <v>21</v>
      </c>
      <c r="AZ168" s="925" t="s">
        <v>21</v>
      </c>
      <c r="BA168" s="925"/>
      <c r="BB168" s="919">
        <v>5.5659999999999998</v>
      </c>
      <c r="BC168" s="919" t="s">
        <v>21</v>
      </c>
      <c r="BD168" s="919" t="s">
        <v>2142</v>
      </c>
      <c r="BE168" s="925" t="s">
        <v>21</v>
      </c>
      <c r="BF168" s="926" t="s">
        <v>21</v>
      </c>
      <c r="BG168" s="925">
        <v>39.76</v>
      </c>
      <c r="BH168" s="926" t="s">
        <v>21</v>
      </c>
      <c r="BI168" s="925" t="s">
        <v>21</v>
      </c>
      <c r="BJ168" s="926" t="s">
        <v>21</v>
      </c>
      <c r="BK168" s="925" t="s">
        <v>21</v>
      </c>
      <c r="BL168" s="926" t="s">
        <v>21</v>
      </c>
      <c r="BM168" s="925" t="s">
        <v>21</v>
      </c>
      <c r="BN168" s="927"/>
      <c r="BO168" s="927"/>
      <c r="BP168" s="928">
        <v>1</v>
      </c>
      <c r="BQ168" s="928" t="s">
        <v>21</v>
      </c>
      <c r="BR168" s="928" t="s">
        <v>21</v>
      </c>
      <c r="BS168" s="928" t="s">
        <v>21</v>
      </c>
      <c r="BT168" s="928" t="s">
        <v>21</v>
      </c>
      <c r="BU168" s="928" t="s">
        <v>21</v>
      </c>
      <c r="BV168" s="934">
        <v>0.55000000000004556</v>
      </c>
      <c r="BW168" s="934">
        <v>1</v>
      </c>
      <c r="BX168" s="1104">
        <v>2</v>
      </c>
      <c r="BY168" s="931">
        <v>4</v>
      </c>
      <c r="BZ168" s="930" t="s">
        <v>21</v>
      </c>
      <c r="CA168" s="1074" t="s">
        <v>21</v>
      </c>
      <c r="CB168" s="930" t="s">
        <v>21</v>
      </c>
      <c r="CC168" s="930" t="s">
        <v>21</v>
      </c>
      <c r="CD168" s="925">
        <v>40.673999999999999</v>
      </c>
      <c r="CE168" s="1130">
        <v>122.501</v>
      </c>
      <c r="CF168" s="1129" t="s">
        <v>21</v>
      </c>
      <c r="CG168" s="1130" t="s">
        <v>21</v>
      </c>
      <c r="CH168" s="1130" t="s">
        <v>21</v>
      </c>
      <c r="CI168" s="1131" t="s">
        <v>21</v>
      </c>
      <c r="CJ168" s="1129" t="s">
        <v>21</v>
      </c>
      <c r="CK168" s="1130">
        <v>122.501</v>
      </c>
      <c r="CL168" s="1130" t="s">
        <v>21</v>
      </c>
      <c r="CM168" s="1131" t="s">
        <v>21</v>
      </c>
      <c r="CN168" s="1130" t="s">
        <v>21</v>
      </c>
      <c r="CP168" s="838" t="s">
        <v>21</v>
      </c>
      <c r="CQ168" s="838" t="s">
        <v>21</v>
      </c>
      <c r="CR168" s="836"/>
    </row>
    <row r="169" spans="1:96" x14ac:dyDescent="0.25">
      <c r="A169" s="935"/>
      <c r="B169" s="932" t="s">
        <v>2227</v>
      </c>
      <c r="C169" s="911">
        <v>600</v>
      </c>
      <c r="D169" s="911" t="s">
        <v>2116</v>
      </c>
      <c r="E169" s="912">
        <v>1173</v>
      </c>
      <c r="F169" s="912">
        <v>1171.0999999999999</v>
      </c>
      <c r="G169" s="910" t="s">
        <v>2298</v>
      </c>
      <c r="H169" s="912">
        <v>1172.8900000000001</v>
      </c>
      <c r="I169" s="912">
        <v>1170.9010000000001</v>
      </c>
      <c r="J169" s="914">
        <v>39.76</v>
      </c>
      <c r="K169" s="915"/>
      <c r="L169" s="916">
        <v>0.1</v>
      </c>
      <c r="M169" s="916">
        <v>0.06</v>
      </c>
      <c r="N169" s="916">
        <v>0.2</v>
      </c>
      <c r="O169" s="916">
        <v>4.87</v>
      </c>
      <c r="P169" s="915"/>
      <c r="Q169" s="916">
        <v>2.2050000000000001</v>
      </c>
      <c r="R169" s="917">
        <v>0.33333333333333331</v>
      </c>
      <c r="S169" s="918">
        <v>1.4</v>
      </c>
      <c r="T169" s="918">
        <v>2.87</v>
      </c>
      <c r="U169" s="916">
        <v>4.649</v>
      </c>
      <c r="V169" s="916">
        <v>0.92</v>
      </c>
      <c r="W169" s="915"/>
      <c r="X169" s="916">
        <v>0.28299999999999997</v>
      </c>
      <c r="Y169" s="916">
        <v>0.40699999999999997</v>
      </c>
      <c r="Z169" s="916">
        <v>4.7080000000000002</v>
      </c>
      <c r="AA169" s="916">
        <v>1.0229999999999999</v>
      </c>
      <c r="AB169" s="916">
        <v>3.1379999999999999</v>
      </c>
      <c r="AC169" s="915"/>
      <c r="AD169" s="919">
        <v>193.631</v>
      </c>
      <c r="AE169" s="920">
        <v>187.19</v>
      </c>
      <c r="AF169" s="920" t="s">
        <v>21</v>
      </c>
      <c r="AG169" s="920" t="s">
        <v>21</v>
      </c>
      <c r="AH169" s="921">
        <v>187.19</v>
      </c>
      <c r="AI169" s="921" t="s">
        <v>21</v>
      </c>
      <c r="AJ169" s="920" t="s">
        <v>21</v>
      </c>
      <c r="AK169" s="920" t="s">
        <v>21</v>
      </c>
      <c r="AL169" s="921" t="s">
        <v>21</v>
      </c>
      <c r="AM169" s="921" t="s">
        <v>21</v>
      </c>
      <c r="AN169" s="920"/>
      <c r="AO169" s="920" t="s">
        <v>21</v>
      </c>
      <c r="AP169" s="919">
        <v>55.664000000000001</v>
      </c>
      <c r="AQ169" s="933">
        <v>184.84423999999999</v>
      </c>
      <c r="AR169" s="925" t="s">
        <v>21</v>
      </c>
      <c r="AS169" s="925">
        <v>184.84423999999999</v>
      </c>
      <c r="AT169" s="925" t="s">
        <v>21</v>
      </c>
      <c r="AU169" s="925" t="s">
        <v>21</v>
      </c>
      <c r="AV169" s="926" t="s">
        <v>21</v>
      </c>
      <c r="AW169" s="926" t="s">
        <v>21</v>
      </c>
      <c r="AX169" s="926" t="s">
        <v>21</v>
      </c>
      <c r="AY169" s="926" t="s">
        <v>21</v>
      </c>
      <c r="AZ169" s="925" t="s">
        <v>21</v>
      </c>
      <c r="BA169" s="925"/>
      <c r="BB169" s="919">
        <v>5.5659999999999998</v>
      </c>
      <c r="BC169" s="919" t="s">
        <v>21</v>
      </c>
      <c r="BD169" s="919" t="s">
        <v>2142</v>
      </c>
      <c r="BE169" s="925" t="s">
        <v>21</v>
      </c>
      <c r="BF169" s="926" t="s">
        <v>21</v>
      </c>
      <c r="BG169" s="925">
        <v>39.76</v>
      </c>
      <c r="BH169" s="926" t="s">
        <v>21</v>
      </c>
      <c r="BI169" s="925" t="s">
        <v>21</v>
      </c>
      <c r="BJ169" s="926" t="s">
        <v>21</v>
      </c>
      <c r="BK169" s="925" t="s">
        <v>21</v>
      </c>
      <c r="BL169" s="926" t="s">
        <v>21</v>
      </c>
      <c r="BM169" s="925" t="s">
        <v>21</v>
      </c>
      <c r="BN169" s="927"/>
      <c r="BO169" s="927"/>
      <c r="BP169" s="928">
        <v>1</v>
      </c>
      <c r="BQ169" s="928" t="s">
        <v>21</v>
      </c>
      <c r="BR169" s="928" t="s">
        <v>21</v>
      </c>
      <c r="BS169" s="928" t="s">
        <v>21</v>
      </c>
      <c r="BT169" s="928" t="s">
        <v>21</v>
      </c>
      <c r="BU169" s="928" t="s">
        <v>21</v>
      </c>
      <c r="BV169" s="934">
        <v>0.50000000000009104</v>
      </c>
      <c r="BW169" s="934">
        <v>1</v>
      </c>
      <c r="BX169" s="1104">
        <v>2</v>
      </c>
      <c r="BY169" s="931">
        <v>4</v>
      </c>
      <c r="BZ169" s="930" t="s">
        <v>21</v>
      </c>
      <c r="CA169" s="1074" t="s">
        <v>21</v>
      </c>
      <c r="CB169" s="930" t="s">
        <v>21</v>
      </c>
      <c r="CC169" s="930" t="s">
        <v>21</v>
      </c>
      <c r="CD169" s="925">
        <v>40.673999999999999</v>
      </c>
      <c r="CE169" s="1130">
        <v>124.767</v>
      </c>
      <c r="CF169" s="1129" t="s">
        <v>21</v>
      </c>
      <c r="CG169" s="1130" t="s">
        <v>21</v>
      </c>
      <c r="CH169" s="1130" t="s">
        <v>21</v>
      </c>
      <c r="CI169" s="1131" t="s">
        <v>21</v>
      </c>
      <c r="CJ169" s="1129" t="s">
        <v>21</v>
      </c>
      <c r="CK169" s="1130">
        <v>124.767</v>
      </c>
      <c r="CL169" s="1130" t="s">
        <v>21</v>
      </c>
      <c r="CM169" s="1131" t="s">
        <v>21</v>
      </c>
      <c r="CN169" s="1130" t="s">
        <v>21</v>
      </c>
      <c r="CP169" s="838" t="s">
        <v>21</v>
      </c>
      <c r="CQ169" s="838" t="s">
        <v>21</v>
      </c>
      <c r="CR169" s="836"/>
    </row>
    <row r="170" spans="1:96" x14ac:dyDescent="0.25">
      <c r="A170" s="935"/>
      <c r="B170" s="932"/>
      <c r="C170" s="911"/>
      <c r="D170" s="911"/>
      <c r="E170" s="912"/>
      <c r="F170" s="912"/>
      <c r="G170" s="910"/>
      <c r="H170" s="912"/>
      <c r="I170" s="912"/>
      <c r="J170" s="914"/>
      <c r="K170" s="915"/>
      <c r="L170" s="916" t="s">
        <v>21</v>
      </c>
      <c r="M170" s="916" t="s">
        <v>21</v>
      </c>
      <c r="N170" s="916" t="s">
        <v>21</v>
      </c>
      <c r="O170" s="916" t="s">
        <v>21</v>
      </c>
      <c r="P170" s="915"/>
      <c r="Q170" s="916" t="s">
        <v>21</v>
      </c>
      <c r="R170" s="917" t="s">
        <v>21</v>
      </c>
      <c r="S170" s="918" t="s">
        <v>21</v>
      </c>
      <c r="T170" s="918" t="s">
        <v>21</v>
      </c>
      <c r="U170" s="916" t="s">
        <v>21</v>
      </c>
      <c r="V170" s="916" t="s">
        <v>21</v>
      </c>
      <c r="W170" s="915"/>
      <c r="X170" s="916" t="s">
        <v>21</v>
      </c>
      <c r="Y170" s="916" t="s">
        <v>21</v>
      </c>
      <c r="Z170" s="916" t="s">
        <v>21</v>
      </c>
      <c r="AA170" s="916" t="s">
        <v>21</v>
      </c>
      <c r="AB170" s="916" t="s">
        <v>21</v>
      </c>
      <c r="AC170" s="915"/>
      <c r="AD170" s="919" t="s">
        <v>21</v>
      </c>
      <c r="AE170" s="920" t="s">
        <v>21</v>
      </c>
      <c r="AF170" s="920" t="s">
        <v>21</v>
      </c>
      <c r="AG170" s="920" t="s">
        <v>21</v>
      </c>
      <c r="AH170" s="921" t="s">
        <v>21</v>
      </c>
      <c r="AI170" s="921" t="s">
        <v>21</v>
      </c>
      <c r="AJ170" s="920" t="s">
        <v>21</v>
      </c>
      <c r="AK170" s="920" t="s">
        <v>21</v>
      </c>
      <c r="AL170" s="921" t="s">
        <v>21</v>
      </c>
      <c r="AM170" s="921" t="s">
        <v>21</v>
      </c>
      <c r="AN170" s="920"/>
      <c r="AO170" s="920" t="s">
        <v>21</v>
      </c>
      <c r="AP170" s="919" t="s">
        <v>21</v>
      </c>
      <c r="AQ170" s="933" t="s">
        <v>21</v>
      </c>
      <c r="AR170" s="925" t="s">
        <v>21</v>
      </c>
      <c r="AS170" s="925" t="s">
        <v>21</v>
      </c>
      <c r="AT170" s="925" t="s">
        <v>21</v>
      </c>
      <c r="AU170" s="925" t="s">
        <v>21</v>
      </c>
      <c r="AV170" s="926" t="s">
        <v>21</v>
      </c>
      <c r="AW170" s="926" t="s">
        <v>21</v>
      </c>
      <c r="AX170" s="926" t="s">
        <v>21</v>
      </c>
      <c r="AY170" s="926" t="s">
        <v>21</v>
      </c>
      <c r="AZ170" s="925" t="s">
        <v>21</v>
      </c>
      <c r="BA170" s="925"/>
      <c r="BB170" s="919" t="s">
        <v>21</v>
      </c>
      <c r="BC170" s="919" t="s">
        <v>21</v>
      </c>
      <c r="BD170" s="919" t="s">
        <v>21</v>
      </c>
      <c r="BE170" s="925" t="s">
        <v>21</v>
      </c>
      <c r="BF170" s="926" t="s">
        <v>21</v>
      </c>
      <c r="BG170" s="925" t="s">
        <v>21</v>
      </c>
      <c r="BH170" s="926" t="s">
        <v>21</v>
      </c>
      <c r="BI170" s="925" t="s">
        <v>21</v>
      </c>
      <c r="BJ170" s="926" t="s">
        <v>21</v>
      </c>
      <c r="BK170" s="925" t="s">
        <v>21</v>
      </c>
      <c r="BL170" s="926" t="s">
        <v>21</v>
      </c>
      <c r="BM170" s="925" t="s">
        <v>21</v>
      </c>
      <c r="BN170" s="927"/>
      <c r="BO170" s="927"/>
      <c r="BP170" s="928" t="s">
        <v>21</v>
      </c>
      <c r="BQ170" s="928" t="s">
        <v>21</v>
      </c>
      <c r="BR170" s="928" t="s">
        <v>21</v>
      </c>
      <c r="BS170" s="928" t="s">
        <v>21</v>
      </c>
      <c r="BT170" s="928" t="s">
        <v>21</v>
      </c>
      <c r="BU170" s="928" t="s">
        <v>21</v>
      </c>
      <c r="BV170" s="934" t="s">
        <v>21</v>
      </c>
      <c r="BW170" s="934" t="s">
        <v>21</v>
      </c>
      <c r="BX170" s="1104" t="s">
        <v>21</v>
      </c>
      <c r="BY170" s="931" t="s">
        <v>21</v>
      </c>
      <c r="BZ170" s="930" t="s">
        <v>21</v>
      </c>
      <c r="CA170" s="1074" t="s">
        <v>21</v>
      </c>
      <c r="CB170" s="930" t="s">
        <v>21</v>
      </c>
      <c r="CC170" s="930" t="s">
        <v>21</v>
      </c>
      <c r="CD170" s="925" t="s">
        <v>21</v>
      </c>
      <c r="CE170" s="1130" t="s">
        <v>21</v>
      </c>
      <c r="CF170" s="1129" t="s">
        <v>21</v>
      </c>
      <c r="CG170" s="1130" t="s">
        <v>21</v>
      </c>
      <c r="CH170" s="1130" t="s">
        <v>21</v>
      </c>
      <c r="CI170" s="1131" t="s">
        <v>21</v>
      </c>
      <c r="CJ170" s="1129" t="s">
        <v>21</v>
      </c>
      <c r="CK170" s="1130" t="s">
        <v>21</v>
      </c>
      <c r="CL170" s="1130" t="s">
        <v>21</v>
      </c>
      <c r="CM170" s="1131" t="s">
        <v>21</v>
      </c>
      <c r="CN170" s="1130" t="s">
        <v>21</v>
      </c>
      <c r="CP170" s="838" t="s">
        <v>21</v>
      </c>
      <c r="CQ170" s="838" t="s">
        <v>21</v>
      </c>
      <c r="CR170" s="836"/>
    </row>
    <row r="171" spans="1:96" x14ac:dyDescent="0.25">
      <c r="A171" s="935" t="s">
        <v>3466</v>
      </c>
      <c r="B171" s="932" t="s">
        <v>3469</v>
      </c>
      <c r="C171" s="911">
        <v>600</v>
      </c>
      <c r="D171" s="911" t="s">
        <v>2116</v>
      </c>
      <c r="E171" s="912">
        <v>1186.2149999999999</v>
      </c>
      <c r="F171" s="912">
        <v>1184.615</v>
      </c>
      <c r="G171" s="910" t="s">
        <v>2422</v>
      </c>
      <c r="H171" s="912">
        <v>1182</v>
      </c>
      <c r="I171" s="912">
        <v>1181.2</v>
      </c>
      <c r="J171" s="914">
        <v>26.03</v>
      </c>
      <c r="K171" s="915"/>
      <c r="L171" s="916">
        <v>0.1</v>
      </c>
      <c r="M171" s="916">
        <v>0.06</v>
      </c>
      <c r="N171" s="916">
        <v>0.2</v>
      </c>
      <c r="O171" s="916">
        <v>4.3730000000000002</v>
      </c>
      <c r="P171" s="915"/>
      <c r="Q171" s="916">
        <v>1.46</v>
      </c>
      <c r="R171" s="917">
        <v>0.33333333333333331</v>
      </c>
      <c r="S171" s="918">
        <v>1.4</v>
      </c>
      <c r="T171" s="918">
        <v>2.3730000000000002</v>
      </c>
      <c r="U171" s="916">
        <v>3.0779999999999998</v>
      </c>
      <c r="V171" s="916">
        <v>0.92</v>
      </c>
      <c r="W171" s="915"/>
      <c r="X171" s="916">
        <v>0.28299999999999997</v>
      </c>
      <c r="Y171" s="916">
        <v>0.40699999999999997</v>
      </c>
      <c r="Z171" s="916">
        <v>2.754</v>
      </c>
      <c r="AA171" s="916">
        <v>1.0229999999999999</v>
      </c>
      <c r="AB171" s="916">
        <v>1.1839999999999999</v>
      </c>
      <c r="AC171" s="915"/>
      <c r="AD171" s="919">
        <v>113.82899999999999</v>
      </c>
      <c r="AE171" s="920">
        <v>71.686999999999998</v>
      </c>
      <c r="AF171" s="920">
        <v>71.686999999999998</v>
      </c>
      <c r="AG171" s="920" t="s">
        <v>21</v>
      </c>
      <c r="AH171" s="921" t="s">
        <v>21</v>
      </c>
      <c r="AI171" s="921" t="s">
        <v>21</v>
      </c>
      <c r="AJ171" s="920" t="s">
        <v>21</v>
      </c>
      <c r="AK171" s="920" t="s">
        <v>21</v>
      </c>
      <c r="AL171" s="921" t="s">
        <v>21</v>
      </c>
      <c r="AM171" s="921" t="s">
        <v>21</v>
      </c>
      <c r="AN171" s="920"/>
      <c r="AO171" s="920" t="s">
        <v>21</v>
      </c>
      <c r="AP171" s="919">
        <v>36.442</v>
      </c>
      <c r="AQ171" s="933">
        <v>80.120339999999999</v>
      </c>
      <c r="AR171" s="925">
        <v>80.120339999999999</v>
      </c>
      <c r="AS171" s="925" t="s">
        <v>21</v>
      </c>
      <c r="AT171" s="925" t="s">
        <v>21</v>
      </c>
      <c r="AU171" s="925" t="s">
        <v>21</v>
      </c>
      <c r="AV171" s="926" t="s">
        <v>21</v>
      </c>
      <c r="AW171" s="926" t="s">
        <v>21</v>
      </c>
      <c r="AX171" s="926" t="s">
        <v>21</v>
      </c>
      <c r="AY171" s="926" t="s">
        <v>21</v>
      </c>
      <c r="AZ171" s="925" t="s">
        <v>21</v>
      </c>
      <c r="BA171" s="925"/>
      <c r="BB171" s="919">
        <v>3.6440000000000001</v>
      </c>
      <c r="BC171" s="919" t="s">
        <v>21</v>
      </c>
      <c r="BD171" s="919" t="s">
        <v>2137</v>
      </c>
      <c r="BE171" s="925" t="s">
        <v>21</v>
      </c>
      <c r="BF171" s="926" t="s">
        <v>21</v>
      </c>
      <c r="BG171" s="925">
        <v>26.03</v>
      </c>
      <c r="BH171" s="926" t="s">
        <v>21</v>
      </c>
      <c r="BI171" s="925" t="s">
        <v>21</v>
      </c>
      <c r="BJ171" s="926" t="s">
        <v>21</v>
      </c>
      <c r="BK171" s="925" t="s">
        <v>21</v>
      </c>
      <c r="BL171" s="926" t="s">
        <v>21</v>
      </c>
      <c r="BM171" s="925" t="s">
        <v>21</v>
      </c>
      <c r="BN171" s="927"/>
      <c r="BO171" s="927"/>
      <c r="BP171" s="928">
        <v>1</v>
      </c>
      <c r="BQ171" s="928" t="s">
        <v>21</v>
      </c>
      <c r="BR171" s="928" t="s">
        <v>21</v>
      </c>
      <c r="BS171" s="928" t="s">
        <v>21</v>
      </c>
      <c r="BT171" s="928" t="s">
        <v>21</v>
      </c>
      <c r="BU171" s="928" t="s">
        <v>21</v>
      </c>
      <c r="BV171" s="934">
        <v>0.19999999999990914</v>
      </c>
      <c r="BW171" s="934">
        <v>0.5</v>
      </c>
      <c r="BX171" s="1104">
        <v>1</v>
      </c>
      <c r="BY171" s="931">
        <v>3</v>
      </c>
      <c r="BZ171" s="930" t="s">
        <v>21</v>
      </c>
      <c r="CA171" s="1074" t="s">
        <v>21</v>
      </c>
      <c r="CB171" s="930" t="s">
        <v>21</v>
      </c>
      <c r="CC171" s="930" t="s">
        <v>21</v>
      </c>
      <c r="CD171" s="925">
        <v>26.629000000000001</v>
      </c>
      <c r="CE171" s="1130">
        <v>30.82</v>
      </c>
      <c r="CF171" s="1129" t="s">
        <v>21</v>
      </c>
      <c r="CG171" s="1130" t="s">
        <v>21</v>
      </c>
      <c r="CH171" s="1130" t="s">
        <v>21</v>
      </c>
      <c r="CI171" s="1131" t="s">
        <v>21</v>
      </c>
      <c r="CJ171" s="1129">
        <v>30.82</v>
      </c>
      <c r="CK171" s="1130" t="s">
        <v>21</v>
      </c>
      <c r="CL171" s="1130" t="s">
        <v>21</v>
      </c>
      <c r="CM171" s="1131" t="s">
        <v>21</v>
      </c>
      <c r="CN171" s="1130" t="s">
        <v>21</v>
      </c>
      <c r="CP171" s="838" t="s">
        <v>21</v>
      </c>
      <c r="CQ171" s="838" t="s">
        <v>21</v>
      </c>
      <c r="CR171" s="836"/>
    </row>
    <row r="172" spans="1:96" x14ac:dyDescent="0.25">
      <c r="A172" s="935"/>
      <c r="B172" s="932"/>
      <c r="C172" s="911"/>
      <c r="D172" s="911"/>
      <c r="E172" s="912"/>
      <c r="F172" s="912"/>
      <c r="G172" s="910"/>
      <c r="H172" s="912"/>
      <c r="I172" s="912"/>
      <c r="J172" s="914"/>
      <c r="K172" s="915"/>
      <c r="L172" s="916" t="s">
        <v>21</v>
      </c>
      <c r="M172" s="916" t="s">
        <v>21</v>
      </c>
      <c r="N172" s="916" t="s">
        <v>21</v>
      </c>
      <c r="O172" s="916" t="s">
        <v>21</v>
      </c>
      <c r="P172" s="915"/>
      <c r="Q172" s="916" t="s">
        <v>21</v>
      </c>
      <c r="R172" s="917" t="s">
        <v>21</v>
      </c>
      <c r="S172" s="918" t="s">
        <v>21</v>
      </c>
      <c r="T172" s="918" t="s">
        <v>21</v>
      </c>
      <c r="U172" s="916" t="s">
        <v>21</v>
      </c>
      <c r="V172" s="916" t="s">
        <v>21</v>
      </c>
      <c r="W172" s="915"/>
      <c r="X172" s="916" t="s">
        <v>21</v>
      </c>
      <c r="Y172" s="916" t="s">
        <v>21</v>
      </c>
      <c r="Z172" s="916" t="s">
        <v>21</v>
      </c>
      <c r="AA172" s="916" t="s">
        <v>21</v>
      </c>
      <c r="AB172" s="916" t="s">
        <v>21</v>
      </c>
      <c r="AC172" s="915"/>
      <c r="AD172" s="919" t="s">
        <v>21</v>
      </c>
      <c r="AE172" s="920" t="s">
        <v>21</v>
      </c>
      <c r="AF172" s="920" t="s">
        <v>21</v>
      </c>
      <c r="AG172" s="920" t="s">
        <v>21</v>
      </c>
      <c r="AH172" s="921" t="s">
        <v>21</v>
      </c>
      <c r="AI172" s="921" t="s">
        <v>21</v>
      </c>
      <c r="AJ172" s="920" t="s">
        <v>21</v>
      </c>
      <c r="AK172" s="920" t="s">
        <v>21</v>
      </c>
      <c r="AL172" s="921" t="s">
        <v>21</v>
      </c>
      <c r="AM172" s="921" t="s">
        <v>21</v>
      </c>
      <c r="AN172" s="920"/>
      <c r="AO172" s="920" t="s">
        <v>21</v>
      </c>
      <c r="AP172" s="919" t="s">
        <v>21</v>
      </c>
      <c r="AQ172" s="933" t="s">
        <v>21</v>
      </c>
      <c r="AR172" s="925" t="s">
        <v>21</v>
      </c>
      <c r="AS172" s="925" t="s">
        <v>21</v>
      </c>
      <c r="AT172" s="925" t="s">
        <v>21</v>
      </c>
      <c r="AU172" s="925" t="s">
        <v>21</v>
      </c>
      <c r="AV172" s="926" t="s">
        <v>21</v>
      </c>
      <c r="AW172" s="926" t="s">
        <v>21</v>
      </c>
      <c r="AX172" s="926" t="s">
        <v>21</v>
      </c>
      <c r="AY172" s="926" t="s">
        <v>21</v>
      </c>
      <c r="AZ172" s="925" t="s">
        <v>21</v>
      </c>
      <c r="BA172" s="925"/>
      <c r="BB172" s="919" t="s">
        <v>21</v>
      </c>
      <c r="BC172" s="919" t="s">
        <v>21</v>
      </c>
      <c r="BD172" s="919" t="s">
        <v>21</v>
      </c>
      <c r="BE172" s="925" t="s">
        <v>21</v>
      </c>
      <c r="BF172" s="926" t="s">
        <v>21</v>
      </c>
      <c r="BG172" s="925" t="s">
        <v>21</v>
      </c>
      <c r="BH172" s="926" t="s">
        <v>21</v>
      </c>
      <c r="BI172" s="925" t="s">
        <v>21</v>
      </c>
      <c r="BJ172" s="926" t="s">
        <v>21</v>
      </c>
      <c r="BK172" s="925" t="s">
        <v>21</v>
      </c>
      <c r="BL172" s="926" t="s">
        <v>21</v>
      </c>
      <c r="BM172" s="925" t="s">
        <v>21</v>
      </c>
      <c r="BN172" s="927"/>
      <c r="BO172" s="927"/>
      <c r="BP172" s="928" t="s">
        <v>21</v>
      </c>
      <c r="BQ172" s="928" t="s">
        <v>21</v>
      </c>
      <c r="BR172" s="928" t="s">
        <v>21</v>
      </c>
      <c r="BS172" s="928" t="s">
        <v>21</v>
      </c>
      <c r="BT172" s="928" t="s">
        <v>21</v>
      </c>
      <c r="BU172" s="928" t="s">
        <v>21</v>
      </c>
      <c r="BV172" s="934" t="s">
        <v>21</v>
      </c>
      <c r="BW172" s="934" t="s">
        <v>21</v>
      </c>
      <c r="BX172" s="1104" t="s">
        <v>21</v>
      </c>
      <c r="BY172" s="931" t="s">
        <v>21</v>
      </c>
      <c r="BZ172" s="930" t="s">
        <v>21</v>
      </c>
      <c r="CA172" s="1074" t="s">
        <v>21</v>
      </c>
      <c r="CB172" s="930" t="s">
        <v>21</v>
      </c>
      <c r="CC172" s="930" t="s">
        <v>21</v>
      </c>
      <c r="CD172" s="925" t="s">
        <v>21</v>
      </c>
      <c r="CE172" s="1130" t="s">
        <v>21</v>
      </c>
      <c r="CF172" s="1129" t="s">
        <v>21</v>
      </c>
      <c r="CG172" s="1130" t="s">
        <v>21</v>
      </c>
      <c r="CH172" s="1130" t="s">
        <v>21</v>
      </c>
      <c r="CI172" s="1131" t="s">
        <v>21</v>
      </c>
      <c r="CJ172" s="1129" t="s">
        <v>21</v>
      </c>
      <c r="CK172" s="1130" t="s">
        <v>21</v>
      </c>
      <c r="CL172" s="1130" t="s">
        <v>21</v>
      </c>
      <c r="CM172" s="1131" t="s">
        <v>21</v>
      </c>
      <c r="CN172" s="1130" t="s">
        <v>21</v>
      </c>
      <c r="CP172" s="838" t="s">
        <v>21</v>
      </c>
      <c r="CQ172" s="838" t="s">
        <v>21</v>
      </c>
      <c r="CR172" s="836"/>
    </row>
    <row r="173" spans="1:96" x14ac:dyDescent="0.25">
      <c r="A173" s="935" t="s">
        <v>2511</v>
      </c>
      <c r="B173" s="932" t="s">
        <v>2230</v>
      </c>
      <c r="C173" s="911">
        <v>600</v>
      </c>
      <c r="D173" s="911" t="s">
        <v>2116</v>
      </c>
      <c r="E173" s="912">
        <v>1171.92</v>
      </c>
      <c r="F173" s="912">
        <v>1170.02</v>
      </c>
      <c r="G173" s="910" t="s">
        <v>2273</v>
      </c>
      <c r="H173" s="912">
        <v>1170.52</v>
      </c>
      <c r="I173" s="912">
        <v>1168.6199999999999</v>
      </c>
      <c r="J173" s="914">
        <v>46.23</v>
      </c>
      <c r="K173" s="915"/>
      <c r="L173" s="916">
        <v>0.1</v>
      </c>
      <c r="M173" s="916">
        <v>0.06</v>
      </c>
      <c r="N173" s="916">
        <v>0.2</v>
      </c>
      <c r="O173" s="916">
        <v>4.84</v>
      </c>
      <c r="P173" s="915"/>
      <c r="Q173" s="916">
        <v>2.16</v>
      </c>
      <c r="R173" s="917">
        <v>0.33333333333333331</v>
      </c>
      <c r="S173" s="918">
        <v>1.4</v>
      </c>
      <c r="T173" s="918">
        <v>2.84</v>
      </c>
      <c r="U173" s="916">
        <v>4.5540000000000003</v>
      </c>
      <c r="V173" s="916">
        <v>0.92</v>
      </c>
      <c r="W173" s="915"/>
      <c r="X173" s="916">
        <v>0.28299999999999997</v>
      </c>
      <c r="Y173" s="916">
        <v>0.40699999999999997</v>
      </c>
      <c r="Z173" s="916">
        <v>4.5789999999999997</v>
      </c>
      <c r="AA173" s="916">
        <v>1.0229999999999999</v>
      </c>
      <c r="AB173" s="916">
        <v>3.0089999999999999</v>
      </c>
      <c r="AC173" s="915"/>
      <c r="AD173" s="919">
        <v>223.75299999999999</v>
      </c>
      <c r="AE173" s="920">
        <v>211.68700000000001</v>
      </c>
      <c r="AF173" s="920" t="s">
        <v>21</v>
      </c>
      <c r="AG173" s="920" t="s">
        <v>21</v>
      </c>
      <c r="AH173" s="921">
        <v>211.68700000000001</v>
      </c>
      <c r="AI173" s="921" t="s">
        <v>21</v>
      </c>
      <c r="AJ173" s="920" t="s">
        <v>21</v>
      </c>
      <c r="AK173" s="920" t="s">
        <v>21</v>
      </c>
      <c r="AL173" s="921" t="s">
        <v>21</v>
      </c>
      <c r="AM173" s="921" t="s">
        <v>21</v>
      </c>
      <c r="AN173" s="920"/>
      <c r="AO173" s="920" t="s">
        <v>21</v>
      </c>
      <c r="AP173" s="919">
        <v>64.721999999999994</v>
      </c>
      <c r="AQ173" s="933">
        <v>210.53142</v>
      </c>
      <c r="AR173" s="925" t="s">
        <v>21</v>
      </c>
      <c r="AS173" s="925">
        <v>210.53142</v>
      </c>
      <c r="AT173" s="925" t="s">
        <v>21</v>
      </c>
      <c r="AU173" s="925" t="s">
        <v>21</v>
      </c>
      <c r="AV173" s="926" t="s">
        <v>21</v>
      </c>
      <c r="AW173" s="926" t="s">
        <v>21</v>
      </c>
      <c r="AX173" s="926" t="s">
        <v>21</v>
      </c>
      <c r="AY173" s="926" t="s">
        <v>21</v>
      </c>
      <c r="AZ173" s="925" t="s">
        <v>21</v>
      </c>
      <c r="BA173" s="925"/>
      <c r="BB173" s="919">
        <v>6.4720000000000004</v>
      </c>
      <c r="BC173" s="919" t="s">
        <v>21</v>
      </c>
      <c r="BD173" s="919" t="s">
        <v>2142</v>
      </c>
      <c r="BE173" s="925" t="s">
        <v>21</v>
      </c>
      <c r="BF173" s="926" t="s">
        <v>21</v>
      </c>
      <c r="BG173" s="925">
        <v>46.23</v>
      </c>
      <c r="BH173" s="926" t="s">
        <v>21</v>
      </c>
      <c r="BI173" s="925" t="s">
        <v>21</v>
      </c>
      <c r="BJ173" s="926" t="s">
        <v>21</v>
      </c>
      <c r="BK173" s="925" t="s">
        <v>21</v>
      </c>
      <c r="BL173" s="926" t="s">
        <v>21</v>
      </c>
      <c r="BM173" s="925" t="s">
        <v>21</v>
      </c>
      <c r="BN173" s="927"/>
      <c r="BO173" s="927"/>
      <c r="BP173" s="928">
        <v>1</v>
      </c>
      <c r="BQ173" s="928" t="s">
        <v>21</v>
      </c>
      <c r="BR173" s="928" t="s">
        <v>21</v>
      </c>
      <c r="BS173" s="928" t="s">
        <v>21</v>
      </c>
      <c r="BT173" s="928" t="s">
        <v>21</v>
      </c>
      <c r="BU173" s="928" t="s">
        <v>21</v>
      </c>
      <c r="BV173" s="934">
        <v>0.50000000000009104</v>
      </c>
      <c r="BW173" s="934">
        <v>1</v>
      </c>
      <c r="BX173" s="1104">
        <v>2</v>
      </c>
      <c r="BY173" s="931">
        <v>4</v>
      </c>
      <c r="BZ173" s="930" t="s">
        <v>21</v>
      </c>
      <c r="CA173" s="1074">
        <v>2</v>
      </c>
      <c r="CB173" s="930" t="s">
        <v>21</v>
      </c>
      <c r="CC173" s="930" t="s">
        <v>21</v>
      </c>
      <c r="CD173" s="925">
        <v>47.292999999999999</v>
      </c>
      <c r="CE173" s="1130">
        <v>139.10599999999999</v>
      </c>
      <c r="CF173" s="1129" t="s">
        <v>21</v>
      </c>
      <c r="CG173" s="1130" t="s">
        <v>21</v>
      </c>
      <c r="CH173" s="1130" t="s">
        <v>21</v>
      </c>
      <c r="CI173" s="1131" t="s">
        <v>21</v>
      </c>
      <c r="CJ173" s="1129" t="s">
        <v>21</v>
      </c>
      <c r="CK173" s="1130">
        <v>139.10599999999999</v>
      </c>
      <c r="CL173" s="1130" t="s">
        <v>21</v>
      </c>
      <c r="CM173" s="1131" t="s">
        <v>21</v>
      </c>
      <c r="CN173" s="1130" t="s">
        <v>21</v>
      </c>
      <c r="CP173" s="838" t="s">
        <v>21</v>
      </c>
      <c r="CQ173" s="838" t="s">
        <v>21</v>
      </c>
      <c r="CR173" s="836"/>
    </row>
    <row r="174" spans="1:96" x14ac:dyDescent="0.25">
      <c r="A174" s="935"/>
      <c r="B174" s="932" t="s">
        <v>2273</v>
      </c>
      <c r="C174" s="911">
        <v>600</v>
      </c>
      <c r="D174" s="911" t="s">
        <v>2116</v>
      </c>
      <c r="E174" s="912">
        <v>1170.52</v>
      </c>
      <c r="F174" s="912">
        <v>1168.32</v>
      </c>
      <c r="G174" s="1487" t="s">
        <v>2233</v>
      </c>
      <c r="H174" s="1489">
        <v>1166.5</v>
      </c>
      <c r="I174" s="1489">
        <v>1166</v>
      </c>
      <c r="J174" s="1488">
        <v>60</v>
      </c>
      <c r="K174" s="915"/>
      <c r="L174" s="916">
        <v>0.1</v>
      </c>
      <c r="M174" s="916">
        <v>0.06</v>
      </c>
      <c r="N174" s="916">
        <v>0.2</v>
      </c>
      <c r="O174" s="916">
        <v>4.4729999999999999</v>
      </c>
      <c r="P174" s="915"/>
      <c r="Q174" s="916">
        <v>1.61</v>
      </c>
      <c r="R174" s="917">
        <v>0.33333333333333331</v>
      </c>
      <c r="S174" s="918">
        <v>1.4</v>
      </c>
      <c r="T174" s="918">
        <v>2.4729999999999999</v>
      </c>
      <c r="U174" s="916">
        <v>3.3940000000000001</v>
      </c>
      <c r="V174" s="916">
        <v>0.92</v>
      </c>
      <c r="W174" s="915"/>
      <c r="X174" s="916">
        <v>0.28299999999999997</v>
      </c>
      <c r="Y174" s="916">
        <v>0.40699999999999997</v>
      </c>
      <c r="Z174" s="916">
        <v>3.1179999999999999</v>
      </c>
      <c r="AA174" s="916">
        <v>1.0229999999999999</v>
      </c>
      <c r="AB174" s="916">
        <v>1.548</v>
      </c>
      <c r="AC174" s="915"/>
      <c r="AD174" s="919">
        <v>268.38</v>
      </c>
      <c r="AE174" s="920">
        <v>187.08</v>
      </c>
      <c r="AF174" s="920">
        <v>187.08</v>
      </c>
      <c r="AG174" s="920" t="s">
        <v>21</v>
      </c>
      <c r="AH174" s="921" t="s">
        <v>21</v>
      </c>
      <c r="AI174" s="921" t="s">
        <v>21</v>
      </c>
      <c r="AJ174" s="920" t="s">
        <v>21</v>
      </c>
      <c r="AK174" s="920" t="s">
        <v>21</v>
      </c>
      <c r="AL174" s="921" t="s">
        <v>21</v>
      </c>
      <c r="AM174" s="921" t="s">
        <v>21</v>
      </c>
      <c r="AN174" s="920"/>
      <c r="AO174" s="920" t="s">
        <v>21</v>
      </c>
      <c r="AP174" s="919">
        <v>84</v>
      </c>
      <c r="AQ174" s="933">
        <v>203.64000000000001</v>
      </c>
      <c r="AR174" s="925">
        <v>203.64000000000001</v>
      </c>
      <c r="AS174" s="925" t="s">
        <v>21</v>
      </c>
      <c r="AT174" s="925" t="s">
        <v>21</v>
      </c>
      <c r="AU174" s="925" t="s">
        <v>21</v>
      </c>
      <c r="AV174" s="926" t="s">
        <v>21</v>
      </c>
      <c r="AW174" s="926" t="s">
        <v>21</v>
      </c>
      <c r="AX174" s="926" t="s">
        <v>21</v>
      </c>
      <c r="AY174" s="926" t="s">
        <v>21</v>
      </c>
      <c r="AZ174" s="925" t="s">
        <v>21</v>
      </c>
      <c r="BA174" s="925"/>
      <c r="BB174" s="919">
        <v>8.4</v>
      </c>
      <c r="BC174" s="919" t="s">
        <v>21</v>
      </c>
      <c r="BD174" s="919" t="s">
        <v>2137</v>
      </c>
      <c r="BE174" s="925" t="s">
        <v>21</v>
      </c>
      <c r="BF174" s="926" t="s">
        <v>21</v>
      </c>
      <c r="BG174" s="925">
        <v>60</v>
      </c>
      <c r="BH174" s="926" t="s">
        <v>21</v>
      </c>
      <c r="BI174" s="925" t="s">
        <v>21</v>
      </c>
      <c r="BJ174" s="926" t="s">
        <v>21</v>
      </c>
      <c r="BK174" s="925" t="s">
        <v>21</v>
      </c>
      <c r="BL174" s="926" t="s">
        <v>21</v>
      </c>
      <c r="BM174" s="925" t="s">
        <v>21</v>
      </c>
      <c r="BN174" s="927"/>
      <c r="BO174" s="927"/>
      <c r="BP174" s="928">
        <v>1</v>
      </c>
      <c r="BQ174" s="928" t="s">
        <v>21</v>
      </c>
      <c r="BR174" s="928" t="s">
        <v>21</v>
      </c>
      <c r="BS174" s="928" t="s">
        <v>21</v>
      </c>
      <c r="BT174" s="928" t="s">
        <v>21</v>
      </c>
      <c r="BU174" s="928" t="s">
        <v>21</v>
      </c>
      <c r="BV174" s="934">
        <v>0.80000000000004556</v>
      </c>
      <c r="BW174" s="934">
        <v>1</v>
      </c>
      <c r="BX174" s="1104">
        <v>2</v>
      </c>
      <c r="BY174" s="931">
        <v>4</v>
      </c>
      <c r="BZ174" s="930" t="s">
        <v>21</v>
      </c>
      <c r="CA174" s="1074">
        <v>3</v>
      </c>
      <c r="CB174" s="930" t="s">
        <v>21</v>
      </c>
      <c r="CC174" s="930" t="s">
        <v>21</v>
      </c>
      <c r="CD174" s="925">
        <v>61.38</v>
      </c>
      <c r="CE174" s="1130">
        <v>92.88</v>
      </c>
      <c r="CF174" s="1129" t="s">
        <v>21</v>
      </c>
      <c r="CG174" s="1130" t="s">
        <v>21</v>
      </c>
      <c r="CH174" s="1130" t="s">
        <v>21</v>
      </c>
      <c r="CI174" s="1131" t="s">
        <v>21</v>
      </c>
      <c r="CJ174" s="1129" t="s">
        <v>21</v>
      </c>
      <c r="CK174" s="1130">
        <v>92.88</v>
      </c>
      <c r="CL174" s="1130" t="s">
        <v>21</v>
      </c>
      <c r="CM174" s="1131" t="s">
        <v>21</v>
      </c>
      <c r="CN174" s="1130" t="s">
        <v>21</v>
      </c>
      <c r="CP174" s="838" t="s">
        <v>21</v>
      </c>
      <c r="CQ174" s="838" t="s">
        <v>21</v>
      </c>
      <c r="CR174" s="836"/>
    </row>
    <row r="175" spans="1:96" x14ac:dyDescent="0.25">
      <c r="A175" s="935"/>
      <c r="B175" s="932"/>
      <c r="C175" s="911"/>
      <c r="D175" s="911"/>
      <c r="E175" s="912"/>
      <c r="F175" s="912"/>
      <c r="G175" s="910"/>
      <c r="H175" s="912"/>
      <c r="I175" s="912"/>
      <c r="J175" s="914"/>
      <c r="K175" s="915"/>
      <c r="L175" s="916" t="s">
        <v>21</v>
      </c>
      <c r="M175" s="916" t="s">
        <v>21</v>
      </c>
      <c r="N175" s="916" t="s">
        <v>21</v>
      </c>
      <c r="O175" s="916" t="s">
        <v>21</v>
      </c>
      <c r="P175" s="915"/>
      <c r="Q175" s="916" t="s">
        <v>21</v>
      </c>
      <c r="R175" s="917" t="s">
        <v>21</v>
      </c>
      <c r="S175" s="918" t="s">
        <v>21</v>
      </c>
      <c r="T175" s="918" t="s">
        <v>21</v>
      </c>
      <c r="U175" s="916" t="s">
        <v>21</v>
      </c>
      <c r="V175" s="916" t="s">
        <v>21</v>
      </c>
      <c r="W175" s="915"/>
      <c r="X175" s="916" t="s">
        <v>21</v>
      </c>
      <c r="Y175" s="916" t="s">
        <v>21</v>
      </c>
      <c r="Z175" s="916" t="s">
        <v>21</v>
      </c>
      <c r="AA175" s="916" t="s">
        <v>21</v>
      </c>
      <c r="AB175" s="916" t="s">
        <v>21</v>
      </c>
      <c r="AC175" s="915"/>
      <c r="AD175" s="919" t="s">
        <v>21</v>
      </c>
      <c r="AE175" s="920" t="s">
        <v>21</v>
      </c>
      <c r="AF175" s="920" t="s">
        <v>21</v>
      </c>
      <c r="AG175" s="920" t="s">
        <v>21</v>
      </c>
      <c r="AH175" s="921" t="s">
        <v>21</v>
      </c>
      <c r="AI175" s="921" t="s">
        <v>21</v>
      </c>
      <c r="AJ175" s="920" t="s">
        <v>21</v>
      </c>
      <c r="AK175" s="920" t="s">
        <v>21</v>
      </c>
      <c r="AL175" s="921" t="s">
        <v>21</v>
      </c>
      <c r="AM175" s="921" t="s">
        <v>21</v>
      </c>
      <c r="AN175" s="920"/>
      <c r="AO175" s="920" t="s">
        <v>21</v>
      </c>
      <c r="AP175" s="919" t="s">
        <v>21</v>
      </c>
      <c r="AQ175" s="933" t="s">
        <v>21</v>
      </c>
      <c r="AR175" s="925" t="s">
        <v>21</v>
      </c>
      <c r="AS175" s="925" t="s">
        <v>21</v>
      </c>
      <c r="AT175" s="925" t="s">
        <v>21</v>
      </c>
      <c r="AU175" s="925" t="s">
        <v>21</v>
      </c>
      <c r="AV175" s="926" t="s">
        <v>21</v>
      </c>
      <c r="AW175" s="926" t="s">
        <v>21</v>
      </c>
      <c r="AX175" s="926" t="s">
        <v>21</v>
      </c>
      <c r="AY175" s="926" t="s">
        <v>21</v>
      </c>
      <c r="AZ175" s="925" t="s">
        <v>21</v>
      </c>
      <c r="BA175" s="925"/>
      <c r="BB175" s="919" t="s">
        <v>21</v>
      </c>
      <c r="BC175" s="919" t="s">
        <v>21</v>
      </c>
      <c r="BD175" s="919" t="s">
        <v>21</v>
      </c>
      <c r="BE175" s="925" t="s">
        <v>21</v>
      </c>
      <c r="BF175" s="926" t="s">
        <v>21</v>
      </c>
      <c r="BG175" s="925" t="s">
        <v>21</v>
      </c>
      <c r="BH175" s="926" t="s">
        <v>21</v>
      </c>
      <c r="BI175" s="925" t="s">
        <v>21</v>
      </c>
      <c r="BJ175" s="926" t="s">
        <v>21</v>
      </c>
      <c r="BK175" s="925" t="s">
        <v>21</v>
      </c>
      <c r="BL175" s="926" t="s">
        <v>21</v>
      </c>
      <c r="BM175" s="925" t="s">
        <v>21</v>
      </c>
      <c r="BN175" s="927"/>
      <c r="BO175" s="927"/>
      <c r="BP175" s="928" t="s">
        <v>21</v>
      </c>
      <c r="BQ175" s="928" t="s">
        <v>21</v>
      </c>
      <c r="BR175" s="928" t="s">
        <v>21</v>
      </c>
      <c r="BS175" s="928" t="s">
        <v>21</v>
      </c>
      <c r="BT175" s="928" t="s">
        <v>21</v>
      </c>
      <c r="BU175" s="928" t="s">
        <v>21</v>
      </c>
      <c r="BV175" s="934" t="s">
        <v>21</v>
      </c>
      <c r="BW175" s="934" t="s">
        <v>21</v>
      </c>
      <c r="BX175" s="1104" t="s">
        <v>21</v>
      </c>
      <c r="BY175" s="931" t="s">
        <v>21</v>
      </c>
      <c r="BZ175" s="930" t="s">
        <v>21</v>
      </c>
      <c r="CA175" s="1074" t="s">
        <v>21</v>
      </c>
      <c r="CB175" s="930" t="s">
        <v>21</v>
      </c>
      <c r="CC175" s="930" t="s">
        <v>21</v>
      </c>
      <c r="CD175" s="925" t="s">
        <v>21</v>
      </c>
      <c r="CE175" s="1130" t="s">
        <v>21</v>
      </c>
      <c r="CF175" s="1129" t="s">
        <v>21</v>
      </c>
      <c r="CG175" s="1130" t="s">
        <v>21</v>
      </c>
      <c r="CH175" s="1130" t="s">
        <v>21</v>
      </c>
      <c r="CI175" s="1131" t="s">
        <v>21</v>
      </c>
      <c r="CJ175" s="1129" t="s">
        <v>21</v>
      </c>
      <c r="CK175" s="1130" t="s">
        <v>21</v>
      </c>
      <c r="CL175" s="1130" t="s">
        <v>21</v>
      </c>
      <c r="CM175" s="1131" t="s">
        <v>21</v>
      </c>
      <c r="CN175" s="1130" t="s">
        <v>21</v>
      </c>
      <c r="CP175" s="838" t="s">
        <v>21</v>
      </c>
      <c r="CQ175" s="838" t="s">
        <v>21</v>
      </c>
      <c r="CR175" s="836"/>
    </row>
    <row r="176" spans="1:96" x14ac:dyDescent="0.25">
      <c r="A176" s="935" t="s">
        <v>3467</v>
      </c>
      <c r="B176" s="932" t="s">
        <v>3468</v>
      </c>
      <c r="C176" s="911">
        <v>600</v>
      </c>
      <c r="D176" s="911" t="s">
        <v>2116</v>
      </c>
      <c r="E176" s="912">
        <v>1185.8699999999999</v>
      </c>
      <c r="F176" s="912">
        <v>1183.4870000000001</v>
      </c>
      <c r="G176" s="910" t="s">
        <v>2422</v>
      </c>
      <c r="H176" s="912">
        <v>1184.4090000000001</v>
      </c>
      <c r="I176" s="912">
        <v>1183.377</v>
      </c>
      <c r="J176" s="914">
        <v>22.09</v>
      </c>
      <c r="K176" s="915"/>
      <c r="L176" s="916">
        <v>0.1</v>
      </c>
      <c r="M176" s="916">
        <v>0.06</v>
      </c>
      <c r="N176" s="916">
        <v>0.2</v>
      </c>
      <c r="O176" s="916">
        <v>4.7110000000000003</v>
      </c>
      <c r="P176" s="915"/>
      <c r="Q176" s="916">
        <v>1.9670000000000001</v>
      </c>
      <c r="R176" s="917">
        <v>0.33333333333333331</v>
      </c>
      <c r="S176" s="918">
        <v>1.4</v>
      </c>
      <c r="T176" s="918">
        <v>2.7109999999999999</v>
      </c>
      <c r="U176" s="916">
        <v>4.1470000000000002</v>
      </c>
      <c r="V176" s="916">
        <v>0.92</v>
      </c>
      <c r="W176" s="915"/>
      <c r="X176" s="916">
        <v>0.28299999999999997</v>
      </c>
      <c r="Y176" s="916">
        <v>0.40699999999999997</v>
      </c>
      <c r="Z176" s="916">
        <v>4.0430000000000001</v>
      </c>
      <c r="AA176" s="916">
        <v>1.0229999999999999</v>
      </c>
      <c r="AB176" s="916">
        <v>2.4729999999999999</v>
      </c>
      <c r="AC176" s="915"/>
      <c r="AD176" s="919">
        <v>104.066</v>
      </c>
      <c r="AE176" s="920">
        <v>89.31</v>
      </c>
      <c r="AF176" s="920" t="s">
        <v>21</v>
      </c>
      <c r="AG176" s="920" t="s">
        <v>21</v>
      </c>
      <c r="AH176" s="921">
        <v>89.31</v>
      </c>
      <c r="AI176" s="921" t="s">
        <v>21</v>
      </c>
      <c r="AJ176" s="920" t="s">
        <v>21</v>
      </c>
      <c r="AK176" s="920" t="s">
        <v>21</v>
      </c>
      <c r="AL176" s="921" t="s">
        <v>21</v>
      </c>
      <c r="AM176" s="921" t="s">
        <v>21</v>
      </c>
      <c r="AN176" s="920"/>
      <c r="AO176" s="920" t="s">
        <v>21</v>
      </c>
      <c r="AP176" s="919">
        <v>30.925999999999998</v>
      </c>
      <c r="AQ176" s="933">
        <v>91.607230000000001</v>
      </c>
      <c r="AR176" s="925" t="s">
        <v>21</v>
      </c>
      <c r="AS176" s="925">
        <v>91.607230000000001</v>
      </c>
      <c r="AT176" s="925" t="s">
        <v>21</v>
      </c>
      <c r="AU176" s="925" t="s">
        <v>21</v>
      </c>
      <c r="AV176" s="926" t="s">
        <v>21</v>
      </c>
      <c r="AW176" s="926" t="s">
        <v>21</v>
      </c>
      <c r="AX176" s="926" t="s">
        <v>21</v>
      </c>
      <c r="AY176" s="926" t="s">
        <v>21</v>
      </c>
      <c r="AZ176" s="925" t="s">
        <v>21</v>
      </c>
      <c r="BA176" s="925"/>
      <c r="BB176" s="919">
        <v>3.093</v>
      </c>
      <c r="BC176" s="919" t="s">
        <v>21</v>
      </c>
      <c r="BD176" s="919" t="s">
        <v>2142</v>
      </c>
      <c r="BE176" s="925" t="s">
        <v>21</v>
      </c>
      <c r="BF176" s="926" t="s">
        <v>21</v>
      </c>
      <c r="BG176" s="925">
        <v>22.09</v>
      </c>
      <c r="BH176" s="926" t="s">
        <v>21</v>
      </c>
      <c r="BI176" s="925" t="s">
        <v>21</v>
      </c>
      <c r="BJ176" s="926" t="s">
        <v>21</v>
      </c>
      <c r="BK176" s="925" t="s">
        <v>21</v>
      </c>
      <c r="BL176" s="926" t="s">
        <v>21</v>
      </c>
      <c r="BM176" s="925" t="s">
        <v>21</v>
      </c>
      <c r="BN176" s="927"/>
      <c r="BO176" s="927"/>
      <c r="BP176" s="928">
        <v>1</v>
      </c>
      <c r="BQ176" s="928" t="s">
        <v>21</v>
      </c>
      <c r="BR176" s="928" t="s">
        <v>21</v>
      </c>
      <c r="BS176" s="928" t="s">
        <v>21</v>
      </c>
      <c r="BT176" s="928" t="s">
        <v>21</v>
      </c>
      <c r="BU176" s="928" t="s">
        <v>21</v>
      </c>
      <c r="BV176" s="934">
        <v>0.98299999999981091</v>
      </c>
      <c r="BW176" s="934">
        <v>1</v>
      </c>
      <c r="BX176" s="1104">
        <v>2</v>
      </c>
      <c r="BY176" s="931">
        <v>4</v>
      </c>
      <c r="BZ176" s="930" t="s">
        <v>21</v>
      </c>
      <c r="CA176" s="1074" t="s">
        <v>21</v>
      </c>
      <c r="CB176" s="930" t="s">
        <v>21</v>
      </c>
      <c r="CC176" s="930" t="s">
        <v>21</v>
      </c>
      <c r="CD176" s="925">
        <v>22.597999999999999</v>
      </c>
      <c r="CE176" s="1130">
        <v>54.628999999999998</v>
      </c>
      <c r="CF176" s="1129" t="s">
        <v>21</v>
      </c>
      <c r="CG176" s="1130" t="s">
        <v>21</v>
      </c>
      <c r="CH176" s="1130" t="s">
        <v>21</v>
      </c>
      <c r="CI176" s="1131" t="s">
        <v>21</v>
      </c>
      <c r="CJ176" s="1129" t="s">
        <v>21</v>
      </c>
      <c r="CK176" s="1130">
        <v>54.628999999999998</v>
      </c>
      <c r="CL176" s="1130" t="s">
        <v>21</v>
      </c>
      <c r="CM176" s="1131" t="s">
        <v>21</v>
      </c>
      <c r="CN176" s="1130" t="s">
        <v>21</v>
      </c>
      <c r="CP176" s="838" t="s">
        <v>21</v>
      </c>
      <c r="CQ176" s="838" t="s">
        <v>21</v>
      </c>
      <c r="CR176" s="836"/>
    </row>
    <row r="177" spans="1:96" x14ac:dyDescent="0.25">
      <c r="A177" s="935"/>
      <c r="B177" s="932"/>
      <c r="C177" s="911"/>
      <c r="D177" s="911"/>
      <c r="E177" s="912"/>
      <c r="F177" s="912"/>
      <c r="G177" s="910"/>
      <c r="H177" s="912"/>
      <c r="I177" s="912"/>
      <c r="J177" s="914"/>
      <c r="K177" s="915"/>
      <c r="L177" s="916" t="s">
        <v>21</v>
      </c>
      <c r="M177" s="916" t="s">
        <v>21</v>
      </c>
      <c r="N177" s="916" t="s">
        <v>21</v>
      </c>
      <c r="O177" s="916" t="s">
        <v>21</v>
      </c>
      <c r="P177" s="915"/>
      <c r="Q177" s="916" t="s">
        <v>21</v>
      </c>
      <c r="R177" s="917" t="s">
        <v>21</v>
      </c>
      <c r="S177" s="918" t="s">
        <v>21</v>
      </c>
      <c r="T177" s="918" t="s">
        <v>21</v>
      </c>
      <c r="U177" s="916" t="s">
        <v>21</v>
      </c>
      <c r="V177" s="916" t="s">
        <v>21</v>
      </c>
      <c r="W177" s="915"/>
      <c r="X177" s="916" t="s">
        <v>21</v>
      </c>
      <c r="Y177" s="916" t="s">
        <v>21</v>
      </c>
      <c r="Z177" s="916" t="s">
        <v>21</v>
      </c>
      <c r="AA177" s="916" t="s">
        <v>21</v>
      </c>
      <c r="AB177" s="916" t="s">
        <v>21</v>
      </c>
      <c r="AC177" s="915"/>
      <c r="AD177" s="919" t="s">
        <v>21</v>
      </c>
      <c r="AE177" s="920" t="s">
        <v>21</v>
      </c>
      <c r="AF177" s="920" t="s">
        <v>21</v>
      </c>
      <c r="AG177" s="920" t="s">
        <v>21</v>
      </c>
      <c r="AH177" s="921" t="s">
        <v>21</v>
      </c>
      <c r="AI177" s="921" t="s">
        <v>21</v>
      </c>
      <c r="AJ177" s="920" t="s">
        <v>21</v>
      </c>
      <c r="AK177" s="920" t="s">
        <v>21</v>
      </c>
      <c r="AL177" s="921" t="s">
        <v>21</v>
      </c>
      <c r="AM177" s="921" t="s">
        <v>21</v>
      </c>
      <c r="AN177" s="920"/>
      <c r="AO177" s="920" t="s">
        <v>21</v>
      </c>
      <c r="AP177" s="919" t="s">
        <v>21</v>
      </c>
      <c r="AQ177" s="933" t="s">
        <v>21</v>
      </c>
      <c r="AR177" s="925" t="s">
        <v>21</v>
      </c>
      <c r="AS177" s="925" t="s">
        <v>21</v>
      </c>
      <c r="AT177" s="925" t="s">
        <v>21</v>
      </c>
      <c r="AU177" s="925" t="s">
        <v>21</v>
      </c>
      <c r="AV177" s="926" t="s">
        <v>21</v>
      </c>
      <c r="AW177" s="926" t="s">
        <v>21</v>
      </c>
      <c r="AX177" s="926" t="s">
        <v>21</v>
      </c>
      <c r="AY177" s="926" t="s">
        <v>21</v>
      </c>
      <c r="AZ177" s="925" t="s">
        <v>21</v>
      </c>
      <c r="BA177" s="925"/>
      <c r="BB177" s="919" t="s">
        <v>21</v>
      </c>
      <c r="BC177" s="919" t="s">
        <v>21</v>
      </c>
      <c r="BD177" s="919" t="s">
        <v>21</v>
      </c>
      <c r="BE177" s="925" t="s">
        <v>21</v>
      </c>
      <c r="BF177" s="926" t="s">
        <v>21</v>
      </c>
      <c r="BG177" s="925" t="s">
        <v>21</v>
      </c>
      <c r="BH177" s="926" t="s">
        <v>21</v>
      </c>
      <c r="BI177" s="925" t="s">
        <v>21</v>
      </c>
      <c r="BJ177" s="926" t="s">
        <v>21</v>
      </c>
      <c r="BK177" s="925" t="s">
        <v>21</v>
      </c>
      <c r="BL177" s="926" t="s">
        <v>21</v>
      </c>
      <c r="BM177" s="925" t="s">
        <v>21</v>
      </c>
      <c r="BN177" s="927"/>
      <c r="BO177" s="927"/>
      <c r="BP177" s="928" t="s">
        <v>21</v>
      </c>
      <c r="BQ177" s="928" t="s">
        <v>21</v>
      </c>
      <c r="BR177" s="928" t="s">
        <v>21</v>
      </c>
      <c r="BS177" s="928" t="s">
        <v>21</v>
      </c>
      <c r="BT177" s="928" t="s">
        <v>21</v>
      </c>
      <c r="BU177" s="928" t="s">
        <v>21</v>
      </c>
      <c r="BV177" s="934" t="s">
        <v>21</v>
      </c>
      <c r="BW177" s="934" t="s">
        <v>21</v>
      </c>
      <c r="BX177" s="1104" t="s">
        <v>21</v>
      </c>
      <c r="BY177" s="931" t="s">
        <v>21</v>
      </c>
      <c r="BZ177" s="930" t="s">
        <v>21</v>
      </c>
      <c r="CA177" s="1074" t="s">
        <v>21</v>
      </c>
      <c r="CB177" s="930" t="s">
        <v>21</v>
      </c>
      <c r="CC177" s="930" t="s">
        <v>21</v>
      </c>
      <c r="CD177" s="925" t="s">
        <v>21</v>
      </c>
      <c r="CE177" s="1130" t="s">
        <v>21</v>
      </c>
      <c r="CF177" s="1129" t="s">
        <v>21</v>
      </c>
      <c r="CG177" s="1130" t="s">
        <v>21</v>
      </c>
      <c r="CH177" s="1130" t="s">
        <v>21</v>
      </c>
      <c r="CI177" s="1131" t="s">
        <v>21</v>
      </c>
      <c r="CJ177" s="1129" t="s">
        <v>21</v>
      </c>
      <c r="CK177" s="1130" t="s">
        <v>21</v>
      </c>
      <c r="CL177" s="1130" t="s">
        <v>21</v>
      </c>
      <c r="CM177" s="1131" t="s">
        <v>21</v>
      </c>
      <c r="CN177" s="1130" t="s">
        <v>21</v>
      </c>
      <c r="CP177" s="838" t="s">
        <v>21</v>
      </c>
      <c r="CQ177" s="838" t="s">
        <v>21</v>
      </c>
      <c r="CR177" s="836"/>
    </row>
    <row r="178" spans="1:96" x14ac:dyDescent="0.25">
      <c r="A178" s="935" t="s">
        <v>2512</v>
      </c>
      <c r="B178" s="932" t="s">
        <v>2231</v>
      </c>
      <c r="C178" s="911">
        <v>600</v>
      </c>
      <c r="D178" s="911" t="s">
        <v>2116</v>
      </c>
      <c r="E178" s="912">
        <v>1150.47</v>
      </c>
      <c r="F178" s="912">
        <v>1148.57</v>
      </c>
      <c r="G178" s="910" t="s">
        <v>2298</v>
      </c>
      <c r="H178" s="912">
        <v>1152.4000000000001</v>
      </c>
      <c r="I178" s="912">
        <v>1148.481</v>
      </c>
      <c r="J178" s="914">
        <v>17.73</v>
      </c>
      <c r="K178" s="915"/>
      <c r="L178" s="916">
        <v>0.1</v>
      </c>
      <c r="M178" s="916">
        <v>0.06</v>
      </c>
      <c r="N178" s="916">
        <v>0.2</v>
      </c>
      <c r="O178" s="916">
        <v>5.5129999999999999</v>
      </c>
      <c r="P178" s="915"/>
      <c r="Q178" s="916">
        <v>3.17</v>
      </c>
      <c r="R178" s="917">
        <v>0.33333333333333331</v>
      </c>
      <c r="S178" s="918">
        <v>1.4</v>
      </c>
      <c r="T178" s="918">
        <v>3.5129999999999999</v>
      </c>
      <c r="U178" s="916">
        <v>6.6829999999999998</v>
      </c>
      <c r="V178" s="916">
        <v>0.92</v>
      </c>
      <c r="W178" s="915"/>
      <c r="X178" s="916">
        <v>0.28299999999999997</v>
      </c>
      <c r="Y178" s="916">
        <v>0.40699999999999997</v>
      </c>
      <c r="Z178" s="916">
        <v>7.7869999999999999</v>
      </c>
      <c r="AA178" s="916">
        <v>1.0229999999999999</v>
      </c>
      <c r="AB178" s="916">
        <v>6.2169999999999996</v>
      </c>
      <c r="AC178" s="915"/>
      <c r="AD178" s="919">
        <v>97.745000000000005</v>
      </c>
      <c r="AE178" s="920">
        <v>138.06399999999999</v>
      </c>
      <c r="AF178" s="920" t="s">
        <v>21</v>
      </c>
      <c r="AG178" s="920" t="s">
        <v>21</v>
      </c>
      <c r="AH178" s="921">
        <v>138.06399999999999</v>
      </c>
      <c r="AI178" s="921" t="s">
        <v>21</v>
      </c>
      <c r="AJ178" s="920" t="s">
        <v>21</v>
      </c>
      <c r="AK178" s="920" t="s">
        <v>21</v>
      </c>
      <c r="AL178" s="921" t="s">
        <v>21</v>
      </c>
      <c r="AM178" s="921" t="s">
        <v>21</v>
      </c>
      <c r="AN178" s="920"/>
      <c r="AO178" s="920" t="s">
        <v>21</v>
      </c>
      <c r="AP178" s="919">
        <v>24.821999999999999</v>
      </c>
      <c r="AQ178" s="933">
        <v>118.48959000000001</v>
      </c>
      <c r="AR178" s="925" t="s">
        <v>21</v>
      </c>
      <c r="AS178" s="925">
        <v>118.48959000000001</v>
      </c>
      <c r="AT178" s="925" t="s">
        <v>21</v>
      </c>
      <c r="AU178" s="925" t="s">
        <v>21</v>
      </c>
      <c r="AV178" s="926" t="s">
        <v>21</v>
      </c>
      <c r="AW178" s="926" t="s">
        <v>21</v>
      </c>
      <c r="AX178" s="926" t="s">
        <v>21</v>
      </c>
      <c r="AY178" s="926" t="s">
        <v>21</v>
      </c>
      <c r="AZ178" s="925" t="s">
        <v>21</v>
      </c>
      <c r="BA178" s="925"/>
      <c r="BB178" s="919">
        <v>2.4820000000000002</v>
      </c>
      <c r="BC178" s="919" t="s">
        <v>21</v>
      </c>
      <c r="BD178" s="919" t="s">
        <v>2152</v>
      </c>
      <c r="BE178" s="925" t="s">
        <v>21</v>
      </c>
      <c r="BF178" s="926" t="s">
        <v>21</v>
      </c>
      <c r="BG178" s="925">
        <v>17.73</v>
      </c>
      <c r="BH178" s="926" t="s">
        <v>21</v>
      </c>
      <c r="BI178" s="925" t="s">
        <v>21</v>
      </c>
      <c r="BJ178" s="926" t="s">
        <v>21</v>
      </c>
      <c r="BK178" s="925" t="s">
        <v>21</v>
      </c>
      <c r="BL178" s="926" t="s">
        <v>21</v>
      </c>
      <c r="BM178" s="925" t="s">
        <v>21</v>
      </c>
      <c r="BN178" s="927"/>
      <c r="BO178" s="927"/>
      <c r="BP178" s="928">
        <v>1</v>
      </c>
      <c r="BQ178" s="928" t="s">
        <v>21</v>
      </c>
      <c r="BR178" s="928" t="s">
        <v>21</v>
      </c>
      <c r="BS178" s="928" t="s">
        <v>21</v>
      </c>
      <c r="BT178" s="928" t="s">
        <v>21</v>
      </c>
      <c r="BU178" s="928" t="s">
        <v>21</v>
      </c>
      <c r="BV178" s="934">
        <v>0.50000000000009104</v>
      </c>
      <c r="BW178" s="934">
        <v>1</v>
      </c>
      <c r="BX178" s="1104">
        <v>2</v>
      </c>
      <c r="BY178" s="931">
        <v>4</v>
      </c>
      <c r="BZ178" s="930">
        <v>1</v>
      </c>
      <c r="CA178" s="1074" t="s">
        <v>21</v>
      </c>
      <c r="CB178" s="930">
        <v>1</v>
      </c>
      <c r="CC178" s="930" t="s">
        <v>21</v>
      </c>
      <c r="CD178" s="925">
        <v>18.138000000000002</v>
      </c>
      <c r="CE178" s="1130">
        <v>110.227</v>
      </c>
      <c r="CF178" s="1129" t="s">
        <v>21</v>
      </c>
      <c r="CG178" s="1130" t="s">
        <v>21</v>
      </c>
      <c r="CH178" s="1130" t="s">
        <v>21</v>
      </c>
      <c r="CI178" s="1131" t="s">
        <v>21</v>
      </c>
      <c r="CJ178" s="1129" t="s">
        <v>21</v>
      </c>
      <c r="CK178" s="1130" t="s">
        <v>21</v>
      </c>
      <c r="CL178" s="1130">
        <v>110.227</v>
      </c>
      <c r="CM178" s="1131" t="s">
        <v>21</v>
      </c>
      <c r="CN178" s="1130" t="s">
        <v>21</v>
      </c>
      <c r="CP178" s="838" t="s">
        <v>21</v>
      </c>
      <c r="CQ178" s="838" t="s">
        <v>21</v>
      </c>
      <c r="CR178" s="836"/>
    </row>
    <row r="179" spans="1:96" x14ac:dyDescent="0.25">
      <c r="A179" s="935"/>
      <c r="B179" s="932"/>
      <c r="C179" s="911"/>
      <c r="D179" s="911"/>
      <c r="E179" s="912"/>
      <c r="F179" s="912"/>
      <c r="G179" s="910"/>
      <c r="H179" s="912"/>
      <c r="I179" s="912"/>
      <c r="J179" s="914"/>
      <c r="K179" s="915"/>
      <c r="L179" s="916" t="s">
        <v>21</v>
      </c>
      <c r="M179" s="916" t="s">
        <v>21</v>
      </c>
      <c r="N179" s="916" t="s">
        <v>21</v>
      </c>
      <c r="O179" s="916" t="s">
        <v>21</v>
      </c>
      <c r="P179" s="915"/>
      <c r="Q179" s="916" t="s">
        <v>21</v>
      </c>
      <c r="R179" s="917" t="s">
        <v>21</v>
      </c>
      <c r="S179" s="918" t="s">
        <v>21</v>
      </c>
      <c r="T179" s="918" t="s">
        <v>21</v>
      </c>
      <c r="U179" s="916" t="s">
        <v>21</v>
      </c>
      <c r="V179" s="916" t="s">
        <v>21</v>
      </c>
      <c r="W179" s="915"/>
      <c r="X179" s="916" t="s">
        <v>21</v>
      </c>
      <c r="Y179" s="916" t="s">
        <v>21</v>
      </c>
      <c r="Z179" s="916" t="s">
        <v>21</v>
      </c>
      <c r="AA179" s="916" t="s">
        <v>21</v>
      </c>
      <c r="AB179" s="916" t="s">
        <v>21</v>
      </c>
      <c r="AC179" s="915"/>
      <c r="AD179" s="919" t="s">
        <v>21</v>
      </c>
      <c r="AE179" s="920" t="s">
        <v>21</v>
      </c>
      <c r="AF179" s="920" t="s">
        <v>21</v>
      </c>
      <c r="AG179" s="920" t="s">
        <v>21</v>
      </c>
      <c r="AH179" s="921" t="s">
        <v>21</v>
      </c>
      <c r="AI179" s="921" t="s">
        <v>21</v>
      </c>
      <c r="AJ179" s="920" t="s">
        <v>21</v>
      </c>
      <c r="AK179" s="920" t="s">
        <v>21</v>
      </c>
      <c r="AL179" s="921" t="s">
        <v>21</v>
      </c>
      <c r="AM179" s="921" t="s">
        <v>21</v>
      </c>
      <c r="AN179" s="920"/>
      <c r="AO179" s="920" t="s">
        <v>21</v>
      </c>
      <c r="AP179" s="919" t="s">
        <v>21</v>
      </c>
      <c r="AQ179" s="933" t="s">
        <v>21</v>
      </c>
      <c r="AR179" s="925" t="s">
        <v>21</v>
      </c>
      <c r="AS179" s="925" t="s">
        <v>21</v>
      </c>
      <c r="AT179" s="925" t="s">
        <v>21</v>
      </c>
      <c r="AU179" s="925" t="s">
        <v>21</v>
      </c>
      <c r="AV179" s="926" t="s">
        <v>21</v>
      </c>
      <c r="AW179" s="926" t="s">
        <v>21</v>
      </c>
      <c r="AX179" s="926" t="s">
        <v>21</v>
      </c>
      <c r="AY179" s="926" t="s">
        <v>21</v>
      </c>
      <c r="AZ179" s="925" t="s">
        <v>21</v>
      </c>
      <c r="BA179" s="925"/>
      <c r="BB179" s="919" t="s">
        <v>21</v>
      </c>
      <c r="BC179" s="919" t="s">
        <v>21</v>
      </c>
      <c r="BD179" s="919" t="s">
        <v>21</v>
      </c>
      <c r="BE179" s="925" t="s">
        <v>21</v>
      </c>
      <c r="BF179" s="926" t="s">
        <v>21</v>
      </c>
      <c r="BG179" s="925" t="s">
        <v>21</v>
      </c>
      <c r="BH179" s="926" t="s">
        <v>21</v>
      </c>
      <c r="BI179" s="925" t="s">
        <v>21</v>
      </c>
      <c r="BJ179" s="926" t="s">
        <v>21</v>
      </c>
      <c r="BK179" s="925" t="s">
        <v>21</v>
      </c>
      <c r="BL179" s="926" t="s">
        <v>21</v>
      </c>
      <c r="BM179" s="925" t="s">
        <v>21</v>
      </c>
      <c r="BN179" s="927"/>
      <c r="BO179" s="927"/>
      <c r="BP179" s="928" t="s">
        <v>21</v>
      </c>
      <c r="BQ179" s="928" t="s">
        <v>21</v>
      </c>
      <c r="BR179" s="928" t="s">
        <v>21</v>
      </c>
      <c r="BS179" s="928" t="s">
        <v>21</v>
      </c>
      <c r="BT179" s="928" t="s">
        <v>21</v>
      </c>
      <c r="BU179" s="928" t="s">
        <v>21</v>
      </c>
      <c r="BV179" s="934" t="s">
        <v>21</v>
      </c>
      <c r="BW179" s="934" t="s">
        <v>21</v>
      </c>
      <c r="BX179" s="1104" t="s">
        <v>21</v>
      </c>
      <c r="BY179" s="931" t="s">
        <v>21</v>
      </c>
      <c r="BZ179" s="930" t="s">
        <v>21</v>
      </c>
      <c r="CA179" s="1074" t="s">
        <v>21</v>
      </c>
      <c r="CB179" s="930" t="s">
        <v>21</v>
      </c>
      <c r="CC179" s="930" t="s">
        <v>21</v>
      </c>
      <c r="CD179" s="925" t="s">
        <v>21</v>
      </c>
      <c r="CE179" s="1130" t="s">
        <v>21</v>
      </c>
      <c r="CF179" s="1129" t="s">
        <v>21</v>
      </c>
      <c r="CG179" s="1130" t="s">
        <v>21</v>
      </c>
      <c r="CH179" s="1130" t="s">
        <v>21</v>
      </c>
      <c r="CI179" s="1131" t="s">
        <v>21</v>
      </c>
      <c r="CJ179" s="1129" t="s">
        <v>21</v>
      </c>
      <c r="CK179" s="1130" t="s">
        <v>21</v>
      </c>
      <c r="CL179" s="1130" t="s">
        <v>21</v>
      </c>
      <c r="CM179" s="1131" t="s">
        <v>21</v>
      </c>
      <c r="CN179" s="1130" t="s">
        <v>21</v>
      </c>
      <c r="CP179" s="838" t="s">
        <v>21</v>
      </c>
      <c r="CQ179" s="838" t="s">
        <v>21</v>
      </c>
      <c r="CR179" s="836"/>
    </row>
    <row r="180" spans="1:96" x14ac:dyDescent="0.25">
      <c r="A180" s="935" t="s">
        <v>2513</v>
      </c>
      <c r="B180" s="932" t="s">
        <v>2234</v>
      </c>
      <c r="C180" s="911">
        <v>600</v>
      </c>
      <c r="D180" s="911" t="s">
        <v>2116</v>
      </c>
      <c r="E180" s="912">
        <v>1150.49</v>
      </c>
      <c r="F180" s="912">
        <v>1148.5899999999999</v>
      </c>
      <c r="G180" s="932" t="s">
        <v>2266</v>
      </c>
      <c r="H180" s="912">
        <v>1148.6400000000001</v>
      </c>
      <c r="I180" s="912">
        <v>1146.74</v>
      </c>
      <c r="J180" s="914">
        <v>32.14</v>
      </c>
      <c r="K180" s="915"/>
      <c r="L180" s="916">
        <v>0.1</v>
      </c>
      <c r="M180" s="916">
        <v>0.06</v>
      </c>
      <c r="N180" s="916">
        <v>0.2</v>
      </c>
      <c r="O180" s="916">
        <v>4.84</v>
      </c>
      <c r="P180" s="915"/>
      <c r="Q180" s="916">
        <v>2.16</v>
      </c>
      <c r="R180" s="917">
        <v>0.33333333333333331</v>
      </c>
      <c r="S180" s="918">
        <v>1.4</v>
      </c>
      <c r="T180" s="918">
        <v>2.84</v>
      </c>
      <c r="U180" s="916">
        <v>4.5540000000000003</v>
      </c>
      <c r="V180" s="916">
        <v>0.92</v>
      </c>
      <c r="W180" s="915"/>
      <c r="X180" s="916">
        <v>0.28299999999999997</v>
      </c>
      <c r="Y180" s="916">
        <v>0.40699999999999997</v>
      </c>
      <c r="Z180" s="916">
        <v>4.5789999999999997</v>
      </c>
      <c r="AA180" s="916">
        <v>1.0229999999999999</v>
      </c>
      <c r="AB180" s="916">
        <v>3.0089999999999999</v>
      </c>
      <c r="AC180" s="915"/>
      <c r="AD180" s="919">
        <v>155.55799999999999</v>
      </c>
      <c r="AE180" s="920">
        <v>147.16900000000001</v>
      </c>
      <c r="AF180" s="920" t="s">
        <v>21</v>
      </c>
      <c r="AG180" s="920" t="s">
        <v>21</v>
      </c>
      <c r="AH180" s="921">
        <v>147.16900000000001</v>
      </c>
      <c r="AI180" s="921" t="s">
        <v>21</v>
      </c>
      <c r="AJ180" s="920" t="s">
        <v>21</v>
      </c>
      <c r="AK180" s="920" t="s">
        <v>21</v>
      </c>
      <c r="AL180" s="921" t="s">
        <v>21</v>
      </c>
      <c r="AM180" s="921" t="s">
        <v>21</v>
      </c>
      <c r="AN180" s="920"/>
      <c r="AO180" s="920" t="s">
        <v>21</v>
      </c>
      <c r="AP180" s="919">
        <v>44.996000000000002</v>
      </c>
      <c r="AQ180" s="933">
        <v>146.36556000000002</v>
      </c>
      <c r="AR180" s="925" t="s">
        <v>21</v>
      </c>
      <c r="AS180" s="925">
        <v>146.36556000000002</v>
      </c>
      <c r="AT180" s="925" t="s">
        <v>21</v>
      </c>
      <c r="AU180" s="925" t="s">
        <v>21</v>
      </c>
      <c r="AV180" s="926" t="s">
        <v>21</v>
      </c>
      <c r="AW180" s="926" t="s">
        <v>21</v>
      </c>
      <c r="AX180" s="926" t="s">
        <v>21</v>
      </c>
      <c r="AY180" s="926" t="s">
        <v>21</v>
      </c>
      <c r="AZ180" s="925" t="s">
        <v>21</v>
      </c>
      <c r="BA180" s="925"/>
      <c r="BB180" s="919">
        <v>4.5</v>
      </c>
      <c r="BC180" s="919" t="s">
        <v>21</v>
      </c>
      <c r="BD180" s="919" t="s">
        <v>2142</v>
      </c>
      <c r="BE180" s="925" t="s">
        <v>21</v>
      </c>
      <c r="BF180" s="926" t="s">
        <v>21</v>
      </c>
      <c r="BG180" s="925">
        <v>32.14</v>
      </c>
      <c r="BH180" s="926" t="s">
        <v>21</v>
      </c>
      <c r="BI180" s="925" t="s">
        <v>21</v>
      </c>
      <c r="BJ180" s="926" t="s">
        <v>21</v>
      </c>
      <c r="BK180" s="925" t="s">
        <v>21</v>
      </c>
      <c r="BL180" s="926" t="s">
        <v>21</v>
      </c>
      <c r="BM180" s="925" t="s">
        <v>21</v>
      </c>
      <c r="BN180" s="927"/>
      <c r="BO180" s="927"/>
      <c r="BP180" s="928">
        <v>1</v>
      </c>
      <c r="BQ180" s="928" t="s">
        <v>21</v>
      </c>
      <c r="BR180" s="928" t="s">
        <v>21</v>
      </c>
      <c r="BS180" s="928" t="s">
        <v>21</v>
      </c>
      <c r="BT180" s="928" t="s">
        <v>21</v>
      </c>
      <c r="BU180" s="928" t="s">
        <v>21</v>
      </c>
      <c r="BV180" s="934">
        <v>0.50000000000009104</v>
      </c>
      <c r="BW180" s="934">
        <v>1</v>
      </c>
      <c r="BX180" s="1104">
        <v>2</v>
      </c>
      <c r="BY180" s="931">
        <v>4</v>
      </c>
      <c r="BZ180" s="930" t="s">
        <v>21</v>
      </c>
      <c r="CA180" s="1074">
        <v>2</v>
      </c>
      <c r="CB180" s="930" t="s">
        <v>21</v>
      </c>
      <c r="CC180" s="930" t="s">
        <v>21</v>
      </c>
      <c r="CD180" s="925">
        <v>32.878999999999998</v>
      </c>
      <c r="CE180" s="1130">
        <v>96.709000000000003</v>
      </c>
      <c r="CF180" s="1129" t="s">
        <v>21</v>
      </c>
      <c r="CG180" s="1130" t="s">
        <v>21</v>
      </c>
      <c r="CH180" s="1130" t="s">
        <v>21</v>
      </c>
      <c r="CI180" s="1131" t="s">
        <v>21</v>
      </c>
      <c r="CJ180" s="1129" t="s">
        <v>21</v>
      </c>
      <c r="CK180" s="1130">
        <v>96.709000000000003</v>
      </c>
      <c r="CL180" s="1130" t="s">
        <v>21</v>
      </c>
      <c r="CM180" s="1131" t="s">
        <v>21</v>
      </c>
      <c r="CN180" s="1130" t="s">
        <v>21</v>
      </c>
      <c r="CP180" s="838" t="s">
        <v>21</v>
      </c>
      <c r="CQ180" s="838" t="s">
        <v>21</v>
      </c>
      <c r="CR180" s="836"/>
    </row>
    <row r="181" spans="1:96" x14ac:dyDescent="0.25">
      <c r="A181" s="935"/>
      <c r="B181" s="932" t="s">
        <v>2266</v>
      </c>
      <c r="C181" s="911">
        <v>600</v>
      </c>
      <c r="D181" s="911" t="s">
        <v>2116</v>
      </c>
      <c r="E181" s="912">
        <v>1148.6400000000001</v>
      </c>
      <c r="F181" s="912">
        <v>1146.74</v>
      </c>
      <c r="G181" s="932" t="s">
        <v>2275</v>
      </c>
      <c r="H181" s="912">
        <v>1142.42</v>
      </c>
      <c r="I181" s="912">
        <v>1140.52</v>
      </c>
      <c r="J181" s="914">
        <v>32.14</v>
      </c>
      <c r="K181" s="915"/>
      <c r="L181" s="916">
        <v>0.1</v>
      </c>
      <c r="M181" s="916">
        <v>0.06</v>
      </c>
      <c r="N181" s="916">
        <v>0.2</v>
      </c>
      <c r="O181" s="916">
        <v>4.84</v>
      </c>
      <c r="P181" s="915"/>
      <c r="Q181" s="916">
        <v>2.16</v>
      </c>
      <c r="R181" s="917">
        <v>0.33333333333333331</v>
      </c>
      <c r="S181" s="918">
        <v>1.4</v>
      </c>
      <c r="T181" s="918">
        <v>2.84</v>
      </c>
      <c r="U181" s="916">
        <v>4.5540000000000003</v>
      </c>
      <c r="V181" s="916">
        <v>0.92</v>
      </c>
      <c r="W181" s="915"/>
      <c r="X181" s="916">
        <v>0.28299999999999997</v>
      </c>
      <c r="Y181" s="916">
        <v>0.40699999999999997</v>
      </c>
      <c r="Z181" s="916">
        <v>4.5789999999999997</v>
      </c>
      <c r="AA181" s="916">
        <v>1.0229999999999999</v>
      </c>
      <c r="AB181" s="916">
        <v>3.0089999999999999</v>
      </c>
      <c r="AC181" s="915"/>
      <c r="AD181" s="919">
        <v>155.55799999999999</v>
      </c>
      <c r="AE181" s="920">
        <v>147.16900000000001</v>
      </c>
      <c r="AF181" s="920" t="s">
        <v>21</v>
      </c>
      <c r="AG181" s="920" t="s">
        <v>21</v>
      </c>
      <c r="AH181" s="921">
        <v>147.16900000000001</v>
      </c>
      <c r="AI181" s="921" t="s">
        <v>21</v>
      </c>
      <c r="AJ181" s="920" t="s">
        <v>21</v>
      </c>
      <c r="AK181" s="920" t="s">
        <v>21</v>
      </c>
      <c r="AL181" s="921" t="s">
        <v>21</v>
      </c>
      <c r="AM181" s="921" t="s">
        <v>21</v>
      </c>
      <c r="AN181" s="920"/>
      <c r="AO181" s="920" t="s">
        <v>21</v>
      </c>
      <c r="AP181" s="919">
        <v>44.996000000000002</v>
      </c>
      <c r="AQ181" s="933">
        <v>146.36556000000002</v>
      </c>
      <c r="AR181" s="925" t="s">
        <v>21</v>
      </c>
      <c r="AS181" s="925">
        <v>146.36556000000002</v>
      </c>
      <c r="AT181" s="925" t="s">
        <v>21</v>
      </c>
      <c r="AU181" s="925" t="s">
        <v>21</v>
      </c>
      <c r="AV181" s="926" t="s">
        <v>21</v>
      </c>
      <c r="AW181" s="926" t="s">
        <v>21</v>
      </c>
      <c r="AX181" s="926" t="s">
        <v>21</v>
      </c>
      <c r="AY181" s="926" t="s">
        <v>21</v>
      </c>
      <c r="AZ181" s="925" t="s">
        <v>21</v>
      </c>
      <c r="BA181" s="925"/>
      <c r="BB181" s="919">
        <v>4.5</v>
      </c>
      <c r="BC181" s="919" t="s">
        <v>21</v>
      </c>
      <c r="BD181" s="919" t="s">
        <v>2142</v>
      </c>
      <c r="BE181" s="925" t="s">
        <v>21</v>
      </c>
      <c r="BF181" s="926" t="s">
        <v>21</v>
      </c>
      <c r="BG181" s="925">
        <v>32.14</v>
      </c>
      <c r="BH181" s="926" t="s">
        <v>21</v>
      </c>
      <c r="BI181" s="925" t="s">
        <v>21</v>
      </c>
      <c r="BJ181" s="926" t="s">
        <v>21</v>
      </c>
      <c r="BK181" s="925" t="s">
        <v>21</v>
      </c>
      <c r="BL181" s="926" t="s">
        <v>21</v>
      </c>
      <c r="BM181" s="925" t="s">
        <v>21</v>
      </c>
      <c r="BN181" s="927"/>
      <c r="BO181" s="927"/>
      <c r="BP181" s="928">
        <v>1</v>
      </c>
      <c r="BQ181" s="928" t="s">
        <v>21</v>
      </c>
      <c r="BR181" s="928" t="s">
        <v>21</v>
      </c>
      <c r="BS181" s="928" t="s">
        <v>21</v>
      </c>
      <c r="BT181" s="928" t="s">
        <v>21</v>
      </c>
      <c r="BU181" s="928" t="s">
        <v>21</v>
      </c>
      <c r="BV181" s="934">
        <v>0.50000000000009104</v>
      </c>
      <c r="BW181" s="934">
        <v>1</v>
      </c>
      <c r="BX181" s="1104">
        <v>2</v>
      </c>
      <c r="BY181" s="931">
        <v>4</v>
      </c>
      <c r="BZ181" s="930">
        <v>1</v>
      </c>
      <c r="CA181" s="1074" t="s">
        <v>21</v>
      </c>
      <c r="CB181" s="930" t="s">
        <v>21</v>
      </c>
      <c r="CC181" s="930" t="s">
        <v>21</v>
      </c>
      <c r="CD181" s="925">
        <v>32.878999999999998</v>
      </c>
      <c r="CE181" s="1130">
        <v>96.709000000000003</v>
      </c>
      <c r="CF181" s="1129" t="s">
        <v>21</v>
      </c>
      <c r="CG181" s="1130" t="s">
        <v>21</v>
      </c>
      <c r="CH181" s="1130" t="s">
        <v>21</v>
      </c>
      <c r="CI181" s="1131" t="s">
        <v>21</v>
      </c>
      <c r="CJ181" s="1129" t="s">
        <v>21</v>
      </c>
      <c r="CK181" s="1130">
        <v>96.709000000000003</v>
      </c>
      <c r="CL181" s="1130" t="s">
        <v>21</v>
      </c>
      <c r="CM181" s="1131" t="s">
        <v>21</v>
      </c>
      <c r="CN181" s="1130" t="s">
        <v>21</v>
      </c>
      <c r="CP181" s="838" t="s">
        <v>21</v>
      </c>
      <c r="CQ181" s="838" t="s">
        <v>21</v>
      </c>
      <c r="CR181" s="836"/>
    </row>
    <row r="182" spans="1:96" x14ac:dyDescent="0.25">
      <c r="A182" s="935"/>
      <c r="B182" s="932" t="s">
        <v>2275</v>
      </c>
      <c r="C182" s="911">
        <v>600</v>
      </c>
      <c r="D182" s="911" t="s">
        <v>2116</v>
      </c>
      <c r="E182" s="912">
        <v>1142.42</v>
      </c>
      <c r="F182" s="912">
        <v>1140.42</v>
      </c>
      <c r="G182" s="932" t="s">
        <v>2276</v>
      </c>
      <c r="H182" s="912">
        <v>1140.45</v>
      </c>
      <c r="I182" s="912">
        <v>1138.55</v>
      </c>
      <c r="J182" s="914">
        <v>51.32</v>
      </c>
      <c r="K182" s="915"/>
      <c r="L182" s="916">
        <v>0.1</v>
      </c>
      <c r="M182" s="916">
        <v>0.06</v>
      </c>
      <c r="N182" s="916">
        <v>0.2</v>
      </c>
      <c r="O182" s="916">
        <v>4.8730000000000002</v>
      </c>
      <c r="P182" s="915"/>
      <c r="Q182" s="916">
        <v>2.21</v>
      </c>
      <c r="R182" s="917">
        <v>0.33333333333333331</v>
      </c>
      <c r="S182" s="918">
        <v>1.4</v>
      </c>
      <c r="T182" s="918">
        <v>2.8730000000000002</v>
      </c>
      <c r="U182" s="916">
        <v>4.6589999999999998</v>
      </c>
      <c r="V182" s="916">
        <v>0.92</v>
      </c>
      <c r="W182" s="915"/>
      <c r="X182" s="916">
        <v>0.28299999999999997</v>
      </c>
      <c r="Y182" s="916">
        <v>0.40699999999999997</v>
      </c>
      <c r="Z182" s="916">
        <v>4.7220000000000004</v>
      </c>
      <c r="AA182" s="916">
        <v>1.0229999999999999</v>
      </c>
      <c r="AB182" s="916">
        <v>3.1520000000000001</v>
      </c>
      <c r="AC182" s="915"/>
      <c r="AD182" s="919">
        <v>250.08199999999999</v>
      </c>
      <c r="AE182" s="920">
        <v>242.333</v>
      </c>
      <c r="AF182" s="920" t="s">
        <v>21</v>
      </c>
      <c r="AG182" s="920" t="s">
        <v>21</v>
      </c>
      <c r="AH182" s="921">
        <v>242.333</v>
      </c>
      <c r="AI182" s="921" t="s">
        <v>21</v>
      </c>
      <c r="AJ182" s="920" t="s">
        <v>21</v>
      </c>
      <c r="AK182" s="920" t="s">
        <v>21</v>
      </c>
      <c r="AL182" s="921" t="s">
        <v>21</v>
      </c>
      <c r="AM182" s="921" t="s">
        <v>21</v>
      </c>
      <c r="AN182" s="920"/>
      <c r="AO182" s="920" t="s">
        <v>21</v>
      </c>
      <c r="AP182" s="919">
        <v>71.847999999999999</v>
      </c>
      <c r="AQ182" s="933">
        <v>239.09987999999998</v>
      </c>
      <c r="AR182" s="925" t="s">
        <v>21</v>
      </c>
      <c r="AS182" s="925">
        <v>239.09987999999998</v>
      </c>
      <c r="AT182" s="925" t="s">
        <v>21</v>
      </c>
      <c r="AU182" s="925" t="s">
        <v>21</v>
      </c>
      <c r="AV182" s="926" t="s">
        <v>21</v>
      </c>
      <c r="AW182" s="926" t="s">
        <v>21</v>
      </c>
      <c r="AX182" s="926" t="s">
        <v>21</v>
      </c>
      <c r="AY182" s="926" t="s">
        <v>21</v>
      </c>
      <c r="AZ182" s="925" t="s">
        <v>21</v>
      </c>
      <c r="BA182" s="925"/>
      <c r="BB182" s="919">
        <v>7.1849999999999996</v>
      </c>
      <c r="BC182" s="919" t="s">
        <v>21</v>
      </c>
      <c r="BD182" s="919" t="s">
        <v>2142</v>
      </c>
      <c r="BE182" s="925" t="s">
        <v>21</v>
      </c>
      <c r="BF182" s="926" t="s">
        <v>21</v>
      </c>
      <c r="BG182" s="925">
        <v>51.32</v>
      </c>
      <c r="BH182" s="926" t="s">
        <v>21</v>
      </c>
      <c r="BI182" s="925" t="s">
        <v>21</v>
      </c>
      <c r="BJ182" s="926" t="s">
        <v>21</v>
      </c>
      <c r="BK182" s="925" t="s">
        <v>21</v>
      </c>
      <c r="BL182" s="926" t="s">
        <v>21</v>
      </c>
      <c r="BM182" s="925" t="s">
        <v>21</v>
      </c>
      <c r="BN182" s="927"/>
      <c r="BO182" s="927"/>
      <c r="BP182" s="928">
        <v>1</v>
      </c>
      <c r="BQ182" s="928" t="s">
        <v>21</v>
      </c>
      <c r="BR182" s="928" t="s">
        <v>21</v>
      </c>
      <c r="BS182" s="928" t="s">
        <v>21</v>
      </c>
      <c r="BT182" s="928" t="s">
        <v>21</v>
      </c>
      <c r="BU182" s="928" t="s">
        <v>21</v>
      </c>
      <c r="BV182" s="934">
        <v>0.60000000000000009</v>
      </c>
      <c r="BW182" s="934">
        <v>1</v>
      </c>
      <c r="BX182" s="1104">
        <v>2</v>
      </c>
      <c r="BY182" s="931">
        <v>4</v>
      </c>
      <c r="BZ182" s="930">
        <v>1</v>
      </c>
      <c r="CA182" s="1074" t="s">
        <v>21</v>
      </c>
      <c r="CB182" s="930" t="s">
        <v>21</v>
      </c>
      <c r="CC182" s="930" t="s">
        <v>21</v>
      </c>
      <c r="CD182" s="925">
        <v>52.5</v>
      </c>
      <c r="CE182" s="1130">
        <v>161.761</v>
      </c>
      <c r="CF182" s="1129" t="s">
        <v>21</v>
      </c>
      <c r="CG182" s="1130" t="s">
        <v>21</v>
      </c>
      <c r="CH182" s="1130" t="s">
        <v>21</v>
      </c>
      <c r="CI182" s="1131" t="s">
        <v>21</v>
      </c>
      <c r="CJ182" s="1129" t="s">
        <v>21</v>
      </c>
      <c r="CK182" s="1130">
        <v>161.761</v>
      </c>
      <c r="CL182" s="1130" t="s">
        <v>21</v>
      </c>
      <c r="CM182" s="1131" t="s">
        <v>21</v>
      </c>
      <c r="CN182" s="1130" t="s">
        <v>21</v>
      </c>
      <c r="CP182" s="838" t="s">
        <v>21</v>
      </c>
      <c r="CQ182" s="838" t="s">
        <v>21</v>
      </c>
      <c r="CR182" s="836"/>
    </row>
    <row r="183" spans="1:96" x14ac:dyDescent="0.25">
      <c r="A183" s="935"/>
      <c r="B183" s="932" t="s">
        <v>2276</v>
      </c>
      <c r="C183" s="911">
        <v>600</v>
      </c>
      <c r="D183" s="911" t="s">
        <v>2116</v>
      </c>
      <c r="E183" s="912">
        <v>1140.45</v>
      </c>
      <c r="F183" s="912">
        <v>1138.55</v>
      </c>
      <c r="G183" s="932" t="s">
        <v>2277</v>
      </c>
      <c r="H183" s="912">
        <v>1135</v>
      </c>
      <c r="I183" s="912">
        <v>1133.0999999999999</v>
      </c>
      <c r="J183" s="914">
        <v>55.37</v>
      </c>
      <c r="K183" s="915"/>
      <c r="L183" s="916">
        <v>0.1</v>
      </c>
      <c r="M183" s="916">
        <v>0.06</v>
      </c>
      <c r="N183" s="916">
        <v>0.2</v>
      </c>
      <c r="O183" s="916">
        <v>4.84</v>
      </c>
      <c r="P183" s="915"/>
      <c r="Q183" s="916">
        <v>2.16</v>
      </c>
      <c r="R183" s="917">
        <v>0.33333333333333331</v>
      </c>
      <c r="S183" s="918">
        <v>1.4</v>
      </c>
      <c r="T183" s="918">
        <v>2.84</v>
      </c>
      <c r="U183" s="916">
        <v>4.5540000000000003</v>
      </c>
      <c r="V183" s="916">
        <v>0.92</v>
      </c>
      <c r="W183" s="915"/>
      <c r="X183" s="916">
        <v>0.28299999999999997</v>
      </c>
      <c r="Y183" s="916">
        <v>0.40699999999999997</v>
      </c>
      <c r="Z183" s="916">
        <v>4.5789999999999997</v>
      </c>
      <c r="AA183" s="916">
        <v>1.0229999999999999</v>
      </c>
      <c r="AB183" s="916">
        <v>3.0089999999999999</v>
      </c>
      <c r="AC183" s="915"/>
      <c r="AD183" s="919">
        <v>267.99099999999999</v>
      </c>
      <c r="AE183" s="920">
        <v>253.53899999999999</v>
      </c>
      <c r="AF183" s="920" t="s">
        <v>21</v>
      </c>
      <c r="AG183" s="920" t="s">
        <v>21</v>
      </c>
      <c r="AH183" s="921">
        <v>253.53899999999999</v>
      </c>
      <c r="AI183" s="921" t="s">
        <v>21</v>
      </c>
      <c r="AJ183" s="920" t="s">
        <v>21</v>
      </c>
      <c r="AK183" s="920" t="s">
        <v>21</v>
      </c>
      <c r="AL183" s="921" t="s">
        <v>21</v>
      </c>
      <c r="AM183" s="921" t="s">
        <v>21</v>
      </c>
      <c r="AN183" s="920"/>
      <c r="AO183" s="920" t="s">
        <v>21</v>
      </c>
      <c r="AP183" s="919">
        <v>77.518000000000001</v>
      </c>
      <c r="AQ183" s="933">
        <v>252.15497999999999</v>
      </c>
      <c r="AR183" s="925" t="s">
        <v>21</v>
      </c>
      <c r="AS183" s="925">
        <v>252.15497999999999</v>
      </c>
      <c r="AT183" s="925" t="s">
        <v>21</v>
      </c>
      <c r="AU183" s="925" t="s">
        <v>21</v>
      </c>
      <c r="AV183" s="926" t="s">
        <v>21</v>
      </c>
      <c r="AW183" s="926" t="s">
        <v>21</v>
      </c>
      <c r="AX183" s="926" t="s">
        <v>21</v>
      </c>
      <c r="AY183" s="926" t="s">
        <v>21</v>
      </c>
      <c r="AZ183" s="925" t="s">
        <v>21</v>
      </c>
      <c r="BA183" s="925"/>
      <c r="BB183" s="919">
        <v>7.7519999999999998</v>
      </c>
      <c r="BC183" s="919" t="s">
        <v>21</v>
      </c>
      <c r="BD183" s="919" t="s">
        <v>2142</v>
      </c>
      <c r="BE183" s="925" t="s">
        <v>21</v>
      </c>
      <c r="BF183" s="926" t="s">
        <v>21</v>
      </c>
      <c r="BG183" s="925">
        <v>55.37</v>
      </c>
      <c r="BH183" s="926" t="s">
        <v>21</v>
      </c>
      <c r="BI183" s="925" t="s">
        <v>21</v>
      </c>
      <c r="BJ183" s="926" t="s">
        <v>21</v>
      </c>
      <c r="BK183" s="925" t="s">
        <v>21</v>
      </c>
      <c r="BL183" s="926" t="s">
        <v>21</v>
      </c>
      <c r="BM183" s="925" t="s">
        <v>21</v>
      </c>
      <c r="BN183" s="927"/>
      <c r="BO183" s="927"/>
      <c r="BP183" s="928">
        <v>1</v>
      </c>
      <c r="BQ183" s="928" t="s">
        <v>21</v>
      </c>
      <c r="BR183" s="928" t="s">
        <v>21</v>
      </c>
      <c r="BS183" s="928" t="s">
        <v>21</v>
      </c>
      <c r="BT183" s="928" t="s">
        <v>21</v>
      </c>
      <c r="BU183" s="928" t="s">
        <v>21</v>
      </c>
      <c r="BV183" s="934">
        <v>0.50000000000009104</v>
      </c>
      <c r="BW183" s="934">
        <v>1</v>
      </c>
      <c r="BX183" s="1104">
        <v>2</v>
      </c>
      <c r="BY183" s="931">
        <v>4</v>
      </c>
      <c r="BZ183" s="930" t="s">
        <v>21</v>
      </c>
      <c r="CA183" s="1074">
        <v>1</v>
      </c>
      <c r="CB183" s="930" t="s">
        <v>21</v>
      </c>
      <c r="CC183" s="930" t="s">
        <v>21</v>
      </c>
      <c r="CD183" s="925">
        <v>56.643999999999998</v>
      </c>
      <c r="CE183" s="1130">
        <v>166.608</v>
      </c>
      <c r="CF183" s="1129" t="s">
        <v>21</v>
      </c>
      <c r="CG183" s="1130" t="s">
        <v>21</v>
      </c>
      <c r="CH183" s="1130" t="s">
        <v>21</v>
      </c>
      <c r="CI183" s="1131" t="s">
        <v>21</v>
      </c>
      <c r="CJ183" s="1129" t="s">
        <v>21</v>
      </c>
      <c r="CK183" s="1130">
        <v>166.608</v>
      </c>
      <c r="CL183" s="1130" t="s">
        <v>21</v>
      </c>
      <c r="CM183" s="1131" t="s">
        <v>21</v>
      </c>
      <c r="CN183" s="1130" t="s">
        <v>21</v>
      </c>
      <c r="CP183" s="838" t="s">
        <v>21</v>
      </c>
      <c r="CQ183" s="838" t="s">
        <v>21</v>
      </c>
      <c r="CR183" s="836"/>
    </row>
    <row r="184" spans="1:96" x14ac:dyDescent="0.25">
      <c r="A184" s="935"/>
      <c r="B184" s="932" t="s">
        <v>2277</v>
      </c>
      <c r="C184" s="911">
        <v>600</v>
      </c>
      <c r="D184" s="911" t="s">
        <v>2116</v>
      </c>
      <c r="E184" s="912">
        <v>1135</v>
      </c>
      <c r="F184" s="912">
        <v>1133.05</v>
      </c>
      <c r="G184" s="932" t="s">
        <v>2278</v>
      </c>
      <c r="H184" s="912">
        <v>1130.1400000000001</v>
      </c>
      <c r="I184" s="912">
        <v>1128.24</v>
      </c>
      <c r="J184" s="914">
        <v>53.38</v>
      </c>
      <c r="K184" s="915"/>
      <c r="L184" s="916">
        <v>0.1</v>
      </c>
      <c r="M184" s="916">
        <v>0.06</v>
      </c>
      <c r="N184" s="916">
        <v>0.2</v>
      </c>
      <c r="O184" s="916">
        <v>4.8570000000000002</v>
      </c>
      <c r="P184" s="915"/>
      <c r="Q184" s="916">
        <v>2.1850000000000001</v>
      </c>
      <c r="R184" s="917">
        <v>0.33333333333333331</v>
      </c>
      <c r="S184" s="918">
        <v>1.4</v>
      </c>
      <c r="T184" s="918">
        <v>2.8570000000000002</v>
      </c>
      <c r="U184" s="916">
        <v>4.6059999999999999</v>
      </c>
      <c r="V184" s="916">
        <v>0.92</v>
      </c>
      <c r="W184" s="915"/>
      <c r="X184" s="916">
        <v>0.28299999999999997</v>
      </c>
      <c r="Y184" s="916">
        <v>0.40699999999999997</v>
      </c>
      <c r="Z184" s="916">
        <v>4.6509999999999998</v>
      </c>
      <c r="AA184" s="916">
        <v>1.0229999999999999</v>
      </c>
      <c r="AB184" s="916">
        <v>3.081</v>
      </c>
      <c r="AC184" s="915"/>
      <c r="AD184" s="919">
        <v>259.267</v>
      </c>
      <c r="AE184" s="920">
        <v>248.27</v>
      </c>
      <c r="AF184" s="920" t="s">
        <v>21</v>
      </c>
      <c r="AG184" s="920" t="s">
        <v>21</v>
      </c>
      <c r="AH184" s="921">
        <v>248.27</v>
      </c>
      <c r="AI184" s="921" t="s">
        <v>21</v>
      </c>
      <c r="AJ184" s="920" t="s">
        <v>21</v>
      </c>
      <c r="AK184" s="920" t="s">
        <v>21</v>
      </c>
      <c r="AL184" s="921" t="s">
        <v>21</v>
      </c>
      <c r="AM184" s="921" t="s">
        <v>21</v>
      </c>
      <c r="AN184" s="920"/>
      <c r="AO184" s="920" t="s">
        <v>21</v>
      </c>
      <c r="AP184" s="919">
        <v>74.731999999999999</v>
      </c>
      <c r="AQ184" s="933">
        <v>245.86828</v>
      </c>
      <c r="AR184" s="925" t="s">
        <v>21</v>
      </c>
      <c r="AS184" s="925">
        <v>245.86828</v>
      </c>
      <c r="AT184" s="925" t="s">
        <v>21</v>
      </c>
      <c r="AU184" s="925" t="s">
        <v>21</v>
      </c>
      <c r="AV184" s="926" t="s">
        <v>21</v>
      </c>
      <c r="AW184" s="926" t="s">
        <v>21</v>
      </c>
      <c r="AX184" s="926" t="s">
        <v>21</v>
      </c>
      <c r="AY184" s="926" t="s">
        <v>21</v>
      </c>
      <c r="AZ184" s="925" t="s">
        <v>21</v>
      </c>
      <c r="BA184" s="925"/>
      <c r="BB184" s="919">
        <v>7.4729999999999999</v>
      </c>
      <c r="BC184" s="919" t="s">
        <v>21</v>
      </c>
      <c r="BD184" s="919" t="s">
        <v>2142</v>
      </c>
      <c r="BE184" s="925" t="s">
        <v>21</v>
      </c>
      <c r="BF184" s="926" t="s">
        <v>21</v>
      </c>
      <c r="BG184" s="925">
        <v>53.38</v>
      </c>
      <c r="BH184" s="926" t="s">
        <v>21</v>
      </c>
      <c r="BI184" s="925" t="s">
        <v>21</v>
      </c>
      <c r="BJ184" s="926" t="s">
        <v>21</v>
      </c>
      <c r="BK184" s="925" t="s">
        <v>21</v>
      </c>
      <c r="BL184" s="926" t="s">
        <v>21</v>
      </c>
      <c r="BM184" s="925" t="s">
        <v>21</v>
      </c>
      <c r="BN184" s="927"/>
      <c r="BO184" s="927"/>
      <c r="BP184" s="928">
        <v>1</v>
      </c>
      <c r="BQ184" s="928" t="s">
        <v>21</v>
      </c>
      <c r="BR184" s="928" t="s">
        <v>21</v>
      </c>
      <c r="BS184" s="928" t="s">
        <v>21</v>
      </c>
      <c r="BT184" s="928" t="s">
        <v>21</v>
      </c>
      <c r="BU184" s="928" t="s">
        <v>21</v>
      </c>
      <c r="BV184" s="934">
        <v>0.55000000000004556</v>
      </c>
      <c r="BW184" s="934">
        <v>1</v>
      </c>
      <c r="BX184" s="1104">
        <v>2</v>
      </c>
      <c r="BY184" s="931">
        <v>4</v>
      </c>
      <c r="BZ184" s="930" t="s">
        <v>21</v>
      </c>
      <c r="CA184" s="1074">
        <v>1</v>
      </c>
      <c r="CB184" s="930" t="s">
        <v>21</v>
      </c>
      <c r="CC184" s="930" t="s">
        <v>21</v>
      </c>
      <c r="CD184" s="925">
        <v>54.607999999999997</v>
      </c>
      <c r="CE184" s="1130">
        <v>164.464</v>
      </c>
      <c r="CF184" s="1129" t="s">
        <v>21</v>
      </c>
      <c r="CG184" s="1130" t="s">
        <v>21</v>
      </c>
      <c r="CH184" s="1130" t="s">
        <v>21</v>
      </c>
      <c r="CI184" s="1131" t="s">
        <v>21</v>
      </c>
      <c r="CJ184" s="1129" t="s">
        <v>21</v>
      </c>
      <c r="CK184" s="1130">
        <v>164.464</v>
      </c>
      <c r="CL184" s="1130" t="s">
        <v>21</v>
      </c>
      <c r="CM184" s="1131" t="s">
        <v>21</v>
      </c>
      <c r="CN184" s="1130" t="s">
        <v>21</v>
      </c>
      <c r="CP184" s="838" t="s">
        <v>21</v>
      </c>
      <c r="CQ184" s="838" t="s">
        <v>21</v>
      </c>
      <c r="CR184" s="836"/>
    </row>
    <row r="185" spans="1:96" x14ac:dyDescent="0.25">
      <c r="A185" s="935"/>
      <c r="B185" s="932" t="s">
        <v>2278</v>
      </c>
      <c r="C185" s="911">
        <v>800</v>
      </c>
      <c r="D185" s="911" t="s">
        <v>2116</v>
      </c>
      <c r="E185" s="912">
        <v>1130.1400000000001</v>
      </c>
      <c r="F185" s="912">
        <v>1127.8399999999999</v>
      </c>
      <c r="G185" s="932" t="s">
        <v>2279</v>
      </c>
      <c r="H185" s="912">
        <v>1131.51</v>
      </c>
      <c r="I185" s="912">
        <v>1127.6659999999999</v>
      </c>
      <c r="J185" s="914">
        <v>48.52</v>
      </c>
      <c r="K185" s="915"/>
      <c r="L185" s="916">
        <v>0.15</v>
      </c>
      <c r="M185" s="916">
        <v>7.5999999999999998E-2</v>
      </c>
      <c r="N185" s="916">
        <v>0.2</v>
      </c>
      <c r="O185" s="916">
        <v>5.9649999999999999</v>
      </c>
      <c r="P185" s="915"/>
      <c r="Q185" s="916">
        <v>3.3980000000000001</v>
      </c>
      <c r="R185" s="917">
        <v>0.33333333333333331</v>
      </c>
      <c r="S185" s="918">
        <v>1.7</v>
      </c>
      <c r="T185" s="918">
        <v>3.9649999999999999</v>
      </c>
      <c r="U185" s="916">
        <v>7.1639999999999997</v>
      </c>
      <c r="V185" s="916">
        <v>1.1519999999999999</v>
      </c>
      <c r="W185" s="915"/>
      <c r="X185" s="916">
        <v>0.503</v>
      </c>
      <c r="Y185" s="916">
        <v>0.71199999999999997</v>
      </c>
      <c r="Z185" s="916">
        <v>9.625</v>
      </c>
      <c r="AA185" s="916">
        <v>1.4339999999999999</v>
      </c>
      <c r="AB185" s="916">
        <v>7.2240000000000002</v>
      </c>
      <c r="AC185" s="915"/>
      <c r="AD185" s="919">
        <v>289.42200000000003</v>
      </c>
      <c r="AE185" s="920">
        <v>467.005</v>
      </c>
      <c r="AF185" s="920" t="s">
        <v>21</v>
      </c>
      <c r="AG185" s="920" t="s">
        <v>21</v>
      </c>
      <c r="AH185" s="921" t="s">
        <v>21</v>
      </c>
      <c r="AI185" s="921" t="s">
        <v>21</v>
      </c>
      <c r="AJ185" s="920" t="s">
        <v>21</v>
      </c>
      <c r="AK185" s="920">
        <v>467.005</v>
      </c>
      <c r="AL185" s="921" t="s">
        <v>21</v>
      </c>
      <c r="AM185" s="921" t="s">
        <v>21</v>
      </c>
      <c r="AN185" s="920"/>
      <c r="AO185" s="920" t="s">
        <v>21</v>
      </c>
      <c r="AP185" s="919">
        <v>82.483999999999995</v>
      </c>
      <c r="AQ185" s="933">
        <v>347.59728000000001</v>
      </c>
      <c r="AR185" s="925" t="s">
        <v>21</v>
      </c>
      <c r="AS185" s="925" t="s">
        <v>21</v>
      </c>
      <c r="AT185" s="925" t="s">
        <v>21</v>
      </c>
      <c r="AU185" s="925" t="s">
        <v>21</v>
      </c>
      <c r="AV185" s="926" t="s">
        <v>21</v>
      </c>
      <c r="AW185" s="926" t="s">
        <v>21</v>
      </c>
      <c r="AX185" s="926">
        <v>347.59728000000001</v>
      </c>
      <c r="AY185" s="926" t="s">
        <v>21</v>
      </c>
      <c r="AZ185" s="925" t="s">
        <v>21</v>
      </c>
      <c r="BA185" s="925"/>
      <c r="BB185" s="919" t="s">
        <v>21</v>
      </c>
      <c r="BC185" s="919">
        <v>12.372999999999999</v>
      </c>
      <c r="BD185" s="919" t="s">
        <v>2152</v>
      </c>
      <c r="BE185" s="925" t="s">
        <v>21</v>
      </c>
      <c r="BF185" s="926" t="s">
        <v>21</v>
      </c>
      <c r="BG185" s="925" t="s">
        <v>21</v>
      </c>
      <c r="BH185" s="926">
        <v>48.52</v>
      </c>
      <c r="BI185" s="925" t="s">
        <v>21</v>
      </c>
      <c r="BJ185" s="926" t="s">
        <v>21</v>
      </c>
      <c r="BK185" s="925" t="s">
        <v>21</v>
      </c>
      <c r="BL185" s="926" t="s">
        <v>21</v>
      </c>
      <c r="BM185" s="925" t="s">
        <v>21</v>
      </c>
      <c r="BN185" s="927"/>
      <c r="BO185" s="927"/>
      <c r="BP185" s="928" t="s">
        <v>21</v>
      </c>
      <c r="BQ185" s="928">
        <v>1</v>
      </c>
      <c r="BR185" s="928" t="s">
        <v>21</v>
      </c>
      <c r="BS185" s="928" t="s">
        <v>21</v>
      </c>
      <c r="BT185" s="928" t="s">
        <v>21</v>
      </c>
      <c r="BU185" s="928" t="s">
        <v>21</v>
      </c>
      <c r="BV185" s="934">
        <v>0.8000000000001819</v>
      </c>
      <c r="BW185" s="934">
        <v>1</v>
      </c>
      <c r="BX185" s="1104">
        <v>2</v>
      </c>
      <c r="BY185" s="931">
        <v>4</v>
      </c>
      <c r="BZ185" s="930" t="s">
        <v>21</v>
      </c>
      <c r="CA185" s="1074">
        <v>1</v>
      </c>
      <c r="CB185" s="930" t="s">
        <v>21</v>
      </c>
      <c r="CC185" s="930" t="s">
        <v>21</v>
      </c>
      <c r="CD185" s="925">
        <v>69.578000000000003</v>
      </c>
      <c r="CE185" s="1130">
        <v>350.50799999999998</v>
      </c>
      <c r="CF185" s="1129" t="s">
        <v>21</v>
      </c>
      <c r="CG185" s="1130" t="s">
        <v>21</v>
      </c>
      <c r="CH185" s="1130" t="s">
        <v>21</v>
      </c>
      <c r="CI185" s="1131" t="s">
        <v>21</v>
      </c>
      <c r="CJ185" s="1129" t="s">
        <v>21</v>
      </c>
      <c r="CK185" s="1130" t="s">
        <v>21</v>
      </c>
      <c r="CL185" s="1130" t="s">
        <v>21</v>
      </c>
      <c r="CM185" s="1131" t="s">
        <v>21</v>
      </c>
      <c r="CN185" s="1130">
        <v>350.50799999999998</v>
      </c>
      <c r="CP185" s="838" t="s">
        <v>21</v>
      </c>
      <c r="CQ185" s="838" t="s">
        <v>21</v>
      </c>
      <c r="CR185" s="836"/>
    </row>
    <row r="186" spans="1:96" x14ac:dyDescent="0.25">
      <c r="A186" s="935"/>
      <c r="B186" s="932" t="s">
        <v>2279</v>
      </c>
      <c r="C186" s="911">
        <v>800</v>
      </c>
      <c r="D186" s="911" t="s">
        <v>2116</v>
      </c>
      <c r="E186" s="912">
        <v>1131.51</v>
      </c>
      <c r="F186" s="912">
        <v>1127.614</v>
      </c>
      <c r="G186" s="932" t="s">
        <v>2280</v>
      </c>
      <c r="H186" s="912">
        <v>1133.56</v>
      </c>
      <c r="I186" s="912">
        <v>1127.3900000000001</v>
      </c>
      <c r="J186" s="914">
        <v>52.95</v>
      </c>
      <c r="K186" s="915"/>
      <c r="L186" s="916">
        <v>0.15</v>
      </c>
      <c r="M186" s="916">
        <v>7.5999999999999998E-2</v>
      </c>
      <c r="N186" s="916">
        <v>0.2</v>
      </c>
      <c r="O186" s="916">
        <v>7.2729999999999997</v>
      </c>
      <c r="P186" s="915"/>
      <c r="Q186" s="916">
        <v>5.359</v>
      </c>
      <c r="R186" s="917">
        <v>0.33333333333333331</v>
      </c>
      <c r="S186" s="918">
        <v>1.7</v>
      </c>
      <c r="T186" s="918">
        <v>5.2729999999999997</v>
      </c>
      <c r="U186" s="916">
        <v>11.298</v>
      </c>
      <c r="V186" s="916">
        <v>1.1519999999999999</v>
      </c>
      <c r="W186" s="915"/>
      <c r="X186" s="916">
        <v>0.503</v>
      </c>
      <c r="Y186" s="916">
        <v>0.71199999999999997</v>
      </c>
      <c r="Z186" s="916">
        <v>18.684000000000001</v>
      </c>
      <c r="AA186" s="916">
        <v>1.4339999999999999</v>
      </c>
      <c r="AB186" s="916">
        <v>16.283000000000001</v>
      </c>
      <c r="AC186" s="915"/>
      <c r="AD186" s="919">
        <v>385.10500000000002</v>
      </c>
      <c r="AE186" s="920">
        <v>989.31799999999998</v>
      </c>
      <c r="AF186" s="920" t="s">
        <v>21</v>
      </c>
      <c r="AG186" s="920" t="s">
        <v>21</v>
      </c>
      <c r="AH186" s="921" t="s">
        <v>21</v>
      </c>
      <c r="AI186" s="921" t="s">
        <v>21</v>
      </c>
      <c r="AJ186" s="920" t="s">
        <v>21</v>
      </c>
      <c r="AK186" s="920" t="s">
        <v>21</v>
      </c>
      <c r="AL186" s="921" t="s">
        <v>21</v>
      </c>
      <c r="AM186" s="921">
        <v>989.31799999999998</v>
      </c>
      <c r="AN186" s="920"/>
      <c r="AO186" s="920" t="s">
        <v>21</v>
      </c>
      <c r="AP186" s="919">
        <v>90.015000000000001</v>
      </c>
      <c r="AQ186" s="933">
        <v>598.22910000000002</v>
      </c>
      <c r="AR186" s="925" t="s">
        <v>21</v>
      </c>
      <c r="AS186" s="925" t="s">
        <v>21</v>
      </c>
      <c r="AT186" s="925" t="s">
        <v>21</v>
      </c>
      <c r="AU186" s="925" t="s">
        <v>21</v>
      </c>
      <c r="AV186" s="926" t="s">
        <v>21</v>
      </c>
      <c r="AW186" s="926" t="s">
        <v>21</v>
      </c>
      <c r="AX186" s="926" t="s">
        <v>21</v>
      </c>
      <c r="AY186" s="926">
        <v>598.22910000000002</v>
      </c>
      <c r="AZ186" s="925" t="s">
        <v>21</v>
      </c>
      <c r="BA186" s="925"/>
      <c r="BB186" s="919" t="s">
        <v>21</v>
      </c>
      <c r="BC186" s="919">
        <v>13.502000000000001</v>
      </c>
      <c r="BD186" s="919" t="s">
        <v>2152</v>
      </c>
      <c r="BE186" s="925" t="s">
        <v>21</v>
      </c>
      <c r="BF186" s="926" t="s">
        <v>21</v>
      </c>
      <c r="BG186" s="925" t="s">
        <v>21</v>
      </c>
      <c r="BH186" s="926">
        <v>52.95</v>
      </c>
      <c r="BI186" s="925" t="s">
        <v>21</v>
      </c>
      <c r="BJ186" s="926" t="s">
        <v>21</v>
      </c>
      <c r="BK186" s="925" t="s">
        <v>21</v>
      </c>
      <c r="BL186" s="926" t="s">
        <v>21</v>
      </c>
      <c r="BM186" s="925" t="s">
        <v>21</v>
      </c>
      <c r="BN186" s="927"/>
      <c r="BO186" s="927"/>
      <c r="BP186" s="928" t="s">
        <v>21</v>
      </c>
      <c r="BQ186" s="928">
        <v>1</v>
      </c>
      <c r="BR186" s="928" t="s">
        <v>21</v>
      </c>
      <c r="BS186" s="928" t="s">
        <v>21</v>
      </c>
      <c r="BT186" s="928" t="s">
        <v>21</v>
      </c>
      <c r="BU186" s="928" t="s">
        <v>21</v>
      </c>
      <c r="BV186" s="934">
        <v>2.3959999999999582</v>
      </c>
      <c r="BW186" s="934">
        <v>2.5</v>
      </c>
      <c r="BX186" s="1104">
        <v>5</v>
      </c>
      <c r="BY186" s="931">
        <v>7</v>
      </c>
      <c r="BZ186" s="930" t="s">
        <v>21</v>
      </c>
      <c r="CA186" s="1074">
        <v>1</v>
      </c>
      <c r="CB186" s="930" t="s">
        <v>21</v>
      </c>
      <c r="CC186" s="930" t="s">
        <v>21</v>
      </c>
      <c r="CD186" s="925">
        <v>75.930000000000007</v>
      </c>
      <c r="CE186" s="1130">
        <v>862.18499999999995</v>
      </c>
      <c r="CF186" s="1129" t="s">
        <v>21</v>
      </c>
      <c r="CG186" s="1130" t="s">
        <v>21</v>
      </c>
      <c r="CH186" s="1130" t="s">
        <v>21</v>
      </c>
      <c r="CI186" s="1131" t="s">
        <v>21</v>
      </c>
      <c r="CJ186" s="1129" t="s">
        <v>21</v>
      </c>
      <c r="CK186" s="1130" t="s">
        <v>21</v>
      </c>
      <c r="CL186" s="1130" t="s">
        <v>21</v>
      </c>
      <c r="CM186" s="1131" t="s">
        <v>21</v>
      </c>
      <c r="CN186" s="1130">
        <v>862.18499999999995</v>
      </c>
      <c r="CP186" s="838" t="s">
        <v>21</v>
      </c>
      <c r="CQ186" s="838" t="s">
        <v>21</v>
      </c>
      <c r="CR186" s="836"/>
    </row>
    <row r="187" spans="1:96" x14ac:dyDescent="0.25">
      <c r="A187" s="935"/>
      <c r="B187" s="932" t="s">
        <v>2280</v>
      </c>
      <c r="C187" s="911">
        <v>800</v>
      </c>
      <c r="D187" s="911" t="s">
        <v>2116</v>
      </c>
      <c r="E187" s="912">
        <v>1133.56</v>
      </c>
      <c r="F187" s="912">
        <v>1126.99</v>
      </c>
      <c r="G187" s="932" t="s">
        <v>2281</v>
      </c>
      <c r="H187" s="912">
        <v>1132.0999999999999</v>
      </c>
      <c r="I187" s="912">
        <v>1126.654</v>
      </c>
      <c r="J187" s="914">
        <v>8.2899999999999991</v>
      </c>
      <c r="K187" s="915"/>
      <c r="L187" s="916">
        <v>0.15</v>
      </c>
      <c r="M187" s="916">
        <v>7.5999999999999998E-2</v>
      </c>
      <c r="N187" s="916">
        <v>0.2</v>
      </c>
      <c r="O187" s="916">
        <v>7.923</v>
      </c>
      <c r="P187" s="915"/>
      <c r="Q187" s="916">
        <v>6.3339999999999996</v>
      </c>
      <c r="R187" s="917">
        <v>0.33333333333333331</v>
      </c>
      <c r="S187" s="918">
        <v>1.7</v>
      </c>
      <c r="T187" s="918">
        <v>5.923</v>
      </c>
      <c r="U187" s="916">
        <v>13.353</v>
      </c>
      <c r="V187" s="916">
        <v>1.1519999999999999</v>
      </c>
      <c r="W187" s="915"/>
      <c r="X187" s="916">
        <v>0.503</v>
      </c>
      <c r="Y187" s="916">
        <v>0.71199999999999997</v>
      </c>
      <c r="Z187" s="916">
        <v>24.141999999999999</v>
      </c>
      <c r="AA187" s="916">
        <v>1.4339999999999999</v>
      </c>
      <c r="AB187" s="916">
        <v>21.741</v>
      </c>
      <c r="AC187" s="915"/>
      <c r="AD187" s="919">
        <v>65.682000000000002</v>
      </c>
      <c r="AE187" s="920">
        <v>200.137</v>
      </c>
      <c r="AF187" s="920" t="s">
        <v>21</v>
      </c>
      <c r="AG187" s="920" t="s">
        <v>21</v>
      </c>
      <c r="AH187" s="921" t="s">
        <v>21</v>
      </c>
      <c r="AI187" s="921" t="s">
        <v>21</v>
      </c>
      <c r="AJ187" s="920" t="s">
        <v>21</v>
      </c>
      <c r="AK187" s="920" t="s">
        <v>21</v>
      </c>
      <c r="AL187" s="921" t="s">
        <v>21</v>
      </c>
      <c r="AM187" s="921" t="s">
        <v>21</v>
      </c>
      <c r="AN187" s="920"/>
      <c r="AO187" s="920">
        <v>200.137</v>
      </c>
      <c r="AP187" s="919">
        <v>14.093</v>
      </c>
      <c r="AQ187" s="933">
        <v>110.69636999999999</v>
      </c>
      <c r="AR187" s="925" t="s">
        <v>21</v>
      </c>
      <c r="AS187" s="925" t="s">
        <v>21</v>
      </c>
      <c r="AT187" s="925" t="s">
        <v>21</v>
      </c>
      <c r="AU187" s="925" t="s">
        <v>21</v>
      </c>
      <c r="AV187" s="926" t="s">
        <v>21</v>
      </c>
      <c r="AW187" s="926" t="s">
        <v>21</v>
      </c>
      <c r="AX187" s="926" t="s">
        <v>21</v>
      </c>
      <c r="AY187" s="926">
        <v>110.69636999999999</v>
      </c>
      <c r="AZ187" s="925" t="s">
        <v>21</v>
      </c>
      <c r="BA187" s="925"/>
      <c r="BB187" s="919" t="s">
        <v>21</v>
      </c>
      <c r="BC187" s="919">
        <v>2.1139999999999999</v>
      </c>
      <c r="BD187" s="919" t="s">
        <v>2153</v>
      </c>
      <c r="BE187" s="925" t="s">
        <v>21</v>
      </c>
      <c r="BF187" s="926" t="s">
        <v>21</v>
      </c>
      <c r="BG187" s="925" t="s">
        <v>21</v>
      </c>
      <c r="BH187" s="926">
        <v>8.2899999999999991</v>
      </c>
      <c r="BI187" s="925" t="s">
        <v>21</v>
      </c>
      <c r="BJ187" s="926" t="s">
        <v>21</v>
      </c>
      <c r="BK187" s="925" t="s">
        <v>21</v>
      </c>
      <c r="BL187" s="926" t="s">
        <v>21</v>
      </c>
      <c r="BM187" s="925" t="s">
        <v>21</v>
      </c>
      <c r="BN187" s="927"/>
      <c r="BO187" s="927"/>
      <c r="BP187" s="928" t="s">
        <v>21</v>
      </c>
      <c r="BQ187" s="928">
        <v>1</v>
      </c>
      <c r="BR187" s="928" t="s">
        <v>21</v>
      </c>
      <c r="BS187" s="928" t="s">
        <v>21</v>
      </c>
      <c r="BT187" s="928" t="s">
        <v>21</v>
      </c>
      <c r="BU187" s="928" t="s">
        <v>21</v>
      </c>
      <c r="BV187" s="934">
        <v>5.0699999999999363</v>
      </c>
      <c r="BW187" s="934">
        <v>5.5</v>
      </c>
      <c r="BX187" s="1104">
        <v>11</v>
      </c>
      <c r="BY187" s="931">
        <v>13</v>
      </c>
      <c r="BZ187" s="930" t="s">
        <v>21</v>
      </c>
      <c r="CA187" s="1074">
        <v>1</v>
      </c>
      <c r="CB187" s="930" t="s">
        <v>21</v>
      </c>
      <c r="CC187" s="930" t="s">
        <v>21</v>
      </c>
      <c r="CD187" s="925">
        <v>11.888</v>
      </c>
      <c r="CE187" s="1130">
        <v>180.233</v>
      </c>
      <c r="CF187" s="1129" t="s">
        <v>21</v>
      </c>
      <c r="CG187" s="1130" t="s">
        <v>21</v>
      </c>
      <c r="CH187" s="1130" t="s">
        <v>21</v>
      </c>
      <c r="CI187" s="1131" t="s">
        <v>21</v>
      </c>
      <c r="CJ187" s="1129" t="s">
        <v>21</v>
      </c>
      <c r="CK187" s="1130" t="s">
        <v>21</v>
      </c>
      <c r="CL187" s="1130" t="s">
        <v>21</v>
      </c>
      <c r="CM187" s="1131" t="s">
        <v>21</v>
      </c>
      <c r="CN187" s="1130">
        <v>180.233</v>
      </c>
      <c r="CP187" s="838" t="s">
        <v>21</v>
      </c>
      <c r="CQ187" s="838" t="s">
        <v>21</v>
      </c>
      <c r="CR187" s="836"/>
    </row>
    <row r="188" spans="1:96" x14ac:dyDescent="0.25">
      <c r="A188" s="935"/>
      <c r="B188" s="932" t="s">
        <v>2281</v>
      </c>
      <c r="C188" s="911">
        <v>800</v>
      </c>
      <c r="D188" s="911" t="s">
        <v>2116</v>
      </c>
      <c r="E188" s="912">
        <v>1132.0999999999999</v>
      </c>
      <c r="F188" s="912">
        <v>1125.424</v>
      </c>
      <c r="G188" s="1487" t="s">
        <v>3464</v>
      </c>
      <c r="H188" s="1489">
        <v>1125.8</v>
      </c>
      <c r="I188" s="1489">
        <v>1124.5</v>
      </c>
      <c r="J188" s="1488">
        <v>8.98</v>
      </c>
      <c r="K188" s="915"/>
      <c r="L188" s="916">
        <v>0.15</v>
      </c>
      <c r="M188" s="916">
        <v>7.5999999999999998E-2</v>
      </c>
      <c r="N188" s="916">
        <v>0.2</v>
      </c>
      <c r="O188" s="916">
        <v>6.5759999999999996</v>
      </c>
      <c r="P188" s="915"/>
      <c r="Q188" s="916">
        <v>4.3140000000000001</v>
      </c>
      <c r="R188" s="917">
        <v>0.33333333333333331</v>
      </c>
      <c r="S188" s="918">
        <v>1.7</v>
      </c>
      <c r="T188" s="918">
        <v>4.5759999999999996</v>
      </c>
      <c r="U188" s="916">
        <v>9.0950000000000006</v>
      </c>
      <c r="V188" s="916">
        <v>1.1519999999999999</v>
      </c>
      <c r="W188" s="915"/>
      <c r="X188" s="916">
        <v>0.503</v>
      </c>
      <c r="Y188" s="916">
        <v>0.71199999999999997</v>
      </c>
      <c r="Z188" s="916">
        <v>13.537000000000001</v>
      </c>
      <c r="AA188" s="916">
        <v>1.4339999999999999</v>
      </c>
      <c r="AB188" s="916">
        <v>11.135999999999999</v>
      </c>
      <c r="AC188" s="915"/>
      <c r="AD188" s="919">
        <v>59.052</v>
      </c>
      <c r="AE188" s="920">
        <v>121.562</v>
      </c>
      <c r="AF188" s="920" t="s">
        <v>21</v>
      </c>
      <c r="AG188" s="920" t="s">
        <v>21</v>
      </c>
      <c r="AH188" s="921" t="s">
        <v>21</v>
      </c>
      <c r="AI188" s="921" t="s">
        <v>21</v>
      </c>
      <c r="AJ188" s="920" t="s">
        <v>21</v>
      </c>
      <c r="AK188" s="920">
        <v>121.562</v>
      </c>
      <c r="AL188" s="921" t="s">
        <v>21</v>
      </c>
      <c r="AM188" s="921" t="s">
        <v>21</v>
      </c>
      <c r="AN188" s="920"/>
      <c r="AO188" s="920" t="s">
        <v>21</v>
      </c>
      <c r="AP188" s="919">
        <v>15.266</v>
      </c>
      <c r="AQ188" s="933">
        <v>81.673100000000005</v>
      </c>
      <c r="AR188" s="925" t="s">
        <v>21</v>
      </c>
      <c r="AS188" s="925" t="s">
        <v>21</v>
      </c>
      <c r="AT188" s="925" t="s">
        <v>21</v>
      </c>
      <c r="AU188" s="925" t="s">
        <v>21</v>
      </c>
      <c r="AV188" s="926" t="s">
        <v>21</v>
      </c>
      <c r="AW188" s="926" t="s">
        <v>21</v>
      </c>
      <c r="AX188" s="926">
        <v>81.673100000000005</v>
      </c>
      <c r="AY188" s="926" t="s">
        <v>21</v>
      </c>
      <c r="AZ188" s="925" t="s">
        <v>21</v>
      </c>
      <c r="BA188" s="925"/>
      <c r="BB188" s="919" t="s">
        <v>21</v>
      </c>
      <c r="BC188" s="919">
        <v>2.29</v>
      </c>
      <c r="BD188" s="919" t="s">
        <v>2152</v>
      </c>
      <c r="BE188" s="925" t="s">
        <v>21</v>
      </c>
      <c r="BF188" s="926" t="s">
        <v>21</v>
      </c>
      <c r="BG188" s="925" t="s">
        <v>21</v>
      </c>
      <c r="BH188" s="926">
        <v>8.98</v>
      </c>
      <c r="BI188" s="925" t="s">
        <v>21</v>
      </c>
      <c r="BJ188" s="926" t="s">
        <v>21</v>
      </c>
      <c r="BK188" s="925" t="s">
        <v>21</v>
      </c>
      <c r="BL188" s="926" t="s">
        <v>21</v>
      </c>
      <c r="BM188" s="925" t="s">
        <v>21</v>
      </c>
      <c r="BN188" s="927"/>
      <c r="BO188" s="927"/>
      <c r="BP188" s="928" t="s">
        <v>21</v>
      </c>
      <c r="BQ188" s="928">
        <v>1</v>
      </c>
      <c r="BR188" s="928" t="s">
        <v>21</v>
      </c>
      <c r="BS188" s="928" t="s">
        <v>21</v>
      </c>
      <c r="BT188" s="928" t="s">
        <v>21</v>
      </c>
      <c r="BU188" s="928" t="s">
        <v>21</v>
      </c>
      <c r="BV188" s="934">
        <v>5.1759999999999309</v>
      </c>
      <c r="BW188" s="934">
        <v>5.5</v>
      </c>
      <c r="BX188" s="1104">
        <v>11</v>
      </c>
      <c r="BY188" s="931">
        <v>13</v>
      </c>
      <c r="BZ188" s="930" t="s">
        <v>21</v>
      </c>
      <c r="CA188" s="1074" t="s">
        <v>21</v>
      </c>
      <c r="CB188" s="930" t="s">
        <v>21</v>
      </c>
      <c r="CC188" s="930" t="s">
        <v>21</v>
      </c>
      <c r="CD188" s="925">
        <v>12.877000000000001</v>
      </c>
      <c r="CE188" s="1130">
        <v>100.001</v>
      </c>
      <c r="CF188" s="1129" t="s">
        <v>21</v>
      </c>
      <c r="CG188" s="1130" t="s">
        <v>21</v>
      </c>
      <c r="CH188" s="1130" t="s">
        <v>21</v>
      </c>
      <c r="CI188" s="1131" t="s">
        <v>21</v>
      </c>
      <c r="CJ188" s="1129" t="s">
        <v>21</v>
      </c>
      <c r="CK188" s="1130" t="s">
        <v>21</v>
      </c>
      <c r="CL188" s="1130" t="s">
        <v>21</v>
      </c>
      <c r="CM188" s="1131" t="s">
        <v>21</v>
      </c>
      <c r="CN188" s="1130">
        <v>100.001</v>
      </c>
      <c r="CP188" s="838" t="s">
        <v>21</v>
      </c>
      <c r="CQ188" s="838" t="s">
        <v>21</v>
      </c>
      <c r="CR188" s="836"/>
    </row>
    <row r="189" spans="1:96" x14ac:dyDescent="0.25">
      <c r="A189" s="935"/>
      <c r="B189" s="1490" t="s">
        <v>3464</v>
      </c>
      <c r="C189" s="1491">
        <v>800</v>
      </c>
      <c r="D189" s="1491" t="s">
        <v>2116</v>
      </c>
      <c r="E189" s="1489">
        <v>1125.8</v>
      </c>
      <c r="F189" s="1489">
        <v>1119.8</v>
      </c>
      <c r="G189" s="1487" t="s">
        <v>3465</v>
      </c>
      <c r="H189" s="1489">
        <v>1120.3</v>
      </c>
      <c r="I189" s="1489">
        <v>1119.8</v>
      </c>
      <c r="J189" s="1488">
        <v>8</v>
      </c>
      <c r="K189" s="915"/>
      <c r="L189" s="916">
        <v>0.15</v>
      </c>
      <c r="M189" s="916">
        <v>7.5999999999999998E-2</v>
      </c>
      <c r="N189" s="916">
        <v>0.2</v>
      </c>
      <c r="O189" s="916">
        <v>6.0839999999999996</v>
      </c>
      <c r="P189" s="915"/>
      <c r="Q189" s="916">
        <v>3.5760000000000001</v>
      </c>
      <c r="R189" s="917">
        <v>0.33333333333333331</v>
      </c>
      <c r="S189" s="918">
        <v>1.7</v>
      </c>
      <c r="T189" s="918">
        <v>4.0839999999999996</v>
      </c>
      <c r="U189" s="916">
        <v>7.5389999999999997</v>
      </c>
      <c r="V189" s="916">
        <v>1.1519999999999999</v>
      </c>
      <c r="W189" s="915"/>
      <c r="X189" s="916">
        <v>0.503</v>
      </c>
      <c r="Y189" s="916">
        <v>0.71199999999999997</v>
      </c>
      <c r="Z189" s="916">
        <v>10.342000000000001</v>
      </c>
      <c r="AA189" s="916">
        <v>1.4339999999999999</v>
      </c>
      <c r="AB189" s="916">
        <v>7.9409999999999998</v>
      </c>
      <c r="AC189" s="915"/>
      <c r="AD189" s="919">
        <v>48.671999999999997</v>
      </c>
      <c r="AE189" s="920">
        <v>82.736000000000004</v>
      </c>
      <c r="AF189" s="920" t="s">
        <v>21</v>
      </c>
      <c r="AG189" s="920" t="s">
        <v>21</v>
      </c>
      <c r="AH189" s="921" t="s">
        <v>21</v>
      </c>
      <c r="AI189" s="921" t="s">
        <v>21</v>
      </c>
      <c r="AJ189" s="920" t="s">
        <v>21</v>
      </c>
      <c r="AK189" s="920">
        <v>82.736000000000004</v>
      </c>
      <c r="AL189" s="921" t="s">
        <v>21</v>
      </c>
      <c r="AM189" s="921" t="s">
        <v>21</v>
      </c>
      <c r="AN189" s="920"/>
      <c r="AO189" s="920" t="s">
        <v>21</v>
      </c>
      <c r="AP189" s="919">
        <v>13.6</v>
      </c>
      <c r="AQ189" s="933">
        <v>60.311999999999998</v>
      </c>
      <c r="AR189" s="925" t="s">
        <v>21</v>
      </c>
      <c r="AS189" s="925" t="s">
        <v>21</v>
      </c>
      <c r="AT189" s="925" t="s">
        <v>21</v>
      </c>
      <c r="AU189" s="925" t="s">
        <v>21</v>
      </c>
      <c r="AV189" s="926" t="s">
        <v>21</v>
      </c>
      <c r="AW189" s="926" t="s">
        <v>21</v>
      </c>
      <c r="AX189" s="926">
        <v>60.311999999999998</v>
      </c>
      <c r="AY189" s="926" t="s">
        <v>21</v>
      </c>
      <c r="AZ189" s="925" t="s">
        <v>21</v>
      </c>
      <c r="BA189" s="925"/>
      <c r="BB189" s="919" t="s">
        <v>21</v>
      </c>
      <c r="BC189" s="919">
        <v>2.04</v>
      </c>
      <c r="BD189" s="919" t="s">
        <v>2152</v>
      </c>
      <c r="BE189" s="925" t="s">
        <v>21</v>
      </c>
      <c r="BF189" s="926" t="s">
        <v>21</v>
      </c>
      <c r="BG189" s="925" t="s">
        <v>21</v>
      </c>
      <c r="BH189" s="926">
        <v>8</v>
      </c>
      <c r="BI189" s="925" t="s">
        <v>21</v>
      </c>
      <c r="BJ189" s="926" t="s">
        <v>21</v>
      </c>
      <c r="BK189" s="925" t="s">
        <v>21</v>
      </c>
      <c r="BL189" s="926" t="s">
        <v>21</v>
      </c>
      <c r="BM189" s="925" t="s">
        <v>21</v>
      </c>
      <c r="BN189" s="927"/>
      <c r="BO189" s="927"/>
      <c r="BP189" s="928" t="s">
        <v>21</v>
      </c>
      <c r="BQ189" s="928" t="s">
        <v>21</v>
      </c>
      <c r="BR189" s="928" t="s">
        <v>21</v>
      </c>
      <c r="BS189" s="928" t="s">
        <v>21</v>
      </c>
      <c r="BT189" s="928" t="s">
        <v>21</v>
      </c>
      <c r="BU189" s="928" t="s">
        <v>21</v>
      </c>
      <c r="BV189" s="934" t="s">
        <v>21</v>
      </c>
      <c r="BW189" s="934" t="s">
        <v>21</v>
      </c>
      <c r="BX189" s="1104" t="s">
        <v>21</v>
      </c>
      <c r="BY189" s="931" t="s">
        <v>21</v>
      </c>
      <c r="BZ189" s="930" t="s">
        <v>21</v>
      </c>
      <c r="CA189" s="1074" t="s">
        <v>21</v>
      </c>
      <c r="CB189" s="930" t="s">
        <v>21</v>
      </c>
      <c r="CC189" s="930" t="s">
        <v>21</v>
      </c>
      <c r="CD189" s="925">
        <v>11.472</v>
      </c>
      <c r="CE189" s="1130">
        <v>63.527999999999999</v>
      </c>
      <c r="CF189" s="1129" t="s">
        <v>21</v>
      </c>
      <c r="CG189" s="1130" t="s">
        <v>21</v>
      </c>
      <c r="CH189" s="1130" t="s">
        <v>21</v>
      </c>
      <c r="CI189" s="1131" t="s">
        <v>21</v>
      </c>
      <c r="CJ189" s="1129" t="s">
        <v>21</v>
      </c>
      <c r="CK189" s="1130" t="s">
        <v>21</v>
      </c>
      <c r="CL189" s="1130" t="s">
        <v>21</v>
      </c>
      <c r="CM189" s="1131" t="s">
        <v>21</v>
      </c>
      <c r="CN189" s="1130">
        <v>63.527999999999999</v>
      </c>
      <c r="CP189" s="838" t="s">
        <v>21</v>
      </c>
      <c r="CQ189" s="838" t="s">
        <v>21</v>
      </c>
      <c r="CR189" s="836"/>
    </row>
    <row r="190" spans="1:96" x14ac:dyDescent="0.25">
      <c r="A190" s="935"/>
      <c r="B190" s="932"/>
      <c r="C190" s="911"/>
      <c r="D190" s="911"/>
      <c r="E190" s="912"/>
      <c r="F190" s="912"/>
      <c r="G190" s="910"/>
      <c r="H190" s="912"/>
      <c r="I190" s="912"/>
      <c r="J190" s="914"/>
      <c r="K190" s="915"/>
      <c r="L190" s="916" t="s">
        <v>21</v>
      </c>
      <c r="M190" s="916" t="s">
        <v>21</v>
      </c>
      <c r="N190" s="916" t="s">
        <v>21</v>
      </c>
      <c r="O190" s="916" t="s">
        <v>21</v>
      </c>
      <c r="P190" s="915"/>
      <c r="Q190" s="916" t="s">
        <v>21</v>
      </c>
      <c r="R190" s="917" t="s">
        <v>21</v>
      </c>
      <c r="S190" s="918" t="s">
        <v>21</v>
      </c>
      <c r="T190" s="918" t="s">
        <v>21</v>
      </c>
      <c r="U190" s="916" t="s">
        <v>21</v>
      </c>
      <c r="V190" s="916" t="s">
        <v>21</v>
      </c>
      <c r="W190" s="915"/>
      <c r="X190" s="916" t="s">
        <v>21</v>
      </c>
      <c r="Y190" s="916" t="s">
        <v>21</v>
      </c>
      <c r="Z190" s="916" t="s">
        <v>21</v>
      </c>
      <c r="AA190" s="916" t="s">
        <v>21</v>
      </c>
      <c r="AB190" s="916" t="s">
        <v>21</v>
      </c>
      <c r="AC190" s="915"/>
      <c r="AD190" s="919" t="s">
        <v>21</v>
      </c>
      <c r="AE190" s="920" t="s">
        <v>21</v>
      </c>
      <c r="AF190" s="920" t="s">
        <v>21</v>
      </c>
      <c r="AG190" s="920" t="s">
        <v>21</v>
      </c>
      <c r="AH190" s="921" t="s">
        <v>21</v>
      </c>
      <c r="AI190" s="921" t="s">
        <v>21</v>
      </c>
      <c r="AJ190" s="920" t="s">
        <v>21</v>
      </c>
      <c r="AK190" s="920" t="s">
        <v>21</v>
      </c>
      <c r="AL190" s="921" t="s">
        <v>21</v>
      </c>
      <c r="AM190" s="921" t="s">
        <v>21</v>
      </c>
      <c r="AN190" s="920"/>
      <c r="AO190" s="920" t="s">
        <v>21</v>
      </c>
      <c r="AP190" s="919" t="s">
        <v>21</v>
      </c>
      <c r="AQ190" s="933" t="s">
        <v>21</v>
      </c>
      <c r="AR190" s="925" t="s">
        <v>21</v>
      </c>
      <c r="AS190" s="925" t="s">
        <v>21</v>
      </c>
      <c r="AT190" s="925" t="s">
        <v>21</v>
      </c>
      <c r="AU190" s="925" t="s">
        <v>21</v>
      </c>
      <c r="AV190" s="926" t="s">
        <v>21</v>
      </c>
      <c r="AW190" s="926" t="s">
        <v>21</v>
      </c>
      <c r="AX190" s="926" t="s">
        <v>21</v>
      </c>
      <c r="AY190" s="926" t="s">
        <v>21</v>
      </c>
      <c r="AZ190" s="925" t="s">
        <v>21</v>
      </c>
      <c r="BA190" s="925"/>
      <c r="BB190" s="919" t="s">
        <v>21</v>
      </c>
      <c r="BC190" s="919" t="s">
        <v>21</v>
      </c>
      <c r="BD190" s="919" t="s">
        <v>21</v>
      </c>
      <c r="BE190" s="925" t="s">
        <v>21</v>
      </c>
      <c r="BF190" s="926" t="s">
        <v>21</v>
      </c>
      <c r="BG190" s="925" t="s">
        <v>21</v>
      </c>
      <c r="BH190" s="926" t="s">
        <v>21</v>
      </c>
      <c r="BI190" s="925" t="s">
        <v>21</v>
      </c>
      <c r="BJ190" s="926" t="s">
        <v>21</v>
      </c>
      <c r="BK190" s="925" t="s">
        <v>21</v>
      </c>
      <c r="BL190" s="926" t="s">
        <v>21</v>
      </c>
      <c r="BM190" s="925" t="s">
        <v>21</v>
      </c>
      <c r="BN190" s="927"/>
      <c r="BO190" s="927"/>
      <c r="BP190" s="928" t="s">
        <v>21</v>
      </c>
      <c r="BQ190" s="928" t="s">
        <v>21</v>
      </c>
      <c r="BR190" s="928" t="s">
        <v>21</v>
      </c>
      <c r="BS190" s="928" t="s">
        <v>21</v>
      </c>
      <c r="BT190" s="928" t="s">
        <v>21</v>
      </c>
      <c r="BU190" s="928" t="s">
        <v>21</v>
      </c>
      <c r="BV190" s="934" t="s">
        <v>21</v>
      </c>
      <c r="BW190" s="934" t="s">
        <v>21</v>
      </c>
      <c r="BX190" s="1104" t="s">
        <v>21</v>
      </c>
      <c r="BY190" s="931" t="s">
        <v>21</v>
      </c>
      <c r="BZ190" s="930" t="s">
        <v>21</v>
      </c>
      <c r="CA190" s="1074" t="s">
        <v>21</v>
      </c>
      <c r="CB190" s="930" t="s">
        <v>21</v>
      </c>
      <c r="CC190" s="930" t="s">
        <v>21</v>
      </c>
      <c r="CD190" s="925" t="s">
        <v>21</v>
      </c>
      <c r="CE190" s="1130" t="s">
        <v>21</v>
      </c>
      <c r="CF190" s="1129" t="s">
        <v>21</v>
      </c>
      <c r="CG190" s="1130" t="s">
        <v>21</v>
      </c>
      <c r="CH190" s="1130" t="s">
        <v>21</v>
      </c>
      <c r="CI190" s="1131" t="s">
        <v>21</v>
      </c>
      <c r="CJ190" s="1129" t="s">
        <v>21</v>
      </c>
      <c r="CK190" s="1130" t="s">
        <v>21</v>
      </c>
      <c r="CL190" s="1130" t="s">
        <v>21</v>
      </c>
      <c r="CM190" s="1131" t="s">
        <v>21</v>
      </c>
      <c r="CN190" s="1130" t="s">
        <v>21</v>
      </c>
      <c r="CP190" s="838" t="s">
        <v>21</v>
      </c>
      <c r="CQ190" s="838" t="s">
        <v>21</v>
      </c>
      <c r="CR190" s="836"/>
    </row>
    <row r="191" spans="1:96" x14ac:dyDescent="0.25">
      <c r="A191" s="935" t="s">
        <v>2514</v>
      </c>
      <c r="B191" s="932" t="s">
        <v>2235</v>
      </c>
      <c r="C191" s="911">
        <v>600</v>
      </c>
      <c r="D191" s="911" t="s">
        <v>2116</v>
      </c>
      <c r="E191" s="912">
        <v>1131.9000000000001</v>
      </c>
      <c r="F191" s="912">
        <v>1130</v>
      </c>
      <c r="G191" s="910" t="s">
        <v>2281</v>
      </c>
      <c r="H191" s="912">
        <v>1132.0999999999999</v>
      </c>
      <c r="I191" s="912">
        <v>1129.136</v>
      </c>
      <c r="J191" s="914">
        <v>43.19</v>
      </c>
      <c r="K191" s="915"/>
      <c r="L191" s="916">
        <v>0.1</v>
      </c>
      <c r="M191" s="916">
        <v>0.06</v>
      </c>
      <c r="N191" s="916">
        <v>0.2</v>
      </c>
      <c r="O191" s="916">
        <v>5.1950000000000003</v>
      </c>
      <c r="P191" s="915"/>
      <c r="Q191" s="916">
        <v>2.6920000000000002</v>
      </c>
      <c r="R191" s="917">
        <v>0.33333333333333331</v>
      </c>
      <c r="S191" s="918">
        <v>1.4</v>
      </c>
      <c r="T191" s="918">
        <v>3.1949999999999998</v>
      </c>
      <c r="U191" s="916">
        <v>5.6749999999999998</v>
      </c>
      <c r="V191" s="916">
        <v>0.92</v>
      </c>
      <c r="W191" s="915"/>
      <c r="X191" s="916">
        <v>0.28299999999999997</v>
      </c>
      <c r="Y191" s="916">
        <v>0.40699999999999997</v>
      </c>
      <c r="Z191" s="916">
        <v>6.1849999999999996</v>
      </c>
      <c r="AA191" s="916">
        <v>1.0229999999999999</v>
      </c>
      <c r="AB191" s="916">
        <v>4.6150000000000002</v>
      </c>
      <c r="AC191" s="915"/>
      <c r="AD191" s="919">
        <v>224.37200000000001</v>
      </c>
      <c r="AE191" s="920">
        <v>267.13</v>
      </c>
      <c r="AF191" s="920" t="s">
        <v>21</v>
      </c>
      <c r="AG191" s="920" t="s">
        <v>21</v>
      </c>
      <c r="AH191" s="921">
        <v>267.13</v>
      </c>
      <c r="AI191" s="921" t="s">
        <v>21</v>
      </c>
      <c r="AJ191" s="920" t="s">
        <v>21</v>
      </c>
      <c r="AK191" s="920" t="s">
        <v>21</v>
      </c>
      <c r="AL191" s="921" t="s">
        <v>21</v>
      </c>
      <c r="AM191" s="921" t="s">
        <v>21</v>
      </c>
      <c r="AN191" s="920"/>
      <c r="AO191" s="920" t="s">
        <v>21</v>
      </c>
      <c r="AP191" s="919">
        <v>60.466000000000001</v>
      </c>
      <c r="AQ191" s="933">
        <v>245.10324999999997</v>
      </c>
      <c r="AR191" s="925" t="s">
        <v>21</v>
      </c>
      <c r="AS191" s="925">
        <v>245.10324999999997</v>
      </c>
      <c r="AT191" s="925" t="s">
        <v>21</v>
      </c>
      <c r="AU191" s="925" t="s">
        <v>21</v>
      </c>
      <c r="AV191" s="926" t="s">
        <v>21</v>
      </c>
      <c r="AW191" s="926" t="s">
        <v>21</v>
      </c>
      <c r="AX191" s="926" t="s">
        <v>21</v>
      </c>
      <c r="AY191" s="926" t="s">
        <v>21</v>
      </c>
      <c r="AZ191" s="925" t="s">
        <v>21</v>
      </c>
      <c r="BA191" s="925"/>
      <c r="BB191" s="919">
        <v>6.0469999999999997</v>
      </c>
      <c r="BC191" s="919" t="s">
        <v>21</v>
      </c>
      <c r="BD191" s="919" t="s">
        <v>2142</v>
      </c>
      <c r="BE191" s="925" t="s">
        <v>21</v>
      </c>
      <c r="BF191" s="926" t="s">
        <v>21</v>
      </c>
      <c r="BG191" s="925">
        <v>43.19</v>
      </c>
      <c r="BH191" s="926" t="s">
        <v>21</v>
      </c>
      <c r="BI191" s="925" t="s">
        <v>21</v>
      </c>
      <c r="BJ191" s="926" t="s">
        <v>21</v>
      </c>
      <c r="BK191" s="925" t="s">
        <v>21</v>
      </c>
      <c r="BL191" s="926" t="s">
        <v>21</v>
      </c>
      <c r="BM191" s="925" t="s">
        <v>21</v>
      </c>
      <c r="BN191" s="927"/>
      <c r="BO191" s="927"/>
      <c r="BP191" s="928">
        <v>1</v>
      </c>
      <c r="BQ191" s="928" t="s">
        <v>21</v>
      </c>
      <c r="BR191" s="928" t="s">
        <v>21</v>
      </c>
      <c r="BS191" s="928" t="s">
        <v>21</v>
      </c>
      <c r="BT191" s="928" t="s">
        <v>21</v>
      </c>
      <c r="BU191" s="928" t="s">
        <v>21</v>
      </c>
      <c r="BV191" s="934">
        <v>0.50000000000009104</v>
      </c>
      <c r="BW191" s="934">
        <v>1</v>
      </c>
      <c r="BX191" s="1104">
        <v>2</v>
      </c>
      <c r="BY191" s="931">
        <v>4</v>
      </c>
      <c r="BZ191" s="930" t="s">
        <v>21</v>
      </c>
      <c r="CA191" s="1074" t="s">
        <v>21</v>
      </c>
      <c r="CB191" s="930">
        <v>1</v>
      </c>
      <c r="CC191" s="930" t="s">
        <v>21</v>
      </c>
      <c r="CD191" s="925">
        <v>44.183</v>
      </c>
      <c r="CE191" s="1130">
        <v>199.322</v>
      </c>
      <c r="CF191" s="1129" t="s">
        <v>21</v>
      </c>
      <c r="CG191" s="1130" t="s">
        <v>21</v>
      </c>
      <c r="CH191" s="1130" t="s">
        <v>21</v>
      </c>
      <c r="CI191" s="1131" t="s">
        <v>21</v>
      </c>
      <c r="CJ191" s="1129" t="s">
        <v>21</v>
      </c>
      <c r="CK191" s="1130">
        <v>199.322</v>
      </c>
      <c r="CL191" s="1130" t="s">
        <v>21</v>
      </c>
      <c r="CM191" s="1131" t="s">
        <v>21</v>
      </c>
      <c r="CN191" s="1130" t="s">
        <v>21</v>
      </c>
      <c r="CP191" s="838" t="s">
        <v>21</v>
      </c>
      <c r="CQ191" s="838" t="s">
        <v>21</v>
      </c>
      <c r="CR191" s="836"/>
    </row>
    <row r="192" spans="1:96" x14ac:dyDescent="0.25">
      <c r="A192" s="935"/>
      <c r="B192" s="932"/>
      <c r="C192" s="911"/>
      <c r="D192" s="911"/>
      <c r="E192" s="912"/>
      <c r="F192" s="912"/>
      <c r="G192" s="910"/>
      <c r="H192" s="912"/>
      <c r="I192" s="912"/>
      <c r="J192" s="914"/>
      <c r="K192" s="915"/>
      <c r="L192" s="916" t="s">
        <v>21</v>
      </c>
      <c r="M192" s="916" t="s">
        <v>21</v>
      </c>
      <c r="N192" s="916" t="s">
        <v>21</v>
      </c>
      <c r="O192" s="916" t="s">
        <v>21</v>
      </c>
      <c r="P192" s="915"/>
      <c r="Q192" s="916" t="s">
        <v>21</v>
      </c>
      <c r="R192" s="917" t="s">
        <v>21</v>
      </c>
      <c r="S192" s="918" t="s">
        <v>21</v>
      </c>
      <c r="T192" s="918" t="s">
        <v>21</v>
      </c>
      <c r="U192" s="916" t="s">
        <v>21</v>
      </c>
      <c r="V192" s="916" t="s">
        <v>21</v>
      </c>
      <c r="W192" s="915"/>
      <c r="X192" s="916" t="s">
        <v>21</v>
      </c>
      <c r="Y192" s="916" t="s">
        <v>21</v>
      </c>
      <c r="Z192" s="916" t="s">
        <v>21</v>
      </c>
      <c r="AA192" s="916" t="s">
        <v>21</v>
      </c>
      <c r="AB192" s="916" t="s">
        <v>21</v>
      </c>
      <c r="AC192" s="915"/>
      <c r="AD192" s="919" t="s">
        <v>21</v>
      </c>
      <c r="AE192" s="920" t="s">
        <v>21</v>
      </c>
      <c r="AF192" s="920" t="s">
        <v>21</v>
      </c>
      <c r="AG192" s="920" t="s">
        <v>21</v>
      </c>
      <c r="AH192" s="921" t="s">
        <v>21</v>
      </c>
      <c r="AI192" s="921" t="s">
        <v>21</v>
      </c>
      <c r="AJ192" s="920" t="s">
        <v>21</v>
      </c>
      <c r="AK192" s="920" t="s">
        <v>21</v>
      </c>
      <c r="AL192" s="921" t="s">
        <v>21</v>
      </c>
      <c r="AM192" s="921" t="s">
        <v>21</v>
      </c>
      <c r="AN192" s="920"/>
      <c r="AO192" s="920" t="s">
        <v>21</v>
      </c>
      <c r="AP192" s="919" t="s">
        <v>21</v>
      </c>
      <c r="AQ192" s="933" t="s">
        <v>21</v>
      </c>
      <c r="AR192" s="925" t="s">
        <v>21</v>
      </c>
      <c r="AS192" s="925" t="s">
        <v>21</v>
      </c>
      <c r="AT192" s="925" t="s">
        <v>21</v>
      </c>
      <c r="AU192" s="925" t="s">
        <v>21</v>
      </c>
      <c r="AV192" s="926" t="s">
        <v>21</v>
      </c>
      <c r="AW192" s="926" t="s">
        <v>21</v>
      </c>
      <c r="AX192" s="926" t="s">
        <v>21</v>
      </c>
      <c r="AY192" s="926" t="s">
        <v>21</v>
      </c>
      <c r="AZ192" s="925" t="s">
        <v>21</v>
      </c>
      <c r="BA192" s="925"/>
      <c r="BB192" s="919" t="s">
        <v>21</v>
      </c>
      <c r="BC192" s="919" t="s">
        <v>21</v>
      </c>
      <c r="BD192" s="919" t="s">
        <v>21</v>
      </c>
      <c r="BE192" s="925" t="s">
        <v>21</v>
      </c>
      <c r="BF192" s="926" t="s">
        <v>21</v>
      </c>
      <c r="BG192" s="925" t="s">
        <v>21</v>
      </c>
      <c r="BH192" s="926" t="s">
        <v>21</v>
      </c>
      <c r="BI192" s="925" t="s">
        <v>21</v>
      </c>
      <c r="BJ192" s="926" t="s">
        <v>21</v>
      </c>
      <c r="BK192" s="925" t="s">
        <v>21</v>
      </c>
      <c r="BL192" s="926" t="s">
        <v>21</v>
      </c>
      <c r="BM192" s="925" t="s">
        <v>21</v>
      </c>
      <c r="BN192" s="927"/>
      <c r="BO192" s="927"/>
      <c r="BP192" s="928" t="s">
        <v>21</v>
      </c>
      <c r="BQ192" s="928" t="s">
        <v>21</v>
      </c>
      <c r="BR192" s="928" t="s">
        <v>21</v>
      </c>
      <c r="BS192" s="928" t="s">
        <v>21</v>
      </c>
      <c r="BT192" s="928" t="s">
        <v>21</v>
      </c>
      <c r="BU192" s="928" t="s">
        <v>21</v>
      </c>
      <c r="BV192" s="934" t="s">
        <v>21</v>
      </c>
      <c r="BW192" s="934" t="s">
        <v>21</v>
      </c>
      <c r="BX192" s="1104" t="s">
        <v>21</v>
      </c>
      <c r="BY192" s="931" t="s">
        <v>21</v>
      </c>
      <c r="BZ192" s="930" t="s">
        <v>21</v>
      </c>
      <c r="CA192" s="1074" t="s">
        <v>21</v>
      </c>
      <c r="CB192" s="930" t="s">
        <v>21</v>
      </c>
      <c r="CC192" s="930" t="s">
        <v>21</v>
      </c>
      <c r="CD192" s="925" t="s">
        <v>21</v>
      </c>
      <c r="CE192" s="1130" t="s">
        <v>21</v>
      </c>
      <c r="CF192" s="1129" t="s">
        <v>21</v>
      </c>
      <c r="CG192" s="1130" t="s">
        <v>21</v>
      </c>
      <c r="CH192" s="1130" t="s">
        <v>21</v>
      </c>
      <c r="CI192" s="1131" t="s">
        <v>21</v>
      </c>
      <c r="CJ192" s="1129" t="s">
        <v>21</v>
      </c>
      <c r="CK192" s="1130" t="s">
        <v>21</v>
      </c>
      <c r="CL192" s="1130" t="s">
        <v>21</v>
      </c>
      <c r="CM192" s="1131" t="s">
        <v>21</v>
      </c>
      <c r="CN192" s="1130" t="s">
        <v>21</v>
      </c>
      <c r="CP192" s="838" t="s">
        <v>21</v>
      </c>
      <c r="CQ192" s="838" t="s">
        <v>21</v>
      </c>
      <c r="CR192" s="836"/>
    </row>
    <row r="193" spans="1:96" x14ac:dyDescent="0.25">
      <c r="A193" s="935" t="s">
        <v>2515</v>
      </c>
      <c r="B193" s="932" t="s">
        <v>2236</v>
      </c>
      <c r="C193" s="911">
        <v>600</v>
      </c>
      <c r="D193" s="911" t="s">
        <v>2116</v>
      </c>
      <c r="E193" s="912">
        <v>1136.96</v>
      </c>
      <c r="F193" s="912">
        <v>1135.06</v>
      </c>
      <c r="G193" s="932" t="s">
        <v>2237</v>
      </c>
      <c r="H193" s="912">
        <v>1133.81</v>
      </c>
      <c r="I193" s="912">
        <v>1131.9100000000001</v>
      </c>
      <c r="J193" s="914">
        <v>34.56</v>
      </c>
      <c r="K193" s="915"/>
      <c r="L193" s="916">
        <v>0.1</v>
      </c>
      <c r="M193" s="916">
        <v>0.06</v>
      </c>
      <c r="N193" s="916">
        <v>0.2</v>
      </c>
      <c r="O193" s="916">
        <v>4.84</v>
      </c>
      <c r="P193" s="915"/>
      <c r="Q193" s="916">
        <v>2.16</v>
      </c>
      <c r="R193" s="917">
        <v>0.33333333333333331</v>
      </c>
      <c r="S193" s="918">
        <v>1.4</v>
      </c>
      <c r="T193" s="918">
        <v>2.84</v>
      </c>
      <c r="U193" s="916">
        <v>4.5540000000000003</v>
      </c>
      <c r="V193" s="916">
        <v>0.92</v>
      </c>
      <c r="W193" s="915"/>
      <c r="X193" s="916">
        <v>0.28299999999999997</v>
      </c>
      <c r="Y193" s="916">
        <v>0.40699999999999997</v>
      </c>
      <c r="Z193" s="916">
        <v>4.5789999999999997</v>
      </c>
      <c r="AA193" s="916">
        <v>1.0229999999999999</v>
      </c>
      <c r="AB193" s="916">
        <v>3.0089999999999999</v>
      </c>
      <c r="AC193" s="915"/>
      <c r="AD193" s="919">
        <v>167.27</v>
      </c>
      <c r="AE193" s="920">
        <v>158.25</v>
      </c>
      <c r="AF193" s="920" t="s">
        <v>21</v>
      </c>
      <c r="AG193" s="920" t="s">
        <v>21</v>
      </c>
      <c r="AH193" s="921">
        <v>158.25</v>
      </c>
      <c r="AI193" s="921" t="s">
        <v>21</v>
      </c>
      <c r="AJ193" s="920" t="s">
        <v>21</v>
      </c>
      <c r="AK193" s="920" t="s">
        <v>21</v>
      </c>
      <c r="AL193" s="921" t="s">
        <v>21</v>
      </c>
      <c r="AM193" s="921" t="s">
        <v>21</v>
      </c>
      <c r="AN193" s="920"/>
      <c r="AO193" s="920" t="s">
        <v>21</v>
      </c>
      <c r="AP193" s="919">
        <v>48.384</v>
      </c>
      <c r="AQ193" s="933">
        <v>157.38624000000002</v>
      </c>
      <c r="AR193" s="925" t="s">
        <v>21</v>
      </c>
      <c r="AS193" s="925">
        <v>157.38624000000002</v>
      </c>
      <c r="AT193" s="925" t="s">
        <v>21</v>
      </c>
      <c r="AU193" s="925" t="s">
        <v>21</v>
      </c>
      <c r="AV193" s="926" t="s">
        <v>21</v>
      </c>
      <c r="AW193" s="926" t="s">
        <v>21</v>
      </c>
      <c r="AX193" s="926" t="s">
        <v>21</v>
      </c>
      <c r="AY193" s="926" t="s">
        <v>21</v>
      </c>
      <c r="AZ193" s="925" t="s">
        <v>21</v>
      </c>
      <c r="BA193" s="925"/>
      <c r="BB193" s="919">
        <v>4.8380000000000001</v>
      </c>
      <c r="BC193" s="919" t="s">
        <v>21</v>
      </c>
      <c r="BD193" s="919" t="s">
        <v>2142</v>
      </c>
      <c r="BE193" s="925" t="s">
        <v>21</v>
      </c>
      <c r="BF193" s="926" t="s">
        <v>21</v>
      </c>
      <c r="BG193" s="925">
        <v>34.56</v>
      </c>
      <c r="BH193" s="926" t="s">
        <v>21</v>
      </c>
      <c r="BI193" s="925" t="s">
        <v>21</v>
      </c>
      <c r="BJ193" s="926" t="s">
        <v>21</v>
      </c>
      <c r="BK193" s="925" t="s">
        <v>21</v>
      </c>
      <c r="BL193" s="926" t="s">
        <v>21</v>
      </c>
      <c r="BM193" s="925" t="s">
        <v>21</v>
      </c>
      <c r="BN193" s="927"/>
      <c r="BO193" s="927"/>
      <c r="BP193" s="928">
        <v>1</v>
      </c>
      <c r="BQ193" s="928" t="s">
        <v>21</v>
      </c>
      <c r="BR193" s="928" t="s">
        <v>21</v>
      </c>
      <c r="BS193" s="928" t="s">
        <v>21</v>
      </c>
      <c r="BT193" s="928" t="s">
        <v>21</v>
      </c>
      <c r="BU193" s="928" t="s">
        <v>21</v>
      </c>
      <c r="BV193" s="934">
        <v>0.50000000000009104</v>
      </c>
      <c r="BW193" s="934">
        <v>1</v>
      </c>
      <c r="BX193" s="1104">
        <v>2</v>
      </c>
      <c r="BY193" s="931">
        <v>4</v>
      </c>
      <c r="BZ193" s="930" t="s">
        <v>21</v>
      </c>
      <c r="CA193" s="1074">
        <v>1</v>
      </c>
      <c r="CB193" s="930" t="s">
        <v>21</v>
      </c>
      <c r="CC193" s="930" t="s">
        <v>21</v>
      </c>
      <c r="CD193" s="925">
        <v>35.354999999999997</v>
      </c>
      <c r="CE193" s="1130">
        <v>103.991</v>
      </c>
      <c r="CF193" s="1129" t="s">
        <v>21</v>
      </c>
      <c r="CG193" s="1130" t="s">
        <v>21</v>
      </c>
      <c r="CH193" s="1130" t="s">
        <v>21</v>
      </c>
      <c r="CI193" s="1131" t="s">
        <v>21</v>
      </c>
      <c r="CJ193" s="1129" t="s">
        <v>21</v>
      </c>
      <c r="CK193" s="1130">
        <v>103.991</v>
      </c>
      <c r="CL193" s="1130" t="s">
        <v>21</v>
      </c>
      <c r="CM193" s="1131" t="s">
        <v>21</v>
      </c>
      <c r="CN193" s="1130" t="s">
        <v>21</v>
      </c>
      <c r="CP193" s="838" t="s">
        <v>21</v>
      </c>
      <c r="CQ193" s="838" t="s">
        <v>21</v>
      </c>
      <c r="CR193" s="836"/>
    </row>
    <row r="194" spans="1:96" x14ac:dyDescent="0.25">
      <c r="A194" s="935"/>
      <c r="B194" s="932" t="s">
        <v>2237</v>
      </c>
      <c r="C194" s="911">
        <v>600</v>
      </c>
      <c r="D194" s="911" t="s">
        <v>2116</v>
      </c>
      <c r="E194" s="912">
        <v>1133.81</v>
      </c>
      <c r="F194" s="912">
        <v>1131.81</v>
      </c>
      <c r="G194" s="932" t="s">
        <v>2238</v>
      </c>
      <c r="H194" s="912">
        <v>1131.56</v>
      </c>
      <c r="I194" s="912">
        <v>1129.6600000000001</v>
      </c>
      <c r="J194" s="914">
        <v>50.57</v>
      </c>
      <c r="K194" s="915"/>
      <c r="L194" s="916">
        <v>0.1</v>
      </c>
      <c r="M194" s="916">
        <v>0.06</v>
      </c>
      <c r="N194" s="916">
        <v>0.2</v>
      </c>
      <c r="O194" s="916">
        <v>4.8730000000000002</v>
      </c>
      <c r="P194" s="915"/>
      <c r="Q194" s="916">
        <v>2.21</v>
      </c>
      <c r="R194" s="917">
        <v>0.33333333333333331</v>
      </c>
      <c r="S194" s="918">
        <v>1.4</v>
      </c>
      <c r="T194" s="918">
        <v>2.8730000000000002</v>
      </c>
      <c r="U194" s="916">
        <v>4.6589999999999998</v>
      </c>
      <c r="V194" s="916">
        <v>0.92</v>
      </c>
      <c r="W194" s="915"/>
      <c r="X194" s="916">
        <v>0.28299999999999997</v>
      </c>
      <c r="Y194" s="916">
        <v>0.40699999999999997</v>
      </c>
      <c r="Z194" s="916">
        <v>4.7220000000000004</v>
      </c>
      <c r="AA194" s="916">
        <v>1.0229999999999999</v>
      </c>
      <c r="AB194" s="916">
        <v>3.1520000000000001</v>
      </c>
      <c r="AC194" s="915"/>
      <c r="AD194" s="919">
        <v>246.428</v>
      </c>
      <c r="AE194" s="920">
        <v>238.792</v>
      </c>
      <c r="AF194" s="920" t="s">
        <v>21</v>
      </c>
      <c r="AG194" s="920" t="s">
        <v>21</v>
      </c>
      <c r="AH194" s="921">
        <v>238.792</v>
      </c>
      <c r="AI194" s="921" t="s">
        <v>21</v>
      </c>
      <c r="AJ194" s="920" t="s">
        <v>21</v>
      </c>
      <c r="AK194" s="920" t="s">
        <v>21</v>
      </c>
      <c r="AL194" s="921" t="s">
        <v>21</v>
      </c>
      <c r="AM194" s="921" t="s">
        <v>21</v>
      </c>
      <c r="AN194" s="920"/>
      <c r="AO194" s="920" t="s">
        <v>21</v>
      </c>
      <c r="AP194" s="919">
        <v>70.798000000000002</v>
      </c>
      <c r="AQ194" s="933">
        <v>235.60562999999999</v>
      </c>
      <c r="AR194" s="925" t="s">
        <v>21</v>
      </c>
      <c r="AS194" s="925">
        <v>235.60562999999999</v>
      </c>
      <c r="AT194" s="925" t="s">
        <v>21</v>
      </c>
      <c r="AU194" s="925" t="s">
        <v>21</v>
      </c>
      <c r="AV194" s="926" t="s">
        <v>21</v>
      </c>
      <c r="AW194" s="926" t="s">
        <v>21</v>
      </c>
      <c r="AX194" s="926" t="s">
        <v>21</v>
      </c>
      <c r="AY194" s="926" t="s">
        <v>21</v>
      </c>
      <c r="AZ194" s="925" t="s">
        <v>21</v>
      </c>
      <c r="BA194" s="925"/>
      <c r="BB194" s="919">
        <v>7.08</v>
      </c>
      <c r="BC194" s="919" t="s">
        <v>21</v>
      </c>
      <c r="BD194" s="919" t="s">
        <v>2142</v>
      </c>
      <c r="BE194" s="925" t="s">
        <v>21</v>
      </c>
      <c r="BF194" s="926" t="s">
        <v>21</v>
      </c>
      <c r="BG194" s="925">
        <v>50.57</v>
      </c>
      <c r="BH194" s="926" t="s">
        <v>21</v>
      </c>
      <c r="BI194" s="925" t="s">
        <v>21</v>
      </c>
      <c r="BJ194" s="926" t="s">
        <v>21</v>
      </c>
      <c r="BK194" s="925" t="s">
        <v>21</v>
      </c>
      <c r="BL194" s="926" t="s">
        <v>21</v>
      </c>
      <c r="BM194" s="925" t="s">
        <v>21</v>
      </c>
      <c r="BN194" s="927"/>
      <c r="BO194" s="927"/>
      <c r="BP194" s="928">
        <v>1</v>
      </c>
      <c r="BQ194" s="928" t="s">
        <v>21</v>
      </c>
      <c r="BR194" s="928" t="s">
        <v>21</v>
      </c>
      <c r="BS194" s="928" t="s">
        <v>21</v>
      </c>
      <c r="BT194" s="928" t="s">
        <v>21</v>
      </c>
      <c r="BU194" s="928" t="s">
        <v>21</v>
      </c>
      <c r="BV194" s="934">
        <v>0.60000000000000009</v>
      </c>
      <c r="BW194" s="934">
        <v>1</v>
      </c>
      <c r="BX194" s="1104">
        <v>2</v>
      </c>
      <c r="BY194" s="931">
        <v>4</v>
      </c>
      <c r="BZ194" s="930" t="s">
        <v>21</v>
      </c>
      <c r="CA194" s="1074" t="s">
        <v>21</v>
      </c>
      <c r="CB194" s="930" t="s">
        <v>21</v>
      </c>
      <c r="CC194" s="930" t="s">
        <v>21</v>
      </c>
      <c r="CD194" s="925">
        <v>51.732999999999997</v>
      </c>
      <c r="CE194" s="1130">
        <v>159.39699999999999</v>
      </c>
      <c r="CF194" s="1129" t="s">
        <v>21</v>
      </c>
      <c r="CG194" s="1130" t="s">
        <v>21</v>
      </c>
      <c r="CH194" s="1130" t="s">
        <v>21</v>
      </c>
      <c r="CI194" s="1131" t="s">
        <v>21</v>
      </c>
      <c r="CJ194" s="1129" t="s">
        <v>21</v>
      </c>
      <c r="CK194" s="1130">
        <v>159.39699999999999</v>
      </c>
      <c r="CL194" s="1130" t="s">
        <v>21</v>
      </c>
      <c r="CM194" s="1131" t="s">
        <v>21</v>
      </c>
      <c r="CN194" s="1130" t="s">
        <v>21</v>
      </c>
      <c r="CP194" s="838" t="s">
        <v>21</v>
      </c>
      <c r="CQ194" s="838" t="s">
        <v>21</v>
      </c>
      <c r="CR194" s="836"/>
    </row>
    <row r="195" spans="1:96" x14ac:dyDescent="0.25">
      <c r="A195" s="935"/>
      <c r="B195" s="932" t="s">
        <v>2238</v>
      </c>
      <c r="C195" s="911">
        <v>600</v>
      </c>
      <c r="D195" s="911" t="s">
        <v>2116</v>
      </c>
      <c r="E195" s="912">
        <v>1131.56</v>
      </c>
      <c r="F195" s="912">
        <v>1129.56</v>
      </c>
      <c r="G195" s="932" t="s">
        <v>2239</v>
      </c>
      <c r="H195" s="912">
        <v>1129.29</v>
      </c>
      <c r="I195" s="912">
        <v>1127.3900000000001</v>
      </c>
      <c r="J195" s="914">
        <v>51.55</v>
      </c>
      <c r="K195" s="915"/>
      <c r="L195" s="916">
        <v>0.1</v>
      </c>
      <c r="M195" s="916">
        <v>0.06</v>
      </c>
      <c r="N195" s="916">
        <v>0.2</v>
      </c>
      <c r="O195" s="916">
        <v>4.8730000000000002</v>
      </c>
      <c r="P195" s="915"/>
      <c r="Q195" s="916">
        <v>2.21</v>
      </c>
      <c r="R195" s="917">
        <v>0.33333333333333331</v>
      </c>
      <c r="S195" s="918">
        <v>1.4</v>
      </c>
      <c r="T195" s="918">
        <v>2.8730000000000002</v>
      </c>
      <c r="U195" s="916">
        <v>4.6589999999999998</v>
      </c>
      <c r="V195" s="916">
        <v>0.92</v>
      </c>
      <c r="W195" s="915"/>
      <c r="X195" s="916">
        <v>0.28299999999999997</v>
      </c>
      <c r="Y195" s="916">
        <v>0.40699999999999997</v>
      </c>
      <c r="Z195" s="916">
        <v>4.7220000000000004</v>
      </c>
      <c r="AA195" s="916">
        <v>1.0229999999999999</v>
      </c>
      <c r="AB195" s="916">
        <v>3.1520000000000001</v>
      </c>
      <c r="AC195" s="915"/>
      <c r="AD195" s="919">
        <v>251.203</v>
      </c>
      <c r="AE195" s="920">
        <v>243.41900000000001</v>
      </c>
      <c r="AF195" s="920" t="s">
        <v>21</v>
      </c>
      <c r="AG195" s="920" t="s">
        <v>21</v>
      </c>
      <c r="AH195" s="921">
        <v>243.41900000000001</v>
      </c>
      <c r="AI195" s="921" t="s">
        <v>21</v>
      </c>
      <c r="AJ195" s="920" t="s">
        <v>21</v>
      </c>
      <c r="AK195" s="920" t="s">
        <v>21</v>
      </c>
      <c r="AL195" s="921" t="s">
        <v>21</v>
      </c>
      <c r="AM195" s="921" t="s">
        <v>21</v>
      </c>
      <c r="AN195" s="920"/>
      <c r="AO195" s="920" t="s">
        <v>21</v>
      </c>
      <c r="AP195" s="919">
        <v>72.17</v>
      </c>
      <c r="AQ195" s="933">
        <v>240.17144999999996</v>
      </c>
      <c r="AR195" s="925" t="s">
        <v>21</v>
      </c>
      <c r="AS195" s="925">
        <v>240.17144999999996</v>
      </c>
      <c r="AT195" s="925" t="s">
        <v>21</v>
      </c>
      <c r="AU195" s="925" t="s">
        <v>21</v>
      </c>
      <c r="AV195" s="926" t="s">
        <v>21</v>
      </c>
      <c r="AW195" s="926" t="s">
        <v>21</v>
      </c>
      <c r="AX195" s="926" t="s">
        <v>21</v>
      </c>
      <c r="AY195" s="926" t="s">
        <v>21</v>
      </c>
      <c r="AZ195" s="925" t="s">
        <v>21</v>
      </c>
      <c r="BA195" s="925"/>
      <c r="BB195" s="919">
        <v>7.2169999999999996</v>
      </c>
      <c r="BC195" s="919" t="s">
        <v>21</v>
      </c>
      <c r="BD195" s="919" t="s">
        <v>2142</v>
      </c>
      <c r="BE195" s="925" t="s">
        <v>21</v>
      </c>
      <c r="BF195" s="926" t="s">
        <v>21</v>
      </c>
      <c r="BG195" s="925">
        <v>51.55</v>
      </c>
      <c r="BH195" s="926" t="s">
        <v>21</v>
      </c>
      <c r="BI195" s="925" t="s">
        <v>21</v>
      </c>
      <c r="BJ195" s="926" t="s">
        <v>21</v>
      </c>
      <c r="BK195" s="925" t="s">
        <v>21</v>
      </c>
      <c r="BL195" s="926" t="s">
        <v>21</v>
      </c>
      <c r="BM195" s="925" t="s">
        <v>21</v>
      </c>
      <c r="BN195" s="927"/>
      <c r="BO195" s="927"/>
      <c r="BP195" s="928">
        <v>1</v>
      </c>
      <c r="BQ195" s="928" t="s">
        <v>21</v>
      </c>
      <c r="BR195" s="928" t="s">
        <v>21</v>
      </c>
      <c r="BS195" s="928" t="s">
        <v>21</v>
      </c>
      <c r="BT195" s="928" t="s">
        <v>21</v>
      </c>
      <c r="BU195" s="928" t="s">
        <v>21</v>
      </c>
      <c r="BV195" s="934">
        <v>0.60000000000000009</v>
      </c>
      <c r="BW195" s="934">
        <v>1</v>
      </c>
      <c r="BX195" s="1104">
        <v>2</v>
      </c>
      <c r="BY195" s="931">
        <v>4</v>
      </c>
      <c r="BZ195" s="930" t="s">
        <v>21</v>
      </c>
      <c r="CA195" s="1074" t="s">
        <v>21</v>
      </c>
      <c r="CB195" s="930" t="s">
        <v>21</v>
      </c>
      <c r="CC195" s="930" t="s">
        <v>21</v>
      </c>
      <c r="CD195" s="925">
        <v>52.735999999999997</v>
      </c>
      <c r="CE195" s="1130">
        <v>162.48599999999999</v>
      </c>
      <c r="CF195" s="1129" t="s">
        <v>21</v>
      </c>
      <c r="CG195" s="1130" t="s">
        <v>21</v>
      </c>
      <c r="CH195" s="1130" t="s">
        <v>21</v>
      </c>
      <c r="CI195" s="1131" t="s">
        <v>21</v>
      </c>
      <c r="CJ195" s="1129" t="s">
        <v>21</v>
      </c>
      <c r="CK195" s="1130">
        <v>162.48599999999999</v>
      </c>
      <c r="CL195" s="1130" t="s">
        <v>21</v>
      </c>
      <c r="CM195" s="1131" t="s">
        <v>21</v>
      </c>
      <c r="CN195" s="1130" t="s">
        <v>21</v>
      </c>
      <c r="CP195" s="838" t="s">
        <v>21</v>
      </c>
      <c r="CQ195" s="838" t="s">
        <v>21</v>
      </c>
      <c r="CR195" s="836"/>
    </row>
    <row r="196" spans="1:96" x14ac:dyDescent="0.25">
      <c r="A196" s="935"/>
      <c r="B196" s="932" t="s">
        <v>2239</v>
      </c>
      <c r="C196" s="911">
        <v>600</v>
      </c>
      <c r="D196" s="911" t="s">
        <v>2116</v>
      </c>
      <c r="E196" s="912">
        <v>1129.29</v>
      </c>
      <c r="F196" s="912">
        <v>1125.8900000000001</v>
      </c>
      <c r="G196" s="910" t="s">
        <v>2437</v>
      </c>
      <c r="H196" s="1098">
        <v>1125.8699999999999</v>
      </c>
      <c r="I196" s="1098">
        <v>1124.8699999999999</v>
      </c>
      <c r="J196" s="1488">
        <v>10.59</v>
      </c>
      <c r="K196" s="915"/>
      <c r="L196" s="916">
        <v>0.1</v>
      </c>
      <c r="M196" s="916">
        <v>0.06</v>
      </c>
      <c r="N196" s="916">
        <v>0.2</v>
      </c>
      <c r="O196" s="916">
        <v>5.04</v>
      </c>
      <c r="P196" s="915"/>
      <c r="Q196" s="916">
        <v>2.46</v>
      </c>
      <c r="R196" s="917">
        <v>0.33333333333333331</v>
      </c>
      <c r="S196" s="918">
        <v>1.4</v>
      </c>
      <c r="T196" s="918">
        <v>3.04</v>
      </c>
      <c r="U196" s="916">
        <v>5.1859999999999999</v>
      </c>
      <c r="V196" s="916">
        <v>0.92</v>
      </c>
      <c r="W196" s="915"/>
      <c r="X196" s="916">
        <v>0.28299999999999997</v>
      </c>
      <c r="Y196" s="916">
        <v>0.40699999999999997</v>
      </c>
      <c r="Z196" s="916">
        <v>5.4610000000000003</v>
      </c>
      <c r="AA196" s="916">
        <v>1.0229999999999999</v>
      </c>
      <c r="AB196" s="916">
        <v>3.891</v>
      </c>
      <c r="AC196" s="915"/>
      <c r="AD196" s="919">
        <v>53.374000000000002</v>
      </c>
      <c r="AE196" s="920">
        <v>57.832000000000001</v>
      </c>
      <c r="AF196" s="920" t="s">
        <v>21</v>
      </c>
      <c r="AG196" s="920" t="s">
        <v>21</v>
      </c>
      <c r="AH196" s="921">
        <v>57.832000000000001</v>
      </c>
      <c r="AI196" s="921" t="s">
        <v>21</v>
      </c>
      <c r="AJ196" s="920" t="s">
        <v>21</v>
      </c>
      <c r="AK196" s="920" t="s">
        <v>21</v>
      </c>
      <c r="AL196" s="921" t="s">
        <v>21</v>
      </c>
      <c r="AM196" s="921" t="s">
        <v>21</v>
      </c>
      <c r="AN196" s="920"/>
      <c r="AO196" s="920" t="s">
        <v>21</v>
      </c>
      <c r="AP196" s="919">
        <v>14.826000000000001</v>
      </c>
      <c r="AQ196" s="933">
        <v>54.919739999999997</v>
      </c>
      <c r="AR196" s="925" t="s">
        <v>21</v>
      </c>
      <c r="AS196" s="925">
        <v>54.919739999999997</v>
      </c>
      <c r="AT196" s="925" t="s">
        <v>21</v>
      </c>
      <c r="AU196" s="925" t="s">
        <v>21</v>
      </c>
      <c r="AV196" s="926" t="s">
        <v>21</v>
      </c>
      <c r="AW196" s="926" t="s">
        <v>21</v>
      </c>
      <c r="AX196" s="926" t="s">
        <v>21</v>
      </c>
      <c r="AY196" s="926" t="s">
        <v>21</v>
      </c>
      <c r="AZ196" s="925" t="s">
        <v>21</v>
      </c>
      <c r="BA196" s="925"/>
      <c r="BB196" s="919">
        <v>1.4830000000000001</v>
      </c>
      <c r="BC196" s="919" t="s">
        <v>21</v>
      </c>
      <c r="BD196" s="919" t="s">
        <v>2142</v>
      </c>
      <c r="BE196" s="925" t="s">
        <v>21</v>
      </c>
      <c r="BF196" s="926" t="s">
        <v>21</v>
      </c>
      <c r="BG196" s="925">
        <v>10.59</v>
      </c>
      <c r="BH196" s="926" t="s">
        <v>21</v>
      </c>
      <c r="BI196" s="925" t="s">
        <v>21</v>
      </c>
      <c r="BJ196" s="926" t="s">
        <v>21</v>
      </c>
      <c r="BK196" s="925" t="s">
        <v>21</v>
      </c>
      <c r="BL196" s="926" t="s">
        <v>21</v>
      </c>
      <c r="BM196" s="925" t="s">
        <v>21</v>
      </c>
      <c r="BN196" s="927"/>
      <c r="BO196" s="927"/>
      <c r="BP196" s="928">
        <v>1</v>
      </c>
      <c r="BQ196" s="928" t="s">
        <v>21</v>
      </c>
      <c r="BR196" s="928" t="s">
        <v>21</v>
      </c>
      <c r="BS196" s="928" t="s">
        <v>21</v>
      </c>
      <c r="BT196" s="928" t="s">
        <v>21</v>
      </c>
      <c r="BU196" s="928" t="s">
        <v>21</v>
      </c>
      <c r="BV196" s="934">
        <v>1.9999999999998637</v>
      </c>
      <c r="BW196" s="934">
        <v>2</v>
      </c>
      <c r="BX196" s="1104">
        <v>4</v>
      </c>
      <c r="BY196" s="931">
        <v>6</v>
      </c>
      <c r="BZ196" s="930" t="s">
        <v>21</v>
      </c>
      <c r="CA196" s="1074">
        <v>1</v>
      </c>
      <c r="CB196" s="930" t="s">
        <v>21</v>
      </c>
      <c r="CC196" s="930" t="s">
        <v>21</v>
      </c>
      <c r="CD196" s="925">
        <v>10.834</v>
      </c>
      <c r="CE196" s="1130">
        <v>41.206000000000003</v>
      </c>
      <c r="CF196" s="1129" t="s">
        <v>21</v>
      </c>
      <c r="CG196" s="1130" t="s">
        <v>21</v>
      </c>
      <c r="CH196" s="1130" t="s">
        <v>21</v>
      </c>
      <c r="CI196" s="1131" t="s">
        <v>21</v>
      </c>
      <c r="CJ196" s="1129" t="s">
        <v>21</v>
      </c>
      <c r="CK196" s="1130">
        <v>41.206000000000003</v>
      </c>
      <c r="CL196" s="1130" t="s">
        <v>21</v>
      </c>
      <c r="CM196" s="1131" t="s">
        <v>21</v>
      </c>
      <c r="CN196" s="1130" t="s">
        <v>21</v>
      </c>
      <c r="CP196" s="838" t="s">
        <v>21</v>
      </c>
      <c r="CQ196" s="838" t="s">
        <v>21</v>
      </c>
      <c r="CR196" s="836"/>
    </row>
    <row r="197" spans="1:96" x14ac:dyDescent="0.25">
      <c r="A197" s="935"/>
      <c r="B197" s="932" t="s">
        <v>2437</v>
      </c>
      <c r="C197" s="911"/>
      <c r="D197" s="911"/>
      <c r="E197" s="1098"/>
      <c r="F197" s="1098"/>
      <c r="G197" s="910" t="s">
        <v>2233</v>
      </c>
      <c r="H197" s="912"/>
      <c r="I197" s="912"/>
      <c r="J197" s="1107"/>
      <c r="K197" s="915"/>
      <c r="L197" s="916" t="s">
        <v>21</v>
      </c>
      <c r="M197" s="916" t="s">
        <v>21</v>
      </c>
      <c r="N197" s="916" t="s">
        <v>21</v>
      </c>
      <c r="O197" s="916" t="s">
        <v>21</v>
      </c>
      <c r="P197" s="915"/>
      <c r="Q197" s="916" t="s">
        <v>21</v>
      </c>
      <c r="R197" s="917" t="s">
        <v>21</v>
      </c>
      <c r="S197" s="918" t="s">
        <v>21</v>
      </c>
      <c r="T197" s="918" t="s">
        <v>21</v>
      </c>
      <c r="U197" s="916" t="s">
        <v>21</v>
      </c>
      <c r="V197" s="916" t="s">
        <v>21</v>
      </c>
      <c r="W197" s="915"/>
      <c r="X197" s="916" t="s">
        <v>21</v>
      </c>
      <c r="Y197" s="916" t="s">
        <v>21</v>
      </c>
      <c r="Z197" s="916" t="s">
        <v>21</v>
      </c>
      <c r="AA197" s="916" t="s">
        <v>21</v>
      </c>
      <c r="AB197" s="916" t="s">
        <v>21</v>
      </c>
      <c r="AC197" s="915"/>
      <c r="AD197" s="919" t="s">
        <v>21</v>
      </c>
      <c r="AE197" s="920"/>
      <c r="AF197" s="920" t="s">
        <v>21</v>
      </c>
      <c r="AG197" s="920" t="s">
        <v>21</v>
      </c>
      <c r="AH197" s="921" t="s">
        <v>21</v>
      </c>
      <c r="AI197" s="921" t="s">
        <v>21</v>
      </c>
      <c r="AJ197" s="920" t="s">
        <v>21</v>
      </c>
      <c r="AK197" s="920" t="s">
        <v>21</v>
      </c>
      <c r="AL197" s="921" t="s">
        <v>21</v>
      </c>
      <c r="AM197" s="921" t="s">
        <v>21</v>
      </c>
      <c r="AN197" s="920"/>
      <c r="AO197" s="920" t="s">
        <v>21</v>
      </c>
      <c r="AP197" s="919" t="s">
        <v>21</v>
      </c>
      <c r="AQ197" s="933" t="s">
        <v>21</v>
      </c>
      <c r="AR197" s="925" t="s">
        <v>21</v>
      </c>
      <c r="AS197" s="925" t="s">
        <v>21</v>
      </c>
      <c r="AT197" s="925" t="s">
        <v>21</v>
      </c>
      <c r="AU197" s="925" t="s">
        <v>21</v>
      </c>
      <c r="AV197" s="926" t="s">
        <v>21</v>
      </c>
      <c r="AW197" s="926" t="s">
        <v>21</v>
      </c>
      <c r="AX197" s="926" t="s">
        <v>21</v>
      </c>
      <c r="AY197" s="926" t="s">
        <v>21</v>
      </c>
      <c r="AZ197" s="925" t="s">
        <v>21</v>
      </c>
      <c r="BA197" s="925"/>
      <c r="BB197" s="919" t="s">
        <v>21</v>
      </c>
      <c r="BC197" s="919" t="s">
        <v>21</v>
      </c>
      <c r="BD197" s="919" t="s">
        <v>21</v>
      </c>
      <c r="BE197" s="925" t="s">
        <v>21</v>
      </c>
      <c r="BF197" s="926" t="s">
        <v>21</v>
      </c>
      <c r="BG197" s="925" t="s">
        <v>21</v>
      </c>
      <c r="BH197" s="926" t="s">
        <v>21</v>
      </c>
      <c r="BI197" s="925" t="s">
        <v>21</v>
      </c>
      <c r="BJ197" s="926" t="s">
        <v>21</v>
      </c>
      <c r="BK197" s="925" t="s">
        <v>21</v>
      </c>
      <c r="BL197" s="926" t="s">
        <v>21</v>
      </c>
      <c r="BM197" s="925" t="s">
        <v>21</v>
      </c>
      <c r="BN197" s="927"/>
      <c r="BO197" s="927"/>
      <c r="BP197" s="928" t="s">
        <v>21</v>
      </c>
      <c r="BQ197" s="928" t="s">
        <v>21</v>
      </c>
      <c r="BR197" s="928" t="s">
        <v>21</v>
      </c>
      <c r="BS197" s="928" t="s">
        <v>21</v>
      </c>
      <c r="BT197" s="928" t="s">
        <v>21</v>
      </c>
      <c r="BU197" s="928" t="s">
        <v>21</v>
      </c>
      <c r="BV197" s="934" t="s">
        <v>21</v>
      </c>
      <c r="BW197" s="934" t="s">
        <v>21</v>
      </c>
      <c r="BX197" s="1104" t="s">
        <v>21</v>
      </c>
      <c r="BY197" s="931" t="s">
        <v>21</v>
      </c>
      <c r="BZ197" s="930" t="s">
        <v>21</v>
      </c>
      <c r="CA197" s="1074" t="s">
        <v>21</v>
      </c>
      <c r="CB197" s="930" t="s">
        <v>21</v>
      </c>
      <c r="CC197" s="930" t="s">
        <v>21</v>
      </c>
      <c r="CD197" s="925" t="s">
        <v>21</v>
      </c>
      <c r="CE197" s="1130" t="s">
        <v>21</v>
      </c>
      <c r="CF197" s="1129" t="s">
        <v>21</v>
      </c>
      <c r="CG197" s="1130" t="s">
        <v>21</v>
      </c>
      <c r="CH197" s="1130" t="s">
        <v>21</v>
      </c>
      <c r="CI197" s="1131" t="s">
        <v>21</v>
      </c>
      <c r="CJ197" s="1129" t="s">
        <v>21</v>
      </c>
      <c r="CK197" s="1130" t="s">
        <v>21</v>
      </c>
      <c r="CL197" s="1130" t="s">
        <v>21</v>
      </c>
      <c r="CM197" s="1131" t="s">
        <v>21</v>
      </c>
      <c r="CN197" s="1130" t="s">
        <v>21</v>
      </c>
      <c r="CP197" s="838" t="s">
        <v>21</v>
      </c>
      <c r="CQ197" s="838" t="s">
        <v>21</v>
      </c>
      <c r="CR197" s="836"/>
    </row>
    <row r="198" spans="1:96" x14ac:dyDescent="0.25">
      <c r="A198" s="935"/>
      <c r="B198" s="932"/>
      <c r="C198" s="911"/>
      <c r="D198" s="911"/>
      <c r="E198" s="912"/>
      <c r="F198" s="912"/>
      <c r="G198" s="910"/>
      <c r="H198" s="912"/>
      <c r="I198" s="912"/>
      <c r="J198" s="914"/>
      <c r="K198" s="915"/>
      <c r="L198" s="916" t="s">
        <v>21</v>
      </c>
      <c r="M198" s="916" t="s">
        <v>21</v>
      </c>
      <c r="N198" s="916" t="s">
        <v>21</v>
      </c>
      <c r="O198" s="916" t="s">
        <v>21</v>
      </c>
      <c r="P198" s="915"/>
      <c r="Q198" s="916" t="s">
        <v>21</v>
      </c>
      <c r="R198" s="917" t="s">
        <v>21</v>
      </c>
      <c r="S198" s="918" t="s">
        <v>21</v>
      </c>
      <c r="T198" s="918" t="s">
        <v>21</v>
      </c>
      <c r="U198" s="916" t="s">
        <v>21</v>
      </c>
      <c r="V198" s="916" t="s">
        <v>21</v>
      </c>
      <c r="W198" s="915"/>
      <c r="X198" s="916" t="s">
        <v>21</v>
      </c>
      <c r="Y198" s="916" t="s">
        <v>21</v>
      </c>
      <c r="Z198" s="916" t="s">
        <v>21</v>
      </c>
      <c r="AA198" s="916" t="s">
        <v>21</v>
      </c>
      <c r="AB198" s="916" t="s">
        <v>21</v>
      </c>
      <c r="AC198" s="915"/>
      <c r="AD198" s="919" t="s">
        <v>21</v>
      </c>
      <c r="AE198" s="920" t="s">
        <v>21</v>
      </c>
      <c r="AF198" s="920" t="s">
        <v>21</v>
      </c>
      <c r="AG198" s="920" t="s">
        <v>21</v>
      </c>
      <c r="AH198" s="921" t="s">
        <v>21</v>
      </c>
      <c r="AI198" s="921" t="s">
        <v>21</v>
      </c>
      <c r="AJ198" s="920" t="s">
        <v>21</v>
      </c>
      <c r="AK198" s="920" t="s">
        <v>21</v>
      </c>
      <c r="AL198" s="921" t="s">
        <v>21</v>
      </c>
      <c r="AM198" s="921" t="s">
        <v>21</v>
      </c>
      <c r="AN198" s="920"/>
      <c r="AO198" s="920" t="s">
        <v>21</v>
      </c>
      <c r="AP198" s="919" t="s">
        <v>21</v>
      </c>
      <c r="AQ198" s="933" t="s">
        <v>21</v>
      </c>
      <c r="AR198" s="925" t="s">
        <v>21</v>
      </c>
      <c r="AS198" s="925" t="s">
        <v>21</v>
      </c>
      <c r="AT198" s="925" t="s">
        <v>21</v>
      </c>
      <c r="AU198" s="925" t="s">
        <v>21</v>
      </c>
      <c r="AV198" s="926" t="s">
        <v>21</v>
      </c>
      <c r="AW198" s="926" t="s">
        <v>21</v>
      </c>
      <c r="AX198" s="926" t="s">
        <v>21</v>
      </c>
      <c r="AY198" s="926" t="s">
        <v>21</v>
      </c>
      <c r="AZ198" s="925" t="s">
        <v>21</v>
      </c>
      <c r="BA198" s="925"/>
      <c r="BB198" s="919" t="s">
        <v>21</v>
      </c>
      <c r="BC198" s="919" t="s">
        <v>21</v>
      </c>
      <c r="BD198" s="919" t="s">
        <v>21</v>
      </c>
      <c r="BE198" s="925" t="s">
        <v>21</v>
      </c>
      <c r="BF198" s="926" t="s">
        <v>21</v>
      </c>
      <c r="BG198" s="925" t="s">
        <v>21</v>
      </c>
      <c r="BH198" s="926" t="s">
        <v>21</v>
      </c>
      <c r="BI198" s="925" t="s">
        <v>21</v>
      </c>
      <c r="BJ198" s="926" t="s">
        <v>21</v>
      </c>
      <c r="BK198" s="925" t="s">
        <v>21</v>
      </c>
      <c r="BL198" s="926" t="s">
        <v>21</v>
      </c>
      <c r="BM198" s="925" t="s">
        <v>21</v>
      </c>
      <c r="BN198" s="927"/>
      <c r="BO198" s="927"/>
      <c r="BP198" s="928" t="s">
        <v>21</v>
      </c>
      <c r="BQ198" s="928" t="s">
        <v>21</v>
      </c>
      <c r="BR198" s="928" t="s">
        <v>21</v>
      </c>
      <c r="BS198" s="928" t="s">
        <v>21</v>
      </c>
      <c r="BT198" s="928" t="s">
        <v>21</v>
      </c>
      <c r="BU198" s="928" t="s">
        <v>21</v>
      </c>
      <c r="BV198" s="934" t="s">
        <v>21</v>
      </c>
      <c r="BW198" s="934" t="s">
        <v>21</v>
      </c>
      <c r="BX198" s="1104" t="s">
        <v>21</v>
      </c>
      <c r="BY198" s="931" t="s">
        <v>21</v>
      </c>
      <c r="BZ198" s="930" t="s">
        <v>21</v>
      </c>
      <c r="CA198" s="1074" t="s">
        <v>21</v>
      </c>
      <c r="CB198" s="930" t="s">
        <v>21</v>
      </c>
      <c r="CC198" s="930" t="s">
        <v>21</v>
      </c>
      <c r="CD198" s="925" t="s">
        <v>21</v>
      </c>
      <c r="CE198" s="1130" t="s">
        <v>21</v>
      </c>
      <c r="CF198" s="1129" t="s">
        <v>21</v>
      </c>
      <c r="CG198" s="1130" t="s">
        <v>21</v>
      </c>
      <c r="CH198" s="1130" t="s">
        <v>21</v>
      </c>
      <c r="CI198" s="1131" t="s">
        <v>21</v>
      </c>
      <c r="CJ198" s="1129" t="s">
        <v>21</v>
      </c>
      <c r="CK198" s="1130" t="s">
        <v>21</v>
      </c>
      <c r="CL198" s="1130" t="s">
        <v>21</v>
      </c>
      <c r="CM198" s="1131" t="s">
        <v>21</v>
      </c>
      <c r="CN198" s="1130" t="s">
        <v>21</v>
      </c>
      <c r="CP198" s="838" t="s">
        <v>21</v>
      </c>
      <c r="CQ198" s="838" t="s">
        <v>21</v>
      </c>
      <c r="CR198" s="836"/>
    </row>
    <row r="199" spans="1:96" x14ac:dyDescent="0.25">
      <c r="A199" s="935" t="s">
        <v>2516</v>
      </c>
      <c r="B199" s="932" t="s">
        <v>2269</v>
      </c>
      <c r="C199" s="911">
        <v>600</v>
      </c>
      <c r="D199" s="911" t="s">
        <v>2116</v>
      </c>
      <c r="E199" s="912">
        <v>1136</v>
      </c>
      <c r="F199" s="912">
        <v>1134.0999999999999</v>
      </c>
      <c r="G199" s="910" t="s">
        <v>2238</v>
      </c>
      <c r="H199" s="912">
        <v>1131.56</v>
      </c>
      <c r="I199" s="912">
        <v>1129.6600000000001</v>
      </c>
      <c r="J199" s="914">
        <v>15.5</v>
      </c>
      <c r="K199" s="915"/>
      <c r="L199" s="916">
        <v>0.1</v>
      </c>
      <c r="M199" s="916">
        <v>0.06</v>
      </c>
      <c r="N199" s="916">
        <v>0.2</v>
      </c>
      <c r="O199" s="916">
        <v>4.84</v>
      </c>
      <c r="P199" s="915"/>
      <c r="Q199" s="916">
        <v>2.16</v>
      </c>
      <c r="R199" s="917">
        <v>0.33333333333333331</v>
      </c>
      <c r="S199" s="918">
        <v>1.4</v>
      </c>
      <c r="T199" s="918">
        <v>2.84</v>
      </c>
      <c r="U199" s="916">
        <v>4.5540000000000003</v>
      </c>
      <c r="V199" s="916">
        <v>0.92</v>
      </c>
      <c r="W199" s="915"/>
      <c r="X199" s="916">
        <v>0.28299999999999997</v>
      </c>
      <c r="Y199" s="916">
        <v>0.40699999999999997</v>
      </c>
      <c r="Z199" s="916">
        <v>4.5789999999999997</v>
      </c>
      <c r="AA199" s="916">
        <v>1.0229999999999999</v>
      </c>
      <c r="AB199" s="916">
        <v>3.0089999999999999</v>
      </c>
      <c r="AC199" s="915"/>
      <c r="AD199" s="919">
        <v>75.02</v>
      </c>
      <c r="AE199" s="920">
        <v>70.974999999999994</v>
      </c>
      <c r="AF199" s="920" t="s">
        <v>21</v>
      </c>
      <c r="AG199" s="920" t="s">
        <v>21</v>
      </c>
      <c r="AH199" s="921">
        <v>70.974999999999994</v>
      </c>
      <c r="AI199" s="921" t="s">
        <v>21</v>
      </c>
      <c r="AJ199" s="920" t="s">
        <v>21</v>
      </c>
      <c r="AK199" s="920" t="s">
        <v>21</v>
      </c>
      <c r="AL199" s="921" t="s">
        <v>21</v>
      </c>
      <c r="AM199" s="921" t="s">
        <v>21</v>
      </c>
      <c r="AN199" s="920"/>
      <c r="AO199" s="920" t="s">
        <v>21</v>
      </c>
      <c r="AP199" s="919">
        <v>21.7</v>
      </c>
      <c r="AQ199" s="933">
        <v>70.587000000000003</v>
      </c>
      <c r="AR199" s="925" t="s">
        <v>21</v>
      </c>
      <c r="AS199" s="925">
        <v>70.587000000000003</v>
      </c>
      <c r="AT199" s="925" t="s">
        <v>21</v>
      </c>
      <c r="AU199" s="925" t="s">
        <v>21</v>
      </c>
      <c r="AV199" s="926" t="s">
        <v>21</v>
      </c>
      <c r="AW199" s="926" t="s">
        <v>21</v>
      </c>
      <c r="AX199" s="926" t="s">
        <v>21</v>
      </c>
      <c r="AY199" s="926" t="s">
        <v>21</v>
      </c>
      <c r="AZ199" s="925" t="s">
        <v>21</v>
      </c>
      <c r="BA199" s="925"/>
      <c r="BB199" s="919">
        <v>2.17</v>
      </c>
      <c r="BC199" s="919" t="s">
        <v>21</v>
      </c>
      <c r="BD199" s="919" t="s">
        <v>2142</v>
      </c>
      <c r="BE199" s="925" t="s">
        <v>21</v>
      </c>
      <c r="BF199" s="926" t="s">
        <v>21</v>
      </c>
      <c r="BG199" s="925">
        <v>15.5</v>
      </c>
      <c r="BH199" s="926" t="s">
        <v>21</v>
      </c>
      <c r="BI199" s="925" t="s">
        <v>21</v>
      </c>
      <c r="BJ199" s="926" t="s">
        <v>21</v>
      </c>
      <c r="BK199" s="925" t="s">
        <v>21</v>
      </c>
      <c r="BL199" s="926" t="s">
        <v>21</v>
      </c>
      <c r="BM199" s="925" t="s">
        <v>21</v>
      </c>
      <c r="BN199" s="927"/>
      <c r="BO199" s="927"/>
      <c r="BP199" s="928">
        <v>1</v>
      </c>
      <c r="BQ199" s="928" t="s">
        <v>21</v>
      </c>
      <c r="BR199" s="928" t="s">
        <v>21</v>
      </c>
      <c r="BS199" s="928" t="s">
        <v>21</v>
      </c>
      <c r="BT199" s="928" t="s">
        <v>21</v>
      </c>
      <c r="BU199" s="928" t="s">
        <v>21</v>
      </c>
      <c r="BV199" s="934">
        <v>0.50000000000009104</v>
      </c>
      <c r="BW199" s="934">
        <v>1</v>
      </c>
      <c r="BX199" s="1104">
        <v>2</v>
      </c>
      <c r="BY199" s="931">
        <v>4</v>
      </c>
      <c r="BZ199" s="930" t="s">
        <v>21</v>
      </c>
      <c r="CA199" s="1074" t="s">
        <v>21</v>
      </c>
      <c r="CB199" s="930" t="s">
        <v>21</v>
      </c>
      <c r="CC199" s="930" t="s">
        <v>21</v>
      </c>
      <c r="CD199" s="925">
        <v>15.856999999999999</v>
      </c>
      <c r="CE199" s="1130">
        <v>46.64</v>
      </c>
      <c r="CF199" s="1129" t="s">
        <v>21</v>
      </c>
      <c r="CG199" s="1130" t="s">
        <v>21</v>
      </c>
      <c r="CH199" s="1130" t="s">
        <v>21</v>
      </c>
      <c r="CI199" s="1131" t="s">
        <v>21</v>
      </c>
      <c r="CJ199" s="1129" t="s">
        <v>21</v>
      </c>
      <c r="CK199" s="1130">
        <v>46.64</v>
      </c>
      <c r="CL199" s="1130" t="s">
        <v>21</v>
      </c>
      <c r="CM199" s="1131" t="s">
        <v>21</v>
      </c>
      <c r="CN199" s="1130" t="s">
        <v>21</v>
      </c>
      <c r="CP199" s="838" t="s">
        <v>21</v>
      </c>
      <c r="CQ199" s="838" t="s">
        <v>21</v>
      </c>
      <c r="CR199" s="836"/>
    </row>
    <row r="200" spans="1:96" x14ac:dyDescent="0.25">
      <c r="A200" s="935"/>
      <c r="B200" s="932"/>
      <c r="C200" s="911"/>
      <c r="D200" s="911"/>
      <c r="E200" s="912"/>
      <c r="F200" s="912"/>
      <c r="G200" s="910"/>
      <c r="H200" s="912"/>
      <c r="I200" s="912"/>
      <c r="J200" s="914"/>
      <c r="K200" s="915"/>
      <c r="L200" s="916" t="s">
        <v>21</v>
      </c>
      <c r="M200" s="916" t="s">
        <v>21</v>
      </c>
      <c r="N200" s="916" t="s">
        <v>21</v>
      </c>
      <c r="O200" s="916" t="s">
        <v>21</v>
      </c>
      <c r="P200" s="915"/>
      <c r="Q200" s="916" t="s">
        <v>21</v>
      </c>
      <c r="R200" s="917" t="s">
        <v>21</v>
      </c>
      <c r="S200" s="918" t="s">
        <v>21</v>
      </c>
      <c r="T200" s="918" t="s">
        <v>21</v>
      </c>
      <c r="U200" s="916" t="s">
        <v>21</v>
      </c>
      <c r="V200" s="916" t="s">
        <v>21</v>
      </c>
      <c r="W200" s="915"/>
      <c r="X200" s="916" t="s">
        <v>21</v>
      </c>
      <c r="Y200" s="916" t="s">
        <v>21</v>
      </c>
      <c r="Z200" s="916" t="s">
        <v>21</v>
      </c>
      <c r="AA200" s="916" t="s">
        <v>21</v>
      </c>
      <c r="AB200" s="916" t="s">
        <v>21</v>
      </c>
      <c r="AC200" s="915"/>
      <c r="AD200" s="919" t="s">
        <v>21</v>
      </c>
      <c r="AE200" s="920" t="s">
        <v>21</v>
      </c>
      <c r="AF200" s="920" t="s">
        <v>21</v>
      </c>
      <c r="AG200" s="920" t="s">
        <v>21</v>
      </c>
      <c r="AH200" s="921" t="s">
        <v>21</v>
      </c>
      <c r="AI200" s="921" t="s">
        <v>21</v>
      </c>
      <c r="AJ200" s="920" t="s">
        <v>21</v>
      </c>
      <c r="AK200" s="920" t="s">
        <v>21</v>
      </c>
      <c r="AL200" s="921" t="s">
        <v>21</v>
      </c>
      <c r="AM200" s="921" t="s">
        <v>21</v>
      </c>
      <c r="AN200" s="920"/>
      <c r="AO200" s="920" t="s">
        <v>21</v>
      </c>
      <c r="AP200" s="919" t="s">
        <v>21</v>
      </c>
      <c r="AQ200" s="933" t="s">
        <v>21</v>
      </c>
      <c r="AR200" s="925" t="s">
        <v>21</v>
      </c>
      <c r="AS200" s="925" t="s">
        <v>21</v>
      </c>
      <c r="AT200" s="925" t="s">
        <v>21</v>
      </c>
      <c r="AU200" s="925" t="s">
        <v>21</v>
      </c>
      <c r="AV200" s="926" t="s">
        <v>21</v>
      </c>
      <c r="AW200" s="926" t="s">
        <v>21</v>
      </c>
      <c r="AX200" s="926" t="s">
        <v>21</v>
      </c>
      <c r="AY200" s="926" t="s">
        <v>21</v>
      </c>
      <c r="AZ200" s="925" t="s">
        <v>21</v>
      </c>
      <c r="BA200" s="925"/>
      <c r="BB200" s="919" t="s">
        <v>21</v>
      </c>
      <c r="BC200" s="919" t="s">
        <v>21</v>
      </c>
      <c r="BD200" s="919" t="s">
        <v>21</v>
      </c>
      <c r="BE200" s="925" t="s">
        <v>21</v>
      </c>
      <c r="BF200" s="926" t="s">
        <v>21</v>
      </c>
      <c r="BG200" s="925" t="s">
        <v>21</v>
      </c>
      <c r="BH200" s="926" t="s">
        <v>21</v>
      </c>
      <c r="BI200" s="925" t="s">
        <v>21</v>
      </c>
      <c r="BJ200" s="926" t="s">
        <v>21</v>
      </c>
      <c r="BK200" s="925" t="s">
        <v>21</v>
      </c>
      <c r="BL200" s="926" t="s">
        <v>21</v>
      </c>
      <c r="BM200" s="925" t="s">
        <v>21</v>
      </c>
      <c r="BN200" s="927"/>
      <c r="BO200" s="927"/>
      <c r="BP200" s="928" t="s">
        <v>21</v>
      </c>
      <c r="BQ200" s="928" t="s">
        <v>21</v>
      </c>
      <c r="BR200" s="928" t="s">
        <v>21</v>
      </c>
      <c r="BS200" s="928" t="s">
        <v>21</v>
      </c>
      <c r="BT200" s="928" t="s">
        <v>21</v>
      </c>
      <c r="BU200" s="928" t="s">
        <v>21</v>
      </c>
      <c r="BV200" s="934" t="s">
        <v>21</v>
      </c>
      <c r="BW200" s="934" t="s">
        <v>21</v>
      </c>
      <c r="BX200" s="1104" t="s">
        <v>21</v>
      </c>
      <c r="BY200" s="931" t="s">
        <v>21</v>
      </c>
      <c r="BZ200" s="930" t="s">
        <v>21</v>
      </c>
      <c r="CA200" s="1074" t="s">
        <v>21</v>
      </c>
      <c r="CB200" s="930" t="s">
        <v>21</v>
      </c>
      <c r="CC200" s="930" t="s">
        <v>21</v>
      </c>
      <c r="CD200" s="925" t="s">
        <v>21</v>
      </c>
      <c r="CE200" s="1130" t="s">
        <v>21</v>
      </c>
      <c r="CF200" s="1129" t="s">
        <v>21</v>
      </c>
      <c r="CG200" s="1130" t="s">
        <v>21</v>
      </c>
      <c r="CH200" s="1130" t="s">
        <v>21</v>
      </c>
      <c r="CI200" s="1131" t="s">
        <v>21</v>
      </c>
      <c r="CJ200" s="1129" t="s">
        <v>21</v>
      </c>
      <c r="CK200" s="1130" t="s">
        <v>21</v>
      </c>
      <c r="CL200" s="1130" t="s">
        <v>21</v>
      </c>
      <c r="CM200" s="1131" t="s">
        <v>21</v>
      </c>
      <c r="CN200" s="1130" t="s">
        <v>21</v>
      </c>
      <c r="CP200" s="838" t="s">
        <v>21</v>
      </c>
      <c r="CQ200" s="838" t="s">
        <v>21</v>
      </c>
      <c r="CR200" s="836"/>
    </row>
    <row r="201" spans="1:96" x14ac:dyDescent="0.25">
      <c r="A201" s="935" t="s">
        <v>2517</v>
      </c>
      <c r="B201" s="932" t="s">
        <v>2240</v>
      </c>
      <c r="C201" s="911">
        <v>600</v>
      </c>
      <c r="D201" s="911" t="s">
        <v>2116</v>
      </c>
      <c r="E201" s="912">
        <v>1135.6600000000001</v>
      </c>
      <c r="F201" s="912">
        <v>1133.76</v>
      </c>
      <c r="G201" s="932" t="s">
        <v>2241</v>
      </c>
      <c r="H201" s="912">
        <v>1135.3699999999999</v>
      </c>
      <c r="I201" s="912">
        <v>1133.47</v>
      </c>
      <c r="J201" s="914">
        <v>47.01</v>
      </c>
      <c r="K201" s="915"/>
      <c r="L201" s="916">
        <v>0.1</v>
      </c>
      <c r="M201" s="916">
        <v>0.06</v>
      </c>
      <c r="N201" s="916">
        <v>0.2</v>
      </c>
      <c r="O201" s="916">
        <v>4.84</v>
      </c>
      <c r="P201" s="915"/>
      <c r="Q201" s="916">
        <v>2.16</v>
      </c>
      <c r="R201" s="917">
        <v>0.33333333333333331</v>
      </c>
      <c r="S201" s="918">
        <v>1.4</v>
      </c>
      <c r="T201" s="918">
        <v>2.84</v>
      </c>
      <c r="U201" s="916">
        <v>4.5540000000000003</v>
      </c>
      <c r="V201" s="916">
        <v>0.92</v>
      </c>
      <c r="W201" s="915"/>
      <c r="X201" s="916">
        <v>0.28299999999999997</v>
      </c>
      <c r="Y201" s="916">
        <v>0.40699999999999997</v>
      </c>
      <c r="Z201" s="916">
        <v>4.5789999999999997</v>
      </c>
      <c r="AA201" s="916">
        <v>1.0229999999999999</v>
      </c>
      <c r="AB201" s="916">
        <v>3.0089999999999999</v>
      </c>
      <c r="AC201" s="915"/>
      <c r="AD201" s="919">
        <v>227.52799999999999</v>
      </c>
      <c r="AE201" s="920">
        <v>215.25899999999999</v>
      </c>
      <c r="AF201" s="920" t="s">
        <v>21</v>
      </c>
      <c r="AG201" s="920" t="s">
        <v>21</v>
      </c>
      <c r="AH201" s="921">
        <v>215.25899999999999</v>
      </c>
      <c r="AI201" s="921" t="s">
        <v>21</v>
      </c>
      <c r="AJ201" s="920" t="s">
        <v>21</v>
      </c>
      <c r="AK201" s="920" t="s">
        <v>21</v>
      </c>
      <c r="AL201" s="921" t="s">
        <v>21</v>
      </c>
      <c r="AM201" s="921" t="s">
        <v>21</v>
      </c>
      <c r="AN201" s="920"/>
      <c r="AO201" s="920" t="s">
        <v>21</v>
      </c>
      <c r="AP201" s="919">
        <v>65.813999999999993</v>
      </c>
      <c r="AQ201" s="933">
        <v>214.08354</v>
      </c>
      <c r="AR201" s="925" t="s">
        <v>21</v>
      </c>
      <c r="AS201" s="925">
        <v>214.08354</v>
      </c>
      <c r="AT201" s="925" t="s">
        <v>21</v>
      </c>
      <c r="AU201" s="925" t="s">
        <v>21</v>
      </c>
      <c r="AV201" s="926" t="s">
        <v>21</v>
      </c>
      <c r="AW201" s="926" t="s">
        <v>21</v>
      </c>
      <c r="AX201" s="926" t="s">
        <v>21</v>
      </c>
      <c r="AY201" s="926" t="s">
        <v>21</v>
      </c>
      <c r="AZ201" s="925" t="s">
        <v>21</v>
      </c>
      <c r="BA201" s="925"/>
      <c r="BB201" s="919">
        <v>6.5810000000000004</v>
      </c>
      <c r="BC201" s="919" t="s">
        <v>21</v>
      </c>
      <c r="BD201" s="919" t="s">
        <v>2142</v>
      </c>
      <c r="BE201" s="925" t="s">
        <v>21</v>
      </c>
      <c r="BF201" s="926" t="s">
        <v>21</v>
      </c>
      <c r="BG201" s="925">
        <v>47.01</v>
      </c>
      <c r="BH201" s="926" t="s">
        <v>21</v>
      </c>
      <c r="BI201" s="925" t="s">
        <v>21</v>
      </c>
      <c r="BJ201" s="926" t="s">
        <v>21</v>
      </c>
      <c r="BK201" s="925" t="s">
        <v>21</v>
      </c>
      <c r="BL201" s="926" t="s">
        <v>21</v>
      </c>
      <c r="BM201" s="925" t="s">
        <v>21</v>
      </c>
      <c r="BN201" s="927"/>
      <c r="BO201" s="927"/>
      <c r="BP201" s="928">
        <v>1</v>
      </c>
      <c r="BQ201" s="928" t="s">
        <v>21</v>
      </c>
      <c r="BR201" s="928" t="s">
        <v>21</v>
      </c>
      <c r="BS201" s="928" t="s">
        <v>21</v>
      </c>
      <c r="BT201" s="928" t="s">
        <v>21</v>
      </c>
      <c r="BU201" s="928" t="s">
        <v>21</v>
      </c>
      <c r="BV201" s="934">
        <v>0.50000000000009104</v>
      </c>
      <c r="BW201" s="934">
        <v>1</v>
      </c>
      <c r="BX201" s="1104">
        <v>2</v>
      </c>
      <c r="BY201" s="931">
        <v>4</v>
      </c>
      <c r="BZ201" s="930">
        <v>2</v>
      </c>
      <c r="CA201" s="1074" t="s">
        <v>21</v>
      </c>
      <c r="CB201" s="930" t="s">
        <v>21</v>
      </c>
      <c r="CC201" s="930" t="s">
        <v>21</v>
      </c>
      <c r="CD201" s="925">
        <v>48.091000000000001</v>
      </c>
      <c r="CE201" s="1130">
        <v>141.453</v>
      </c>
      <c r="CF201" s="1129" t="s">
        <v>21</v>
      </c>
      <c r="CG201" s="1130" t="s">
        <v>21</v>
      </c>
      <c r="CH201" s="1130" t="s">
        <v>21</v>
      </c>
      <c r="CI201" s="1131" t="s">
        <v>21</v>
      </c>
      <c r="CJ201" s="1129" t="s">
        <v>21</v>
      </c>
      <c r="CK201" s="1130">
        <v>141.453</v>
      </c>
      <c r="CL201" s="1130" t="s">
        <v>21</v>
      </c>
      <c r="CM201" s="1131" t="s">
        <v>21</v>
      </c>
      <c r="CN201" s="1130" t="s">
        <v>21</v>
      </c>
      <c r="CP201" s="838" t="s">
        <v>21</v>
      </c>
      <c r="CQ201" s="838" t="s">
        <v>21</v>
      </c>
      <c r="CR201" s="836"/>
    </row>
    <row r="202" spans="1:96" x14ac:dyDescent="0.25">
      <c r="A202" s="935"/>
      <c r="B202" s="932" t="s">
        <v>2241</v>
      </c>
      <c r="C202" s="911">
        <v>600</v>
      </c>
      <c r="D202" s="911" t="s">
        <v>2116</v>
      </c>
      <c r="E202" s="912">
        <v>1135.3699999999999</v>
      </c>
      <c r="F202" s="912">
        <v>1133.47</v>
      </c>
      <c r="G202" s="932" t="s">
        <v>2242</v>
      </c>
      <c r="H202" s="912">
        <v>1130.1500000000001</v>
      </c>
      <c r="I202" s="912">
        <v>1128.25</v>
      </c>
      <c r="J202" s="914">
        <v>47.01</v>
      </c>
      <c r="K202" s="915"/>
      <c r="L202" s="916">
        <v>0.1</v>
      </c>
      <c r="M202" s="916">
        <v>0.06</v>
      </c>
      <c r="N202" s="916">
        <v>0.2</v>
      </c>
      <c r="O202" s="916">
        <v>4.84</v>
      </c>
      <c r="P202" s="915"/>
      <c r="Q202" s="916">
        <v>2.16</v>
      </c>
      <c r="R202" s="917">
        <v>0.33333333333333331</v>
      </c>
      <c r="S202" s="918">
        <v>1.4</v>
      </c>
      <c r="T202" s="918">
        <v>2.84</v>
      </c>
      <c r="U202" s="916">
        <v>4.5540000000000003</v>
      </c>
      <c r="V202" s="916">
        <v>0.92</v>
      </c>
      <c r="W202" s="915"/>
      <c r="X202" s="916">
        <v>0.28299999999999997</v>
      </c>
      <c r="Y202" s="916">
        <v>0.40699999999999997</v>
      </c>
      <c r="Z202" s="916">
        <v>4.5789999999999997</v>
      </c>
      <c r="AA202" s="916">
        <v>1.0229999999999999</v>
      </c>
      <c r="AB202" s="916">
        <v>3.0089999999999999</v>
      </c>
      <c r="AC202" s="915"/>
      <c r="AD202" s="919">
        <v>227.52799999999999</v>
      </c>
      <c r="AE202" s="920">
        <v>215.25899999999999</v>
      </c>
      <c r="AF202" s="920" t="s">
        <v>21</v>
      </c>
      <c r="AG202" s="920" t="s">
        <v>21</v>
      </c>
      <c r="AH202" s="921">
        <v>215.25899999999999</v>
      </c>
      <c r="AI202" s="921" t="s">
        <v>21</v>
      </c>
      <c r="AJ202" s="920" t="s">
        <v>21</v>
      </c>
      <c r="AK202" s="920" t="s">
        <v>21</v>
      </c>
      <c r="AL202" s="921" t="s">
        <v>21</v>
      </c>
      <c r="AM202" s="921" t="s">
        <v>21</v>
      </c>
      <c r="AN202" s="920"/>
      <c r="AO202" s="920" t="s">
        <v>21</v>
      </c>
      <c r="AP202" s="919">
        <v>65.813999999999993</v>
      </c>
      <c r="AQ202" s="933">
        <v>214.08354</v>
      </c>
      <c r="AR202" s="925" t="s">
        <v>21</v>
      </c>
      <c r="AS202" s="925">
        <v>214.08354</v>
      </c>
      <c r="AT202" s="925" t="s">
        <v>21</v>
      </c>
      <c r="AU202" s="925" t="s">
        <v>21</v>
      </c>
      <c r="AV202" s="926" t="s">
        <v>21</v>
      </c>
      <c r="AW202" s="926" t="s">
        <v>21</v>
      </c>
      <c r="AX202" s="926" t="s">
        <v>21</v>
      </c>
      <c r="AY202" s="926" t="s">
        <v>21</v>
      </c>
      <c r="AZ202" s="925" t="s">
        <v>21</v>
      </c>
      <c r="BA202" s="925"/>
      <c r="BB202" s="919">
        <v>6.5810000000000004</v>
      </c>
      <c r="BC202" s="919" t="s">
        <v>21</v>
      </c>
      <c r="BD202" s="919" t="s">
        <v>2142</v>
      </c>
      <c r="BE202" s="925" t="s">
        <v>21</v>
      </c>
      <c r="BF202" s="926" t="s">
        <v>21</v>
      </c>
      <c r="BG202" s="925">
        <v>47.01</v>
      </c>
      <c r="BH202" s="926" t="s">
        <v>21</v>
      </c>
      <c r="BI202" s="925" t="s">
        <v>21</v>
      </c>
      <c r="BJ202" s="926" t="s">
        <v>21</v>
      </c>
      <c r="BK202" s="925" t="s">
        <v>21</v>
      </c>
      <c r="BL202" s="926" t="s">
        <v>21</v>
      </c>
      <c r="BM202" s="925" t="s">
        <v>21</v>
      </c>
      <c r="BN202" s="927"/>
      <c r="BO202" s="927"/>
      <c r="BP202" s="928">
        <v>1</v>
      </c>
      <c r="BQ202" s="928" t="s">
        <v>21</v>
      </c>
      <c r="BR202" s="928" t="s">
        <v>21</v>
      </c>
      <c r="BS202" s="928" t="s">
        <v>21</v>
      </c>
      <c r="BT202" s="928" t="s">
        <v>21</v>
      </c>
      <c r="BU202" s="928" t="s">
        <v>21</v>
      </c>
      <c r="BV202" s="934">
        <v>0.49999999999986366</v>
      </c>
      <c r="BW202" s="934">
        <v>0.5</v>
      </c>
      <c r="BX202" s="1104">
        <v>1</v>
      </c>
      <c r="BY202" s="931">
        <v>3</v>
      </c>
      <c r="BZ202" s="930" t="s">
        <v>21</v>
      </c>
      <c r="CA202" s="1074" t="s">
        <v>21</v>
      </c>
      <c r="CB202" s="930" t="s">
        <v>21</v>
      </c>
      <c r="CC202" s="930" t="s">
        <v>21</v>
      </c>
      <c r="CD202" s="925">
        <v>48.091000000000001</v>
      </c>
      <c r="CE202" s="1130">
        <v>141.453</v>
      </c>
      <c r="CF202" s="1129" t="s">
        <v>21</v>
      </c>
      <c r="CG202" s="1130" t="s">
        <v>21</v>
      </c>
      <c r="CH202" s="1130" t="s">
        <v>21</v>
      </c>
      <c r="CI202" s="1131" t="s">
        <v>21</v>
      </c>
      <c r="CJ202" s="1129" t="s">
        <v>21</v>
      </c>
      <c r="CK202" s="1130">
        <v>141.453</v>
      </c>
      <c r="CL202" s="1130" t="s">
        <v>21</v>
      </c>
      <c r="CM202" s="1131" t="s">
        <v>21</v>
      </c>
      <c r="CN202" s="1130" t="s">
        <v>21</v>
      </c>
      <c r="CP202" s="838" t="s">
        <v>21</v>
      </c>
      <c r="CQ202" s="838" t="s">
        <v>21</v>
      </c>
      <c r="CR202" s="836"/>
    </row>
    <row r="203" spans="1:96" x14ac:dyDescent="0.25">
      <c r="A203" s="935"/>
      <c r="B203" s="932" t="s">
        <v>2242</v>
      </c>
      <c r="C203" s="911">
        <v>600</v>
      </c>
      <c r="D203" s="911" t="s">
        <v>2116</v>
      </c>
      <c r="E203" s="912">
        <v>1130.1500000000001</v>
      </c>
      <c r="F203" s="912">
        <v>1128.25</v>
      </c>
      <c r="G203" s="932" t="s">
        <v>2421</v>
      </c>
      <c r="H203" s="912">
        <v>1129.9100000000001</v>
      </c>
      <c r="I203" s="912">
        <v>1128.01</v>
      </c>
      <c r="J203" s="914">
        <v>47.01</v>
      </c>
      <c r="K203" s="915"/>
      <c r="L203" s="916">
        <v>0.1</v>
      </c>
      <c r="M203" s="916">
        <v>0.06</v>
      </c>
      <c r="N203" s="916">
        <v>0.2</v>
      </c>
      <c r="O203" s="916">
        <v>4.84</v>
      </c>
      <c r="P203" s="915"/>
      <c r="Q203" s="916">
        <v>2.16</v>
      </c>
      <c r="R203" s="917">
        <v>0.33333333333333331</v>
      </c>
      <c r="S203" s="918">
        <v>1.4</v>
      </c>
      <c r="T203" s="918">
        <v>2.84</v>
      </c>
      <c r="U203" s="916">
        <v>4.5540000000000003</v>
      </c>
      <c r="V203" s="916">
        <v>0.92</v>
      </c>
      <c r="W203" s="915"/>
      <c r="X203" s="916">
        <v>0.28299999999999997</v>
      </c>
      <c r="Y203" s="916">
        <v>0.40699999999999997</v>
      </c>
      <c r="Z203" s="916">
        <v>4.5789999999999997</v>
      </c>
      <c r="AA203" s="916">
        <v>1.0229999999999999</v>
      </c>
      <c r="AB203" s="916">
        <v>3.0089999999999999</v>
      </c>
      <c r="AC203" s="915"/>
      <c r="AD203" s="919">
        <v>227.52799999999999</v>
      </c>
      <c r="AE203" s="920">
        <v>215.25899999999999</v>
      </c>
      <c r="AF203" s="920" t="s">
        <v>21</v>
      </c>
      <c r="AG203" s="920" t="s">
        <v>21</v>
      </c>
      <c r="AH203" s="921">
        <v>215.25899999999999</v>
      </c>
      <c r="AI203" s="921" t="s">
        <v>21</v>
      </c>
      <c r="AJ203" s="920" t="s">
        <v>21</v>
      </c>
      <c r="AK203" s="920" t="s">
        <v>21</v>
      </c>
      <c r="AL203" s="921" t="s">
        <v>21</v>
      </c>
      <c r="AM203" s="921" t="s">
        <v>21</v>
      </c>
      <c r="AN203" s="920"/>
      <c r="AO203" s="920" t="s">
        <v>21</v>
      </c>
      <c r="AP203" s="919">
        <v>65.813999999999993</v>
      </c>
      <c r="AQ203" s="933">
        <v>214.08354</v>
      </c>
      <c r="AR203" s="925" t="s">
        <v>21</v>
      </c>
      <c r="AS203" s="925">
        <v>214.08354</v>
      </c>
      <c r="AT203" s="925" t="s">
        <v>21</v>
      </c>
      <c r="AU203" s="925" t="s">
        <v>21</v>
      </c>
      <c r="AV203" s="926" t="s">
        <v>21</v>
      </c>
      <c r="AW203" s="926" t="s">
        <v>21</v>
      </c>
      <c r="AX203" s="926" t="s">
        <v>21</v>
      </c>
      <c r="AY203" s="926" t="s">
        <v>21</v>
      </c>
      <c r="AZ203" s="925" t="s">
        <v>21</v>
      </c>
      <c r="BA203" s="925"/>
      <c r="BB203" s="919">
        <v>6.5810000000000004</v>
      </c>
      <c r="BC203" s="919" t="s">
        <v>21</v>
      </c>
      <c r="BD203" s="919" t="s">
        <v>2142</v>
      </c>
      <c r="BE203" s="925" t="s">
        <v>21</v>
      </c>
      <c r="BF203" s="926" t="s">
        <v>21</v>
      </c>
      <c r="BG203" s="925">
        <v>47.01</v>
      </c>
      <c r="BH203" s="926" t="s">
        <v>21</v>
      </c>
      <c r="BI203" s="925" t="s">
        <v>21</v>
      </c>
      <c r="BJ203" s="926" t="s">
        <v>21</v>
      </c>
      <c r="BK203" s="925" t="s">
        <v>21</v>
      </c>
      <c r="BL203" s="926" t="s">
        <v>21</v>
      </c>
      <c r="BM203" s="925" t="s">
        <v>21</v>
      </c>
      <c r="BN203" s="927"/>
      <c r="BO203" s="927"/>
      <c r="BP203" s="928">
        <v>1</v>
      </c>
      <c r="BQ203" s="928" t="s">
        <v>21</v>
      </c>
      <c r="BR203" s="928" t="s">
        <v>21</v>
      </c>
      <c r="BS203" s="928" t="s">
        <v>21</v>
      </c>
      <c r="BT203" s="928" t="s">
        <v>21</v>
      </c>
      <c r="BU203" s="928" t="s">
        <v>21</v>
      </c>
      <c r="BV203" s="934">
        <v>0.50000000000009104</v>
      </c>
      <c r="BW203" s="934">
        <v>1</v>
      </c>
      <c r="BX203" s="1104">
        <v>2</v>
      </c>
      <c r="BY203" s="931">
        <v>4</v>
      </c>
      <c r="BZ203" s="930">
        <v>1</v>
      </c>
      <c r="CA203" s="1074" t="s">
        <v>21</v>
      </c>
      <c r="CB203" s="930" t="s">
        <v>21</v>
      </c>
      <c r="CC203" s="930" t="s">
        <v>21</v>
      </c>
      <c r="CD203" s="925">
        <v>48.091000000000001</v>
      </c>
      <c r="CE203" s="1130">
        <v>141.453</v>
      </c>
      <c r="CF203" s="1129" t="s">
        <v>21</v>
      </c>
      <c r="CG203" s="1130" t="s">
        <v>21</v>
      </c>
      <c r="CH203" s="1130" t="s">
        <v>21</v>
      </c>
      <c r="CI203" s="1131" t="s">
        <v>21</v>
      </c>
      <c r="CJ203" s="1129" t="s">
        <v>21</v>
      </c>
      <c r="CK203" s="1130">
        <v>141.453</v>
      </c>
      <c r="CL203" s="1130" t="s">
        <v>21</v>
      </c>
      <c r="CM203" s="1131" t="s">
        <v>21</v>
      </c>
      <c r="CN203" s="1130" t="s">
        <v>21</v>
      </c>
      <c r="CP203" s="838" t="s">
        <v>21</v>
      </c>
      <c r="CQ203" s="838" t="s">
        <v>21</v>
      </c>
      <c r="CR203" s="836"/>
    </row>
    <row r="204" spans="1:96" x14ac:dyDescent="0.25">
      <c r="A204" s="935"/>
      <c r="B204" s="932" t="s">
        <v>2421</v>
      </c>
      <c r="C204" s="911">
        <v>600</v>
      </c>
      <c r="D204" s="911" t="s">
        <v>2116</v>
      </c>
      <c r="E204" s="912">
        <v>1129.9100000000001</v>
      </c>
      <c r="F204" s="912">
        <v>1128.01</v>
      </c>
      <c r="G204" s="910" t="s">
        <v>2239</v>
      </c>
      <c r="H204" s="912">
        <v>1129.29</v>
      </c>
      <c r="I204" s="912">
        <v>1127.3900000000001</v>
      </c>
      <c r="J204" s="914">
        <v>28.01</v>
      </c>
      <c r="K204" s="915"/>
      <c r="L204" s="916">
        <v>0.1</v>
      </c>
      <c r="M204" s="916">
        <v>0.06</v>
      </c>
      <c r="N204" s="916">
        <v>0.2</v>
      </c>
      <c r="O204" s="916">
        <v>4.84</v>
      </c>
      <c r="P204" s="915"/>
      <c r="Q204" s="916">
        <v>2.16</v>
      </c>
      <c r="R204" s="917">
        <v>0.33333333333333331</v>
      </c>
      <c r="S204" s="918">
        <v>1.4</v>
      </c>
      <c r="T204" s="918">
        <v>2.84</v>
      </c>
      <c r="U204" s="916">
        <v>4.5540000000000003</v>
      </c>
      <c r="V204" s="916">
        <v>0.92</v>
      </c>
      <c r="W204" s="915"/>
      <c r="X204" s="916">
        <v>0.28299999999999997</v>
      </c>
      <c r="Y204" s="916">
        <v>0.40699999999999997</v>
      </c>
      <c r="Z204" s="916">
        <v>4.5789999999999997</v>
      </c>
      <c r="AA204" s="916">
        <v>1.0229999999999999</v>
      </c>
      <c r="AB204" s="916">
        <v>3.0089999999999999</v>
      </c>
      <c r="AC204" s="915"/>
      <c r="AD204" s="919">
        <v>135.56800000000001</v>
      </c>
      <c r="AE204" s="920">
        <v>128.25800000000001</v>
      </c>
      <c r="AF204" s="920" t="s">
        <v>21</v>
      </c>
      <c r="AG204" s="920" t="s">
        <v>21</v>
      </c>
      <c r="AH204" s="921">
        <v>128.25800000000001</v>
      </c>
      <c r="AI204" s="921" t="s">
        <v>21</v>
      </c>
      <c r="AJ204" s="920" t="s">
        <v>21</v>
      </c>
      <c r="AK204" s="920" t="s">
        <v>21</v>
      </c>
      <c r="AL204" s="921" t="s">
        <v>21</v>
      </c>
      <c r="AM204" s="921" t="s">
        <v>21</v>
      </c>
      <c r="AN204" s="920"/>
      <c r="AO204" s="920" t="s">
        <v>21</v>
      </c>
      <c r="AP204" s="919">
        <v>39.213999999999999</v>
      </c>
      <c r="AQ204" s="933">
        <v>127.55754000000002</v>
      </c>
      <c r="AR204" s="925" t="s">
        <v>21</v>
      </c>
      <c r="AS204" s="925">
        <v>127.55754000000002</v>
      </c>
      <c r="AT204" s="925" t="s">
        <v>21</v>
      </c>
      <c r="AU204" s="925" t="s">
        <v>21</v>
      </c>
      <c r="AV204" s="926" t="s">
        <v>21</v>
      </c>
      <c r="AW204" s="926" t="s">
        <v>21</v>
      </c>
      <c r="AX204" s="926" t="s">
        <v>21</v>
      </c>
      <c r="AY204" s="926" t="s">
        <v>21</v>
      </c>
      <c r="AZ204" s="925" t="s">
        <v>21</v>
      </c>
      <c r="BA204" s="925"/>
      <c r="BB204" s="919">
        <v>3.9209999999999998</v>
      </c>
      <c r="BC204" s="919" t="s">
        <v>21</v>
      </c>
      <c r="BD204" s="919" t="s">
        <v>2142</v>
      </c>
      <c r="BE204" s="925" t="s">
        <v>21</v>
      </c>
      <c r="BF204" s="926" t="s">
        <v>21</v>
      </c>
      <c r="BG204" s="925">
        <v>28.01</v>
      </c>
      <c r="BH204" s="926" t="s">
        <v>21</v>
      </c>
      <c r="BI204" s="925" t="s">
        <v>21</v>
      </c>
      <c r="BJ204" s="926" t="s">
        <v>21</v>
      </c>
      <c r="BK204" s="925" t="s">
        <v>21</v>
      </c>
      <c r="BL204" s="926" t="s">
        <v>21</v>
      </c>
      <c r="BM204" s="925" t="s">
        <v>21</v>
      </c>
      <c r="BN204" s="927"/>
      <c r="BO204" s="927"/>
      <c r="BP204" s="928">
        <v>1</v>
      </c>
      <c r="BQ204" s="928" t="s">
        <v>21</v>
      </c>
      <c r="BR204" s="928" t="s">
        <v>21</v>
      </c>
      <c r="BS204" s="928" t="s">
        <v>21</v>
      </c>
      <c r="BT204" s="928" t="s">
        <v>21</v>
      </c>
      <c r="BU204" s="928" t="s">
        <v>21</v>
      </c>
      <c r="BV204" s="934">
        <v>0.50000000000009104</v>
      </c>
      <c r="BW204" s="934">
        <v>1</v>
      </c>
      <c r="BX204" s="1104">
        <v>2</v>
      </c>
      <c r="BY204" s="931">
        <v>4</v>
      </c>
      <c r="BZ204" s="930" t="s">
        <v>21</v>
      </c>
      <c r="CA204" s="1074">
        <v>1</v>
      </c>
      <c r="CB204" s="930" t="s">
        <v>21</v>
      </c>
      <c r="CC204" s="930" t="s">
        <v>21</v>
      </c>
      <c r="CD204" s="925">
        <v>28.654</v>
      </c>
      <c r="CE204" s="1130">
        <v>84.281999999999996</v>
      </c>
      <c r="CF204" s="1129" t="s">
        <v>21</v>
      </c>
      <c r="CG204" s="1130" t="s">
        <v>21</v>
      </c>
      <c r="CH204" s="1130" t="s">
        <v>21</v>
      </c>
      <c r="CI204" s="1131" t="s">
        <v>21</v>
      </c>
      <c r="CJ204" s="1129" t="s">
        <v>21</v>
      </c>
      <c r="CK204" s="1130">
        <v>84.281999999999996</v>
      </c>
      <c r="CL204" s="1130" t="s">
        <v>21</v>
      </c>
      <c r="CM204" s="1131" t="s">
        <v>21</v>
      </c>
      <c r="CN204" s="1130" t="s">
        <v>21</v>
      </c>
      <c r="CP204" s="838" t="s">
        <v>21</v>
      </c>
      <c r="CQ204" s="838" t="s">
        <v>21</v>
      </c>
      <c r="CR204" s="836"/>
    </row>
    <row r="205" spans="1:96" x14ac:dyDescent="0.25">
      <c r="A205" s="935"/>
      <c r="B205" s="932"/>
      <c r="C205" s="911"/>
      <c r="D205" s="911"/>
      <c r="E205" s="912"/>
      <c r="F205" s="912"/>
      <c r="G205" s="910"/>
      <c r="H205" s="912"/>
      <c r="I205" s="912"/>
      <c r="J205" s="914"/>
      <c r="K205" s="915"/>
      <c r="L205" s="916" t="s">
        <v>21</v>
      </c>
      <c r="M205" s="916" t="s">
        <v>21</v>
      </c>
      <c r="N205" s="916" t="s">
        <v>21</v>
      </c>
      <c r="O205" s="916" t="s">
        <v>21</v>
      </c>
      <c r="P205" s="915"/>
      <c r="Q205" s="916" t="s">
        <v>21</v>
      </c>
      <c r="R205" s="917" t="s">
        <v>21</v>
      </c>
      <c r="S205" s="918" t="s">
        <v>21</v>
      </c>
      <c r="T205" s="918" t="s">
        <v>21</v>
      </c>
      <c r="U205" s="916" t="s">
        <v>21</v>
      </c>
      <c r="V205" s="916" t="s">
        <v>21</v>
      </c>
      <c r="W205" s="915"/>
      <c r="X205" s="916" t="s">
        <v>21</v>
      </c>
      <c r="Y205" s="916" t="s">
        <v>21</v>
      </c>
      <c r="Z205" s="916" t="s">
        <v>21</v>
      </c>
      <c r="AA205" s="916" t="s">
        <v>21</v>
      </c>
      <c r="AB205" s="916" t="s">
        <v>21</v>
      </c>
      <c r="AC205" s="915"/>
      <c r="AD205" s="919" t="s">
        <v>21</v>
      </c>
      <c r="AE205" s="920" t="s">
        <v>21</v>
      </c>
      <c r="AF205" s="920" t="s">
        <v>21</v>
      </c>
      <c r="AG205" s="920" t="s">
        <v>21</v>
      </c>
      <c r="AH205" s="921" t="s">
        <v>21</v>
      </c>
      <c r="AI205" s="921" t="s">
        <v>21</v>
      </c>
      <c r="AJ205" s="920" t="s">
        <v>21</v>
      </c>
      <c r="AK205" s="920" t="s">
        <v>21</v>
      </c>
      <c r="AL205" s="921" t="s">
        <v>21</v>
      </c>
      <c r="AM205" s="921" t="s">
        <v>21</v>
      </c>
      <c r="AN205" s="920"/>
      <c r="AO205" s="920" t="s">
        <v>21</v>
      </c>
      <c r="AP205" s="919" t="s">
        <v>21</v>
      </c>
      <c r="AQ205" s="933" t="s">
        <v>21</v>
      </c>
      <c r="AR205" s="925" t="s">
        <v>21</v>
      </c>
      <c r="AS205" s="925" t="s">
        <v>21</v>
      </c>
      <c r="AT205" s="925" t="s">
        <v>21</v>
      </c>
      <c r="AU205" s="925" t="s">
        <v>21</v>
      </c>
      <c r="AV205" s="926" t="s">
        <v>21</v>
      </c>
      <c r="AW205" s="926" t="s">
        <v>21</v>
      </c>
      <c r="AX205" s="926" t="s">
        <v>21</v>
      </c>
      <c r="AY205" s="926" t="s">
        <v>21</v>
      </c>
      <c r="AZ205" s="925" t="s">
        <v>21</v>
      </c>
      <c r="BA205" s="925"/>
      <c r="BB205" s="919" t="s">
        <v>21</v>
      </c>
      <c r="BC205" s="919" t="s">
        <v>21</v>
      </c>
      <c r="BD205" s="919" t="s">
        <v>21</v>
      </c>
      <c r="BE205" s="925" t="s">
        <v>21</v>
      </c>
      <c r="BF205" s="926" t="s">
        <v>21</v>
      </c>
      <c r="BG205" s="925" t="s">
        <v>21</v>
      </c>
      <c r="BH205" s="926" t="s">
        <v>21</v>
      </c>
      <c r="BI205" s="925" t="s">
        <v>21</v>
      </c>
      <c r="BJ205" s="926" t="s">
        <v>21</v>
      </c>
      <c r="BK205" s="925" t="s">
        <v>21</v>
      </c>
      <c r="BL205" s="926" t="s">
        <v>21</v>
      </c>
      <c r="BM205" s="925" t="s">
        <v>21</v>
      </c>
      <c r="BN205" s="927"/>
      <c r="BO205" s="927"/>
      <c r="BP205" s="928" t="s">
        <v>21</v>
      </c>
      <c r="BQ205" s="928" t="s">
        <v>21</v>
      </c>
      <c r="BR205" s="928" t="s">
        <v>21</v>
      </c>
      <c r="BS205" s="928" t="s">
        <v>21</v>
      </c>
      <c r="BT205" s="928" t="s">
        <v>21</v>
      </c>
      <c r="BU205" s="928" t="s">
        <v>21</v>
      </c>
      <c r="BV205" s="934" t="s">
        <v>21</v>
      </c>
      <c r="BW205" s="934" t="s">
        <v>21</v>
      </c>
      <c r="BX205" s="1104" t="s">
        <v>21</v>
      </c>
      <c r="BY205" s="931" t="s">
        <v>21</v>
      </c>
      <c r="BZ205" s="930" t="s">
        <v>21</v>
      </c>
      <c r="CA205" s="1074" t="s">
        <v>21</v>
      </c>
      <c r="CB205" s="930" t="s">
        <v>21</v>
      </c>
      <c r="CC205" s="930" t="s">
        <v>21</v>
      </c>
      <c r="CD205" s="925" t="s">
        <v>21</v>
      </c>
      <c r="CE205" s="1130" t="s">
        <v>21</v>
      </c>
      <c r="CF205" s="1129" t="s">
        <v>21</v>
      </c>
      <c r="CG205" s="1130" t="s">
        <v>21</v>
      </c>
      <c r="CH205" s="1130" t="s">
        <v>21</v>
      </c>
      <c r="CI205" s="1131" t="s">
        <v>21</v>
      </c>
      <c r="CJ205" s="1129" t="s">
        <v>21</v>
      </c>
      <c r="CK205" s="1130" t="s">
        <v>21</v>
      </c>
      <c r="CL205" s="1130" t="s">
        <v>21</v>
      </c>
      <c r="CM205" s="1131" t="s">
        <v>21</v>
      </c>
      <c r="CN205" s="1130" t="s">
        <v>21</v>
      </c>
      <c r="CP205" s="838" t="s">
        <v>21</v>
      </c>
      <c r="CQ205" s="838" t="s">
        <v>21</v>
      </c>
      <c r="CR205" s="836"/>
    </row>
    <row r="206" spans="1:96" x14ac:dyDescent="0.25">
      <c r="A206" s="935" t="s">
        <v>2518</v>
      </c>
      <c r="B206" s="932" t="s">
        <v>2243</v>
      </c>
      <c r="C206" s="911">
        <v>600</v>
      </c>
      <c r="D206" s="911" t="s">
        <v>2116</v>
      </c>
      <c r="E206" s="912">
        <v>1130.76</v>
      </c>
      <c r="F206" s="912">
        <v>1128.8599999999999</v>
      </c>
      <c r="G206" s="910" t="s">
        <v>2298</v>
      </c>
      <c r="H206" s="912">
        <v>1124</v>
      </c>
      <c r="I206" s="912">
        <v>1122.0999999999999</v>
      </c>
      <c r="J206" s="914">
        <v>39.909999999999997</v>
      </c>
      <c r="K206" s="915"/>
      <c r="L206" s="916">
        <v>0.1</v>
      </c>
      <c r="M206" s="916">
        <v>0.06</v>
      </c>
      <c r="N206" s="916">
        <v>0.2</v>
      </c>
      <c r="O206" s="916">
        <v>4.84</v>
      </c>
      <c r="P206" s="915"/>
      <c r="Q206" s="916">
        <v>2.16</v>
      </c>
      <c r="R206" s="917">
        <v>0.33333333333333331</v>
      </c>
      <c r="S206" s="918">
        <v>1.4</v>
      </c>
      <c r="T206" s="918">
        <v>2.84</v>
      </c>
      <c r="U206" s="916">
        <v>4.5540000000000003</v>
      </c>
      <c r="V206" s="916">
        <v>0.92</v>
      </c>
      <c r="W206" s="915"/>
      <c r="X206" s="916">
        <v>0.28299999999999997</v>
      </c>
      <c r="Y206" s="916">
        <v>0.40699999999999997</v>
      </c>
      <c r="Z206" s="916">
        <v>4.5789999999999997</v>
      </c>
      <c r="AA206" s="916">
        <v>1.0229999999999999</v>
      </c>
      <c r="AB206" s="916">
        <v>3.0089999999999999</v>
      </c>
      <c r="AC206" s="915"/>
      <c r="AD206" s="919">
        <v>193.16399999999999</v>
      </c>
      <c r="AE206" s="920">
        <v>182.74799999999999</v>
      </c>
      <c r="AF206" s="920" t="s">
        <v>21</v>
      </c>
      <c r="AG206" s="920" t="s">
        <v>21</v>
      </c>
      <c r="AH206" s="921">
        <v>182.74799999999999</v>
      </c>
      <c r="AI206" s="921" t="s">
        <v>21</v>
      </c>
      <c r="AJ206" s="920" t="s">
        <v>21</v>
      </c>
      <c r="AK206" s="920" t="s">
        <v>21</v>
      </c>
      <c r="AL206" s="921" t="s">
        <v>21</v>
      </c>
      <c r="AM206" s="921" t="s">
        <v>21</v>
      </c>
      <c r="AN206" s="920"/>
      <c r="AO206" s="920" t="s">
        <v>21</v>
      </c>
      <c r="AP206" s="919">
        <v>55.874000000000002</v>
      </c>
      <c r="AQ206" s="933">
        <v>181.75013999999999</v>
      </c>
      <c r="AR206" s="925" t="s">
        <v>21</v>
      </c>
      <c r="AS206" s="925">
        <v>181.75013999999999</v>
      </c>
      <c r="AT206" s="925" t="s">
        <v>21</v>
      </c>
      <c r="AU206" s="925" t="s">
        <v>21</v>
      </c>
      <c r="AV206" s="926" t="s">
        <v>21</v>
      </c>
      <c r="AW206" s="926" t="s">
        <v>21</v>
      </c>
      <c r="AX206" s="926" t="s">
        <v>21</v>
      </c>
      <c r="AY206" s="926" t="s">
        <v>21</v>
      </c>
      <c r="AZ206" s="925" t="s">
        <v>21</v>
      </c>
      <c r="BA206" s="925"/>
      <c r="BB206" s="919">
        <v>5.5869999999999997</v>
      </c>
      <c r="BC206" s="919" t="s">
        <v>21</v>
      </c>
      <c r="BD206" s="919" t="s">
        <v>2142</v>
      </c>
      <c r="BE206" s="925" t="s">
        <v>21</v>
      </c>
      <c r="BF206" s="926" t="s">
        <v>21</v>
      </c>
      <c r="BG206" s="925">
        <v>39.909999999999997</v>
      </c>
      <c r="BH206" s="926" t="s">
        <v>21</v>
      </c>
      <c r="BI206" s="925" t="s">
        <v>21</v>
      </c>
      <c r="BJ206" s="926" t="s">
        <v>21</v>
      </c>
      <c r="BK206" s="925" t="s">
        <v>21</v>
      </c>
      <c r="BL206" s="926" t="s">
        <v>21</v>
      </c>
      <c r="BM206" s="925" t="s">
        <v>21</v>
      </c>
      <c r="BN206" s="927"/>
      <c r="BO206" s="927"/>
      <c r="BP206" s="928">
        <v>1</v>
      </c>
      <c r="BQ206" s="928" t="s">
        <v>21</v>
      </c>
      <c r="BR206" s="928" t="s">
        <v>21</v>
      </c>
      <c r="BS206" s="928" t="s">
        <v>21</v>
      </c>
      <c r="BT206" s="928" t="s">
        <v>21</v>
      </c>
      <c r="BU206" s="928" t="s">
        <v>21</v>
      </c>
      <c r="BV206" s="934">
        <v>0.50000000000009104</v>
      </c>
      <c r="BW206" s="934">
        <v>1</v>
      </c>
      <c r="BX206" s="1104">
        <v>2</v>
      </c>
      <c r="BY206" s="931">
        <v>4</v>
      </c>
      <c r="BZ206" s="930">
        <v>1</v>
      </c>
      <c r="CA206" s="1074" t="s">
        <v>21</v>
      </c>
      <c r="CB206" s="930">
        <v>1</v>
      </c>
      <c r="CC206" s="930" t="s">
        <v>21</v>
      </c>
      <c r="CD206" s="925">
        <v>40.828000000000003</v>
      </c>
      <c r="CE206" s="1130">
        <v>120.089</v>
      </c>
      <c r="CF206" s="1129" t="s">
        <v>21</v>
      </c>
      <c r="CG206" s="1130" t="s">
        <v>21</v>
      </c>
      <c r="CH206" s="1130" t="s">
        <v>21</v>
      </c>
      <c r="CI206" s="1131" t="s">
        <v>21</v>
      </c>
      <c r="CJ206" s="1129" t="s">
        <v>21</v>
      </c>
      <c r="CK206" s="1130">
        <v>120.089</v>
      </c>
      <c r="CL206" s="1130" t="s">
        <v>21</v>
      </c>
      <c r="CM206" s="1131" t="s">
        <v>21</v>
      </c>
      <c r="CN206" s="1130" t="s">
        <v>21</v>
      </c>
      <c r="CP206" s="838" t="s">
        <v>21</v>
      </c>
      <c r="CQ206" s="838" t="s">
        <v>21</v>
      </c>
      <c r="CR206" s="836"/>
    </row>
    <row r="207" spans="1:96" x14ac:dyDescent="0.25">
      <c r="A207" s="935"/>
      <c r="B207" s="932"/>
      <c r="C207" s="911"/>
      <c r="D207" s="911"/>
      <c r="E207" s="912"/>
      <c r="F207" s="912"/>
      <c r="G207" s="910"/>
      <c r="H207" s="912"/>
      <c r="I207" s="912"/>
      <c r="J207" s="914"/>
      <c r="K207" s="915"/>
      <c r="L207" s="916" t="s">
        <v>21</v>
      </c>
      <c r="M207" s="916" t="s">
        <v>21</v>
      </c>
      <c r="N207" s="916" t="s">
        <v>21</v>
      </c>
      <c r="O207" s="916" t="s">
        <v>21</v>
      </c>
      <c r="P207" s="915"/>
      <c r="Q207" s="916" t="s">
        <v>21</v>
      </c>
      <c r="R207" s="917" t="s">
        <v>21</v>
      </c>
      <c r="S207" s="918" t="s">
        <v>21</v>
      </c>
      <c r="T207" s="918" t="s">
        <v>21</v>
      </c>
      <c r="U207" s="916" t="s">
        <v>21</v>
      </c>
      <c r="V207" s="916" t="s">
        <v>21</v>
      </c>
      <c r="W207" s="915"/>
      <c r="X207" s="916" t="s">
        <v>21</v>
      </c>
      <c r="Y207" s="916" t="s">
        <v>21</v>
      </c>
      <c r="Z207" s="916" t="s">
        <v>21</v>
      </c>
      <c r="AA207" s="916" t="s">
        <v>21</v>
      </c>
      <c r="AB207" s="916" t="s">
        <v>21</v>
      </c>
      <c r="AC207" s="915"/>
      <c r="AD207" s="919" t="s">
        <v>21</v>
      </c>
      <c r="AE207" s="920" t="s">
        <v>21</v>
      </c>
      <c r="AF207" s="920" t="s">
        <v>21</v>
      </c>
      <c r="AG207" s="920" t="s">
        <v>21</v>
      </c>
      <c r="AH207" s="921" t="s">
        <v>21</v>
      </c>
      <c r="AI207" s="921" t="s">
        <v>21</v>
      </c>
      <c r="AJ207" s="920" t="s">
        <v>21</v>
      </c>
      <c r="AK207" s="920" t="s">
        <v>21</v>
      </c>
      <c r="AL207" s="921" t="s">
        <v>21</v>
      </c>
      <c r="AM207" s="921" t="s">
        <v>21</v>
      </c>
      <c r="AN207" s="920"/>
      <c r="AO207" s="920" t="s">
        <v>21</v>
      </c>
      <c r="AP207" s="919" t="s">
        <v>21</v>
      </c>
      <c r="AQ207" s="933" t="s">
        <v>21</v>
      </c>
      <c r="AR207" s="925" t="s">
        <v>21</v>
      </c>
      <c r="AS207" s="925" t="s">
        <v>21</v>
      </c>
      <c r="AT207" s="925" t="s">
        <v>21</v>
      </c>
      <c r="AU207" s="925" t="s">
        <v>21</v>
      </c>
      <c r="AV207" s="926" t="s">
        <v>21</v>
      </c>
      <c r="AW207" s="926" t="s">
        <v>21</v>
      </c>
      <c r="AX207" s="926" t="s">
        <v>21</v>
      </c>
      <c r="AY207" s="926" t="s">
        <v>21</v>
      </c>
      <c r="AZ207" s="925" t="s">
        <v>21</v>
      </c>
      <c r="BA207" s="925"/>
      <c r="BB207" s="919" t="s">
        <v>21</v>
      </c>
      <c r="BC207" s="919" t="s">
        <v>21</v>
      </c>
      <c r="BD207" s="919" t="s">
        <v>21</v>
      </c>
      <c r="BE207" s="925" t="s">
        <v>21</v>
      </c>
      <c r="BF207" s="926" t="s">
        <v>21</v>
      </c>
      <c r="BG207" s="925" t="s">
        <v>21</v>
      </c>
      <c r="BH207" s="926" t="s">
        <v>21</v>
      </c>
      <c r="BI207" s="925" t="s">
        <v>21</v>
      </c>
      <c r="BJ207" s="926" t="s">
        <v>21</v>
      </c>
      <c r="BK207" s="925" t="s">
        <v>21</v>
      </c>
      <c r="BL207" s="926" t="s">
        <v>21</v>
      </c>
      <c r="BM207" s="925" t="s">
        <v>21</v>
      </c>
      <c r="BN207" s="927"/>
      <c r="BO207" s="927"/>
      <c r="BP207" s="928" t="s">
        <v>21</v>
      </c>
      <c r="BQ207" s="928" t="s">
        <v>21</v>
      </c>
      <c r="BR207" s="928" t="s">
        <v>21</v>
      </c>
      <c r="BS207" s="928" t="s">
        <v>21</v>
      </c>
      <c r="BT207" s="928" t="s">
        <v>21</v>
      </c>
      <c r="BU207" s="928" t="s">
        <v>21</v>
      </c>
      <c r="BV207" s="934" t="s">
        <v>21</v>
      </c>
      <c r="BW207" s="934" t="s">
        <v>21</v>
      </c>
      <c r="BX207" s="1104" t="s">
        <v>21</v>
      </c>
      <c r="BY207" s="931" t="s">
        <v>21</v>
      </c>
      <c r="BZ207" s="930" t="s">
        <v>21</v>
      </c>
      <c r="CA207" s="1074" t="s">
        <v>21</v>
      </c>
      <c r="CB207" s="930" t="s">
        <v>21</v>
      </c>
      <c r="CC207" s="930" t="s">
        <v>21</v>
      </c>
      <c r="CD207" s="925" t="s">
        <v>21</v>
      </c>
      <c r="CE207" s="1130" t="s">
        <v>21</v>
      </c>
      <c r="CF207" s="1129" t="s">
        <v>21</v>
      </c>
      <c r="CG207" s="1130" t="s">
        <v>21</v>
      </c>
      <c r="CH207" s="1130" t="s">
        <v>21</v>
      </c>
      <c r="CI207" s="1131" t="s">
        <v>21</v>
      </c>
      <c r="CJ207" s="1129" t="s">
        <v>21</v>
      </c>
      <c r="CK207" s="1130" t="s">
        <v>21</v>
      </c>
      <c r="CL207" s="1130" t="s">
        <v>21</v>
      </c>
      <c r="CM207" s="1131" t="s">
        <v>21</v>
      </c>
      <c r="CN207" s="1130" t="s">
        <v>21</v>
      </c>
      <c r="CP207" s="838" t="s">
        <v>21</v>
      </c>
      <c r="CQ207" s="838" t="s">
        <v>21</v>
      </c>
      <c r="CR207" s="836"/>
    </row>
    <row r="208" spans="1:96" x14ac:dyDescent="0.25">
      <c r="A208" s="935" t="s">
        <v>2519</v>
      </c>
      <c r="B208" s="932" t="s">
        <v>2245</v>
      </c>
      <c r="C208" s="911">
        <v>600</v>
      </c>
      <c r="D208" s="911" t="s">
        <v>2116</v>
      </c>
      <c r="E208" s="912">
        <v>1194.42</v>
      </c>
      <c r="F208" s="912">
        <v>1192.52</v>
      </c>
      <c r="G208" s="910" t="s">
        <v>3464</v>
      </c>
      <c r="H208" s="912">
        <v>1193.22</v>
      </c>
      <c r="I208" s="912">
        <v>1191.92</v>
      </c>
      <c r="J208" s="914">
        <v>11.09</v>
      </c>
      <c r="K208" s="915"/>
      <c r="L208" s="916">
        <v>0.1</v>
      </c>
      <c r="M208" s="916">
        <v>0.06</v>
      </c>
      <c r="N208" s="916">
        <v>0.2</v>
      </c>
      <c r="O208" s="916">
        <v>4.6400000000000006</v>
      </c>
      <c r="P208" s="915"/>
      <c r="Q208" s="916">
        <v>1.86</v>
      </c>
      <c r="R208" s="917">
        <v>0.33333333333333331</v>
      </c>
      <c r="S208" s="918">
        <v>1.4</v>
      </c>
      <c r="T208" s="918">
        <v>2.64</v>
      </c>
      <c r="U208" s="916">
        <v>3.9209999999999998</v>
      </c>
      <c r="V208" s="916">
        <v>0.92</v>
      </c>
      <c r="W208" s="915"/>
      <c r="X208" s="916">
        <v>0.28299999999999997</v>
      </c>
      <c r="Y208" s="916">
        <v>0.40699999999999997</v>
      </c>
      <c r="Z208" s="916">
        <v>3.7570000000000001</v>
      </c>
      <c r="AA208" s="916">
        <v>1.0229999999999999</v>
      </c>
      <c r="AB208" s="916">
        <v>2.1869999999999998</v>
      </c>
      <c r="AC208" s="915"/>
      <c r="AD208" s="919">
        <v>51.457999999999998</v>
      </c>
      <c r="AE208" s="920">
        <v>41.664999999999999</v>
      </c>
      <c r="AF208" s="920" t="s">
        <v>21</v>
      </c>
      <c r="AG208" s="920" t="s">
        <v>21</v>
      </c>
      <c r="AH208" s="921">
        <v>41.664999999999999</v>
      </c>
      <c r="AI208" s="921" t="s">
        <v>21</v>
      </c>
      <c r="AJ208" s="920" t="s">
        <v>21</v>
      </c>
      <c r="AK208" s="920" t="s">
        <v>21</v>
      </c>
      <c r="AL208" s="921" t="s">
        <v>21</v>
      </c>
      <c r="AM208" s="921" t="s">
        <v>21</v>
      </c>
      <c r="AN208" s="920"/>
      <c r="AO208" s="920" t="s">
        <v>21</v>
      </c>
      <c r="AP208" s="919">
        <v>15.526</v>
      </c>
      <c r="AQ208" s="933">
        <v>43.483889999999995</v>
      </c>
      <c r="AR208" s="925" t="s">
        <v>21</v>
      </c>
      <c r="AS208" s="925">
        <v>43.483889999999995</v>
      </c>
      <c r="AT208" s="925" t="s">
        <v>21</v>
      </c>
      <c r="AU208" s="925" t="s">
        <v>21</v>
      </c>
      <c r="AV208" s="926" t="s">
        <v>21</v>
      </c>
      <c r="AW208" s="926" t="s">
        <v>21</v>
      </c>
      <c r="AX208" s="926" t="s">
        <v>21</v>
      </c>
      <c r="AY208" s="926" t="s">
        <v>21</v>
      </c>
      <c r="AZ208" s="925" t="s">
        <v>21</v>
      </c>
      <c r="BA208" s="925"/>
      <c r="BB208" s="919">
        <v>1.5529999999999999</v>
      </c>
      <c r="BC208" s="919" t="s">
        <v>21</v>
      </c>
      <c r="BD208" s="919" t="s">
        <v>2142</v>
      </c>
      <c r="BE208" s="925" t="s">
        <v>21</v>
      </c>
      <c r="BF208" s="926" t="s">
        <v>21</v>
      </c>
      <c r="BG208" s="925">
        <v>11.09</v>
      </c>
      <c r="BH208" s="926" t="s">
        <v>21</v>
      </c>
      <c r="BI208" s="925" t="s">
        <v>21</v>
      </c>
      <c r="BJ208" s="926" t="s">
        <v>21</v>
      </c>
      <c r="BK208" s="925" t="s">
        <v>21</v>
      </c>
      <c r="BL208" s="926" t="s">
        <v>21</v>
      </c>
      <c r="BM208" s="925" t="s">
        <v>21</v>
      </c>
      <c r="BN208" s="927"/>
      <c r="BO208" s="927"/>
      <c r="BP208" s="928">
        <v>1</v>
      </c>
      <c r="BQ208" s="928" t="s">
        <v>21</v>
      </c>
      <c r="BR208" s="928" t="s">
        <v>21</v>
      </c>
      <c r="BS208" s="928" t="s">
        <v>21</v>
      </c>
      <c r="BT208" s="928" t="s">
        <v>21</v>
      </c>
      <c r="BU208" s="928" t="s">
        <v>21</v>
      </c>
      <c r="BV208" s="934">
        <v>0.50000000000009104</v>
      </c>
      <c r="BW208" s="934">
        <v>1</v>
      </c>
      <c r="BX208" s="1104">
        <v>2</v>
      </c>
      <c r="BY208" s="931">
        <v>4</v>
      </c>
      <c r="BZ208" s="930">
        <v>3</v>
      </c>
      <c r="CA208" s="1074" t="s">
        <v>21</v>
      </c>
      <c r="CB208" s="930" t="s">
        <v>21</v>
      </c>
      <c r="CC208" s="930" t="s">
        <v>21</v>
      </c>
      <c r="CD208" s="925">
        <v>11.345000000000001</v>
      </c>
      <c r="CE208" s="1130">
        <v>24.254000000000001</v>
      </c>
      <c r="CF208" s="1129" t="s">
        <v>21</v>
      </c>
      <c r="CG208" s="1130" t="s">
        <v>21</v>
      </c>
      <c r="CH208" s="1130" t="s">
        <v>21</v>
      </c>
      <c r="CI208" s="1131" t="s">
        <v>21</v>
      </c>
      <c r="CJ208" s="1129" t="s">
        <v>21</v>
      </c>
      <c r="CK208" s="1130">
        <v>24.254000000000001</v>
      </c>
      <c r="CL208" s="1130" t="s">
        <v>21</v>
      </c>
      <c r="CM208" s="1131" t="s">
        <v>21</v>
      </c>
      <c r="CN208" s="1130" t="s">
        <v>21</v>
      </c>
      <c r="CP208" s="838" t="s">
        <v>21</v>
      </c>
      <c r="CQ208" s="838" t="s">
        <v>21</v>
      </c>
      <c r="CR208" s="836"/>
    </row>
    <row r="209" spans="1:96" x14ac:dyDescent="0.25">
      <c r="A209" s="935"/>
      <c r="B209" s="1180" t="s">
        <v>3464</v>
      </c>
      <c r="C209" s="935">
        <v>600</v>
      </c>
      <c r="D209" s="935" t="s">
        <v>2116</v>
      </c>
      <c r="E209" s="936">
        <v>1191.9000000000001</v>
      </c>
      <c r="F209" s="936">
        <v>1190</v>
      </c>
      <c r="G209" s="937" t="s">
        <v>3465</v>
      </c>
      <c r="H209" s="936">
        <v>1190.5</v>
      </c>
      <c r="I209" s="936">
        <v>1190</v>
      </c>
      <c r="J209" s="914">
        <v>1</v>
      </c>
      <c r="K209" s="915"/>
      <c r="L209" s="916">
        <v>0.1</v>
      </c>
      <c r="M209" s="916">
        <v>0.06</v>
      </c>
      <c r="N209" s="916">
        <v>0.2</v>
      </c>
      <c r="O209" s="916">
        <v>4.3730000000000002</v>
      </c>
      <c r="P209" s="915"/>
      <c r="Q209" s="916">
        <v>1.46</v>
      </c>
      <c r="R209" s="917">
        <v>0.33333333333333331</v>
      </c>
      <c r="S209" s="918">
        <v>1.4</v>
      </c>
      <c r="T209" s="918">
        <v>2.3730000000000002</v>
      </c>
      <c r="U209" s="916">
        <v>3.0779999999999998</v>
      </c>
      <c r="V209" s="916">
        <v>0.92</v>
      </c>
      <c r="W209" s="915"/>
      <c r="X209" s="916">
        <v>0.28299999999999997</v>
      </c>
      <c r="Y209" s="916">
        <v>0.40699999999999997</v>
      </c>
      <c r="Z209" s="916">
        <v>2.754</v>
      </c>
      <c r="AA209" s="916">
        <v>1.0229999999999999</v>
      </c>
      <c r="AB209" s="916">
        <v>1.1839999999999999</v>
      </c>
      <c r="AC209" s="915"/>
      <c r="AD209" s="919">
        <v>4.3730000000000002</v>
      </c>
      <c r="AE209" s="920">
        <v>2.754</v>
      </c>
      <c r="AF209" s="920">
        <v>2.754</v>
      </c>
      <c r="AG209" s="920" t="s">
        <v>21</v>
      </c>
      <c r="AH209" s="921" t="s">
        <v>21</v>
      </c>
      <c r="AI209" s="921" t="s">
        <v>21</v>
      </c>
      <c r="AJ209" s="920" t="s">
        <v>21</v>
      </c>
      <c r="AK209" s="920" t="s">
        <v>21</v>
      </c>
      <c r="AL209" s="921" t="s">
        <v>21</v>
      </c>
      <c r="AM209" s="921" t="s">
        <v>21</v>
      </c>
      <c r="AN209" s="920"/>
      <c r="AO209" s="920" t="s">
        <v>21</v>
      </c>
      <c r="AP209" s="919">
        <v>1.4</v>
      </c>
      <c r="AQ209" s="933">
        <v>3.0779999999999998</v>
      </c>
      <c r="AR209" s="925">
        <v>3.0779999999999998</v>
      </c>
      <c r="AS209" s="925" t="s">
        <v>21</v>
      </c>
      <c r="AT209" s="925" t="s">
        <v>21</v>
      </c>
      <c r="AU209" s="925" t="s">
        <v>21</v>
      </c>
      <c r="AV209" s="926" t="s">
        <v>21</v>
      </c>
      <c r="AW209" s="926" t="s">
        <v>21</v>
      </c>
      <c r="AX209" s="926" t="s">
        <v>21</v>
      </c>
      <c r="AY209" s="926" t="s">
        <v>21</v>
      </c>
      <c r="AZ209" s="925" t="s">
        <v>21</v>
      </c>
      <c r="BA209" s="925"/>
      <c r="BB209" s="919">
        <v>0.14000000000000001</v>
      </c>
      <c r="BC209" s="919" t="s">
        <v>21</v>
      </c>
      <c r="BD209" s="919" t="s">
        <v>2137</v>
      </c>
      <c r="BE209" s="925" t="s">
        <v>21</v>
      </c>
      <c r="BF209" s="926" t="s">
        <v>21</v>
      </c>
      <c r="BG209" s="925">
        <v>1</v>
      </c>
      <c r="BH209" s="926" t="s">
        <v>21</v>
      </c>
      <c r="BI209" s="925" t="s">
        <v>21</v>
      </c>
      <c r="BJ209" s="926" t="s">
        <v>21</v>
      </c>
      <c r="BK209" s="925" t="s">
        <v>21</v>
      </c>
      <c r="BL209" s="926" t="s">
        <v>21</v>
      </c>
      <c r="BM209" s="925" t="s">
        <v>21</v>
      </c>
      <c r="BN209" s="927"/>
      <c r="BO209" s="927"/>
      <c r="BP209" s="928" t="s">
        <v>21</v>
      </c>
      <c r="BQ209" s="928" t="s">
        <v>21</v>
      </c>
      <c r="BR209" s="928" t="s">
        <v>21</v>
      </c>
      <c r="BS209" s="928" t="s">
        <v>21</v>
      </c>
      <c r="BT209" s="928" t="s">
        <v>21</v>
      </c>
      <c r="BU209" s="928" t="s">
        <v>21</v>
      </c>
      <c r="BV209" s="934" t="s">
        <v>21</v>
      </c>
      <c r="BW209" s="934" t="s">
        <v>21</v>
      </c>
      <c r="BX209" s="1104" t="s">
        <v>21</v>
      </c>
      <c r="BY209" s="931" t="s">
        <v>21</v>
      </c>
      <c r="BZ209" s="930" t="s">
        <v>21</v>
      </c>
      <c r="CA209" s="1074" t="s">
        <v>21</v>
      </c>
      <c r="CB209" s="930" t="s">
        <v>21</v>
      </c>
      <c r="CC209" s="930" t="s">
        <v>21</v>
      </c>
      <c r="CD209" s="925">
        <v>1.0229999999999999</v>
      </c>
      <c r="CE209" s="1130">
        <v>1.1839999999999999</v>
      </c>
      <c r="CF209" s="1129" t="s">
        <v>21</v>
      </c>
      <c r="CG209" s="1130" t="s">
        <v>21</v>
      </c>
      <c r="CH209" s="1130" t="s">
        <v>21</v>
      </c>
      <c r="CI209" s="1131" t="s">
        <v>21</v>
      </c>
      <c r="CJ209" s="1129">
        <v>1.1839999999999999</v>
      </c>
      <c r="CK209" s="1130" t="s">
        <v>21</v>
      </c>
      <c r="CL209" s="1130" t="s">
        <v>21</v>
      </c>
      <c r="CM209" s="1131" t="s">
        <v>21</v>
      </c>
      <c r="CN209" s="1130" t="s">
        <v>21</v>
      </c>
      <c r="CP209" s="838" t="s">
        <v>21</v>
      </c>
      <c r="CQ209" s="838" t="s">
        <v>21</v>
      </c>
      <c r="CR209" s="836"/>
    </row>
    <row r="210" spans="1:96" x14ac:dyDescent="0.25">
      <c r="A210" s="935"/>
      <c r="B210" s="932"/>
      <c r="C210" s="911"/>
      <c r="D210" s="911"/>
      <c r="E210" s="912"/>
      <c r="F210" s="912"/>
      <c r="G210" s="910"/>
      <c r="H210" s="912"/>
      <c r="I210" s="912"/>
      <c r="J210" s="914"/>
      <c r="K210" s="915"/>
      <c r="L210" s="916" t="s">
        <v>21</v>
      </c>
      <c r="M210" s="916" t="s">
        <v>21</v>
      </c>
      <c r="N210" s="916" t="s">
        <v>21</v>
      </c>
      <c r="O210" s="916" t="s">
        <v>21</v>
      </c>
      <c r="P210" s="915"/>
      <c r="Q210" s="916" t="s">
        <v>21</v>
      </c>
      <c r="R210" s="917" t="s">
        <v>21</v>
      </c>
      <c r="S210" s="918" t="s">
        <v>21</v>
      </c>
      <c r="T210" s="918" t="s">
        <v>21</v>
      </c>
      <c r="U210" s="916" t="s">
        <v>21</v>
      </c>
      <c r="V210" s="916" t="s">
        <v>21</v>
      </c>
      <c r="W210" s="915"/>
      <c r="X210" s="916" t="s">
        <v>21</v>
      </c>
      <c r="Y210" s="916" t="s">
        <v>21</v>
      </c>
      <c r="Z210" s="916" t="s">
        <v>21</v>
      </c>
      <c r="AA210" s="916" t="s">
        <v>21</v>
      </c>
      <c r="AB210" s="916" t="s">
        <v>21</v>
      </c>
      <c r="AC210" s="915"/>
      <c r="AD210" s="919" t="s">
        <v>21</v>
      </c>
      <c r="AE210" s="920" t="s">
        <v>21</v>
      </c>
      <c r="AF210" s="920" t="s">
        <v>21</v>
      </c>
      <c r="AG210" s="920" t="s">
        <v>21</v>
      </c>
      <c r="AH210" s="921" t="s">
        <v>21</v>
      </c>
      <c r="AI210" s="921" t="s">
        <v>21</v>
      </c>
      <c r="AJ210" s="920" t="s">
        <v>21</v>
      </c>
      <c r="AK210" s="920" t="s">
        <v>21</v>
      </c>
      <c r="AL210" s="921" t="s">
        <v>21</v>
      </c>
      <c r="AM210" s="921" t="s">
        <v>21</v>
      </c>
      <c r="AN210" s="920"/>
      <c r="AO210" s="920" t="s">
        <v>21</v>
      </c>
      <c r="AP210" s="919" t="s">
        <v>21</v>
      </c>
      <c r="AQ210" s="933" t="s">
        <v>21</v>
      </c>
      <c r="AR210" s="925" t="s">
        <v>21</v>
      </c>
      <c r="AS210" s="925" t="s">
        <v>21</v>
      </c>
      <c r="AT210" s="925" t="s">
        <v>21</v>
      </c>
      <c r="AU210" s="925" t="s">
        <v>21</v>
      </c>
      <c r="AV210" s="926" t="s">
        <v>21</v>
      </c>
      <c r="AW210" s="926" t="s">
        <v>21</v>
      </c>
      <c r="AX210" s="926" t="s">
        <v>21</v>
      </c>
      <c r="AY210" s="926" t="s">
        <v>21</v>
      </c>
      <c r="AZ210" s="925" t="s">
        <v>21</v>
      </c>
      <c r="BA210" s="925"/>
      <c r="BB210" s="919" t="s">
        <v>21</v>
      </c>
      <c r="BC210" s="919" t="s">
        <v>21</v>
      </c>
      <c r="BD210" s="919" t="s">
        <v>21</v>
      </c>
      <c r="BE210" s="925" t="s">
        <v>21</v>
      </c>
      <c r="BF210" s="926" t="s">
        <v>21</v>
      </c>
      <c r="BG210" s="925" t="s">
        <v>21</v>
      </c>
      <c r="BH210" s="926" t="s">
        <v>21</v>
      </c>
      <c r="BI210" s="925" t="s">
        <v>21</v>
      </c>
      <c r="BJ210" s="926" t="s">
        <v>21</v>
      </c>
      <c r="BK210" s="925" t="s">
        <v>21</v>
      </c>
      <c r="BL210" s="926" t="s">
        <v>21</v>
      </c>
      <c r="BM210" s="925" t="s">
        <v>21</v>
      </c>
      <c r="BN210" s="927"/>
      <c r="BO210" s="927"/>
      <c r="BP210" s="928" t="s">
        <v>21</v>
      </c>
      <c r="BQ210" s="928" t="s">
        <v>21</v>
      </c>
      <c r="BR210" s="928" t="s">
        <v>21</v>
      </c>
      <c r="BS210" s="928" t="s">
        <v>21</v>
      </c>
      <c r="BT210" s="928" t="s">
        <v>21</v>
      </c>
      <c r="BU210" s="928" t="s">
        <v>21</v>
      </c>
      <c r="BV210" s="934" t="s">
        <v>21</v>
      </c>
      <c r="BW210" s="934" t="s">
        <v>21</v>
      </c>
      <c r="BX210" s="1104" t="s">
        <v>21</v>
      </c>
      <c r="BY210" s="931" t="s">
        <v>21</v>
      </c>
      <c r="BZ210" s="930" t="s">
        <v>21</v>
      </c>
      <c r="CA210" s="1074" t="s">
        <v>21</v>
      </c>
      <c r="CB210" s="930" t="s">
        <v>21</v>
      </c>
      <c r="CC210" s="930" t="s">
        <v>21</v>
      </c>
      <c r="CD210" s="925" t="s">
        <v>21</v>
      </c>
      <c r="CE210" s="1130" t="s">
        <v>21</v>
      </c>
      <c r="CF210" s="1129" t="s">
        <v>21</v>
      </c>
      <c r="CG210" s="1130" t="s">
        <v>21</v>
      </c>
      <c r="CH210" s="1130" t="s">
        <v>21</v>
      </c>
      <c r="CI210" s="1131" t="s">
        <v>21</v>
      </c>
      <c r="CJ210" s="1129" t="s">
        <v>21</v>
      </c>
      <c r="CK210" s="1130" t="s">
        <v>21</v>
      </c>
      <c r="CL210" s="1130" t="s">
        <v>21</v>
      </c>
      <c r="CM210" s="1131" t="s">
        <v>21</v>
      </c>
      <c r="CN210" s="1130" t="s">
        <v>21</v>
      </c>
      <c r="CP210" s="838" t="s">
        <v>21</v>
      </c>
      <c r="CQ210" s="838" t="s">
        <v>21</v>
      </c>
      <c r="CR210" s="836"/>
    </row>
    <row r="211" spans="1:96" x14ac:dyDescent="0.25">
      <c r="A211" s="935" t="s">
        <v>2520</v>
      </c>
      <c r="B211" s="932" t="s">
        <v>2247</v>
      </c>
      <c r="C211" s="911">
        <v>600</v>
      </c>
      <c r="D211" s="911" t="s">
        <v>2116</v>
      </c>
      <c r="E211" s="912">
        <v>1194</v>
      </c>
      <c r="F211" s="912">
        <v>1192.0999999999999</v>
      </c>
      <c r="G211" s="932" t="s">
        <v>2248</v>
      </c>
      <c r="H211" s="912">
        <v>1193.5999999999999</v>
      </c>
      <c r="I211" s="912">
        <v>1191.7</v>
      </c>
      <c r="J211" s="914">
        <v>15.21</v>
      </c>
      <c r="K211" s="915"/>
      <c r="L211" s="916">
        <v>0.1</v>
      </c>
      <c r="M211" s="916">
        <v>0.06</v>
      </c>
      <c r="N211" s="916">
        <v>0.2</v>
      </c>
      <c r="O211" s="916">
        <v>4.84</v>
      </c>
      <c r="P211" s="915"/>
      <c r="Q211" s="916">
        <v>2.16</v>
      </c>
      <c r="R211" s="917">
        <v>0.33333333333333331</v>
      </c>
      <c r="S211" s="918">
        <v>1.4</v>
      </c>
      <c r="T211" s="918">
        <v>2.84</v>
      </c>
      <c r="U211" s="916">
        <v>4.5540000000000003</v>
      </c>
      <c r="V211" s="916">
        <v>0.92</v>
      </c>
      <c r="W211" s="915"/>
      <c r="X211" s="916">
        <v>0.28299999999999997</v>
      </c>
      <c r="Y211" s="916">
        <v>0.40699999999999997</v>
      </c>
      <c r="Z211" s="916">
        <v>4.5789999999999997</v>
      </c>
      <c r="AA211" s="916">
        <v>1.0229999999999999</v>
      </c>
      <c r="AB211" s="916">
        <v>3.0089999999999999</v>
      </c>
      <c r="AC211" s="915"/>
      <c r="AD211" s="919">
        <v>73.616</v>
      </c>
      <c r="AE211" s="920">
        <v>69.647000000000006</v>
      </c>
      <c r="AF211" s="920" t="s">
        <v>21</v>
      </c>
      <c r="AG211" s="920" t="s">
        <v>21</v>
      </c>
      <c r="AH211" s="921">
        <v>69.647000000000006</v>
      </c>
      <c r="AI211" s="921" t="s">
        <v>21</v>
      </c>
      <c r="AJ211" s="920" t="s">
        <v>21</v>
      </c>
      <c r="AK211" s="920" t="s">
        <v>21</v>
      </c>
      <c r="AL211" s="921" t="s">
        <v>21</v>
      </c>
      <c r="AM211" s="921" t="s">
        <v>21</v>
      </c>
      <c r="AN211" s="920"/>
      <c r="AO211" s="920" t="s">
        <v>21</v>
      </c>
      <c r="AP211" s="919">
        <v>21.294</v>
      </c>
      <c r="AQ211" s="933">
        <v>69.266340000000014</v>
      </c>
      <c r="AR211" s="925" t="s">
        <v>21</v>
      </c>
      <c r="AS211" s="925">
        <v>69.266340000000014</v>
      </c>
      <c r="AT211" s="925" t="s">
        <v>21</v>
      </c>
      <c r="AU211" s="925" t="s">
        <v>21</v>
      </c>
      <c r="AV211" s="926" t="s">
        <v>21</v>
      </c>
      <c r="AW211" s="926" t="s">
        <v>21</v>
      </c>
      <c r="AX211" s="926" t="s">
        <v>21</v>
      </c>
      <c r="AY211" s="926" t="s">
        <v>21</v>
      </c>
      <c r="AZ211" s="925" t="s">
        <v>21</v>
      </c>
      <c r="BA211" s="925"/>
      <c r="BB211" s="919">
        <v>2.129</v>
      </c>
      <c r="BC211" s="919" t="s">
        <v>21</v>
      </c>
      <c r="BD211" s="919" t="s">
        <v>2142</v>
      </c>
      <c r="BE211" s="925" t="s">
        <v>21</v>
      </c>
      <c r="BF211" s="926" t="s">
        <v>21</v>
      </c>
      <c r="BG211" s="925">
        <v>15.21</v>
      </c>
      <c r="BH211" s="926" t="s">
        <v>21</v>
      </c>
      <c r="BI211" s="925" t="s">
        <v>21</v>
      </c>
      <c r="BJ211" s="926" t="s">
        <v>21</v>
      </c>
      <c r="BK211" s="925" t="s">
        <v>21</v>
      </c>
      <c r="BL211" s="926" t="s">
        <v>21</v>
      </c>
      <c r="BM211" s="925" t="s">
        <v>21</v>
      </c>
      <c r="BN211" s="927"/>
      <c r="BO211" s="927"/>
      <c r="BP211" s="928">
        <v>1</v>
      </c>
      <c r="BQ211" s="928" t="s">
        <v>21</v>
      </c>
      <c r="BR211" s="928" t="s">
        <v>21</v>
      </c>
      <c r="BS211" s="928" t="s">
        <v>21</v>
      </c>
      <c r="BT211" s="928" t="s">
        <v>21</v>
      </c>
      <c r="BU211" s="928" t="s">
        <v>21</v>
      </c>
      <c r="BV211" s="934">
        <v>0.50000000000009104</v>
      </c>
      <c r="BW211" s="934">
        <v>1</v>
      </c>
      <c r="BX211" s="1104">
        <v>2</v>
      </c>
      <c r="BY211" s="931">
        <v>4</v>
      </c>
      <c r="BZ211" s="930">
        <v>1</v>
      </c>
      <c r="CA211" s="1074">
        <v>1</v>
      </c>
      <c r="CB211" s="930" t="s">
        <v>21</v>
      </c>
      <c r="CC211" s="930" t="s">
        <v>21</v>
      </c>
      <c r="CD211" s="925">
        <v>15.56</v>
      </c>
      <c r="CE211" s="1130">
        <v>45.767000000000003</v>
      </c>
      <c r="CF211" s="1129" t="s">
        <v>21</v>
      </c>
      <c r="CG211" s="1130" t="s">
        <v>21</v>
      </c>
      <c r="CH211" s="1130" t="s">
        <v>21</v>
      </c>
      <c r="CI211" s="1131" t="s">
        <v>21</v>
      </c>
      <c r="CJ211" s="1129" t="s">
        <v>21</v>
      </c>
      <c r="CK211" s="1130">
        <v>45.767000000000003</v>
      </c>
      <c r="CL211" s="1130" t="s">
        <v>21</v>
      </c>
      <c r="CM211" s="1131" t="s">
        <v>21</v>
      </c>
      <c r="CN211" s="1130" t="s">
        <v>21</v>
      </c>
      <c r="CP211" s="838" t="s">
        <v>21</v>
      </c>
      <c r="CQ211" s="838" t="s">
        <v>21</v>
      </c>
      <c r="CR211" s="836"/>
    </row>
    <row r="212" spans="1:96" x14ac:dyDescent="0.25">
      <c r="A212" s="935"/>
      <c r="B212" s="932" t="s">
        <v>2248</v>
      </c>
      <c r="C212" s="911">
        <v>600</v>
      </c>
      <c r="D212" s="911" t="s">
        <v>2116</v>
      </c>
      <c r="E212" s="912">
        <v>1193.5999999999999</v>
      </c>
      <c r="F212" s="912">
        <v>1191.6500000000001</v>
      </c>
      <c r="G212" s="932" t="s">
        <v>2249</v>
      </c>
      <c r="H212" s="912">
        <v>1192.24</v>
      </c>
      <c r="I212" s="912">
        <v>1190.3399999999999</v>
      </c>
      <c r="J212" s="914">
        <v>25.87</v>
      </c>
      <c r="K212" s="915"/>
      <c r="L212" s="916">
        <v>0.1</v>
      </c>
      <c r="M212" s="916">
        <v>0.06</v>
      </c>
      <c r="N212" s="916">
        <v>0.2</v>
      </c>
      <c r="O212" s="916">
        <v>4.8570000000000002</v>
      </c>
      <c r="P212" s="915"/>
      <c r="Q212" s="916">
        <v>2.1850000000000001</v>
      </c>
      <c r="R212" s="917">
        <v>0.33333333333333331</v>
      </c>
      <c r="S212" s="918">
        <v>1.4</v>
      </c>
      <c r="T212" s="918">
        <v>2.8570000000000002</v>
      </c>
      <c r="U212" s="916">
        <v>4.6059999999999999</v>
      </c>
      <c r="V212" s="916">
        <v>0.92</v>
      </c>
      <c r="W212" s="915"/>
      <c r="X212" s="916">
        <v>0.28299999999999997</v>
      </c>
      <c r="Y212" s="916">
        <v>0.40699999999999997</v>
      </c>
      <c r="Z212" s="916">
        <v>4.6509999999999998</v>
      </c>
      <c r="AA212" s="916">
        <v>1.0229999999999999</v>
      </c>
      <c r="AB212" s="916">
        <v>3.081</v>
      </c>
      <c r="AC212" s="915"/>
      <c r="AD212" s="919">
        <v>125.651</v>
      </c>
      <c r="AE212" s="920">
        <v>120.321</v>
      </c>
      <c r="AF212" s="920" t="s">
        <v>21</v>
      </c>
      <c r="AG212" s="920" t="s">
        <v>21</v>
      </c>
      <c r="AH212" s="921">
        <v>120.321</v>
      </c>
      <c r="AI212" s="921" t="s">
        <v>21</v>
      </c>
      <c r="AJ212" s="920" t="s">
        <v>21</v>
      </c>
      <c r="AK212" s="920" t="s">
        <v>21</v>
      </c>
      <c r="AL212" s="921" t="s">
        <v>21</v>
      </c>
      <c r="AM212" s="921" t="s">
        <v>21</v>
      </c>
      <c r="AN212" s="920"/>
      <c r="AO212" s="920" t="s">
        <v>21</v>
      </c>
      <c r="AP212" s="919">
        <v>36.218000000000004</v>
      </c>
      <c r="AQ212" s="933">
        <v>119.15722</v>
      </c>
      <c r="AR212" s="925" t="s">
        <v>21</v>
      </c>
      <c r="AS212" s="925">
        <v>119.15722</v>
      </c>
      <c r="AT212" s="925" t="s">
        <v>21</v>
      </c>
      <c r="AU212" s="925" t="s">
        <v>21</v>
      </c>
      <c r="AV212" s="926" t="s">
        <v>21</v>
      </c>
      <c r="AW212" s="926" t="s">
        <v>21</v>
      </c>
      <c r="AX212" s="926" t="s">
        <v>21</v>
      </c>
      <c r="AY212" s="926" t="s">
        <v>21</v>
      </c>
      <c r="AZ212" s="925" t="s">
        <v>21</v>
      </c>
      <c r="BA212" s="925"/>
      <c r="BB212" s="919">
        <v>3.6219999999999999</v>
      </c>
      <c r="BC212" s="919" t="s">
        <v>21</v>
      </c>
      <c r="BD212" s="919" t="s">
        <v>2142</v>
      </c>
      <c r="BE212" s="925" t="s">
        <v>21</v>
      </c>
      <c r="BF212" s="926" t="s">
        <v>21</v>
      </c>
      <c r="BG212" s="925">
        <v>25.87</v>
      </c>
      <c r="BH212" s="926" t="s">
        <v>21</v>
      </c>
      <c r="BI212" s="925" t="s">
        <v>21</v>
      </c>
      <c r="BJ212" s="926" t="s">
        <v>21</v>
      </c>
      <c r="BK212" s="925" t="s">
        <v>21</v>
      </c>
      <c r="BL212" s="926" t="s">
        <v>21</v>
      </c>
      <c r="BM212" s="925" t="s">
        <v>21</v>
      </c>
      <c r="BN212" s="927"/>
      <c r="BO212" s="927"/>
      <c r="BP212" s="928">
        <v>1</v>
      </c>
      <c r="BQ212" s="928" t="s">
        <v>21</v>
      </c>
      <c r="BR212" s="928" t="s">
        <v>21</v>
      </c>
      <c r="BS212" s="928" t="s">
        <v>21</v>
      </c>
      <c r="BT212" s="928" t="s">
        <v>21</v>
      </c>
      <c r="BU212" s="928" t="s">
        <v>21</v>
      </c>
      <c r="BV212" s="934">
        <v>0.54999999999981819</v>
      </c>
      <c r="BW212" s="934">
        <v>1</v>
      </c>
      <c r="BX212" s="1104">
        <v>2</v>
      </c>
      <c r="BY212" s="931">
        <v>4</v>
      </c>
      <c r="BZ212" s="930" t="s">
        <v>21</v>
      </c>
      <c r="CA212" s="1074">
        <v>1</v>
      </c>
      <c r="CB212" s="930" t="s">
        <v>21</v>
      </c>
      <c r="CC212" s="930" t="s">
        <v>21</v>
      </c>
      <c r="CD212" s="925">
        <v>26.465</v>
      </c>
      <c r="CE212" s="1130">
        <v>79.704999999999998</v>
      </c>
      <c r="CF212" s="1129" t="s">
        <v>21</v>
      </c>
      <c r="CG212" s="1130" t="s">
        <v>21</v>
      </c>
      <c r="CH212" s="1130" t="s">
        <v>21</v>
      </c>
      <c r="CI212" s="1131" t="s">
        <v>21</v>
      </c>
      <c r="CJ212" s="1129" t="s">
        <v>21</v>
      </c>
      <c r="CK212" s="1130">
        <v>79.704999999999998</v>
      </c>
      <c r="CL212" s="1130" t="s">
        <v>21</v>
      </c>
      <c r="CM212" s="1131" t="s">
        <v>21</v>
      </c>
      <c r="CN212" s="1130" t="s">
        <v>21</v>
      </c>
      <c r="CP212" s="838" t="s">
        <v>21</v>
      </c>
      <c r="CQ212" s="838" t="s">
        <v>21</v>
      </c>
      <c r="CR212" s="836"/>
    </row>
    <row r="213" spans="1:96" x14ac:dyDescent="0.25">
      <c r="A213" s="935"/>
      <c r="B213" s="932" t="s">
        <v>2249</v>
      </c>
      <c r="C213" s="911">
        <v>600</v>
      </c>
      <c r="D213" s="911" t="s">
        <v>2116</v>
      </c>
      <c r="E213" s="912">
        <v>1192.24</v>
      </c>
      <c r="F213" s="912">
        <v>1190.29</v>
      </c>
      <c r="G213" s="932" t="s">
        <v>2250</v>
      </c>
      <c r="H213" s="912">
        <v>1191.44</v>
      </c>
      <c r="I213" s="912">
        <v>1189.54</v>
      </c>
      <c r="J213" s="914">
        <v>12.37</v>
      </c>
      <c r="K213" s="915"/>
      <c r="L213" s="916">
        <v>0.1</v>
      </c>
      <c r="M213" s="916">
        <v>0.06</v>
      </c>
      <c r="N213" s="916">
        <v>0.2</v>
      </c>
      <c r="O213" s="916">
        <v>4.8570000000000002</v>
      </c>
      <c r="P213" s="915"/>
      <c r="Q213" s="916">
        <v>2.1850000000000001</v>
      </c>
      <c r="R213" s="917">
        <v>0.33333333333333331</v>
      </c>
      <c r="S213" s="918">
        <v>1.4</v>
      </c>
      <c r="T213" s="918">
        <v>2.8570000000000002</v>
      </c>
      <c r="U213" s="916">
        <v>4.6059999999999999</v>
      </c>
      <c r="V213" s="916">
        <v>0.92</v>
      </c>
      <c r="W213" s="915"/>
      <c r="X213" s="916">
        <v>0.28299999999999997</v>
      </c>
      <c r="Y213" s="916">
        <v>0.40699999999999997</v>
      </c>
      <c r="Z213" s="916">
        <v>4.6509999999999998</v>
      </c>
      <c r="AA213" s="916">
        <v>1.0229999999999999</v>
      </c>
      <c r="AB213" s="916">
        <v>3.081</v>
      </c>
      <c r="AC213" s="915"/>
      <c r="AD213" s="919">
        <v>60.081000000000003</v>
      </c>
      <c r="AE213" s="920">
        <v>57.533000000000001</v>
      </c>
      <c r="AF213" s="920" t="s">
        <v>21</v>
      </c>
      <c r="AG213" s="920" t="s">
        <v>21</v>
      </c>
      <c r="AH213" s="921">
        <v>57.533000000000001</v>
      </c>
      <c r="AI213" s="921" t="s">
        <v>21</v>
      </c>
      <c r="AJ213" s="920" t="s">
        <v>21</v>
      </c>
      <c r="AK213" s="920" t="s">
        <v>21</v>
      </c>
      <c r="AL213" s="921" t="s">
        <v>21</v>
      </c>
      <c r="AM213" s="921" t="s">
        <v>21</v>
      </c>
      <c r="AN213" s="920"/>
      <c r="AO213" s="920" t="s">
        <v>21</v>
      </c>
      <c r="AP213" s="919">
        <v>17.318000000000001</v>
      </c>
      <c r="AQ213" s="933">
        <v>56.976219999999998</v>
      </c>
      <c r="AR213" s="925" t="s">
        <v>21</v>
      </c>
      <c r="AS213" s="925">
        <v>56.976219999999998</v>
      </c>
      <c r="AT213" s="925" t="s">
        <v>21</v>
      </c>
      <c r="AU213" s="925" t="s">
        <v>21</v>
      </c>
      <c r="AV213" s="926" t="s">
        <v>21</v>
      </c>
      <c r="AW213" s="926" t="s">
        <v>21</v>
      </c>
      <c r="AX213" s="926" t="s">
        <v>21</v>
      </c>
      <c r="AY213" s="926" t="s">
        <v>21</v>
      </c>
      <c r="AZ213" s="925" t="s">
        <v>21</v>
      </c>
      <c r="BA213" s="925"/>
      <c r="BB213" s="919">
        <v>1.732</v>
      </c>
      <c r="BC213" s="919" t="s">
        <v>21</v>
      </c>
      <c r="BD213" s="919" t="s">
        <v>2142</v>
      </c>
      <c r="BE213" s="925" t="s">
        <v>21</v>
      </c>
      <c r="BF213" s="926" t="s">
        <v>21</v>
      </c>
      <c r="BG213" s="925">
        <v>12.37</v>
      </c>
      <c r="BH213" s="926" t="s">
        <v>21</v>
      </c>
      <c r="BI213" s="925" t="s">
        <v>21</v>
      </c>
      <c r="BJ213" s="926" t="s">
        <v>21</v>
      </c>
      <c r="BK213" s="925" t="s">
        <v>21</v>
      </c>
      <c r="BL213" s="926" t="s">
        <v>21</v>
      </c>
      <c r="BM213" s="925" t="s">
        <v>21</v>
      </c>
      <c r="BN213" s="927"/>
      <c r="BO213" s="927"/>
      <c r="BP213" s="928">
        <v>1</v>
      </c>
      <c r="BQ213" s="928" t="s">
        <v>21</v>
      </c>
      <c r="BR213" s="928" t="s">
        <v>21</v>
      </c>
      <c r="BS213" s="928" t="s">
        <v>21</v>
      </c>
      <c r="BT213" s="928" t="s">
        <v>21</v>
      </c>
      <c r="BU213" s="928" t="s">
        <v>21</v>
      </c>
      <c r="BV213" s="934">
        <v>0.55000000000004556</v>
      </c>
      <c r="BW213" s="934">
        <v>1</v>
      </c>
      <c r="BX213" s="1104">
        <v>2</v>
      </c>
      <c r="BY213" s="931">
        <v>4</v>
      </c>
      <c r="BZ213" s="930">
        <v>1</v>
      </c>
      <c r="CA213" s="1074" t="s">
        <v>21</v>
      </c>
      <c r="CB213" s="930" t="s">
        <v>21</v>
      </c>
      <c r="CC213" s="930" t="s">
        <v>21</v>
      </c>
      <c r="CD213" s="925">
        <v>12.654999999999999</v>
      </c>
      <c r="CE213" s="1130">
        <v>38.112000000000002</v>
      </c>
      <c r="CF213" s="1129" t="s">
        <v>21</v>
      </c>
      <c r="CG213" s="1130" t="s">
        <v>21</v>
      </c>
      <c r="CH213" s="1130" t="s">
        <v>21</v>
      </c>
      <c r="CI213" s="1131" t="s">
        <v>21</v>
      </c>
      <c r="CJ213" s="1129" t="s">
        <v>21</v>
      </c>
      <c r="CK213" s="1130">
        <v>38.112000000000002</v>
      </c>
      <c r="CL213" s="1130" t="s">
        <v>21</v>
      </c>
      <c r="CM213" s="1131" t="s">
        <v>21</v>
      </c>
      <c r="CN213" s="1130" t="s">
        <v>21</v>
      </c>
      <c r="CP213" s="838" t="s">
        <v>21</v>
      </c>
      <c r="CQ213" s="838" t="s">
        <v>21</v>
      </c>
      <c r="CR213" s="836"/>
    </row>
    <row r="214" spans="1:96" x14ac:dyDescent="0.25">
      <c r="A214" s="935"/>
      <c r="B214" s="932" t="s">
        <v>2250</v>
      </c>
      <c r="C214" s="911">
        <v>600</v>
      </c>
      <c r="D214" s="911" t="s">
        <v>2116</v>
      </c>
      <c r="E214" s="912">
        <v>1191.44</v>
      </c>
      <c r="F214" s="912">
        <v>1189.49</v>
      </c>
      <c r="G214" s="932" t="s">
        <v>2428</v>
      </c>
      <c r="H214" s="912">
        <v>1189.27</v>
      </c>
      <c r="I214" s="912">
        <v>1187.3699999999999</v>
      </c>
      <c r="J214" s="914">
        <v>38.72</v>
      </c>
      <c r="K214" s="915"/>
      <c r="L214" s="916">
        <v>0.1</v>
      </c>
      <c r="M214" s="916">
        <v>0.06</v>
      </c>
      <c r="N214" s="916">
        <v>0.2</v>
      </c>
      <c r="O214" s="916">
        <v>4.8570000000000002</v>
      </c>
      <c r="P214" s="915"/>
      <c r="Q214" s="916">
        <v>2.1850000000000001</v>
      </c>
      <c r="R214" s="917">
        <v>0.33333333333333331</v>
      </c>
      <c r="S214" s="918">
        <v>1.4</v>
      </c>
      <c r="T214" s="918">
        <v>2.8570000000000002</v>
      </c>
      <c r="U214" s="916">
        <v>4.6059999999999999</v>
      </c>
      <c r="V214" s="916">
        <v>0.92</v>
      </c>
      <c r="W214" s="915"/>
      <c r="X214" s="916">
        <v>0.28299999999999997</v>
      </c>
      <c r="Y214" s="916">
        <v>0.40699999999999997</v>
      </c>
      <c r="Z214" s="916">
        <v>4.6509999999999998</v>
      </c>
      <c r="AA214" s="916">
        <v>1.0229999999999999</v>
      </c>
      <c r="AB214" s="916">
        <v>3.081</v>
      </c>
      <c r="AC214" s="915"/>
      <c r="AD214" s="919">
        <v>188.06299999999999</v>
      </c>
      <c r="AE214" s="920">
        <v>180.08699999999999</v>
      </c>
      <c r="AF214" s="920" t="s">
        <v>21</v>
      </c>
      <c r="AG214" s="920" t="s">
        <v>21</v>
      </c>
      <c r="AH214" s="921">
        <v>180.08699999999999</v>
      </c>
      <c r="AI214" s="921" t="s">
        <v>21</v>
      </c>
      <c r="AJ214" s="920" t="s">
        <v>21</v>
      </c>
      <c r="AK214" s="920" t="s">
        <v>21</v>
      </c>
      <c r="AL214" s="921" t="s">
        <v>21</v>
      </c>
      <c r="AM214" s="921" t="s">
        <v>21</v>
      </c>
      <c r="AN214" s="920"/>
      <c r="AO214" s="920" t="s">
        <v>21</v>
      </c>
      <c r="AP214" s="919">
        <v>54.207999999999998</v>
      </c>
      <c r="AQ214" s="933">
        <v>178.34431999999998</v>
      </c>
      <c r="AR214" s="925" t="s">
        <v>21</v>
      </c>
      <c r="AS214" s="925">
        <v>178.34431999999998</v>
      </c>
      <c r="AT214" s="925" t="s">
        <v>21</v>
      </c>
      <c r="AU214" s="925" t="s">
        <v>21</v>
      </c>
      <c r="AV214" s="926" t="s">
        <v>21</v>
      </c>
      <c r="AW214" s="926" t="s">
        <v>21</v>
      </c>
      <c r="AX214" s="926" t="s">
        <v>21</v>
      </c>
      <c r="AY214" s="926" t="s">
        <v>21</v>
      </c>
      <c r="AZ214" s="925" t="s">
        <v>21</v>
      </c>
      <c r="BA214" s="925"/>
      <c r="BB214" s="919">
        <v>5.4210000000000003</v>
      </c>
      <c r="BC214" s="919" t="s">
        <v>21</v>
      </c>
      <c r="BD214" s="919" t="s">
        <v>2142</v>
      </c>
      <c r="BE214" s="925" t="s">
        <v>21</v>
      </c>
      <c r="BF214" s="926" t="s">
        <v>21</v>
      </c>
      <c r="BG214" s="925">
        <v>38.72</v>
      </c>
      <c r="BH214" s="926" t="s">
        <v>21</v>
      </c>
      <c r="BI214" s="925" t="s">
        <v>21</v>
      </c>
      <c r="BJ214" s="926" t="s">
        <v>21</v>
      </c>
      <c r="BK214" s="925" t="s">
        <v>21</v>
      </c>
      <c r="BL214" s="926" t="s">
        <v>21</v>
      </c>
      <c r="BM214" s="925" t="s">
        <v>21</v>
      </c>
      <c r="BN214" s="927"/>
      <c r="BO214" s="927"/>
      <c r="BP214" s="928">
        <v>1</v>
      </c>
      <c r="BQ214" s="928" t="s">
        <v>21</v>
      </c>
      <c r="BR214" s="928" t="s">
        <v>21</v>
      </c>
      <c r="BS214" s="928" t="s">
        <v>21</v>
      </c>
      <c r="BT214" s="928" t="s">
        <v>21</v>
      </c>
      <c r="BU214" s="928" t="s">
        <v>21</v>
      </c>
      <c r="BV214" s="934">
        <v>0.55000000000004556</v>
      </c>
      <c r="BW214" s="934">
        <v>1</v>
      </c>
      <c r="BX214" s="1104">
        <v>2</v>
      </c>
      <c r="BY214" s="931">
        <v>4</v>
      </c>
      <c r="BZ214" s="930" t="s">
        <v>21</v>
      </c>
      <c r="CA214" s="1074" t="s">
        <v>21</v>
      </c>
      <c r="CB214" s="930" t="s">
        <v>21</v>
      </c>
      <c r="CC214" s="930" t="s">
        <v>21</v>
      </c>
      <c r="CD214" s="925">
        <v>39.610999999999997</v>
      </c>
      <c r="CE214" s="1130">
        <v>119.29600000000001</v>
      </c>
      <c r="CF214" s="1129" t="s">
        <v>21</v>
      </c>
      <c r="CG214" s="1130" t="s">
        <v>21</v>
      </c>
      <c r="CH214" s="1130" t="s">
        <v>21</v>
      </c>
      <c r="CI214" s="1131" t="s">
        <v>21</v>
      </c>
      <c r="CJ214" s="1129" t="s">
        <v>21</v>
      </c>
      <c r="CK214" s="1130">
        <v>119.29600000000001</v>
      </c>
      <c r="CL214" s="1130" t="s">
        <v>21</v>
      </c>
      <c r="CM214" s="1131" t="s">
        <v>21</v>
      </c>
      <c r="CN214" s="1130" t="s">
        <v>21</v>
      </c>
      <c r="CP214" s="838" t="s">
        <v>21</v>
      </c>
      <c r="CQ214" s="838" t="s">
        <v>21</v>
      </c>
      <c r="CR214" s="836"/>
    </row>
    <row r="215" spans="1:96" x14ac:dyDescent="0.25">
      <c r="A215" s="935"/>
      <c r="B215" s="932" t="s">
        <v>2428</v>
      </c>
      <c r="C215" s="911">
        <v>600</v>
      </c>
      <c r="D215" s="911" t="s">
        <v>2116</v>
      </c>
      <c r="E215" s="912">
        <v>1189.27</v>
      </c>
      <c r="F215" s="912">
        <v>1187.07</v>
      </c>
      <c r="G215" s="910" t="s">
        <v>2233</v>
      </c>
      <c r="H215" s="1489">
        <v>1186.6500000000001</v>
      </c>
      <c r="I215" s="1489">
        <v>1185.1400000000001</v>
      </c>
      <c r="J215" s="914">
        <v>26.54</v>
      </c>
      <c r="K215" s="915"/>
      <c r="L215" s="916">
        <v>0.1</v>
      </c>
      <c r="M215" s="916">
        <v>0.06</v>
      </c>
      <c r="N215" s="916">
        <v>0.2</v>
      </c>
      <c r="O215" s="916">
        <v>4.8100000000000005</v>
      </c>
      <c r="P215" s="915"/>
      <c r="Q215" s="916">
        <v>2.1150000000000002</v>
      </c>
      <c r="R215" s="917">
        <v>0.33333333333333331</v>
      </c>
      <c r="S215" s="918">
        <v>1.4</v>
      </c>
      <c r="T215" s="918">
        <v>2.81</v>
      </c>
      <c r="U215" s="916">
        <v>4.4589999999999996</v>
      </c>
      <c r="V215" s="916">
        <v>0.92</v>
      </c>
      <c r="W215" s="915"/>
      <c r="X215" s="916">
        <v>0.28299999999999997</v>
      </c>
      <c r="Y215" s="916">
        <v>0.40699999999999997</v>
      </c>
      <c r="Z215" s="916">
        <v>4.452</v>
      </c>
      <c r="AA215" s="916">
        <v>1.0229999999999999</v>
      </c>
      <c r="AB215" s="916">
        <v>2.8820000000000001</v>
      </c>
      <c r="AC215" s="915"/>
      <c r="AD215" s="919">
        <v>127.657</v>
      </c>
      <c r="AE215" s="920">
        <v>118.15600000000001</v>
      </c>
      <c r="AF215" s="920" t="s">
        <v>21</v>
      </c>
      <c r="AG215" s="920" t="s">
        <v>21</v>
      </c>
      <c r="AH215" s="921">
        <v>118.15600000000001</v>
      </c>
      <c r="AI215" s="921" t="s">
        <v>21</v>
      </c>
      <c r="AJ215" s="920" t="s">
        <v>21</v>
      </c>
      <c r="AK215" s="920" t="s">
        <v>21</v>
      </c>
      <c r="AL215" s="921" t="s">
        <v>21</v>
      </c>
      <c r="AM215" s="921" t="s">
        <v>21</v>
      </c>
      <c r="AN215" s="920"/>
      <c r="AO215" s="920" t="s">
        <v>21</v>
      </c>
      <c r="AP215" s="919">
        <v>37.155999999999999</v>
      </c>
      <c r="AQ215" s="933">
        <v>118.34185999999998</v>
      </c>
      <c r="AR215" s="925" t="s">
        <v>21</v>
      </c>
      <c r="AS215" s="925">
        <v>118.34185999999998</v>
      </c>
      <c r="AT215" s="925" t="s">
        <v>21</v>
      </c>
      <c r="AU215" s="925" t="s">
        <v>21</v>
      </c>
      <c r="AV215" s="926" t="s">
        <v>21</v>
      </c>
      <c r="AW215" s="926" t="s">
        <v>21</v>
      </c>
      <c r="AX215" s="926" t="s">
        <v>21</v>
      </c>
      <c r="AY215" s="926" t="s">
        <v>21</v>
      </c>
      <c r="AZ215" s="925" t="s">
        <v>21</v>
      </c>
      <c r="BA215" s="925"/>
      <c r="BB215" s="919">
        <v>3.7160000000000002</v>
      </c>
      <c r="BC215" s="919" t="s">
        <v>21</v>
      </c>
      <c r="BD215" s="919" t="s">
        <v>2142</v>
      </c>
      <c r="BE215" s="925" t="s">
        <v>21</v>
      </c>
      <c r="BF215" s="926" t="s">
        <v>21</v>
      </c>
      <c r="BG215" s="925">
        <v>26.54</v>
      </c>
      <c r="BH215" s="926" t="s">
        <v>21</v>
      </c>
      <c r="BI215" s="925" t="s">
        <v>21</v>
      </c>
      <c r="BJ215" s="926" t="s">
        <v>21</v>
      </c>
      <c r="BK215" s="925" t="s">
        <v>21</v>
      </c>
      <c r="BL215" s="926" t="s">
        <v>21</v>
      </c>
      <c r="BM215" s="925" t="s">
        <v>21</v>
      </c>
      <c r="BN215" s="927"/>
      <c r="BO215" s="927"/>
      <c r="BP215" s="928">
        <v>1</v>
      </c>
      <c r="BQ215" s="928" t="s">
        <v>21</v>
      </c>
      <c r="BR215" s="928" t="s">
        <v>21</v>
      </c>
      <c r="BS215" s="928" t="s">
        <v>21</v>
      </c>
      <c r="BT215" s="928" t="s">
        <v>21</v>
      </c>
      <c r="BU215" s="928" t="s">
        <v>21</v>
      </c>
      <c r="BV215" s="934">
        <v>0.80000000000004556</v>
      </c>
      <c r="BW215" s="934">
        <v>1</v>
      </c>
      <c r="BX215" s="1104">
        <v>2</v>
      </c>
      <c r="BY215" s="931">
        <v>4</v>
      </c>
      <c r="BZ215" s="930" t="s">
        <v>21</v>
      </c>
      <c r="CA215" s="1074" t="s">
        <v>21</v>
      </c>
      <c r="CB215" s="930" t="s">
        <v>21</v>
      </c>
      <c r="CC215" s="930" t="s">
        <v>21</v>
      </c>
      <c r="CD215" s="925">
        <v>27.15</v>
      </c>
      <c r="CE215" s="1130">
        <v>76.488</v>
      </c>
      <c r="CF215" s="1129" t="s">
        <v>21</v>
      </c>
      <c r="CG215" s="1130" t="s">
        <v>21</v>
      </c>
      <c r="CH215" s="1130" t="s">
        <v>21</v>
      </c>
      <c r="CI215" s="1131" t="s">
        <v>21</v>
      </c>
      <c r="CJ215" s="1129" t="s">
        <v>21</v>
      </c>
      <c r="CK215" s="1130">
        <v>76.488</v>
      </c>
      <c r="CL215" s="1130" t="s">
        <v>21</v>
      </c>
      <c r="CM215" s="1131" t="s">
        <v>21</v>
      </c>
      <c r="CN215" s="1130" t="s">
        <v>21</v>
      </c>
      <c r="CP215" s="838" t="s">
        <v>21</v>
      </c>
      <c r="CQ215" s="838" t="s">
        <v>21</v>
      </c>
      <c r="CR215" s="836"/>
    </row>
    <row r="216" spans="1:96" x14ac:dyDescent="0.25">
      <c r="A216" s="935"/>
      <c r="B216" s="932"/>
      <c r="C216" s="911"/>
      <c r="D216" s="911"/>
      <c r="E216" s="912"/>
      <c r="F216" s="912"/>
      <c r="G216" s="910"/>
      <c r="H216" s="912"/>
      <c r="I216" s="912"/>
      <c r="J216" s="914"/>
      <c r="K216" s="915"/>
      <c r="L216" s="916" t="s">
        <v>21</v>
      </c>
      <c r="M216" s="916" t="s">
        <v>21</v>
      </c>
      <c r="N216" s="916" t="s">
        <v>21</v>
      </c>
      <c r="O216" s="916" t="s">
        <v>21</v>
      </c>
      <c r="P216" s="915"/>
      <c r="Q216" s="916" t="s">
        <v>21</v>
      </c>
      <c r="R216" s="917" t="s">
        <v>21</v>
      </c>
      <c r="S216" s="918" t="s">
        <v>21</v>
      </c>
      <c r="T216" s="918" t="s">
        <v>21</v>
      </c>
      <c r="U216" s="916" t="s">
        <v>21</v>
      </c>
      <c r="V216" s="916" t="s">
        <v>21</v>
      </c>
      <c r="W216" s="915"/>
      <c r="X216" s="916" t="s">
        <v>21</v>
      </c>
      <c r="Y216" s="916" t="s">
        <v>21</v>
      </c>
      <c r="Z216" s="916" t="s">
        <v>21</v>
      </c>
      <c r="AA216" s="916" t="s">
        <v>21</v>
      </c>
      <c r="AB216" s="916" t="s">
        <v>21</v>
      </c>
      <c r="AC216" s="915"/>
      <c r="AD216" s="919" t="s">
        <v>21</v>
      </c>
      <c r="AE216" s="920" t="s">
        <v>21</v>
      </c>
      <c r="AF216" s="920" t="s">
        <v>21</v>
      </c>
      <c r="AG216" s="920" t="s">
        <v>21</v>
      </c>
      <c r="AH216" s="921" t="s">
        <v>21</v>
      </c>
      <c r="AI216" s="921" t="s">
        <v>21</v>
      </c>
      <c r="AJ216" s="920" t="s">
        <v>21</v>
      </c>
      <c r="AK216" s="920" t="s">
        <v>21</v>
      </c>
      <c r="AL216" s="921" t="s">
        <v>21</v>
      </c>
      <c r="AM216" s="921" t="s">
        <v>21</v>
      </c>
      <c r="AN216" s="920"/>
      <c r="AO216" s="920" t="s">
        <v>21</v>
      </c>
      <c r="AP216" s="919" t="s">
        <v>21</v>
      </c>
      <c r="AQ216" s="933" t="s">
        <v>21</v>
      </c>
      <c r="AR216" s="925" t="s">
        <v>21</v>
      </c>
      <c r="AS216" s="925" t="s">
        <v>21</v>
      </c>
      <c r="AT216" s="925" t="s">
        <v>21</v>
      </c>
      <c r="AU216" s="925" t="s">
        <v>21</v>
      </c>
      <c r="AV216" s="926" t="s">
        <v>21</v>
      </c>
      <c r="AW216" s="926" t="s">
        <v>21</v>
      </c>
      <c r="AX216" s="926" t="s">
        <v>21</v>
      </c>
      <c r="AY216" s="926" t="s">
        <v>21</v>
      </c>
      <c r="AZ216" s="925" t="s">
        <v>21</v>
      </c>
      <c r="BA216" s="925"/>
      <c r="BB216" s="919" t="s">
        <v>21</v>
      </c>
      <c r="BC216" s="919" t="s">
        <v>21</v>
      </c>
      <c r="BD216" s="919" t="s">
        <v>21</v>
      </c>
      <c r="BE216" s="925" t="s">
        <v>21</v>
      </c>
      <c r="BF216" s="926" t="s">
        <v>21</v>
      </c>
      <c r="BG216" s="925" t="s">
        <v>21</v>
      </c>
      <c r="BH216" s="926" t="s">
        <v>21</v>
      </c>
      <c r="BI216" s="925" t="s">
        <v>21</v>
      </c>
      <c r="BJ216" s="926" t="s">
        <v>21</v>
      </c>
      <c r="BK216" s="925" t="s">
        <v>21</v>
      </c>
      <c r="BL216" s="926" t="s">
        <v>21</v>
      </c>
      <c r="BM216" s="925" t="s">
        <v>21</v>
      </c>
      <c r="BN216" s="927"/>
      <c r="BO216" s="927"/>
      <c r="BP216" s="928" t="s">
        <v>21</v>
      </c>
      <c r="BQ216" s="928" t="s">
        <v>21</v>
      </c>
      <c r="BR216" s="928" t="s">
        <v>21</v>
      </c>
      <c r="BS216" s="928" t="s">
        <v>21</v>
      </c>
      <c r="BT216" s="928" t="s">
        <v>21</v>
      </c>
      <c r="BU216" s="928" t="s">
        <v>21</v>
      </c>
      <c r="BV216" s="934" t="s">
        <v>21</v>
      </c>
      <c r="BW216" s="934" t="s">
        <v>21</v>
      </c>
      <c r="BX216" s="1104" t="s">
        <v>21</v>
      </c>
      <c r="BY216" s="931" t="s">
        <v>21</v>
      </c>
      <c r="BZ216" s="930" t="s">
        <v>21</v>
      </c>
      <c r="CA216" s="1074" t="s">
        <v>21</v>
      </c>
      <c r="CB216" s="930" t="s">
        <v>21</v>
      </c>
      <c r="CC216" s="930" t="s">
        <v>21</v>
      </c>
      <c r="CD216" s="925" t="s">
        <v>21</v>
      </c>
      <c r="CE216" s="1130" t="s">
        <v>21</v>
      </c>
      <c r="CF216" s="1129" t="s">
        <v>21</v>
      </c>
      <c r="CG216" s="1130" t="s">
        <v>21</v>
      </c>
      <c r="CH216" s="1130" t="s">
        <v>21</v>
      </c>
      <c r="CI216" s="1131" t="s">
        <v>21</v>
      </c>
      <c r="CJ216" s="1129" t="s">
        <v>21</v>
      </c>
      <c r="CK216" s="1130" t="s">
        <v>21</v>
      </c>
      <c r="CL216" s="1130" t="s">
        <v>21</v>
      </c>
      <c r="CM216" s="1131" t="s">
        <v>21</v>
      </c>
      <c r="CN216" s="1130" t="s">
        <v>21</v>
      </c>
      <c r="CP216" s="838" t="s">
        <v>21</v>
      </c>
      <c r="CQ216" s="838" t="s">
        <v>21</v>
      </c>
      <c r="CR216" s="836"/>
    </row>
    <row r="217" spans="1:96" x14ac:dyDescent="0.25">
      <c r="A217" s="935" t="s">
        <v>2521</v>
      </c>
      <c r="B217" s="932" t="s">
        <v>2251</v>
      </c>
      <c r="C217" s="911">
        <v>600</v>
      </c>
      <c r="D217" s="911" t="s">
        <v>2116</v>
      </c>
      <c r="E217" s="912">
        <v>1192</v>
      </c>
      <c r="F217" s="912">
        <v>1190.0999999999999</v>
      </c>
      <c r="G217" s="932" t="s">
        <v>2252</v>
      </c>
      <c r="H217" s="912">
        <v>1190.5999999999999</v>
      </c>
      <c r="I217" s="912">
        <v>1188.7</v>
      </c>
      <c r="J217" s="914">
        <v>46.4</v>
      </c>
      <c r="K217" s="915"/>
      <c r="L217" s="916">
        <v>0.1</v>
      </c>
      <c r="M217" s="916">
        <v>0.06</v>
      </c>
      <c r="N217" s="916">
        <v>0.2</v>
      </c>
      <c r="O217" s="916">
        <v>4.84</v>
      </c>
      <c r="P217" s="915"/>
      <c r="Q217" s="916">
        <v>2.16</v>
      </c>
      <c r="R217" s="917">
        <v>0.33333333333333331</v>
      </c>
      <c r="S217" s="918">
        <v>1.4</v>
      </c>
      <c r="T217" s="918">
        <v>2.84</v>
      </c>
      <c r="U217" s="916">
        <v>4.5540000000000003</v>
      </c>
      <c r="V217" s="916">
        <v>0.92</v>
      </c>
      <c r="W217" s="915"/>
      <c r="X217" s="916">
        <v>0.28299999999999997</v>
      </c>
      <c r="Y217" s="916">
        <v>0.40699999999999997</v>
      </c>
      <c r="Z217" s="916">
        <v>4.5789999999999997</v>
      </c>
      <c r="AA217" s="916">
        <v>1.0229999999999999</v>
      </c>
      <c r="AB217" s="916">
        <v>3.0089999999999999</v>
      </c>
      <c r="AC217" s="915"/>
      <c r="AD217" s="919">
        <v>224.57599999999999</v>
      </c>
      <c r="AE217" s="920">
        <v>212.46600000000001</v>
      </c>
      <c r="AF217" s="920" t="s">
        <v>21</v>
      </c>
      <c r="AG217" s="920" t="s">
        <v>21</v>
      </c>
      <c r="AH217" s="921">
        <v>212.46600000000001</v>
      </c>
      <c r="AI217" s="921" t="s">
        <v>21</v>
      </c>
      <c r="AJ217" s="920" t="s">
        <v>21</v>
      </c>
      <c r="AK217" s="920" t="s">
        <v>21</v>
      </c>
      <c r="AL217" s="921" t="s">
        <v>21</v>
      </c>
      <c r="AM217" s="921" t="s">
        <v>21</v>
      </c>
      <c r="AN217" s="920"/>
      <c r="AO217" s="920" t="s">
        <v>21</v>
      </c>
      <c r="AP217" s="919">
        <v>64.959999999999994</v>
      </c>
      <c r="AQ217" s="933">
        <v>211.3056</v>
      </c>
      <c r="AR217" s="925" t="s">
        <v>21</v>
      </c>
      <c r="AS217" s="925">
        <v>211.3056</v>
      </c>
      <c r="AT217" s="925" t="s">
        <v>21</v>
      </c>
      <c r="AU217" s="925" t="s">
        <v>21</v>
      </c>
      <c r="AV217" s="926" t="s">
        <v>21</v>
      </c>
      <c r="AW217" s="926" t="s">
        <v>21</v>
      </c>
      <c r="AX217" s="926" t="s">
        <v>21</v>
      </c>
      <c r="AY217" s="926" t="s">
        <v>21</v>
      </c>
      <c r="AZ217" s="925" t="s">
        <v>21</v>
      </c>
      <c r="BA217" s="925"/>
      <c r="BB217" s="919">
        <v>6.4960000000000004</v>
      </c>
      <c r="BC217" s="919" t="s">
        <v>21</v>
      </c>
      <c r="BD217" s="919" t="s">
        <v>2142</v>
      </c>
      <c r="BE217" s="925" t="s">
        <v>21</v>
      </c>
      <c r="BF217" s="926" t="s">
        <v>21</v>
      </c>
      <c r="BG217" s="925">
        <v>46.4</v>
      </c>
      <c r="BH217" s="926" t="s">
        <v>21</v>
      </c>
      <c r="BI217" s="925" t="s">
        <v>21</v>
      </c>
      <c r="BJ217" s="926" t="s">
        <v>21</v>
      </c>
      <c r="BK217" s="925" t="s">
        <v>21</v>
      </c>
      <c r="BL217" s="926" t="s">
        <v>21</v>
      </c>
      <c r="BM217" s="925" t="s">
        <v>21</v>
      </c>
      <c r="BN217" s="927"/>
      <c r="BO217" s="927"/>
      <c r="BP217" s="928">
        <v>1</v>
      </c>
      <c r="BQ217" s="928" t="s">
        <v>21</v>
      </c>
      <c r="BR217" s="928" t="s">
        <v>21</v>
      </c>
      <c r="BS217" s="928" t="s">
        <v>21</v>
      </c>
      <c r="BT217" s="928" t="s">
        <v>21</v>
      </c>
      <c r="BU217" s="928" t="s">
        <v>21</v>
      </c>
      <c r="BV217" s="934">
        <v>0.50000000000009104</v>
      </c>
      <c r="BW217" s="934">
        <v>1</v>
      </c>
      <c r="BX217" s="1104">
        <v>2</v>
      </c>
      <c r="BY217" s="931">
        <v>4</v>
      </c>
      <c r="BZ217" s="930">
        <v>1</v>
      </c>
      <c r="CA217" s="1074" t="s">
        <v>21</v>
      </c>
      <c r="CB217" s="930" t="s">
        <v>21</v>
      </c>
      <c r="CC217" s="930" t="s">
        <v>21</v>
      </c>
      <c r="CD217" s="925">
        <v>47.466999999999999</v>
      </c>
      <c r="CE217" s="1130">
        <v>139.61799999999999</v>
      </c>
      <c r="CF217" s="1129" t="s">
        <v>21</v>
      </c>
      <c r="CG217" s="1130" t="s">
        <v>21</v>
      </c>
      <c r="CH217" s="1130" t="s">
        <v>21</v>
      </c>
      <c r="CI217" s="1131" t="s">
        <v>21</v>
      </c>
      <c r="CJ217" s="1129" t="s">
        <v>21</v>
      </c>
      <c r="CK217" s="1130">
        <v>139.61799999999999</v>
      </c>
      <c r="CL217" s="1130" t="s">
        <v>21</v>
      </c>
      <c r="CM217" s="1131" t="s">
        <v>21</v>
      </c>
      <c r="CN217" s="1130" t="s">
        <v>21</v>
      </c>
      <c r="CP217" s="838" t="s">
        <v>21</v>
      </c>
      <c r="CQ217" s="838" t="s">
        <v>21</v>
      </c>
      <c r="CR217" s="836"/>
    </row>
    <row r="218" spans="1:96" x14ac:dyDescent="0.25">
      <c r="A218" s="935"/>
      <c r="B218" s="932" t="s">
        <v>2252</v>
      </c>
      <c r="C218" s="911">
        <v>600</v>
      </c>
      <c r="D218" s="911" t="s">
        <v>2116</v>
      </c>
      <c r="E218" s="912">
        <v>1190.5999999999999</v>
      </c>
      <c r="F218" s="912">
        <v>1188.5999999999999</v>
      </c>
      <c r="G218" s="910" t="s">
        <v>2428</v>
      </c>
      <c r="H218" s="912">
        <v>1189.27</v>
      </c>
      <c r="I218" s="912">
        <v>1187.3699999999999</v>
      </c>
      <c r="J218" s="914">
        <v>35.07</v>
      </c>
      <c r="K218" s="915"/>
      <c r="L218" s="916">
        <v>0.1</v>
      </c>
      <c r="M218" s="916">
        <v>0.06</v>
      </c>
      <c r="N218" s="916">
        <v>0.2</v>
      </c>
      <c r="O218" s="916">
        <v>4.8730000000000002</v>
      </c>
      <c r="P218" s="915"/>
      <c r="Q218" s="916">
        <v>2.21</v>
      </c>
      <c r="R218" s="917">
        <v>0.33333333333333331</v>
      </c>
      <c r="S218" s="918">
        <v>1.4</v>
      </c>
      <c r="T218" s="918">
        <v>2.8730000000000002</v>
      </c>
      <c r="U218" s="916">
        <v>4.6589999999999998</v>
      </c>
      <c r="V218" s="916">
        <v>0.92</v>
      </c>
      <c r="W218" s="915"/>
      <c r="X218" s="916">
        <v>0.28299999999999997</v>
      </c>
      <c r="Y218" s="916">
        <v>0.40699999999999997</v>
      </c>
      <c r="Z218" s="916">
        <v>4.7220000000000004</v>
      </c>
      <c r="AA218" s="916">
        <v>1.0229999999999999</v>
      </c>
      <c r="AB218" s="916">
        <v>3.1520000000000001</v>
      </c>
      <c r="AC218" s="915"/>
      <c r="AD218" s="919">
        <v>170.89599999999999</v>
      </c>
      <c r="AE218" s="920">
        <v>165.601</v>
      </c>
      <c r="AF218" s="920" t="s">
        <v>21</v>
      </c>
      <c r="AG218" s="920" t="s">
        <v>21</v>
      </c>
      <c r="AH218" s="921">
        <v>165.601</v>
      </c>
      <c r="AI218" s="921" t="s">
        <v>21</v>
      </c>
      <c r="AJ218" s="920" t="s">
        <v>21</v>
      </c>
      <c r="AK218" s="920" t="s">
        <v>21</v>
      </c>
      <c r="AL218" s="921" t="s">
        <v>21</v>
      </c>
      <c r="AM218" s="921" t="s">
        <v>21</v>
      </c>
      <c r="AN218" s="920"/>
      <c r="AO218" s="920" t="s">
        <v>21</v>
      </c>
      <c r="AP218" s="919">
        <v>49.097999999999999</v>
      </c>
      <c r="AQ218" s="933">
        <v>163.39113</v>
      </c>
      <c r="AR218" s="925" t="s">
        <v>21</v>
      </c>
      <c r="AS218" s="925">
        <v>163.39113</v>
      </c>
      <c r="AT218" s="925" t="s">
        <v>21</v>
      </c>
      <c r="AU218" s="925" t="s">
        <v>21</v>
      </c>
      <c r="AV218" s="926" t="s">
        <v>21</v>
      </c>
      <c r="AW218" s="926" t="s">
        <v>21</v>
      </c>
      <c r="AX218" s="926" t="s">
        <v>21</v>
      </c>
      <c r="AY218" s="926" t="s">
        <v>21</v>
      </c>
      <c r="AZ218" s="925" t="s">
        <v>21</v>
      </c>
      <c r="BA218" s="925"/>
      <c r="BB218" s="919">
        <v>4.91</v>
      </c>
      <c r="BC218" s="919" t="s">
        <v>21</v>
      </c>
      <c r="BD218" s="919" t="s">
        <v>2142</v>
      </c>
      <c r="BE218" s="925" t="s">
        <v>21</v>
      </c>
      <c r="BF218" s="926" t="s">
        <v>21</v>
      </c>
      <c r="BG218" s="925">
        <v>35.07</v>
      </c>
      <c r="BH218" s="926" t="s">
        <v>21</v>
      </c>
      <c r="BI218" s="925" t="s">
        <v>21</v>
      </c>
      <c r="BJ218" s="926" t="s">
        <v>21</v>
      </c>
      <c r="BK218" s="925" t="s">
        <v>21</v>
      </c>
      <c r="BL218" s="926" t="s">
        <v>21</v>
      </c>
      <c r="BM218" s="925" t="s">
        <v>21</v>
      </c>
      <c r="BN218" s="927"/>
      <c r="BO218" s="927"/>
      <c r="BP218" s="928">
        <v>1</v>
      </c>
      <c r="BQ218" s="928" t="s">
        <v>21</v>
      </c>
      <c r="BR218" s="928" t="s">
        <v>21</v>
      </c>
      <c r="BS218" s="928" t="s">
        <v>21</v>
      </c>
      <c r="BT218" s="928" t="s">
        <v>21</v>
      </c>
      <c r="BU218" s="928" t="s">
        <v>21</v>
      </c>
      <c r="BV218" s="934">
        <v>0.60000000000000009</v>
      </c>
      <c r="BW218" s="934">
        <v>1</v>
      </c>
      <c r="BX218" s="1104">
        <v>2</v>
      </c>
      <c r="BY218" s="931">
        <v>4</v>
      </c>
      <c r="BZ218" s="930" t="s">
        <v>21</v>
      </c>
      <c r="CA218" s="1074">
        <v>1</v>
      </c>
      <c r="CB218" s="930" t="s">
        <v>21</v>
      </c>
      <c r="CC218" s="930" t="s">
        <v>21</v>
      </c>
      <c r="CD218" s="925">
        <v>35.877000000000002</v>
      </c>
      <c r="CE218" s="1130">
        <v>110.541</v>
      </c>
      <c r="CF218" s="1129" t="s">
        <v>21</v>
      </c>
      <c r="CG218" s="1130" t="s">
        <v>21</v>
      </c>
      <c r="CH218" s="1130" t="s">
        <v>21</v>
      </c>
      <c r="CI218" s="1131" t="s">
        <v>21</v>
      </c>
      <c r="CJ218" s="1129" t="s">
        <v>21</v>
      </c>
      <c r="CK218" s="1130">
        <v>110.541</v>
      </c>
      <c r="CL218" s="1130" t="s">
        <v>21</v>
      </c>
      <c r="CM218" s="1131" t="s">
        <v>21</v>
      </c>
      <c r="CN218" s="1130" t="s">
        <v>21</v>
      </c>
      <c r="CP218" s="838" t="s">
        <v>21</v>
      </c>
      <c r="CQ218" s="838" t="s">
        <v>21</v>
      </c>
      <c r="CR218" s="836"/>
    </row>
    <row r="219" spans="1:96" x14ac:dyDescent="0.25">
      <c r="A219" s="935"/>
      <c r="B219" s="932"/>
      <c r="C219" s="911"/>
      <c r="D219" s="911"/>
      <c r="E219" s="912"/>
      <c r="F219" s="912"/>
      <c r="G219" s="910"/>
      <c r="H219" s="912"/>
      <c r="I219" s="912"/>
      <c r="J219" s="914"/>
      <c r="K219" s="915"/>
      <c r="L219" s="916" t="s">
        <v>21</v>
      </c>
      <c r="M219" s="916" t="s">
        <v>21</v>
      </c>
      <c r="N219" s="916" t="s">
        <v>21</v>
      </c>
      <c r="O219" s="916" t="s">
        <v>21</v>
      </c>
      <c r="P219" s="915"/>
      <c r="Q219" s="916" t="s">
        <v>21</v>
      </c>
      <c r="R219" s="917" t="s">
        <v>21</v>
      </c>
      <c r="S219" s="918" t="s">
        <v>21</v>
      </c>
      <c r="T219" s="918" t="s">
        <v>21</v>
      </c>
      <c r="U219" s="916" t="s">
        <v>21</v>
      </c>
      <c r="V219" s="916" t="s">
        <v>21</v>
      </c>
      <c r="W219" s="915"/>
      <c r="X219" s="916" t="s">
        <v>21</v>
      </c>
      <c r="Y219" s="916" t="s">
        <v>21</v>
      </c>
      <c r="Z219" s="916" t="s">
        <v>21</v>
      </c>
      <c r="AA219" s="916" t="s">
        <v>21</v>
      </c>
      <c r="AB219" s="916" t="s">
        <v>21</v>
      </c>
      <c r="AC219" s="915"/>
      <c r="AD219" s="919" t="s">
        <v>21</v>
      </c>
      <c r="AE219" s="920" t="s">
        <v>21</v>
      </c>
      <c r="AF219" s="920" t="s">
        <v>21</v>
      </c>
      <c r="AG219" s="920" t="s">
        <v>21</v>
      </c>
      <c r="AH219" s="921" t="s">
        <v>21</v>
      </c>
      <c r="AI219" s="921" t="s">
        <v>21</v>
      </c>
      <c r="AJ219" s="920" t="s">
        <v>21</v>
      </c>
      <c r="AK219" s="920" t="s">
        <v>21</v>
      </c>
      <c r="AL219" s="921" t="s">
        <v>21</v>
      </c>
      <c r="AM219" s="921" t="s">
        <v>21</v>
      </c>
      <c r="AN219" s="920"/>
      <c r="AO219" s="920" t="s">
        <v>21</v>
      </c>
      <c r="AP219" s="919" t="s">
        <v>21</v>
      </c>
      <c r="AQ219" s="933" t="s">
        <v>21</v>
      </c>
      <c r="AR219" s="925" t="s">
        <v>21</v>
      </c>
      <c r="AS219" s="925" t="s">
        <v>21</v>
      </c>
      <c r="AT219" s="925" t="s">
        <v>21</v>
      </c>
      <c r="AU219" s="925" t="s">
        <v>21</v>
      </c>
      <c r="AV219" s="926" t="s">
        <v>21</v>
      </c>
      <c r="AW219" s="926" t="s">
        <v>21</v>
      </c>
      <c r="AX219" s="926" t="s">
        <v>21</v>
      </c>
      <c r="AY219" s="926" t="s">
        <v>21</v>
      </c>
      <c r="AZ219" s="925" t="s">
        <v>21</v>
      </c>
      <c r="BA219" s="925"/>
      <c r="BB219" s="919" t="s">
        <v>21</v>
      </c>
      <c r="BC219" s="919" t="s">
        <v>21</v>
      </c>
      <c r="BD219" s="919" t="s">
        <v>21</v>
      </c>
      <c r="BE219" s="925" t="s">
        <v>21</v>
      </c>
      <c r="BF219" s="926" t="s">
        <v>21</v>
      </c>
      <c r="BG219" s="925" t="s">
        <v>21</v>
      </c>
      <c r="BH219" s="926" t="s">
        <v>21</v>
      </c>
      <c r="BI219" s="925" t="s">
        <v>21</v>
      </c>
      <c r="BJ219" s="926" t="s">
        <v>21</v>
      </c>
      <c r="BK219" s="925" t="s">
        <v>21</v>
      </c>
      <c r="BL219" s="926" t="s">
        <v>21</v>
      </c>
      <c r="BM219" s="925" t="s">
        <v>21</v>
      </c>
      <c r="BN219" s="927"/>
      <c r="BO219" s="927"/>
      <c r="BP219" s="928" t="s">
        <v>21</v>
      </c>
      <c r="BQ219" s="928" t="s">
        <v>21</v>
      </c>
      <c r="BR219" s="928" t="s">
        <v>21</v>
      </c>
      <c r="BS219" s="928" t="s">
        <v>21</v>
      </c>
      <c r="BT219" s="928" t="s">
        <v>21</v>
      </c>
      <c r="BU219" s="928" t="s">
        <v>21</v>
      </c>
      <c r="BV219" s="934" t="s">
        <v>21</v>
      </c>
      <c r="BW219" s="934" t="s">
        <v>21</v>
      </c>
      <c r="BX219" s="1104" t="s">
        <v>21</v>
      </c>
      <c r="BY219" s="931" t="s">
        <v>21</v>
      </c>
      <c r="BZ219" s="930" t="s">
        <v>21</v>
      </c>
      <c r="CA219" s="1074" t="s">
        <v>21</v>
      </c>
      <c r="CB219" s="930" t="s">
        <v>21</v>
      </c>
      <c r="CC219" s="930" t="s">
        <v>21</v>
      </c>
      <c r="CD219" s="925" t="s">
        <v>21</v>
      </c>
      <c r="CE219" s="1130" t="s">
        <v>21</v>
      </c>
      <c r="CF219" s="1129" t="s">
        <v>21</v>
      </c>
      <c r="CG219" s="1130" t="s">
        <v>21</v>
      </c>
      <c r="CH219" s="1130" t="s">
        <v>21</v>
      </c>
      <c r="CI219" s="1131" t="s">
        <v>21</v>
      </c>
      <c r="CJ219" s="1129" t="s">
        <v>21</v>
      </c>
      <c r="CK219" s="1130" t="s">
        <v>21</v>
      </c>
      <c r="CL219" s="1130" t="s">
        <v>21</v>
      </c>
      <c r="CM219" s="1131" t="s">
        <v>21</v>
      </c>
      <c r="CN219" s="1130" t="s">
        <v>21</v>
      </c>
      <c r="CP219" s="838" t="s">
        <v>21</v>
      </c>
      <c r="CQ219" s="838" t="s">
        <v>21</v>
      </c>
      <c r="CR219" s="836"/>
    </row>
    <row r="220" spans="1:96" x14ac:dyDescent="0.25">
      <c r="A220" s="935" t="s">
        <v>2522</v>
      </c>
      <c r="B220" s="932" t="s">
        <v>2429</v>
      </c>
      <c r="C220" s="911">
        <v>600</v>
      </c>
      <c r="D220" s="911" t="s">
        <v>2116</v>
      </c>
      <c r="E220" s="912">
        <v>1188.53</v>
      </c>
      <c r="F220" s="912">
        <v>1186.6300000000001</v>
      </c>
      <c r="G220" s="932" t="s">
        <v>2430</v>
      </c>
      <c r="H220" s="912">
        <v>1188.2</v>
      </c>
      <c r="I220" s="912">
        <v>1186.3</v>
      </c>
      <c r="J220" s="914">
        <v>18.43</v>
      </c>
      <c r="K220" s="915"/>
      <c r="L220" s="916">
        <v>0.1</v>
      </c>
      <c r="M220" s="916">
        <v>0.06</v>
      </c>
      <c r="N220" s="916">
        <v>0.2</v>
      </c>
      <c r="O220" s="916">
        <v>4.84</v>
      </c>
      <c r="P220" s="915"/>
      <c r="Q220" s="916">
        <v>2.16</v>
      </c>
      <c r="R220" s="917">
        <v>0.33333333333333331</v>
      </c>
      <c r="S220" s="918">
        <v>1.4</v>
      </c>
      <c r="T220" s="918">
        <v>2.84</v>
      </c>
      <c r="U220" s="916">
        <v>4.5540000000000003</v>
      </c>
      <c r="V220" s="916">
        <v>0.92</v>
      </c>
      <c r="W220" s="915"/>
      <c r="X220" s="916">
        <v>0.28299999999999997</v>
      </c>
      <c r="Y220" s="916">
        <v>0.40699999999999997</v>
      </c>
      <c r="Z220" s="916">
        <v>4.5789999999999997</v>
      </c>
      <c r="AA220" s="916">
        <v>1.0229999999999999</v>
      </c>
      <c r="AB220" s="916">
        <v>3.0089999999999999</v>
      </c>
      <c r="AC220" s="915"/>
      <c r="AD220" s="919">
        <v>89.200999999999993</v>
      </c>
      <c r="AE220" s="920">
        <v>84.391000000000005</v>
      </c>
      <c r="AF220" s="920" t="s">
        <v>21</v>
      </c>
      <c r="AG220" s="920" t="s">
        <v>21</v>
      </c>
      <c r="AH220" s="921">
        <v>84.391000000000005</v>
      </c>
      <c r="AI220" s="921" t="s">
        <v>21</v>
      </c>
      <c r="AJ220" s="920" t="s">
        <v>21</v>
      </c>
      <c r="AK220" s="920" t="s">
        <v>21</v>
      </c>
      <c r="AL220" s="921" t="s">
        <v>21</v>
      </c>
      <c r="AM220" s="921" t="s">
        <v>21</v>
      </c>
      <c r="AN220" s="920"/>
      <c r="AO220" s="920" t="s">
        <v>21</v>
      </c>
      <c r="AP220" s="919">
        <v>25.802</v>
      </c>
      <c r="AQ220" s="933">
        <v>83.930220000000006</v>
      </c>
      <c r="AR220" s="925" t="s">
        <v>21</v>
      </c>
      <c r="AS220" s="925">
        <v>83.930220000000006</v>
      </c>
      <c r="AT220" s="925" t="s">
        <v>21</v>
      </c>
      <c r="AU220" s="925" t="s">
        <v>21</v>
      </c>
      <c r="AV220" s="926" t="s">
        <v>21</v>
      </c>
      <c r="AW220" s="926" t="s">
        <v>21</v>
      </c>
      <c r="AX220" s="926" t="s">
        <v>21</v>
      </c>
      <c r="AY220" s="926" t="s">
        <v>21</v>
      </c>
      <c r="AZ220" s="925" t="s">
        <v>21</v>
      </c>
      <c r="BA220" s="925"/>
      <c r="BB220" s="919">
        <v>2.58</v>
      </c>
      <c r="BC220" s="919" t="s">
        <v>21</v>
      </c>
      <c r="BD220" s="919" t="s">
        <v>2142</v>
      </c>
      <c r="BE220" s="925" t="s">
        <v>21</v>
      </c>
      <c r="BF220" s="926" t="s">
        <v>21</v>
      </c>
      <c r="BG220" s="925">
        <v>18.43</v>
      </c>
      <c r="BH220" s="926" t="s">
        <v>21</v>
      </c>
      <c r="BI220" s="925" t="s">
        <v>21</v>
      </c>
      <c r="BJ220" s="926" t="s">
        <v>21</v>
      </c>
      <c r="BK220" s="925" t="s">
        <v>21</v>
      </c>
      <c r="BL220" s="926" t="s">
        <v>21</v>
      </c>
      <c r="BM220" s="925" t="s">
        <v>21</v>
      </c>
      <c r="BN220" s="927"/>
      <c r="BO220" s="927"/>
      <c r="BP220" s="928">
        <v>1</v>
      </c>
      <c r="BQ220" s="928" t="s">
        <v>21</v>
      </c>
      <c r="BR220" s="928" t="s">
        <v>21</v>
      </c>
      <c r="BS220" s="928" t="s">
        <v>21</v>
      </c>
      <c r="BT220" s="928" t="s">
        <v>21</v>
      </c>
      <c r="BU220" s="928" t="s">
        <v>21</v>
      </c>
      <c r="BV220" s="934">
        <v>0.49999999999986366</v>
      </c>
      <c r="BW220" s="934">
        <v>0.5</v>
      </c>
      <c r="BX220" s="1104">
        <v>1</v>
      </c>
      <c r="BY220" s="931">
        <v>3</v>
      </c>
      <c r="BZ220" s="930" t="s">
        <v>21</v>
      </c>
      <c r="CA220" s="1074">
        <v>1</v>
      </c>
      <c r="CB220" s="930" t="s">
        <v>21</v>
      </c>
      <c r="CC220" s="930" t="s">
        <v>21</v>
      </c>
      <c r="CD220" s="925">
        <v>18.853999999999999</v>
      </c>
      <c r="CE220" s="1130">
        <v>55.456000000000003</v>
      </c>
      <c r="CF220" s="1129" t="s">
        <v>21</v>
      </c>
      <c r="CG220" s="1130" t="s">
        <v>21</v>
      </c>
      <c r="CH220" s="1130" t="s">
        <v>21</v>
      </c>
      <c r="CI220" s="1131" t="s">
        <v>21</v>
      </c>
      <c r="CJ220" s="1129" t="s">
        <v>21</v>
      </c>
      <c r="CK220" s="1130">
        <v>55.456000000000003</v>
      </c>
      <c r="CL220" s="1130" t="s">
        <v>21</v>
      </c>
      <c r="CM220" s="1131" t="s">
        <v>21</v>
      </c>
      <c r="CN220" s="1130" t="s">
        <v>21</v>
      </c>
      <c r="CP220" s="838" t="s">
        <v>21</v>
      </c>
      <c r="CQ220" s="838" t="s">
        <v>21</v>
      </c>
      <c r="CR220" s="836"/>
    </row>
    <row r="221" spans="1:96" x14ac:dyDescent="0.25">
      <c r="A221" s="935"/>
      <c r="B221" s="932" t="s">
        <v>2430</v>
      </c>
      <c r="C221" s="911">
        <v>600</v>
      </c>
      <c r="D221" s="911" t="s">
        <v>2116</v>
      </c>
      <c r="E221" s="912">
        <v>1188.2</v>
      </c>
      <c r="F221" s="912">
        <v>1186.25</v>
      </c>
      <c r="G221" s="932" t="s">
        <v>2431</v>
      </c>
      <c r="H221" s="912">
        <v>1187.76</v>
      </c>
      <c r="I221" s="912">
        <v>1185.8599999999999</v>
      </c>
      <c r="J221" s="914">
        <v>34.869999999999997</v>
      </c>
      <c r="K221" s="915"/>
      <c r="L221" s="916">
        <v>0.1</v>
      </c>
      <c r="M221" s="916">
        <v>0.06</v>
      </c>
      <c r="N221" s="916">
        <v>0.2</v>
      </c>
      <c r="O221" s="916">
        <v>4.8570000000000002</v>
      </c>
      <c r="P221" s="915"/>
      <c r="Q221" s="916">
        <v>2.1850000000000001</v>
      </c>
      <c r="R221" s="917">
        <v>0.33333333333333331</v>
      </c>
      <c r="S221" s="918">
        <v>1.4</v>
      </c>
      <c r="T221" s="918">
        <v>2.8570000000000002</v>
      </c>
      <c r="U221" s="916">
        <v>4.6059999999999999</v>
      </c>
      <c r="V221" s="916">
        <v>0.92</v>
      </c>
      <c r="W221" s="915"/>
      <c r="X221" s="916">
        <v>0.28299999999999997</v>
      </c>
      <c r="Y221" s="916">
        <v>0.40699999999999997</v>
      </c>
      <c r="Z221" s="916">
        <v>4.6509999999999998</v>
      </c>
      <c r="AA221" s="916">
        <v>1.0229999999999999</v>
      </c>
      <c r="AB221" s="916">
        <v>3.081</v>
      </c>
      <c r="AC221" s="915"/>
      <c r="AD221" s="919">
        <v>169.364</v>
      </c>
      <c r="AE221" s="920">
        <v>162.18</v>
      </c>
      <c r="AF221" s="920" t="s">
        <v>21</v>
      </c>
      <c r="AG221" s="920" t="s">
        <v>21</v>
      </c>
      <c r="AH221" s="921">
        <v>162.18</v>
      </c>
      <c r="AI221" s="921" t="s">
        <v>21</v>
      </c>
      <c r="AJ221" s="920" t="s">
        <v>21</v>
      </c>
      <c r="AK221" s="920" t="s">
        <v>21</v>
      </c>
      <c r="AL221" s="921" t="s">
        <v>21</v>
      </c>
      <c r="AM221" s="921" t="s">
        <v>21</v>
      </c>
      <c r="AN221" s="920"/>
      <c r="AO221" s="920" t="s">
        <v>21</v>
      </c>
      <c r="AP221" s="919">
        <v>48.817999999999998</v>
      </c>
      <c r="AQ221" s="933">
        <v>160.61121999999997</v>
      </c>
      <c r="AR221" s="925" t="s">
        <v>21</v>
      </c>
      <c r="AS221" s="925">
        <v>160.61121999999997</v>
      </c>
      <c r="AT221" s="925" t="s">
        <v>21</v>
      </c>
      <c r="AU221" s="925" t="s">
        <v>21</v>
      </c>
      <c r="AV221" s="926" t="s">
        <v>21</v>
      </c>
      <c r="AW221" s="926" t="s">
        <v>21</v>
      </c>
      <c r="AX221" s="926" t="s">
        <v>21</v>
      </c>
      <c r="AY221" s="926" t="s">
        <v>21</v>
      </c>
      <c r="AZ221" s="925" t="s">
        <v>21</v>
      </c>
      <c r="BA221" s="925"/>
      <c r="BB221" s="919">
        <v>4.8819999999999997</v>
      </c>
      <c r="BC221" s="919" t="s">
        <v>21</v>
      </c>
      <c r="BD221" s="919" t="s">
        <v>2142</v>
      </c>
      <c r="BE221" s="925" t="s">
        <v>21</v>
      </c>
      <c r="BF221" s="926" t="s">
        <v>21</v>
      </c>
      <c r="BG221" s="925">
        <v>34.869999999999997</v>
      </c>
      <c r="BH221" s="926" t="s">
        <v>21</v>
      </c>
      <c r="BI221" s="925" t="s">
        <v>21</v>
      </c>
      <c r="BJ221" s="926" t="s">
        <v>21</v>
      </c>
      <c r="BK221" s="925" t="s">
        <v>21</v>
      </c>
      <c r="BL221" s="926" t="s">
        <v>21</v>
      </c>
      <c r="BM221" s="925" t="s">
        <v>21</v>
      </c>
      <c r="BN221" s="927"/>
      <c r="BO221" s="927"/>
      <c r="BP221" s="928">
        <v>1</v>
      </c>
      <c r="BQ221" s="928" t="s">
        <v>21</v>
      </c>
      <c r="BR221" s="928" t="s">
        <v>21</v>
      </c>
      <c r="BS221" s="928" t="s">
        <v>21</v>
      </c>
      <c r="BT221" s="928" t="s">
        <v>21</v>
      </c>
      <c r="BU221" s="928" t="s">
        <v>21</v>
      </c>
      <c r="BV221" s="934">
        <v>0.55000000000004556</v>
      </c>
      <c r="BW221" s="934">
        <v>1</v>
      </c>
      <c r="BX221" s="1104">
        <v>2</v>
      </c>
      <c r="BY221" s="931">
        <v>4</v>
      </c>
      <c r="BZ221" s="930">
        <v>1</v>
      </c>
      <c r="CA221" s="1074" t="s">
        <v>21</v>
      </c>
      <c r="CB221" s="930" t="s">
        <v>21</v>
      </c>
      <c r="CC221" s="930" t="s">
        <v>21</v>
      </c>
      <c r="CD221" s="925">
        <v>35.671999999999997</v>
      </c>
      <c r="CE221" s="1130">
        <v>107.434</v>
      </c>
      <c r="CF221" s="1129" t="s">
        <v>21</v>
      </c>
      <c r="CG221" s="1130" t="s">
        <v>21</v>
      </c>
      <c r="CH221" s="1130" t="s">
        <v>21</v>
      </c>
      <c r="CI221" s="1131" t="s">
        <v>21</v>
      </c>
      <c r="CJ221" s="1129" t="s">
        <v>21</v>
      </c>
      <c r="CK221" s="1130">
        <v>107.434</v>
      </c>
      <c r="CL221" s="1130" t="s">
        <v>21</v>
      </c>
      <c r="CM221" s="1131" t="s">
        <v>21</v>
      </c>
      <c r="CN221" s="1130" t="s">
        <v>21</v>
      </c>
      <c r="CP221" s="838" t="s">
        <v>21</v>
      </c>
      <c r="CQ221" s="838" t="s">
        <v>21</v>
      </c>
      <c r="CR221" s="836"/>
    </row>
    <row r="222" spans="1:96" x14ac:dyDescent="0.25">
      <c r="A222" s="935"/>
      <c r="B222" s="932" t="s">
        <v>2431</v>
      </c>
      <c r="C222" s="911">
        <v>600</v>
      </c>
      <c r="D222" s="911" t="s">
        <v>2116</v>
      </c>
      <c r="E222" s="912">
        <v>1187.76</v>
      </c>
      <c r="F222" s="912">
        <v>1185.8599999999999</v>
      </c>
      <c r="G222" s="932" t="s">
        <v>2432</v>
      </c>
      <c r="H222" s="912">
        <v>1187</v>
      </c>
      <c r="I222" s="912">
        <v>1185.0999999999999</v>
      </c>
      <c r="J222" s="914">
        <v>47.63</v>
      </c>
      <c r="K222" s="915"/>
      <c r="L222" s="916">
        <v>0.1</v>
      </c>
      <c r="M222" s="916">
        <v>0.06</v>
      </c>
      <c r="N222" s="916">
        <v>0.2</v>
      </c>
      <c r="O222" s="916">
        <v>4.84</v>
      </c>
      <c r="P222" s="915"/>
      <c r="Q222" s="916">
        <v>2.16</v>
      </c>
      <c r="R222" s="917">
        <v>0.33333333333333331</v>
      </c>
      <c r="S222" s="918">
        <v>1.4</v>
      </c>
      <c r="T222" s="918">
        <v>2.84</v>
      </c>
      <c r="U222" s="916">
        <v>4.5540000000000003</v>
      </c>
      <c r="V222" s="916">
        <v>0.92</v>
      </c>
      <c r="W222" s="915"/>
      <c r="X222" s="916">
        <v>0.28299999999999997</v>
      </c>
      <c r="Y222" s="916">
        <v>0.40699999999999997</v>
      </c>
      <c r="Z222" s="916">
        <v>4.5789999999999997</v>
      </c>
      <c r="AA222" s="916">
        <v>1.0229999999999999</v>
      </c>
      <c r="AB222" s="916">
        <v>3.0089999999999999</v>
      </c>
      <c r="AC222" s="915"/>
      <c r="AD222" s="919">
        <v>230.529</v>
      </c>
      <c r="AE222" s="920">
        <v>218.09800000000001</v>
      </c>
      <c r="AF222" s="920" t="s">
        <v>21</v>
      </c>
      <c r="AG222" s="920" t="s">
        <v>21</v>
      </c>
      <c r="AH222" s="921">
        <v>218.09800000000001</v>
      </c>
      <c r="AI222" s="921" t="s">
        <v>21</v>
      </c>
      <c r="AJ222" s="920" t="s">
        <v>21</v>
      </c>
      <c r="AK222" s="920" t="s">
        <v>21</v>
      </c>
      <c r="AL222" s="921" t="s">
        <v>21</v>
      </c>
      <c r="AM222" s="921" t="s">
        <v>21</v>
      </c>
      <c r="AN222" s="920"/>
      <c r="AO222" s="920" t="s">
        <v>21</v>
      </c>
      <c r="AP222" s="919">
        <v>66.682000000000002</v>
      </c>
      <c r="AQ222" s="933">
        <v>216.90702000000002</v>
      </c>
      <c r="AR222" s="925" t="s">
        <v>21</v>
      </c>
      <c r="AS222" s="925">
        <v>216.90702000000002</v>
      </c>
      <c r="AT222" s="925" t="s">
        <v>21</v>
      </c>
      <c r="AU222" s="925" t="s">
        <v>21</v>
      </c>
      <c r="AV222" s="926" t="s">
        <v>21</v>
      </c>
      <c r="AW222" s="926" t="s">
        <v>21</v>
      </c>
      <c r="AX222" s="926" t="s">
        <v>21</v>
      </c>
      <c r="AY222" s="926" t="s">
        <v>21</v>
      </c>
      <c r="AZ222" s="925" t="s">
        <v>21</v>
      </c>
      <c r="BA222" s="925"/>
      <c r="BB222" s="919">
        <v>6.6680000000000001</v>
      </c>
      <c r="BC222" s="919" t="s">
        <v>21</v>
      </c>
      <c r="BD222" s="919" t="s">
        <v>2142</v>
      </c>
      <c r="BE222" s="925" t="s">
        <v>21</v>
      </c>
      <c r="BF222" s="926" t="s">
        <v>21</v>
      </c>
      <c r="BG222" s="925">
        <v>47.63</v>
      </c>
      <c r="BH222" s="926" t="s">
        <v>21</v>
      </c>
      <c r="BI222" s="925" t="s">
        <v>21</v>
      </c>
      <c r="BJ222" s="926" t="s">
        <v>21</v>
      </c>
      <c r="BK222" s="925" t="s">
        <v>21</v>
      </c>
      <c r="BL222" s="926" t="s">
        <v>21</v>
      </c>
      <c r="BM222" s="925" t="s">
        <v>21</v>
      </c>
      <c r="BN222" s="927"/>
      <c r="BO222" s="927"/>
      <c r="BP222" s="928">
        <v>1</v>
      </c>
      <c r="BQ222" s="928" t="s">
        <v>21</v>
      </c>
      <c r="BR222" s="928" t="s">
        <v>21</v>
      </c>
      <c r="BS222" s="928" t="s">
        <v>21</v>
      </c>
      <c r="BT222" s="928" t="s">
        <v>21</v>
      </c>
      <c r="BU222" s="928" t="s">
        <v>21</v>
      </c>
      <c r="BV222" s="934">
        <v>0.50000000000009104</v>
      </c>
      <c r="BW222" s="934">
        <v>1</v>
      </c>
      <c r="BX222" s="1104">
        <v>2</v>
      </c>
      <c r="BY222" s="931">
        <v>4</v>
      </c>
      <c r="BZ222" s="930">
        <v>1</v>
      </c>
      <c r="CA222" s="1074">
        <v>1</v>
      </c>
      <c r="CB222" s="930" t="s">
        <v>21</v>
      </c>
      <c r="CC222" s="930" t="s">
        <v>21</v>
      </c>
      <c r="CD222" s="925">
        <v>48.725000000000001</v>
      </c>
      <c r="CE222" s="1130">
        <v>143.31899999999999</v>
      </c>
      <c r="CF222" s="1129" t="s">
        <v>21</v>
      </c>
      <c r="CG222" s="1130" t="s">
        <v>21</v>
      </c>
      <c r="CH222" s="1130" t="s">
        <v>21</v>
      </c>
      <c r="CI222" s="1131" t="s">
        <v>21</v>
      </c>
      <c r="CJ222" s="1129" t="s">
        <v>21</v>
      </c>
      <c r="CK222" s="1130">
        <v>143.31899999999999</v>
      </c>
      <c r="CL222" s="1130" t="s">
        <v>21</v>
      </c>
      <c r="CM222" s="1131" t="s">
        <v>21</v>
      </c>
      <c r="CN222" s="1130" t="s">
        <v>21</v>
      </c>
      <c r="CP222" s="838" t="s">
        <v>21</v>
      </c>
      <c r="CQ222" s="838" t="s">
        <v>21</v>
      </c>
      <c r="CR222" s="836"/>
    </row>
    <row r="223" spans="1:96" x14ac:dyDescent="0.25">
      <c r="A223" s="935"/>
      <c r="B223" s="932" t="s">
        <v>2432</v>
      </c>
      <c r="C223" s="911">
        <v>600</v>
      </c>
      <c r="D223" s="911" t="s">
        <v>2116</v>
      </c>
      <c r="E223" s="912">
        <v>1187</v>
      </c>
      <c r="F223" s="912">
        <v>1184.9000000000001</v>
      </c>
      <c r="G223" s="932" t="s">
        <v>2433</v>
      </c>
      <c r="H223" s="912">
        <v>1186.8399999999999</v>
      </c>
      <c r="I223" s="912">
        <v>1184.6400000000001</v>
      </c>
      <c r="J223" s="914">
        <v>19.86</v>
      </c>
      <c r="K223" s="915"/>
      <c r="L223" s="916">
        <v>0.1</v>
      </c>
      <c r="M223" s="916">
        <v>0.06</v>
      </c>
      <c r="N223" s="916">
        <v>0.2</v>
      </c>
      <c r="O223" s="916">
        <v>5.0069999999999997</v>
      </c>
      <c r="P223" s="915"/>
      <c r="Q223" s="916">
        <v>2.41</v>
      </c>
      <c r="R223" s="917">
        <v>0.33333333333333331</v>
      </c>
      <c r="S223" s="918">
        <v>1.4</v>
      </c>
      <c r="T223" s="918">
        <v>3.0070000000000001</v>
      </c>
      <c r="U223" s="916">
        <v>5.0810000000000004</v>
      </c>
      <c r="V223" s="916">
        <v>0.92</v>
      </c>
      <c r="W223" s="915"/>
      <c r="X223" s="916">
        <v>0.28299999999999997</v>
      </c>
      <c r="Y223" s="916">
        <v>0.40699999999999997</v>
      </c>
      <c r="Z223" s="916">
        <v>5.31</v>
      </c>
      <c r="AA223" s="916">
        <v>1.0229999999999999</v>
      </c>
      <c r="AB223" s="916">
        <v>3.74</v>
      </c>
      <c r="AC223" s="915"/>
      <c r="AD223" s="919">
        <v>99.438999999999993</v>
      </c>
      <c r="AE223" s="920">
        <v>105.45699999999999</v>
      </c>
      <c r="AF223" s="920" t="s">
        <v>21</v>
      </c>
      <c r="AG223" s="920" t="s">
        <v>21</v>
      </c>
      <c r="AH223" s="921">
        <v>105.45699999999999</v>
      </c>
      <c r="AI223" s="921" t="s">
        <v>21</v>
      </c>
      <c r="AJ223" s="920" t="s">
        <v>21</v>
      </c>
      <c r="AK223" s="920" t="s">
        <v>21</v>
      </c>
      <c r="AL223" s="921" t="s">
        <v>21</v>
      </c>
      <c r="AM223" s="921" t="s">
        <v>21</v>
      </c>
      <c r="AN223" s="920"/>
      <c r="AO223" s="920" t="s">
        <v>21</v>
      </c>
      <c r="AP223" s="919">
        <v>27.803999999999998</v>
      </c>
      <c r="AQ223" s="933">
        <v>100.90866000000001</v>
      </c>
      <c r="AR223" s="925" t="s">
        <v>21</v>
      </c>
      <c r="AS223" s="925">
        <v>100.90866000000001</v>
      </c>
      <c r="AT223" s="925" t="s">
        <v>21</v>
      </c>
      <c r="AU223" s="925" t="s">
        <v>21</v>
      </c>
      <c r="AV223" s="926" t="s">
        <v>21</v>
      </c>
      <c r="AW223" s="926" t="s">
        <v>21</v>
      </c>
      <c r="AX223" s="926" t="s">
        <v>21</v>
      </c>
      <c r="AY223" s="926" t="s">
        <v>21</v>
      </c>
      <c r="AZ223" s="925" t="s">
        <v>21</v>
      </c>
      <c r="BA223" s="925"/>
      <c r="BB223" s="919">
        <v>2.78</v>
      </c>
      <c r="BC223" s="919" t="s">
        <v>21</v>
      </c>
      <c r="BD223" s="919" t="s">
        <v>2142</v>
      </c>
      <c r="BE223" s="925" t="s">
        <v>21</v>
      </c>
      <c r="BF223" s="926" t="s">
        <v>21</v>
      </c>
      <c r="BG223" s="925">
        <v>19.86</v>
      </c>
      <c r="BH223" s="926" t="s">
        <v>21</v>
      </c>
      <c r="BI223" s="925" t="s">
        <v>21</v>
      </c>
      <c r="BJ223" s="926" t="s">
        <v>21</v>
      </c>
      <c r="BK223" s="925" t="s">
        <v>21</v>
      </c>
      <c r="BL223" s="926" t="s">
        <v>21</v>
      </c>
      <c r="BM223" s="925" t="s">
        <v>21</v>
      </c>
      <c r="BN223" s="927"/>
      <c r="BO223" s="927"/>
      <c r="BP223" s="928">
        <v>1</v>
      </c>
      <c r="BQ223" s="928" t="s">
        <v>21</v>
      </c>
      <c r="BR223" s="928" t="s">
        <v>21</v>
      </c>
      <c r="BS223" s="928" t="s">
        <v>21</v>
      </c>
      <c r="BT223" s="928" t="s">
        <v>21</v>
      </c>
      <c r="BU223" s="928" t="s">
        <v>21</v>
      </c>
      <c r="BV223" s="934">
        <v>0.69999999999990914</v>
      </c>
      <c r="BW223" s="934">
        <v>1</v>
      </c>
      <c r="BX223" s="1104">
        <v>2</v>
      </c>
      <c r="BY223" s="931">
        <v>4</v>
      </c>
      <c r="BZ223" s="930">
        <v>1</v>
      </c>
      <c r="CA223" s="1074" t="s">
        <v>21</v>
      </c>
      <c r="CB223" s="930" t="s">
        <v>21</v>
      </c>
      <c r="CC223" s="930" t="s">
        <v>21</v>
      </c>
      <c r="CD223" s="925">
        <v>20.317</v>
      </c>
      <c r="CE223" s="1130">
        <v>74.275999999999996</v>
      </c>
      <c r="CF223" s="1129" t="s">
        <v>21</v>
      </c>
      <c r="CG223" s="1130" t="s">
        <v>21</v>
      </c>
      <c r="CH223" s="1130" t="s">
        <v>21</v>
      </c>
      <c r="CI223" s="1131" t="s">
        <v>21</v>
      </c>
      <c r="CJ223" s="1129" t="s">
        <v>21</v>
      </c>
      <c r="CK223" s="1130">
        <v>74.275999999999996</v>
      </c>
      <c r="CL223" s="1130" t="s">
        <v>21</v>
      </c>
      <c r="CM223" s="1131" t="s">
        <v>21</v>
      </c>
      <c r="CN223" s="1130" t="s">
        <v>21</v>
      </c>
      <c r="CP223" s="838" t="s">
        <v>21</v>
      </c>
      <c r="CQ223" s="838" t="s">
        <v>21</v>
      </c>
      <c r="CR223" s="836"/>
    </row>
    <row r="224" spans="1:96" x14ac:dyDescent="0.25">
      <c r="A224" s="935"/>
      <c r="B224" s="932" t="s">
        <v>2433</v>
      </c>
      <c r="C224" s="911">
        <v>600</v>
      </c>
      <c r="D224" s="911" t="s">
        <v>2116</v>
      </c>
      <c r="E224" s="912">
        <v>1186.8399999999999</v>
      </c>
      <c r="F224" s="912">
        <v>1184.6400000000001</v>
      </c>
      <c r="G224" s="932" t="s">
        <v>2434</v>
      </c>
      <c r="H224" s="912">
        <v>1185.97</v>
      </c>
      <c r="I224" s="912">
        <v>1184.07</v>
      </c>
      <c r="J224" s="914">
        <v>32.9</v>
      </c>
      <c r="K224" s="915"/>
      <c r="L224" s="916">
        <v>0.1</v>
      </c>
      <c r="M224" s="916">
        <v>0.06</v>
      </c>
      <c r="N224" s="916">
        <v>0.2</v>
      </c>
      <c r="O224" s="916">
        <v>4.9399999999999995</v>
      </c>
      <c r="P224" s="915"/>
      <c r="Q224" s="916">
        <v>2.31</v>
      </c>
      <c r="R224" s="917">
        <v>0.33333333333333331</v>
      </c>
      <c r="S224" s="918">
        <v>1.4</v>
      </c>
      <c r="T224" s="918">
        <v>2.94</v>
      </c>
      <c r="U224" s="916">
        <v>4.87</v>
      </c>
      <c r="V224" s="916">
        <v>0.92</v>
      </c>
      <c r="W224" s="915"/>
      <c r="X224" s="916">
        <v>0.28299999999999997</v>
      </c>
      <c r="Y224" s="916">
        <v>0.40699999999999997</v>
      </c>
      <c r="Z224" s="916">
        <v>5.0129999999999999</v>
      </c>
      <c r="AA224" s="916">
        <v>1.0229999999999999</v>
      </c>
      <c r="AB224" s="916">
        <v>3.4430000000000001</v>
      </c>
      <c r="AC224" s="915"/>
      <c r="AD224" s="919">
        <v>162.52600000000001</v>
      </c>
      <c r="AE224" s="920">
        <v>164.928</v>
      </c>
      <c r="AF224" s="920" t="s">
        <v>21</v>
      </c>
      <c r="AG224" s="920" t="s">
        <v>21</v>
      </c>
      <c r="AH224" s="921">
        <v>164.928</v>
      </c>
      <c r="AI224" s="921" t="s">
        <v>21</v>
      </c>
      <c r="AJ224" s="920" t="s">
        <v>21</v>
      </c>
      <c r="AK224" s="920" t="s">
        <v>21</v>
      </c>
      <c r="AL224" s="921" t="s">
        <v>21</v>
      </c>
      <c r="AM224" s="921" t="s">
        <v>21</v>
      </c>
      <c r="AN224" s="920"/>
      <c r="AO224" s="920" t="s">
        <v>21</v>
      </c>
      <c r="AP224" s="919">
        <v>46.06</v>
      </c>
      <c r="AQ224" s="933">
        <v>160.22299999999998</v>
      </c>
      <c r="AR224" s="925" t="s">
        <v>21</v>
      </c>
      <c r="AS224" s="925">
        <v>160.22299999999998</v>
      </c>
      <c r="AT224" s="925" t="s">
        <v>21</v>
      </c>
      <c r="AU224" s="925" t="s">
        <v>21</v>
      </c>
      <c r="AV224" s="926" t="s">
        <v>21</v>
      </c>
      <c r="AW224" s="926" t="s">
        <v>21</v>
      </c>
      <c r="AX224" s="926" t="s">
        <v>21</v>
      </c>
      <c r="AY224" s="926" t="s">
        <v>21</v>
      </c>
      <c r="AZ224" s="925" t="s">
        <v>21</v>
      </c>
      <c r="BA224" s="925"/>
      <c r="BB224" s="919">
        <v>4.6059999999999999</v>
      </c>
      <c r="BC224" s="919" t="s">
        <v>21</v>
      </c>
      <c r="BD224" s="919" t="s">
        <v>2142</v>
      </c>
      <c r="BE224" s="925" t="s">
        <v>21</v>
      </c>
      <c r="BF224" s="926" t="s">
        <v>21</v>
      </c>
      <c r="BG224" s="925">
        <v>32.9</v>
      </c>
      <c r="BH224" s="926" t="s">
        <v>21</v>
      </c>
      <c r="BI224" s="925" t="s">
        <v>21</v>
      </c>
      <c r="BJ224" s="926" t="s">
        <v>21</v>
      </c>
      <c r="BK224" s="925" t="s">
        <v>21</v>
      </c>
      <c r="BL224" s="926" t="s">
        <v>21</v>
      </c>
      <c r="BM224" s="925" t="s">
        <v>21</v>
      </c>
      <c r="BN224" s="927"/>
      <c r="BO224" s="927"/>
      <c r="BP224" s="928">
        <v>1</v>
      </c>
      <c r="BQ224" s="928" t="s">
        <v>21</v>
      </c>
      <c r="BR224" s="928" t="s">
        <v>21</v>
      </c>
      <c r="BS224" s="928" t="s">
        <v>21</v>
      </c>
      <c r="BT224" s="928" t="s">
        <v>21</v>
      </c>
      <c r="BU224" s="928" t="s">
        <v>21</v>
      </c>
      <c r="BV224" s="934">
        <v>0.79999999999981819</v>
      </c>
      <c r="BW224" s="934">
        <v>1</v>
      </c>
      <c r="BX224" s="1104">
        <v>2</v>
      </c>
      <c r="BY224" s="931">
        <v>4</v>
      </c>
      <c r="BZ224" s="930">
        <v>1</v>
      </c>
      <c r="CA224" s="1074" t="s">
        <v>21</v>
      </c>
      <c r="CB224" s="930" t="s">
        <v>21</v>
      </c>
      <c r="CC224" s="930" t="s">
        <v>21</v>
      </c>
      <c r="CD224" s="925">
        <v>33.656999999999996</v>
      </c>
      <c r="CE224" s="1130">
        <v>113.27500000000001</v>
      </c>
      <c r="CF224" s="1129" t="s">
        <v>21</v>
      </c>
      <c r="CG224" s="1130" t="s">
        <v>21</v>
      </c>
      <c r="CH224" s="1130" t="s">
        <v>21</v>
      </c>
      <c r="CI224" s="1131" t="s">
        <v>21</v>
      </c>
      <c r="CJ224" s="1129" t="s">
        <v>21</v>
      </c>
      <c r="CK224" s="1130">
        <v>113.27500000000001</v>
      </c>
      <c r="CL224" s="1130" t="s">
        <v>21</v>
      </c>
      <c r="CM224" s="1131" t="s">
        <v>21</v>
      </c>
      <c r="CN224" s="1130" t="s">
        <v>21</v>
      </c>
      <c r="CP224" s="838" t="s">
        <v>21</v>
      </c>
      <c r="CQ224" s="838" t="s">
        <v>21</v>
      </c>
      <c r="CR224" s="836"/>
    </row>
    <row r="225" spans="1:96" x14ac:dyDescent="0.25">
      <c r="A225" s="935"/>
      <c r="B225" s="932" t="s">
        <v>2434</v>
      </c>
      <c r="C225" s="911">
        <v>600</v>
      </c>
      <c r="D225" s="911" t="s">
        <v>2116</v>
      </c>
      <c r="E225" s="912">
        <v>1185.97</v>
      </c>
      <c r="F225" s="912">
        <v>1184.07</v>
      </c>
      <c r="G225" s="932" t="s">
        <v>2435</v>
      </c>
      <c r="H225" s="912">
        <v>1185</v>
      </c>
      <c r="I225" s="912">
        <v>1183.0999999999999</v>
      </c>
      <c r="J225" s="914">
        <v>32.9</v>
      </c>
      <c r="K225" s="915"/>
      <c r="L225" s="916">
        <v>0.1</v>
      </c>
      <c r="M225" s="916">
        <v>0.06</v>
      </c>
      <c r="N225" s="916">
        <v>0.2</v>
      </c>
      <c r="O225" s="916">
        <v>4.84</v>
      </c>
      <c r="P225" s="915"/>
      <c r="Q225" s="916">
        <v>2.16</v>
      </c>
      <c r="R225" s="917">
        <v>0.33333333333333331</v>
      </c>
      <c r="S225" s="918">
        <v>1.4</v>
      </c>
      <c r="T225" s="918">
        <v>2.84</v>
      </c>
      <c r="U225" s="916">
        <v>4.5540000000000003</v>
      </c>
      <c r="V225" s="916">
        <v>0.92</v>
      </c>
      <c r="W225" s="915"/>
      <c r="X225" s="916">
        <v>0.28299999999999997</v>
      </c>
      <c r="Y225" s="916">
        <v>0.40699999999999997</v>
      </c>
      <c r="Z225" s="916">
        <v>4.5789999999999997</v>
      </c>
      <c r="AA225" s="916">
        <v>1.0229999999999999</v>
      </c>
      <c r="AB225" s="916">
        <v>3.0089999999999999</v>
      </c>
      <c r="AC225" s="915"/>
      <c r="AD225" s="919">
        <v>159.23599999999999</v>
      </c>
      <c r="AE225" s="920">
        <v>150.649</v>
      </c>
      <c r="AF225" s="920" t="s">
        <v>21</v>
      </c>
      <c r="AG225" s="920" t="s">
        <v>21</v>
      </c>
      <c r="AH225" s="921">
        <v>150.649</v>
      </c>
      <c r="AI225" s="921" t="s">
        <v>21</v>
      </c>
      <c r="AJ225" s="920" t="s">
        <v>21</v>
      </c>
      <c r="AK225" s="920" t="s">
        <v>21</v>
      </c>
      <c r="AL225" s="921" t="s">
        <v>21</v>
      </c>
      <c r="AM225" s="921" t="s">
        <v>21</v>
      </c>
      <c r="AN225" s="920"/>
      <c r="AO225" s="920" t="s">
        <v>21</v>
      </c>
      <c r="AP225" s="919">
        <v>46.06</v>
      </c>
      <c r="AQ225" s="933">
        <v>149.82660000000001</v>
      </c>
      <c r="AR225" s="925" t="s">
        <v>21</v>
      </c>
      <c r="AS225" s="925">
        <v>149.82660000000001</v>
      </c>
      <c r="AT225" s="925" t="s">
        <v>21</v>
      </c>
      <c r="AU225" s="925" t="s">
        <v>21</v>
      </c>
      <c r="AV225" s="926" t="s">
        <v>21</v>
      </c>
      <c r="AW225" s="926" t="s">
        <v>21</v>
      </c>
      <c r="AX225" s="926" t="s">
        <v>21</v>
      </c>
      <c r="AY225" s="926" t="s">
        <v>21</v>
      </c>
      <c r="AZ225" s="925" t="s">
        <v>21</v>
      </c>
      <c r="BA225" s="925"/>
      <c r="BB225" s="919">
        <v>4.6059999999999999</v>
      </c>
      <c r="BC225" s="919" t="s">
        <v>21</v>
      </c>
      <c r="BD225" s="919" t="s">
        <v>2142</v>
      </c>
      <c r="BE225" s="925" t="s">
        <v>21</v>
      </c>
      <c r="BF225" s="926" t="s">
        <v>21</v>
      </c>
      <c r="BG225" s="925">
        <v>32.9</v>
      </c>
      <c r="BH225" s="926" t="s">
        <v>21</v>
      </c>
      <c r="BI225" s="925" t="s">
        <v>21</v>
      </c>
      <c r="BJ225" s="926" t="s">
        <v>21</v>
      </c>
      <c r="BK225" s="925" t="s">
        <v>21</v>
      </c>
      <c r="BL225" s="926" t="s">
        <v>21</v>
      </c>
      <c r="BM225" s="925" t="s">
        <v>21</v>
      </c>
      <c r="BN225" s="927"/>
      <c r="BO225" s="927"/>
      <c r="BP225" s="928">
        <v>1</v>
      </c>
      <c r="BQ225" s="928" t="s">
        <v>21</v>
      </c>
      <c r="BR225" s="928" t="s">
        <v>21</v>
      </c>
      <c r="BS225" s="928" t="s">
        <v>21</v>
      </c>
      <c r="BT225" s="928" t="s">
        <v>21</v>
      </c>
      <c r="BU225" s="928" t="s">
        <v>21</v>
      </c>
      <c r="BV225" s="934">
        <v>0.50000000000009104</v>
      </c>
      <c r="BW225" s="934">
        <v>1</v>
      </c>
      <c r="BX225" s="1104">
        <v>2</v>
      </c>
      <c r="BY225" s="931">
        <v>4</v>
      </c>
      <c r="BZ225" s="930">
        <v>1</v>
      </c>
      <c r="CA225" s="1074" t="s">
        <v>21</v>
      </c>
      <c r="CB225" s="930" t="s">
        <v>21</v>
      </c>
      <c r="CC225" s="930" t="s">
        <v>21</v>
      </c>
      <c r="CD225" s="925">
        <v>33.656999999999996</v>
      </c>
      <c r="CE225" s="1130">
        <v>98.995999999999995</v>
      </c>
      <c r="CF225" s="1129" t="s">
        <v>21</v>
      </c>
      <c r="CG225" s="1130" t="s">
        <v>21</v>
      </c>
      <c r="CH225" s="1130" t="s">
        <v>21</v>
      </c>
      <c r="CI225" s="1131" t="s">
        <v>21</v>
      </c>
      <c r="CJ225" s="1129" t="s">
        <v>21</v>
      </c>
      <c r="CK225" s="1130">
        <v>98.995999999999995</v>
      </c>
      <c r="CL225" s="1130" t="s">
        <v>21</v>
      </c>
      <c r="CM225" s="1131" t="s">
        <v>21</v>
      </c>
      <c r="CN225" s="1130" t="s">
        <v>21</v>
      </c>
      <c r="CP225" s="838" t="s">
        <v>21</v>
      </c>
      <c r="CQ225" s="838" t="s">
        <v>21</v>
      </c>
      <c r="CR225" s="836"/>
    </row>
    <row r="226" spans="1:96" x14ac:dyDescent="0.25">
      <c r="A226" s="935"/>
      <c r="B226" s="932" t="s">
        <v>2435</v>
      </c>
      <c r="C226" s="911">
        <v>600</v>
      </c>
      <c r="D226" s="911" t="s">
        <v>2116</v>
      </c>
      <c r="E226" s="912">
        <v>1185</v>
      </c>
      <c r="F226" s="912">
        <v>1183.0999999999999</v>
      </c>
      <c r="G226" s="932" t="s">
        <v>2436</v>
      </c>
      <c r="H226" s="912">
        <v>1185</v>
      </c>
      <c r="I226" s="912">
        <v>1182.5150000000001</v>
      </c>
      <c r="J226" s="914">
        <v>16.95</v>
      </c>
      <c r="K226" s="915"/>
      <c r="L226" s="916">
        <v>0.1</v>
      </c>
      <c r="M226" s="916">
        <v>0.06</v>
      </c>
      <c r="N226" s="916">
        <v>0.2</v>
      </c>
      <c r="O226" s="916">
        <v>5.0350000000000001</v>
      </c>
      <c r="P226" s="915"/>
      <c r="Q226" s="916">
        <v>2.4529999999999998</v>
      </c>
      <c r="R226" s="917">
        <v>0.33333333333333331</v>
      </c>
      <c r="S226" s="918">
        <v>1.4</v>
      </c>
      <c r="T226" s="918">
        <v>3.0350000000000001</v>
      </c>
      <c r="U226" s="916">
        <v>5.1710000000000003</v>
      </c>
      <c r="V226" s="916">
        <v>0.92</v>
      </c>
      <c r="W226" s="915"/>
      <c r="X226" s="916">
        <v>0.28299999999999997</v>
      </c>
      <c r="Y226" s="916">
        <v>0.40699999999999997</v>
      </c>
      <c r="Z226" s="916">
        <v>5.44</v>
      </c>
      <c r="AA226" s="916">
        <v>1.0229999999999999</v>
      </c>
      <c r="AB226" s="916">
        <v>3.87</v>
      </c>
      <c r="AC226" s="915"/>
      <c r="AD226" s="919">
        <v>85.343000000000004</v>
      </c>
      <c r="AE226" s="920">
        <v>92.207999999999998</v>
      </c>
      <c r="AF226" s="920" t="s">
        <v>21</v>
      </c>
      <c r="AG226" s="920" t="s">
        <v>21</v>
      </c>
      <c r="AH226" s="921">
        <v>92.207999999999998</v>
      </c>
      <c r="AI226" s="921" t="s">
        <v>21</v>
      </c>
      <c r="AJ226" s="920" t="s">
        <v>21</v>
      </c>
      <c r="AK226" s="920" t="s">
        <v>21</v>
      </c>
      <c r="AL226" s="921" t="s">
        <v>21</v>
      </c>
      <c r="AM226" s="921" t="s">
        <v>21</v>
      </c>
      <c r="AN226" s="920"/>
      <c r="AO226" s="920" t="s">
        <v>21</v>
      </c>
      <c r="AP226" s="919">
        <v>23.73</v>
      </c>
      <c r="AQ226" s="933">
        <v>87.648449999999997</v>
      </c>
      <c r="AR226" s="925" t="s">
        <v>21</v>
      </c>
      <c r="AS226" s="925">
        <v>87.648449999999997</v>
      </c>
      <c r="AT226" s="925" t="s">
        <v>21</v>
      </c>
      <c r="AU226" s="925" t="s">
        <v>21</v>
      </c>
      <c r="AV226" s="926" t="s">
        <v>21</v>
      </c>
      <c r="AW226" s="926" t="s">
        <v>21</v>
      </c>
      <c r="AX226" s="926" t="s">
        <v>21</v>
      </c>
      <c r="AY226" s="926" t="s">
        <v>21</v>
      </c>
      <c r="AZ226" s="925" t="s">
        <v>21</v>
      </c>
      <c r="BA226" s="925"/>
      <c r="BB226" s="919">
        <v>2.3730000000000002</v>
      </c>
      <c r="BC226" s="919" t="s">
        <v>21</v>
      </c>
      <c r="BD226" s="919" t="s">
        <v>2142</v>
      </c>
      <c r="BE226" s="925" t="s">
        <v>21</v>
      </c>
      <c r="BF226" s="926" t="s">
        <v>21</v>
      </c>
      <c r="BG226" s="925">
        <v>16.95</v>
      </c>
      <c r="BH226" s="926" t="s">
        <v>21</v>
      </c>
      <c r="BI226" s="925" t="s">
        <v>21</v>
      </c>
      <c r="BJ226" s="926" t="s">
        <v>21</v>
      </c>
      <c r="BK226" s="925" t="s">
        <v>21</v>
      </c>
      <c r="BL226" s="926" t="s">
        <v>21</v>
      </c>
      <c r="BM226" s="925" t="s">
        <v>21</v>
      </c>
      <c r="BN226" s="927"/>
      <c r="BO226" s="927"/>
      <c r="BP226" s="928">
        <v>1</v>
      </c>
      <c r="BQ226" s="928" t="s">
        <v>21</v>
      </c>
      <c r="BR226" s="928" t="s">
        <v>21</v>
      </c>
      <c r="BS226" s="928" t="s">
        <v>21</v>
      </c>
      <c r="BT226" s="928" t="s">
        <v>21</v>
      </c>
      <c r="BU226" s="928" t="s">
        <v>21</v>
      </c>
      <c r="BV226" s="934">
        <v>0.50000000000009104</v>
      </c>
      <c r="BW226" s="934">
        <v>1</v>
      </c>
      <c r="BX226" s="1104">
        <v>2</v>
      </c>
      <c r="BY226" s="931">
        <v>4</v>
      </c>
      <c r="BZ226" s="930" t="s">
        <v>21</v>
      </c>
      <c r="CA226" s="1074">
        <v>1</v>
      </c>
      <c r="CB226" s="930" t="s">
        <v>21</v>
      </c>
      <c r="CC226" s="930" t="s">
        <v>21</v>
      </c>
      <c r="CD226" s="925">
        <v>17.34</v>
      </c>
      <c r="CE226" s="1130">
        <v>65.596999999999994</v>
      </c>
      <c r="CF226" s="1129" t="s">
        <v>21</v>
      </c>
      <c r="CG226" s="1130" t="s">
        <v>21</v>
      </c>
      <c r="CH226" s="1130" t="s">
        <v>21</v>
      </c>
      <c r="CI226" s="1131" t="s">
        <v>21</v>
      </c>
      <c r="CJ226" s="1129" t="s">
        <v>21</v>
      </c>
      <c r="CK226" s="1130">
        <v>65.596999999999994</v>
      </c>
      <c r="CL226" s="1130" t="s">
        <v>21</v>
      </c>
      <c r="CM226" s="1131" t="s">
        <v>21</v>
      </c>
      <c r="CN226" s="1130" t="s">
        <v>21</v>
      </c>
      <c r="CP226" s="838" t="s">
        <v>21</v>
      </c>
      <c r="CQ226" s="838" t="s">
        <v>21</v>
      </c>
      <c r="CR226" s="836"/>
    </row>
    <row r="227" spans="1:96" x14ac:dyDescent="0.25">
      <c r="A227" s="935"/>
      <c r="B227" s="932" t="s">
        <v>2436</v>
      </c>
      <c r="C227" s="911">
        <v>800</v>
      </c>
      <c r="D227" s="911" t="s">
        <v>2116</v>
      </c>
      <c r="E227" s="912">
        <v>1185</v>
      </c>
      <c r="F227" s="912">
        <v>1182.3150000000001</v>
      </c>
      <c r="G227" s="1487" t="s">
        <v>3461</v>
      </c>
      <c r="H227" s="1489">
        <v>1183.9490000000001</v>
      </c>
      <c r="I227" s="1489">
        <v>1181.941</v>
      </c>
      <c r="J227" s="1488">
        <v>47.38</v>
      </c>
      <c r="K227" s="915"/>
      <c r="L227" s="916">
        <v>0.15</v>
      </c>
      <c r="M227" s="916">
        <v>7.5999999999999998E-2</v>
      </c>
      <c r="N227" s="916">
        <v>0.2</v>
      </c>
      <c r="O227" s="916">
        <v>5.4809999999999999</v>
      </c>
      <c r="P227" s="915"/>
      <c r="Q227" s="916">
        <v>2.6720000000000002</v>
      </c>
      <c r="R227" s="917">
        <v>0.33333333333333331</v>
      </c>
      <c r="S227" s="918">
        <v>1.7</v>
      </c>
      <c r="T227" s="918">
        <v>3.4809999999999999</v>
      </c>
      <c r="U227" s="916">
        <v>5.633</v>
      </c>
      <c r="V227" s="916">
        <v>1.1519999999999999</v>
      </c>
      <c r="W227" s="915"/>
      <c r="X227" s="916">
        <v>0.503</v>
      </c>
      <c r="Y227" s="916">
        <v>0.71199999999999997</v>
      </c>
      <c r="Z227" s="916">
        <v>6.9219999999999997</v>
      </c>
      <c r="AA227" s="916">
        <v>1.4339999999999999</v>
      </c>
      <c r="AB227" s="916">
        <v>4.5209999999999999</v>
      </c>
      <c r="AC227" s="915"/>
      <c r="AD227" s="919">
        <v>259.69</v>
      </c>
      <c r="AE227" s="920">
        <v>327.964</v>
      </c>
      <c r="AF227" s="920" t="s">
        <v>21</v>
      </c>
      <c r="AG227" s="920" t="s">
        <v>21</v>
      </c>
      <c r="AH227" s="921" t="s">
        <v>21</v>
      </c>
      <c r="AI227" s="921">
        <v>327.964</v>
      </c>
      <c r="AJ227" s="920" t="s">
        <v>21</v>
      </c>
      <c r="AK227" s="920" t="s">
        <v>21</v>
      </c>
      <c r="AL227" s="921" t="s">
        <v>21</v>
      </c>
      <c r="AM227" s="921" t="s">
        <v>21</v>
      </c>
      <c r="AN227" s="920"/>
      <c r="AO227" s="920" t="s">
        <v>21</v>
      </c>
      <c r="AP227" s="919">
        <v>80.546000000000006</v>
      </c>
      <c r="AQ227" s="933">
        <v>266.89154000000002</v>
      </c>
      <c r="AR227" s="925" t="s">
        <v>21</v>
      </c>
      <c r="AS227" s="925" t="s">
        <v>21</v>
      </c>
      <c r="AT227" s="925" t="s">
        <v>21</v>
      </c>
      <c r="AU227" s="925" t="s">
        <v>21</v>
      </c>
      <c r="AV227" s="926" t="s">
        <v>21</v>
      </c>
      <c r="AW227" s="926">
        <v>266.89154000000002</v>
      </c>
      <c r="AX227" s="926" t="s">
        <v>21</v>
      </c>
      <c r="AY227" s="926" t="s">
        <v>21</v>
      </c>
      <c r="AZ227" s="925" t="s">
        <v>21</v>
      </c>
      <c r="BA227" s="925"/>
      <c r="BB227" s="919" t="s">
        <v>21</v>
      </c>
      <c r="BC227" s="919">
        <v>12.082000000000001</v>
      </c>
      <c r="BD227" s="919" t="s">
        <v>2142</v>
      </c>
      <c r="BE227" s="925" t="s">
        <v>21</v>
      </c>
      <c r="BF227" s="926" t="s">
        <v>21</v>
      </c>
      <c r="BG227" s="925" t="s">
        <v>21</v>
      </c>
      <c r="BH227" s="926">
        <v>47.38</v>
      </c>
      <c r="BI227" s="925" t="s">
        <v>21</v>
      </c>
      <c r="BJ227" s="926" t="s">
        <v>21</v>
      </c>
      <c r="BK227" s="925" t="s">
        <v>21</v>
      </c>
      <c r="BL227" s="926" t="s">
        <v>21</v>
      </c>
      <c r="BM227" s="925" t="s">
        <v>21</v>
      </c>
      <c r="BN227" s="927"/>
      <c r="BO227" s="927"/>
      <c r="BP227" s="928" t="s">
        <v>21</v>
      </c>
      <c r="BQ227" s="928">
        <v>1</v>
      </c>
      <c r="BR227" s="928" t="s">
        <v>21</v>
      </c>
      <c r="BS227" s="928" t="s">
        <v>21</v>
      </c>
      <c r="BT227" s="928" t="s">
        <v>21</v>
      </c>
      <c r="BU227" s="928" t="s">
        <v>21</v>
      </c>
      <c r="BV227" s="934">
        <v>1.1849999999999454</v>
      </c>
      <c r="BW227" s="934">
        <v>1.5</v>
      </c>
      <c r="BX227" s="1104">
        <v>3</v>
      </c>
      <c r="BY227" s="931">
        <v>5</v>
      </c>
      <c r="BZ227" s="930">
        <v>2</v>
      </c>
      <c r="CA227" s="1074" t="s">
        <v>21</v>
      </c>
      <c r="CB227" s="930" t="s">
        <v>21</v>
      </c>
      <c r="CC227" s="930" t="s">
        <v>21</v>
      </c>
      <c r="CD227" s="925">
        <v>67.942999999999998</v>
      </c>
      <c r="CE227" s="1130">
        <v>214.20500000000001</v>
      </c>
      <c r="CF227" s="1129" t="s">
        <v>21</v>
      </c>
      <c r="CG227" s="1130" t="s">
        <v>21</v>
      </c>
      <c r="CH227" s="1130" t="s">
        <v>21</v>
      </c>
      <c r="CI227" s="1131" t="s">
        <v>21</v>
      </c>
      <c r="CJ227" s="1129" t="s">
        <v>21</v>
      </c>
      <c r="CK227" s="1130" t="s">
        <v>21</v>
      </c>
      <c r="CL227" s="1130" t="s">
        <v>21</v>
      </c>
      <c r="CM227" s="1131" t="s">
        <v>21</v>
      </c>
      <c r="CN227" s="1130">
        <v>214.20500000000001</v>
      </c>
      <c r="CP227" s="838" t="s">
        <v>21</v>
      </c>
      <c r="CQ227" s="838" t="s">
        <v>21</v>
      </c>
      <c r="CR227" s="836"/>
    </row>
    <row r="228" spans="1:96" x14ac:dyDescent="0.25">
      <c r="A228" s="935"/>
      <c r="B228" s="1490" t="s">
        <v>3461</v>
      </c>
      <c r="C228" s="1491">
        <v>800</v>
      </c>
      <c r="D228" s="1491" t="s">
        <v>2116</v>
      </c>
      <c r="E228" s="1489">
        <v>1183.9490000000001</v>
      </c>
      <c r="F228" s="1489">
        <v>1181.941</v>
      </c>
      <c r="G228" s="1487" t="s">
        <v>3462</v>
      </c>
      <c r="H228" s="1489">
        <v>1183.999</v>
      </c>
      <c r="I228" s="1489">
        <v>1181.671</v>
      </c>
      <c r="J228" s="1488">
        <v>20</v>
      </c>
      <c r="K228" s="915"/>
      <c r="L228" s="916">
        <v>0.15</v>
      </c>
      <c r="M228" s="916">
        <v>7.5999999999999998E-2</v>
      </c>
      <c r="N228" s="916">
        <v>0.2</v>
      </c>
      <c r="O228" s="916">
        <v>5.3629999999999995</v>
      </c>
      <c r="P228" s="915"/>
      <c r="Q228" s="916">
        <v>2.4940000000000002</v>
      </c>
      <c r="R228" s="917">
        <v>0.33333333333333331</v>
      </c>
      <c r="S228" s="918">
        <v>1.7</v>
      </c>
      <c r="T228" s="918">
        <v>3.363</v>
      </c>
      <c r="U228" s="916">
        <v>5.258</v>
      </c>
      <c r="V228" s="916">
        <v>1.1519999999999999</v>
      </c>
      <c r="W228" s="915"/>
      <c r="X228" s="916">
        <v>0.503</v>
      </c>
      <c r="Y228" s="916">
        <v>0.71199999999999997</v>
      </c>
      <c r="Z228" s="916">
        <v>6.3140000000000001</v>
      </c>
      <c r="AA228" s="916">
        <v>1.4339999999999999</v>
      </c>
      <c r="AB228" s="916">
        <v>3.9129999999999998</v>
      </c>
      <c r="AC228" s="915"/>
      <c r="AD228" s="919">
        <v>107.26</v>
      </c>
      <c r="AE228" s="920">
        <v>126.28</v>
      </c>
      <c r="AF228" s="920" t="s">
        <v>21</v>
      </c>
      <c r="AG228" s="920" t="s">
        <v>21</v>
      </c>
      <c r="AH228" s="921" t="s">
        <v>21</v>
      </c>
      <c r="AI228" s="921">
        <v>126.28</v>
      </c>
      <c r="AJ228" s="920" t="s">
        <v>21</v>
      </c>
      <c r="AK228" s="920" t="s">
        <v>21</v>
      </c>
      <c r="AL228" s="921" t="s">
        <v>21</v>
      </c>
      <c r="AM228" s="921" t="s">
        <v>21</v>
      </c>
      <c r="AN228" s="920"/>
      <c r="AO228" s="920" t="s">
        <v>21</v>
      </c>
      <c r="AP228" s="919">
        <v>34</v>
      </c>
      <c r="AQ228" s="933">
        <v>105.16</v>
      </c>
      <c r="AR228" s="925" t="s">
        <v>21</v>
      </c>
      <c r="AS228" s="925" t="s">
        <v>21</v>
      </c>
      <c r="AT228" s="925" t="s">
        <v>21</v>
      </c>
      <c r="AU228" s="925" t="s">
        <v>21</v>
      </c>
      <c r="AV228" s="926" t="s">
        <v>21</v>
      </c>
      <c r="AW228" s="926">
        <v>105.16</v>
      </c>
      <c r="AX228" s="926" t="s">
        <v>21</v>
      </c>
      <c r="AY228" s="926" t="s">
        <v>21</v>
      </c>
      <c r="AZ228" s="925" t="s">
        <v>21</v>
      </c>
      <c r="BA228" s="925"/>
      <c r="BB228" s="919" t="s">
        <v>21</v>
      </c>
      <c r="BC228" s="919">
        <v>5.0999999999999996</v>
      </c>
      <c r="BD228" s="919" t="s">
        <v>2142</v>
      </c>
      <c r="BE228" s="925" t="s">
        <v>21</v>
      </c>
      <c r="BF228" s="926" t="s">
        <v>21</v>
      </c>
      <c r="BG228" s="925" t="s">
        <v>21</v>
      </c>
      <c r="BH228" s="926">
        <v>20</v>
      </c>
      <c r="BI228" s="925" t="s">
        <v>21</v>
      </c>
      <c r="BJ228" s="926" t="s">
        <v>21</v>
      </c>
      <c r="BK228" s="925" t="s">
        <v>21</v>
      </c>
      <c r="BL228" s="926" t="s">
        <v>21</v>
      </c>
      <c r="BM228" s="925" t="s">
        <v>21</v>
      </c>
      <c r="BN228" s="927"/>
      <c r="BO228" s="927"/>
      <c r="BP228" s="928" t="s">
        <v>21</v>
      </c>
      <c r="BQ228" s="928">
        <v>1</v>
      </c>
      <c r="BR228" s="928" t="s">
        <v>21</v>
      </c>
      <c r="BS228" s="928" t="s">
        <v>21</v>
      </c>
      <c r="BT228" s="928" t="s">
        <v>21</v>
      </c>
      <c r="BU228" s="928" t="s">
        <v>21</v>
      </c>
      <c r="BV228" s="934">
        <v>0.5080000000000382</v>
      </c>
      <c r="BW228" s="934">
        <v>1</v>
      </c>
      <c r="BX228" s="1104">
        <v>2</v>
      </c>
      <c r="BY228" s="931">
        <v>4</v>
      </c>
      <c r="BZ228" s="930" t="s">
        <v>21</v>
      </c>
      <c r="CA228" s="1074">
        <v>1</v>
      </c>
      <c r="CB228" s="930" t="s">
        <v>21</v>
      </c>
      <c r="CC228" s="930" t="s">
        <v>21</v>
      </c>
      <c r="CD228" s="925">
        <v>28.68</v>
      </c>
      <c r="CE228" s="1130">
        <v>78.260000000000005</v>
      </c>
      <c r="CF228" s="1129" t="s">
        <v>21</v>
      </c>
      <c r="CG228" s="1130" t="s">
        <v>21</v>
      </c>
      <c r="CH228" s="1130" t="s">
        <v>21</v>
      </c>
      <c r="CI228" s="1131" t="s">
        <v>21</v>
      </c>
      <c r="CJ228" s="1129" t="s">
        <v>21</v>
      </c>
      <c r="CK228" s="1130" t="s">
        <v>21</v>
      </c>
      <c r="CL228" s="1130" t="s">
        <v>21</v>
      </c>
      <c r="CM228" s="1131" t="s">
        <v>21</v>
      </c>
      <c r="CN228" s="1130">
        <v>78.260000000000005</v>
      </c>
      <c r="CP228" s="838" t="s">
        <v>21</v>
      </c>
      <c r="CQ228" s="838" t="s">
        <v>21</v>
      </c>
      <c r="CR228" s="836"/>
    </row>
    <row r="229" spans="1:96" x14ac:dyDescent="0.25">
      <c r="A229" s="935"/>
      <c r="B229" s="1490" t="s">
        <v>3462</v>
      </c>
      <c r="C229" s="1491">
        <v>800</v>
      </c>
      <c r="D229" s="1491" t="s">
        <v>2116</v>
      </c>
      <c r="E229" s="1489">
        <v>1183.999</v>
      </c>
      <c r="F229" s="1489">
        <v>1181.671</v>
      </c>
      <c r="G229" s="1487" t="s">
        <v>2244</v>
      </c>
      <c r="H229" s="1489">
        <v>1183.9960000000001</v>
      </c>
      <c r="I229" s="1489">
        <v>1181.4839999999999</v>
      </c>
      <c r="J229" s="1488">
        <v>18.690000000000001</v>
      </c>
      <c r="K229" s="915"/>
      <c r="L229" s="916">
        <v>0.15</v>
      </c>
      <c r="M229" s="916">
        <v>7.5999999999999998E-2</v>
      </c>
      <c r="N229" s="916">
        <v>0.2</v>
      </c>
      <c r="O229" s="916">
        <v>5.5310000000000006</v>
      </c>
      <c r="P229" s="915"/>
      <c r="Q229" s="916">
        <v>2.746</v>
      </c>
      <c r="R229" s="917">
        <v>0.33333333333333331</v>
      </c>
      <c r="S229" s="918">
        <v>1.7</v>
      </c>
      <c r="T229" s="918">
        <v>3.5310000000000001</v>
      </c>
      <c r="U229" s="916">
        <v>5.7889999999999997</v>
      </c>
      <c r="V229" s="916">
        <v>1.1519999999999999</v>
      </c>
      <c r="W229" s="915"/>
      <c r="X229" s="916">
        <v>0.503</v>
      </c>
      <c r="Y229" s="916">
        <v>0.71199999999999997</v>
      </c>
      <c r="Z229" s="916">
        <v>7.1820000000000004</v>
      </c>
      <c r="AA229" s="916">
        <v>1.4339999999999999</v>
      </c>
      <c r="AB229" s="916">
        <v>4.7809999999999997</v>
      </c>
      <c r="AC229" s="915"/>
      <c r="AD229" s="919">
        <v>103.374</v>
      </c>
      <c r="AE229" s="920">
        <v>134.232</v>
      </c>
      <c r="AF229" s="920" t="s">
        <v>21</v>
      </c>
      <c r="AG229" s="920" t="s">
        <v>21</v>
      </c>
      <c r="AH229" s="921" t="s">
        <v>21</v>
      </c>
      <c r="AI229" s="921">
        <v>134.232</v>
      </c>
      <c r="AJ229" s="920" t="s">
        <v>21</v>
      </c>
      <c r="AK229" s="920" t="s">
        <v>21</v>
      </c>
      <c r="AL229" s="921" t="s">
        <v>21</v>
      </c>
      <c r="AM229" s="921" t="s">
        <v>21</v>
      </c>
      <c r="AN229" s="920"/>
      <c r="AO229" s="920" t="s">
        <v>21</v>
      </c>
      <c r="AP229" s="919">
        <v>31.773</v>
      </c>
      <c r="AQ229" s="933">
        <v>108.19641</v>
      </c>
      <c r="AR229" s="925" t="s">
        <v>21</v>
      </c>
      <c r="AS229" s="925" t="s">
        <v>21</v>
      </c>
      <c r="AT229" s="925" t="s">
        <v>21</v>
      </c>
      <c r="AU229" s="925" t="s">
        <v>21</v>
      </c>
      <c r="AV229" s="926" t="s">
        <v>21</v>
      </c>
      <c r="AW229" s="926">
        <v>108.19641</v>
      </c>
      <c r="AX229" s="926" t="s">
        <v>21</v>
      </c>
      <c r="AY229" s="926" t="s">
        <v>21</v>
      </c>
      <c r="AZ229" s="925" t="s">
        <v>21</v>
      </c>
      <c r="BA229" s="925"/>
      <c r="BB229" s="919" t="s">
        <v>21</v>
      </c>
      <c r="BC229" s="919">
        <v>4.766</v>
      </c>
      <c r="BD229" s="919" t="s">
        <v>2142</v>
      </c>
      <c r="BE229" s="925" t="s">
        <v>21</v>
      </c>
      <c r="BF229" s="926" t="s">
        <v>21</v>
      </c>
      <c r="BG229" s="925" t="s">
        <v>21</v>
      </c>
      <c r="BH229" s="926">
        <v>18.690000000000001</v>
      </c>
      <c r="BI229" s="925" t="s">
        <v>21</v>
      </c>
      <c r="BJ229" s="926" t="s">
        <v>21</v>
      </c>
      <c r="BK229" s="925" t="s">
        <v>21</v>
      </c>
      <c r="BL229" s="926" t="s">
        <v>21</v>
      </c>
      <c r="BM229" s="925" t="s">
        <v>21</v>
      </c>
      <c r="BN229" s="927"/>
      <c r="BO229" s="927"/>
      <c r="BP229" s="928" t="s">
        <v>21</v>
      </c>
      <c r="BQ229" s="928">
        <v>1</v>
      </c>
      <c r="BR229" s="928" t="s">
        <v>21</v>
      </c>
      <c r="BS229" s="928" t="s">
        <v>21</v>
      </c>
      <c r="BT229" s="928" t="s">
        <v>21</v>
      </c>
      <c r="BU229" s="928" t="s">
        <v>21</v>
      </c>
      <c r="BV229" s="934">
        <v>0.82799999999997453</v>
      </c>
      <c r="BW229" s="934">
        <v>1</v>
      </c>
      <c r="BX229" s="1104">
        <v>2</v>
      </c>
      <c r="BY229" s="931">
        <v>4</v>
      </c>
      <c r="BZ229" s="930" t="s">
        <v>21</v>
      </c>
      <c r="CA229" s="1074" t="s">
        <v>21</v>
      </c>
      <c r="CB229" s="930" t="s">
        <v>21</v>
      </c>
      <c r="CC229" s="930" t="s">
        <v>21</v>
      </c>
      <c r="CD229" s="925">
        <v>26.800999999999998</v>
      </c>
      <c r="CE229" s="1130">
        <v>89.356999999999999</v>
      </c>
      <c r="CF229" s="1129" t="s">
        <v>21</v>
      </c>
      <c r="CG229" s="1130" t="s">
        <v>21</v>
      </c>
      <c r="CH229" s="1130" t="s">
        <v>21</v>
      </c>
      <c r="CI229" s="1131" t="s">
        <v>21</v>
      </c>
      <c r="CJ229" s="1129" t="s">
        <v>21</v>
      </c>
      <c r="CK229" s="1130" t="s">
        <v>21</v>
      </c>
      <c r="CL229" s="1130" t="s">
        <v>21</v>
      </c>
      <c r="CM229" s="1131" t="s">
        <v>21</v>
      </c>
      <c r="CN229" s="1130">
        <v>89.356999999999999</v>
      </c>
      <c r="CP229" s="838" t="s">
        <v>21</v>
      </c>
      <c r="CQ229" s="838" t="s">
        <v>21</v>
      </c>
      <c r="CR229" s="836"/>
    </row>
    <row r="230" spans="1:96" x14ac:dyDescent="0.25">
      <c r="A230" s="935"/>
      <c r="B230" s="932"/>
      <c r="C230" s="911"/>
      <c r="D230" s="911"/>
      <c r="E230" s="912"/>
      <c r="F230" s="912"/>
      <c r="G230" s="910"/>
      <c r="H230" s="912"/>
      <c r="I230" s="912"/>
      <c r="J230" s="914"/>
      <c r="K230" s="915"/>
      <c r="L230" s="916" t="s">
        <v>21</v>
      </c>
      <c r="M230" s="916" t="s">
        <v>21</v>
      </c>
      <c r="N230" s="916" t="s">
        <v>21</v>
      </c>
      <c r="O230" s="916" t="s">
        <v>21</v>
      </c>
      <c r="P230" s="915"/>
      <c r="Q230" s="916" t="s">
        <v>21</v>
      </c>
      <c r="R230" s="917" t="s">
        <v>21</v>
      </c>
      <c r="S230" s="918" t="s">
        <v>21</v>
      </c>
      <c r="T230" s="918" t="s">
        <v>21</v>
      </c>
      <c r="U230" s="916" t="s">
        <v>21</v>
      </c>
      <c r="V230" s="916" t="s">
        <v>21</v>
      </c>
      <c r="W230" s="915"/>
      <c r="X230" s="916" t="s">
        <v>21</v>
      </c>
      <c r="Y230" s="916" t="s">
        <v>21</v>
      </c>
      <c r="Z230" s="916" t="s">
        <v>21</v>
      </c>
      <c r="AA230" s="916" t="s">
        <v>21</v>
      </c>
      <c r="AB230" s="916" t="s">
        <v>21</v>
      </c>
      <c r="AC230" s="915"/>
      <c r="AD230" s="919" t="s">
        <v>21</v>
      </c>
      <c r="AE230" s="920" t="s">
        <v>21</v>
      </c>
      <c r="AF230" s="920" t="s">
        <v>21</v>
      </c>
      <c r="AG230" s="920" t="s">
        <v>21</v>
      </c>
      <c r="AH230" s="921" t="s">
        <v>21</v>
      </c>
      <c r="AI230" s="921" t="s">
        <v>21</v>
      </c>
      <c r="AJ230" s="920" t="s">
        <v>21</v>
      </c>
      <c r="AK230" s="920" t="s">
        <v>21</v>
      </c>
      <c r="AL230" s="921" t="s">
        <v>21</v>
      </c>
      <c r="AM230" s="921" t="s">
        <v>21</v>
      </c>
      <c r="AN230" s="920"/>
      <c r="AO230" s="920" t="s">
        <v>21</v>
      </c>
      <c r="AP230" s="919" t="s">
        <v>21</v>
      </c>
      <c r="AQ230" s="933" t="s">
        <v>21</v>
      </c>
      <c r="AR230" s="925" t="s">
        <v>21</v>
      </c>
      <c r="AS230" s="925" t="s">
        <v>21</v>
      </c>
      <c r="AT230" s="925" t="s">
        <v>21</v>
      </c>
      <c r="AU230" s="925" t="s">
        <v>21</v>
      </c>
      <c r="AV230" s="926" t="s">
        <v>21</v>
      </c>
      <c r="AW230" s="926" t="s">
        <v>21</v>
      </c>
      <c r="AX230" s="926" t="s">
        <v>21</v>
      </c>
      <c r="AY230" s="926" t="s">
        <v>21</v>
      </c>
      <c r="AZ230" s="925" t="s">
        <v>21</v>
      </c>
      <c r="BA230" s="925"/>
      <c r="BB230" s="919" t="s">
        <v>21</v>
      </c>
      <c r="BC230" s="919" t="s">
        <v>21</v>
      </c>
      <c r="BD230" s="919" t="s">
        <v>21</v>
      </c>
      <c r="BE230" s="925" t="s">
        <v>21</v>
      </c>
      <c r="BF230" s="926" t="s">
        <v>21</v>
      </c>
      <c r="BG230" s="925" t="s">
        <v>21</v>
      </c>
      <c r="BH230" s="926" t="s">
        <v>21</v>
      </c>
      <c r="BI230" s="925" t="s">
        <v>21</v>
      </c>
      <c r="BJ230" s="926" t="s">
        <v>21</v>
      </c>
      <c r="BK230" s="925" t="s">
        <v>21</v>
      </c>
      <c r="BL230" s="926" t="s">
        <v>21</v>
      </c>
      <c r="BM230" s="925" t="s">
        <v>21</v>
      </c>
      <c r="BN230" s="927"/>
      <c r="BO230" s="927"/>
      <c r="BP230" s="928" t="s">
        <v>21</v>
      </c>
      <c r="BQ230" s="928" t="s">
        <v>21</v>
      </c>
      <c r="BR230" s="928" t="s">
        <v>21</v>
      </c>
      <c r="BS230" s="928" t="s">
        <v>21</v>
      </c>
      <c r="BT230" s="928" t="s">
        <v>21</v>
      </c>
      <c r="BU230" s="928" t="s">
        <v>21</v>
      </c>
      <c r="BV230" s="934" t="s">
        <v>21</v>
      </c>
      <c r="BW230" s="934" t="s">
        <v>21</v>
      </c>
      <c r="BX230" s="1104" t="s">
        <v>21</v>
      </c>
      <c r="BY230" s="931" t="s">
        <v>21</v>
      </c>
      <c r="BZ230" s="930" t="s">
        <v>21</v>
      </c>
      <c r="CA230" s="1074" t="s">
        <v>21</v>
      </c>
      <c r="CB230" s="930" t="s">
        <v>21</v>
      </c>
      <c r="CC230" s="930" t="s">
        <v>21</v>
      </c>
      <c r="CD230" s="925" t="s">
        <v>21</v>
      </c>
      <c r="CE230" s="1130" t="s">
        <v>21</v>
      </c>
      <c r="CF230" s="1129" t="s">
        <v>21</v>
      </c>
      <c r="CG230" s="1130" t="s">
        <v>21</v>
      </c>
      <c r="CH230" s="1130" t="s">
        <v>21</v>
      </c>
      <c r="CI230" s="1131" t="s">
        <v>21</v>
      </c>
      <c r="CJ230" s="1129" t="s">
        <v>21</v>
      </c>
      <c r="CK230" s="1130" t="s">
        <v>21</v>
      </c>
      <c r="CL230" s="1130" t="s">
        <v>21</v>
      </c>
      <c r="CM230" s="1131" t="s">
        <v>21</v>
      </c>
      <c r="CN230" s="1130" t="s">
        <v>21</v>
      </c>
      <c r="CP230" s="838" t="s">
        <v>21</v>
      </c>
      <c r="CQ230" s="838" t="s">
        <v>21</v>
      </c>
      <c r="CR230" s="836"/>
    </row>
    <row r="231" spans="1:96" x14ac:dyDescent="0.25">
      <c r="A231" s="935" t="s">
        <v>2523</v>
      </c>
      <c r="B231" s="932" t="s">
        <v>2438</v>
      </c>
      <c r="C231" s="911">
        <v>600</v>
      </c>
      <c r="D231" s="911" t="s">
        <v>2116</v>
      </c>
      <c r="E231" s="912">
        <v>1189.22</v>
      </c>
      <c r="F231" s="912">
        <v>1187.32</v>
      </c>
      <c r="G231" s="932" t="s">
        <v>2439</v>
      </c>
      <c r="H231" s="912">
        <v>1188.8800000000001</v>
      </c>
      <c r="I231" s="912">
        <v>1186.98</v>
      </c>
      <c r="J231" s="914">
        <v>25.84</v>
      </c>
      <c r="K231" s="915"/>
      <c r="L231" s="916">
        <v>0.1</v>
      </c>
      <c r="M231" s="916">
        <v>0.06</v>
      </c>
      <c r="N231" s="916">
        <v>0.2</v>
      </c>
      <c r="O231" s="916">
        <v>4.84</v>
      </c>
      <c r="P231" s="915"/>
      <c r="Q231" s="916">
        <v>2.16</v>
      </c>
      <c r="R231" s="917">
        <v>0.33333333333333331</v>
      </c>
      <c r="S231" s="918">
        <v>1.4</v>
      </c>
      <c r="T231" s="918">
        <v>2.84</v>
      </c>
      <c r="U231" s="916">
        <v>4.5540000000000003</v>
      </c>
      <c r="V231" s="916">
        <v>0.92</v>
      </c>
      <c r="W231" s="915"/>
      <c r="X231" s="916">
        <v>0.28299999999999997</v>
      </c>
      <c r="Y231" s="916">
        <v>0.40699999999999997</v>
      </c>
      <c r="Z231" s="916">
        <v>4.5789999999999997</v>
      </c>
      <c r="AA231" s="916">
        <v>1.0229999999999999</v>
      </c>
      <c r="AB231" s="916">
        <v>3.0089999999999999</v>
      </c>
      <c r="AC231" s="915"/>
      <c r="AD231" s="919">
        <v>125.066</v>
      </c>
      <c r="AE231" s="920">
        <v>118.321</v>
      </c>
      <c r="AF231" s="920" t="s">
        <v>21</v>
      </c>
      <c r="AG231" s="920" t="s">
        <v>21</v>
      </c>
      <c r="AH231" s="921">
        <v>118.321</v>
      </c>
      <c r="AI231" s="921" t="s">
        <v>21</v>
      </c>
      <c r="AJ231" s="920" t="s">
        <v>21</v>
      </c>
      <c r="AK231" s="920" t="s">
        <v>21</v>
      </c>
      <c r="AL231" s="921" t="s">
        <v>21</v>
      </c>
      <c r="AM231" s="921" t="s">
        <v>21</v>
      </c>
      <c r="AN231" s="920"/>
      <c r="AO231" s="920" t="s">
        <v>21</v>
      </c>
      <c r="AP231" s="919">
        <v>36.176000000000002</v>
      </c>
      <c r="AQ231" s="933">
        <v>117.67536000000001</v>
      </c>
      <c r="AR231" s="925" t="s">
        <v>21</v>
      </c>
      <c r="AS231" s="925">
        <v>117.67536000000001</v>
      </c>
      <c r="AT231" s="925" t="s">
        <v>21</v>
      </c>
      <c r="AU231" s="925" t="s">
        <v>21</v>
      </c>
      <c r="AV231" s="926" t="s">
        <v>21</v>
      </c>
      <c r="AW231" s="926" t="s">
        <v>21</v>
      </c>
      <c r="AX231" s="926" t="s">
        <v>21</v>
      </c>
      <c r="AY231" s="926" t="s">
        <v>21</v>
      </c>
      <c r="AZ231" s="925" t="s">
        <v>21</v>
      </c>
      <c r="BA231" s="925"/>
      <c r="BB231" s="919">
        <v>3.6179999999999999</v>
      </c>
      <c r="BC231" s="919" t="s">
        <v>21</v>
      </c>
      <c r="BD231" s="919" t="s">
        <v>2142</v>
      </c>
      <c r="BE231" s="925" t="s">
        <v>21</v>
      </c>
      <c r="BF231" s="926" t="s">
        <v>21</v>
      </c>
      <c r="BG231" s="925">
        <v>25.84</v>
      </c>
      <c r="BH231" s="926" t="s">
        <v>21</v>
      </c>
      <c r="BI231" s="925" t="s">
        <v>21</v>
      </c>
      <c r="BJ231" s="926" t="s">
        <v>21</v>
      </c>
      <c r="BK231" s="925" t="s">
        <v>21</v>
      </c>
      <c r="BL231" s="926" t="s">
        <v>21</v>
      </c>
      <c r="BM231" s="925" t="s">
        <v>21</v>
      </c>
      <c r="BN231" s="927"/>
      <c r="BO231" s="927"/>
      <c r="BP231" s="928">
        <v>1</v>
      </c>
      <c r="BQ231" s="928" t="s">
        <v>21</v>
      </c>
      <c r="BR231" s="928" t="s">
        <v>21</v>
      </c>
      <c r="BS231" s="928" t="s">
        <v>21</v>
      </c>
      <c r="BT231" s="928" t="s">
        <v>21</v>
      </c>
      <c r="BU231" s="928" t="s">
        <v>21</v>
      </c>
      <c r="BV231" s="934">
        <v>0.50000000000009104</v>
      </c>
      <c r="BW231" s="934">
        <v>1</v>
      </c>
      <c r="BX231" s="1104">
        <v>2</v>
      </c>
      <c r="BY231" s="931">
        <v>4</v>
      </c>
      <c r="BZ231" s="930">
        <v>1</v>
      </c>
      <c r="CA231" s="1074" t="s">
        <v>21</v>
      </c>
      <c r="CB231" s="930" t="s">
        <v>21</v>
      </c>
      <c r="CC231" s="930" t="s">
        <v>21</v>
      </c>
      <c r="CD231" s="925">
        <v>26.434000000000001</v>
      </c>
      <c r="CE231" s="1130">
        <v>77.753</v>
      </c>
      <c r="CF231" s="1129" t="s">
        <v>21</v>
      </c>
      <c r="CG231" s="1130" t="s">
        <v>21</v>
      </c>
      <c r="CH231" s="1130" t="s">
        <v>21</v>
      </c>
      <c r="CI231" s="1131" t="s">
        <v>21</v>
      </c>
      <c r="CJ231" s="1129" t="s">
        <v>21</v>
      </c>
      <c r="CK231" s="1130">
        <v>77.753</v>
      </c>
      <c r="CL231" s="1130" t="s">
        <v>21</v>
      </c>
      <c r="CM231" s="1131" t="s">
        <v>21</v>
      </c>
      <c r="CN231" s="1130" t="s">
        <v>21</v>
      </c>
      <c r="CP231" s="838" t="s">
        <v>21</v>
      </c>
      <c r="CQ231" s="838" t="s">
        <v>21</v>
      </c>
      <c r="CR231" s="836"/>
    </row>
    <row r="232" spans="1:96" x14ac:dyDescent="0.25">
      <c r="A232" s="935"/>
      <c r="B232" s="932" t="s">
        <v>2439</v>
      </c>
      <c r="C232" s="911">
        <v>600</v>
      </c>
      <c r="D232" s="911" t="s">
        <v>2116</v>
      </c>
      <c r="E232" s="912">
        <v>1188.8800000000001</v>
      </c>
      <c r="F232" s="912">
        <v>1186.93</v>
      </c>
      <c r="G232" s="932" t="s">
        <v>2440</v>
      </c>
      <c r="H232" s="912">
        <v>1187.92</v>
      </c>
      <c r="I232" s="912">
        <v>1186.02</v>
      </c>
      <c r="J232" s="914">
        <v>42.96</v>
      </c>
      <c r="K232" s="915"/>
      <c r="L232" s="916">
        <v>0.1</v>
      </c>
      <c r="M232" s="916">
        <v>0.06</v>
      </c>
      <c r="N232" s="916">
        <v>0.2</v>
      </c>
      <c r="O232" s="916">
        <v>4.8570000000000002</v>
      </c>
      <c r="P232" s="915"/>
      <c r="Q232" s="916">
        <v>2.1850000000000001</v>
      </c>
      <c r="R232" s="917">
        <v>0.33333333333333331</v>
      </c>
      <c r="S232" s="918">
        <v>1.4</v>
      </c>
      <c r="T232" s="918">
        <v>2.8570000000000002</v>
      </c>
      <c r="U232" s="916">
        <v>4.6059999999999999</v>
      </c>
      <c r="V232" s="916">
        <v>0.92</v>
      </c>
      <c r="W232" s="915"/>
      <c r="X232" s="916">
        <v>0.28299999999999997</v>
      </c>
      <c r="Y232" s="916">
        <v>0.40699999999999997</v>
      </c>
      <c r="Z232" s="916">
        <v>4.6509999999999998</v>
      </c>
      <c r="AA232" s="916">
        <v>1.0229999999999999</v>
      </c>
      <c r="AB232" s="916">
        <v>3.081</v>
      </c>
      <c r="AC232" s="915"/>
      <c r="AD232" s="919">
        <v>208.65700000000001</v>
      </c>
      <c r="AE232" s="920">
        <v>199.80699999999999</v>
      </c>
      <c r="AF232" s="920" t="s">
        <v>21</v>
      </c>
      <c r="AG232" s="920" t="s">
        <v>21</v>
      </c>
      <c r="AH232" s="921">
        <v>199.80699999999999</v>
      </c>
      <c r="AI232" s="921" t="s">
        <v>21</v>
      </c>
      <c r="AJ232" s="920" t="s">
        <v>21</v>
      </c>
      <c r="AK232" s="920" t="s">
        <v>21</v>
      </c>
      <c r="AL232" s="921" t="s">
        <v>21</v>
      </c>
      <c r="AM232" s="921" t="s">
        <v>21</v>
      </c>
      <c r="AN232" s="920"/>
      <c r="AO232" s="920" t="s">
        <v>21</v>
      </c>
      <c r="AP232" s="919">
        <v>60.143999999999998</v>
      </c>
      <c r="AQ232" s="933">
        <v>197.87376</v>
      </c>
      <c r="AR232" s="925" t="s">
        <v>21</v>
      </c>
      <c r="AS232" s="925">
        <v>197.87376</v>
      </c>
      <c r="AT232" s="925" t="s">
        <v>21</v>
      </c>
      <c r="AU232" s="925" t="s">
        <v>21</v>
      </c>
      <c r="AV232" s="926" t="s">
        <v>21</v>
      </c>
      <c r="AW232" s="926" t="s">
        <v>21</v>
      </c>
      <c r="AX232" s="926" t="s">
        <v>21</v>
      </c>
      <c r="AY232" s="926" t="s">
        <v>21</v>
      </c>
      <c r="AZ232" s="925" t="s">
        <v>21</v>
      </c>
      <c r="BA232" s="925"/>
      <c r="BB232" s="919">
        <v>6.0140000000000002</v>
      </c>
      <c r="BC232" s="919" t="s">
        <v>21</v>
      </c>
      <c r="BD232" s="919" t="s">
        <v>2142</v>
      </c>
      <c r="BE232" s="925" t="s">
        <v>21</v>
      </c>
      <c r="BF232" s="926" t="s">
        <v>21</v>
      </c>
      <c r="BG232" s="925">
        <v>42.96</v>
      </c>
      <c r="BH232" s="926" t="s">
        <v>21</v>
      </c>
      <c r="BI232" s="925" t="s">
        <v>21</v>
      </c>
      <c r="BJ232" s="926" t="s">
        <v>21</v>
      </c>
      <c r="BK232" s="925" t="s">
        <v>21</v>
      </c>
      <c r="BL232" s="926" t="s">
        <v>21</v>
      </c>
      <c r="BM232" s="925" t="s">
        <v>21</v>
      </c>
      <c r="BN232" s="927"/>
      <c r="BO232" s="927"/>
      <c r="BP232" s="928">
        <v>1</v>
      </c>
      <c r="BQ232" s="928" t="s">
        <v>21</v>
      </c>
      <c r="BR232" s="928" t="s">
        <v>21</v>
      </c>
      <c r="BS232" s="928" t="s">
        <v>21</v>
      </c>
      <c r="BT232" s="928" t="s">
        <v>21</v>
      </c>
      <c r="BU232" s="928" t="s">
        <v>21</v>
      </c>
      <c r="BV232" s="934">
        <v>0.55000000000004556</v>
      </c>
      <c r="BW232" s="934">
        <v>1</v>
      </c>
      <c r="BX232" s="1104">
        <v>2</v>
      </c>
      <c r="BY232" s="931">
        <v>4</v>
      </c>
      <c r="BZ232" s="930">
        <v>1</v>
      </c>
      <c r="CA232" s="1074" t="s">
        <v>21</v>
      </c>
      <c r="CB232" s="930" t="s">
        <v>21</v>
      </c>
      <c r="CC232" s="930" t="s">
        <v>21</v>
      </c>
      <c r="CD232" s="925">
        <v>43.948</v>
      </c>
      <c r="CE232" s="1130">
        <v>132.36000000000001</v>
      </c>
      <c r="CF232" s="1129" t="s">
        <v>21</v>
      </c>
      <c r="CG232" s="1130" t="s">
        <v>21</v>
      </c>
      <c r="CH232" s="1130" t="s">
        <v>21</v>
      </c>
      <c r="CI232" s="1131" t="s">
        <v>21</v>
      </c>
      <c r="CJ232" s="1129" t="s">
        <v>21</v>
      </c>
      <c r="CK232" s="1130">
        <v>132.36000000000001</v>
      </c>
      <c r="CL232" s="1130" t="s">
        <v>21</v>
      </c>
      <c r="CM232" s="1131" t="s">
        <v>21</v>
      </c>
      <c r="CN232" s="1130" t="s">
        <v>21</v>
      </c>
      <c r="CP232" s="838" t="s">
        <v>21</v>
      </c>
      <c r="CQ232" s="838" t="s">
        <v>21</v>
      </c>
      <c r="CR232" s="836"/>
    </row>
    <row r="233" spans="1:96" x14ac:dyDescent="0.25">
      <c r="A233" s="935"/>
      <c r="B233" s="932" t="s">
        <v>2440</v>
      </c>
      <c r="C233" s="911">
        <v>600</v>
      </c>
      <c r="D233" s="911" t="s">
        <v>2116</v>
      </c>
      <c r="E233" s="912">
        <v>1187.92</v>
      </c>
      <c r="F233" s="912">
        <v>1186.02</v>
      </c>
      <c r="G233" s="910" t="s">
        <v>2432</v>
      </c>
      <c r="H233" s="912">
        <v>1187</v>
      </c>
      <c r="I233" s="912">
        <v>1185.0999999999999</v>
      </c>
      <c r="J233" s="914">
        <v>23.13</v>
      </c>
      <c r="K233" s="915"/>
      <c r="L233" s="916">
        <v>0.1</v>
      </c>
      <c r="M233" s="916">
        <v>0.06</v>
      </c>
      <c r="N233" s="916">
        <v>0.2</v>
      </c>
      <c r="O233" s="916">
        <v>4.84</v>
      </c>
      <c r="P233" s="915"/>
      <c r="Q233" s="916">
        <v>2.16</v>
      </c>
      <c r="R233" s="917">
        <v>0.33333333333333331</v>
      </c>
      <c r="S233" s="918">
        <v>1.4</v>
      </c>
      <c r="T233" s="918">
        <v>2.84</v>
      </c>
      <c r="U233" s="916">
        <v>4.5540000000000003</v>
      </c>
      <c r="V233" s="916">
        <v>0.92</v>
      </c>
      <c r="W233" s="915"/>
      <c r="X233" s="916">
        <v>0.28299999999999997</v>
      </c>
      <c r="Y233" s="916">
        <v>0.40699999999999997</v>
      </c>
      <c r="Z233" s="916">
        <v>4.5789999999999997</v>
      </c>
      <c r="AA233" s="916">
        <v>1.0229999999999999</v>
      </c>
      <c r="AB233" s="916">
        <v>3.0089999999999999</v>
      </c>
      <c r="AC233" s="915"/>
      <c r="AD233" s="919">
        <v>111.949</v>
      </c>
      <c r="AE233" s="920">
        <v>105.91200000000001</v>
      </c>
      <c r="AF233" s="920" t="s">
        <v>21</v>
      </c>
      <c r="AG233" s="920" t="s">
        <v>21</v>
      </c>
      <c r="AH233" s="921">
        <v>105.91200000000001</v>
      </c>
      <c r="AI233" s="921" t="s">
        <v>21</v>
      </c>
      <c r="AJ233" s="920" t="s">
        <v>21</v>
      </c>
      <c r="AK233" s="920" t="s">
        <v>21</v>
      </c>
      <c r="AL233" s="921" t="s">
        <v>21</v>
      </c>
      <c r="AM233" s="921" t="s">
        <v>21</v>
      </c>
      <c r="AN233" s="920"/>
      <c r="AO233" s="920" t="s">
        <v>21</v>
      </c>
      <c r="AP233" s="919">
        <v>32.381999999999998</v>
      </c>
      <c r="AQ233" s="933">
        <v>105.33402</v>
      </c>
      <c r="AR233" s="925" t="s">
        <v>21</v>
      </c>
      <c r="AS233" s="925">
        <v>105.33402</v>
      </c>
      <c r="AT233" s="925" t="s">
        <v>21</v>
      </c>
      <c r="AU233" s="925" t="s">
        <v>21</v>
      </c>
      <c r="AV233" s="926" t="s">
        <v>21</v>
      </c>
      <c r="AW233" s="926" t="s">
        <v>21</v>
      </c>
      <c r="AX233" s="926" t="s">
        <v>21</v>
      </c>
      <c r="AY233" s="926" t="s">
        <v>21</v>
      </c>
      <c r="AZ233" s="925" t="s">
        <v>21</v>
      </c>
      <c r="BA233" s="925"/>
      <c r="BB233" s="919">
        <v>3.238</v>
      </c>
      <c r="BC233" s="919" t="s">
        <v>21</v>
      </c>
      <c r="BD233" s="919" t="s">
        <v>2142</v>
      </c>
      <c r="BE233" s="925" t="s">
        <v>21</v>
      </c>
      <c r="BF233" s="926" t="s">
        <v>21</v>
      </c>
      <c r="BG233" s="925">
        <v>23.13</v>
      </c>
      <c r="BH233" s="926" t="s">
        <v>21</v>
      </c>
      <c r="BI233" s="925" t="s">
        <v>21</v>
      </c>
      <c r="BJ233" s="926" t="s">
        <v>21</v>
      </c>
      <c r="BK233" s="925" t="s">
        <v>21</v>
      </c>
      <c r="BL233" s="926" t="s">
        <v>21</v>
      </c>
      <c r="BM233" s="925" t="s">
        <v>21</v>
      </c>
      <c r="BN233" s="927"/>
      <c r="BO233" s="927"/>
      <c r="BP233" s="928">
        <v>1</v>
      </c>
      <c r="BQ233" s="928" t="s">
        <v>21</v>
      </c>
      <c r="BR233" s="928" t="s">
        <v>21</v>
      </c>
      <c r="BS233" s="928" t="s">
        <v>21</v>
      </c>
      <c r="BT233" s="928" t="s">
        <v>21</v>
      </c>
      <c r="BU233" s="928" t="s">
        <v>21</v>
      </c>
      <c r="BV233" s="934">
        <v>0.50000000000009104</v>
      </c>
      <c r="BW233" s="934">
        <v>1</v>
      </c>
      <c r="BX233" s="1104">
        <v>2</v>
      </c>
      <c r="BY233" s="931">
        <v>4</v>
      </c>
      <c r="BZ233" s="930" t="s">
        <v>21</v>
      </c>
      <c r="CA233" s="1074">
        <v>1</v>
      </c>
      <c r="CB233" s="930" t="s">
        <v>21</v>
      </c>
      <c r="CC233" s="930" t="s">
        <v>21</v>
      </c>
      <c r="CD233" s="925">
        <v>23.661999999999999</v>
      </c>
      <c r="CE233" s="1130">
        <v>69.597999999999999</v>
      </c>
      <c r="CF233" s="1129" t="s">
        <v>21</v>
      </c>
      <c r="CG233" s="1130" t="s">
        <v>21</v>
      </c>
      <c r="CH233" s="1130" t="s">
        <v>21</v>
      </c>
      <c r="CI233" s="1131" t="s">
        <v>21</v>
      </c>
      <c r="CJ233" s="1129" t="s">
        <v>21</v>
      </c>
      <c r="CK233" s="1130">
        <v>69.597999999999999</v>
      </c>
      <c r="CL233" s="1130" t="s">
        <v>21</v>
      </c>
      <c r="CM233" s="1131" t="s">
        <v>21</v>
      </c>
      <c r="CN233" s="1130" t="s">
        <v>21</v>
      </c>
      <c r="CP233" s="838" t="s">
        <v>21</v>
      </c>
      <c r="CQ233" s="838" t="s">
        <v>21</v>
      </c>
      <c r="CR233" s="836"/>
    </row>
    <row r="234" spans="1:96" x14ac:dyDescent="0.25">
      <c r="A234" s="935"/>
      <c r="B234" s="932"/>
      <c r="C234" s="911"/>
      <c r="D234" s="911"/>
      <c r="E234" s="912"/>
      <c r="F234" s="912"/>
      <c r="G234" s="910"/>
      <c r="H234" s="912"/>
      <c r="I234" s="912"/>
      <c r="J234" s="914"/>
      <c r="K234" s="915"/>
      <c r="L234" s="916" t="s">
        <v>21</v>
      </c>
      <c r="M234" s="916" t="s">
        <v>21</v>
      </c>
      <c r="N234" s="916" t="s">
        <v>21</v>
      </c>
      <c r="O234" s="916" t="s">
        <v>21</v>
      </c>
      <c r="P234" s="915"/>
      <c r="Q234" s="916" t="s">
        <v>21</v>
      </c>
      <c r="R234" s="917" t="s">
        <v>21</v>
      </c>
      <c r="S234" s="918" t="s">
        <v>21</v>
      </c>
      <c r="T234" s="918" t="s">
        <v>21</v>
      </c>
      <c r="U234" s="916" t="s">
        <v>21</v>
      </c>
      <c r="V234" s="916" t="s">
        <v>21</v>
      </c>
      <c r="W234" s="915"/>
      <c r="X234" s="916" t="s">
        <v>21</v>
      </c>
      <c r="Y234" s="916" t="s">
        <v>21</v>
      </c>
      <c r="Z234" s="916" t="s">
        <v>21</v>
      </c>
      <c r="AA234" s="916" t="s">
        <v>21</v>
      </c>
      <c r="AB234" s="916" t="s">
        <v>21</v>
      </c>
      <c r="AC234" s="915"/>
      <c r="AD234" s="919" t="s">
        <v>21</v>
      </c>
      <c r="AE234" s="920" t="s">
        <v>21</v>
      </c>
      <c r="AF234" s="920" t="s">
        <v>21</v>
      </c>
      <c r="AG234" s="920" t="s">
        <v>21</v>
      </c>
      <c r="AH234" s="921" t="s">
        <v>21</v>
      </c>
      <c r="AI234" s="921" t="s">
        <v>21</v>
      </c>
      <c r="AJ234" s="920" t="s">
        <v>21</v>
      </c>
      <c r="AK234" s="920" t="s">
        <v>21</v>
      </c>
      <c r="AL234" s="921" t="s">
        <v>21</v>
      </c>
      <c r="AM234" s="921" t="s">
        <v>21</v>
      </c>
      <c r="AN234" s="920"/>
      <c r="AO234" s="920" t="s">
        <v>21</v>
      </c>
      <c r="AP234" s="919" t="s">
        <v>21</v>
      </c>
      <c r="AQ234" s="933" t="s">
        <v>21</v>
      </c>
      <c r="AR234" s="925" t="s">
        <v>21</v>
      </c>
      <c r="AS234" s="925" t="s">
        <v>21</v>
      </c>
      <c r="AT234" s="925" t="s">
        <v>21</v>
      </c>
      <c r="AU234" s="925" t="s">
        <v>21</v>
      </c>
      <c r="AV234" s="926" t="s">
        <v>21</v>
      </c>
      <c r="AW234" s="926" t="s">
        <v>21</v>
      </c>
      <c r="AX234" s="926" t="s">
        <v>21</v>
      </c>
      <c r="AY234" s="926" t="s">
        <v>21</v>
      </c>
      <c r="AZ234" s="925" t="s">
        <v>21</v>
      </c>
      <c r="BA234" s="925"/>
      <c r="BB234" s="919" t="s">
        <v>21</v>
      </c>
      <c r="BC234" s="919" t="s">
        <v>21</v>
      </c>
      <c r="BD234" s="919" t="s">
        <v>21</v>
      </c>
      <c r="BE234" s="925" t="s">
        <v>21</v>
      </c>
      <c r="BF234" s="926" t="s">
        <v>21</v>
      </c>
      <c r="BG234" s="925" t="s">
        <v>21</v>
      </c>
      <c r="BH234" s="926" t="s">
        <v>21</v>
      </c>
      <c r="BI234" s="925" t="s">
        <v>21</v>
      </c>
      <c r="BJ234" s="926" t="s">
        <v>21</v>
      </c>
      <c r="BK234" s="925" t="s">
        <v>21</v>
      </c>
      <c r="BL234" s="926" t="s">
        <v>21</v>
      </c>
      <c r="BM234" s="925" t="s">
        <v>21</v>
      </c>
      <c r="BN234" s="927"/>
      <c r="BO234" s="927"/>
      <c r="BP234" s="928" t="s">
        <v>21</v>
      </c>
      <c r="BQ234" s="928" t="s">
        <v>21</v>
      </c>
      <c r="BR234" s="928" t="s">
        <v>21</v>
      </c>
      <c r="BS234" s="928" t="s">
        <v>21</v>
      </c>
      <c r="BT234" s="928" t="s">
        <v>21</v>
      </c>
      <c r="BU234" s="928" t="s">
        <v>21</v>
      </c>
      <c r="BV234" s="934" t="s">
        <v>21</v>
      </c>
      <c r="BW234" s="934" t="s">
        <v>21</v>
      </c>
      <c r="BX234" s="1104" t="s">
        <v>21</v>
      </c>
      <c r="BY234" s="931" t="s">
        <v>21</v>
      </c>
      <c r="BZ234" s="930" t="s">
        <v>21</v>
      </c>
      <c r="CA234" s="1074" t="s">
        <v>21</v>
      </c>
      <c r="CB234" s="930" t="s">
        <v>21</v>
      </c>
      <c r="CC234" s="930" t="s">
        <v>21</v>
      </c>
      <c r="CD234" s="925" t="s">
        <v>21</v>
      </c>
      <c r="CE234" s="1130" t="s">
        <v>21</v>
      </c>
      <c r="CF234" s="1129" t="s">
        <v>21</v>
      </c>
      <c r="CG234" s="1130" t="s">
        <v>21</v>
      </c>
      <c r="CH234" s="1130" t="s">
        <v>21</v>
      </c>
      <c r="CI234" s="1131" t="s">
        <v>21</v>
      </c>
      <c r="CJ234" s="1129" t="s">
        <v>21</v>
      </c>
      <c r="CK234" s="1130" t="s">
        <v>21</v>
      </c>
      <c r="CL234" s="1130" t="s">
        <v>21</v>
      </c>
      <c r="CM234" s="1131" t="s">
        <v>21</v>
      </c>
      <c r="CN234" s="1130" t="s">
        <v>21</v>
      </c>
      <c r="CP234" s="838" t="s">
        <v>21</v>
      </c>
      <c r="CQ234" s="838" t="s">
        <v>21</v>
      </c>
      <c r="CR234" s="836"/>
    </row>
    <row r="235" spans="1:96" x14ac:dyDescent="0.25">
      <c r="A235" s="935" t="s">
        <v>2524</v>
      </c>
      <c r="B235" s="932" t="s">
        <v>2441</v>
      </c>
      <c r="C235" s="911">
        <v>600</v>
      </c>
      <c r="D235" s="911" t="s">
        <v>2116</v>
      </c>
      <c r="E235" s="912">
        <v>1185.99</v>
      </c>
      <c r="F235" s="912">
        <v>1184.0899999999999</v>
      </c>
      <c r="G235" s="910" t="s">
        <v>2436</v>
      </c>
      <c r="H235" s="912">
        <v>1185</v>
      </c>
      <c r="I235" s="912">
        <v>1183.0999999999999</v>
      </c>
      <c r="J235" s="914">
        <v>35</v>
      </c>
      <c r="K235" s="915"/>
      <c r="L235" s="916">
        <v>0.1</v>
      </c>
      <c r="M235" s="916">
        <v>0.06</v>
      </c>
      <c r="N235" s="916">
        <v>0.2</v>
      </c>
      <c r="O235" s="916">
        <v>4.84</v>
      </c>
      <c r="P235" s="915"/>
      <c r="Q235" s="916">
        <v>2.16</v>
      </c>
      <c r="R235" s="917">
        <v>0.33333333333333331</v>
      </c>
      <c r="S235" s="918">
        <v>1.4</v>
      </c>
      <c r="T235" s="918">
        <v>2.84</v>
      </c>
      <c r="U235" s="916">
        <v>4.5540000000000003</v>
      </c>
      <c r="V235" s="916">
        <v>0.92</v>
      </c>
      <c r="W235" s="915"/>
      <c r="X235" s="916">
        <v>0.28299999999999997</v>
      </c>
      <c r="Y235" s="916">
        <v>0.40699999999999997</v>
      </c>
      <c r="Z235" s="916">
        <v>4.5789999999999997</v>
      </c>
      <c r="AA235" s="916">
        <v>1.0229999999999999</v>
      </c>
      <c r="AB235" s="916">
        <v>3.0089999999999999</v>
      </c>
      <c r="AC235" s="915"/>
      <c r="AD235" s="919">
        <v>169.4</v>
      </c>
      <c r="AE235" s="920">
        <v>160.26499999999999</v>
      </c>
      <c r="AF235" s="920" t="s">
        <v>21</v>
      </c>
      <c r="AG235" s="920" t="s">
        <v>21</v>
      </c>
      <c r="AH235" s="921">
        <v>160.26499999999999</v>
      </c>
      <c r="AI235" s="921" t="s">
        <v>21</v>
      </c>
      <c r="AJ235" s="920" t="s">
        <v>21</v>
      </c>
      <c r="AK235" s="920" t="s">
        <v>21</v>
      </c>
      <c r="AL235" s="921" t="s">
        <v>21</v>
      </c>
      <c r="AM235" s="921" t="s">
        <v>21</v>
      </c>
      <c r="AN235" s="920"/>
      <c r="AO235" s="920" t="s">
        <v>21</v>
      </c>
      <c r="AP235" s="919">
        <v>49</v>
      </c>
      <c r="AQ235" s="933">
        <v>159.39000000000001</v>
      </c>
      <c r="AR235" s="925" t="s">
        <v>21</v>
      </c>
      <c r="AS235" s="925">
        <v>159.39000000000001</v>
      </c>
      <c r="AT235" s="925" t="s">
        <v>21</v>
      </c>
      <c r="AU235" s="925" t="s">
        <v>21</v>
      </c>
      <c r="AV235" s="926" t="s">
        <v>21</v>
      </c>
      <c r="AW235" s="926" t="s">
        <v>21</v>
      </c>
      <c r="AX235" s="926" t="s">
        <v>21</v>
      </c>
      <c r="AY235" s="926" t="s">
        <v>21</v>
      </c>
      <c r="AZ235" s="925" t="s">
        <v>21</v>
      </c>
      <c r="BA235" s="925"/>
      <c r="BB235" s="919">
        <v>4.9000000000000004</v>
      </c>
      <c r="BC235" s="919" t="s">
        <v>21</v>
      </c>
      <c r="BD235" s="919" t="s">
        <v>2142</v>
      </c>
      <c r="BE235" s="925" t="s">
        <v>21</v>
      </c>
      <c r="BF235" s="926" t="s">
        <v>21</v>
      </c>
      <c r="BG235" s="925">
        <v>35</v>
      </c>
      <c r="BH235" s="926" t="s">
        <v>21</v>
      </c>
      <c r="BI235" s="925" t="s">
        <v>21</v>
      </c>
      <c r="BJ235" s="926" t="s">
        <v>21</v>
      </c>
      <c r="BK235" s="925" t="s">
        <v>21</v>
      </c>
      <c r="BL235" s="926" t="s">
        <v>21</v>
      </c>
      <c r="BM235" s="925" t="s">
        <v>21</v>
      </c>
      <c r="BN235" s="927"/>
      <c r="BO235" s="927"/>
      <c r="BP235" s="928">
        <v>1</v>
      </c>
      <c r="BQ235" s="928" t="s">
        <v>21</v>
      </c>
      <c r="BR235" s="928" t="s">
        <v>21</v>
      </c>
      <c r="BS235" s="928" t="s">
        <v>21</v>
      </c>
      <c r="BT235" s="928" t="s">
        <v>21</v>
      </c>
      <c r="BU235" s="928" t="s">
        <v>21</v>
      </c>
      <c r="BV235" s="934">
        <v>0.50000000000009104</v>
      </c>
      <c r="BW235" s="934">
        <v>1</v>
      </c>
      <c r="BX235" s="1104">
        <v>2</v>
      </c>
      <c r="BY235" s="931">
        <v>4</v>
      </c>
      <c r="BZ235" s="930" t="s">
        <v>21</v>
      </c>
      <c r="CA235" s="1074">
        <v>1</v>
      </c>
      <c r="CB235" s="930" t="s">
        <v>21</v>
      </c>
      <c r="CC235" s="930" t="s">
        <v>21</v>
      </c>
      <c r="CD235" s="925">
        <v>35.805</v>
      </c>
      <c r="CE235" s="1130">
        <v>105.315</v>
      </c>
      <c r="CF235" s="1129" t="s">
        <v>21</v>
      </c>
      <c r="CG235" s="1130" t="s">
        <v>21</v>
      </c>
      <c r="CH235" s="1130" t="s">
        <v>21</v>
      </c>
      <c r="CI235" s="1131" t="s">
        <v>21</v>
      </c>
      <c r="CJ235" s="1129" t="s">
        <v>21</v>
      </c>
      <c r="CK235" s="1130">
        <v>105.315</v>
      </c>
      <c r="CL235" s="1130" t="s">
        <v>21</v>
      </c>
      <c r="CM235" s="1131" t="s">
        <v>21</v>
      </c>
      <c r="CN235" s="1130" t="s">
        <v>21</v>
      </c>
      <c r="CP235" s="838" t="s">
        <v>21</v>
      </c>
      <c r="CQ235" s="838" t="s">
        <v>21</v>
      </c>
      <c r="CR235" s="836"/>
    </row>
    <row r="236" spans="1:96" x14ac:dyDescent="0.25">
      <c r="A236" s="935"/>
      <c r="B236" s="932"/>
      <c r="C236" s="911"/>
      <c r="D236" s="911"/>
      <c r="E236" s="912"/>
      <c r="F236" s="912"/>
      <c r="G236" s="910"/>
      <c r="H236" s="912"/>
      <c r="I236" s="912"/>
      <c r="J236" s="914"/>
      <c r="K236" s="915"/>
      <c r="L236" s="916" t="s">
        <v>21</v>
      </c>
      <c r="M236" s="916" t="s">
        <v>21</v>
      </c>
      <c r="N236" s="916" t="s">
        <v>21</v>
      </c>
      <c r="O236" s="916" t="s">
        <v>21</v>
      </c>
      <c r="P236" s="915"/>
      <c r="Q236" s="916" t="s">
        <v>21</v>
      </c>
      <c r="R236" s="917" t="s">
        <v>21</v>
      </c>
      <c r="S236" s="918" t="s">
        <v>21</v>
      </c>
      <c r="T236" s="918" t="s">
        <v>21</v>
      </c>
      <c r="U236" s="916" t="s">
        <v>21</v>
      </c>
      <c r="V236" s="916" t="s">
        <v>21</v>
      </c>
      <c r="W236" s="915"/>
      <c r="X236" s="916" t="s">
        <v>21</v>
      </c>
      <c r="Y236" s="916" t="s">
        <v>21</v>
      </c>
      <c r="Z236" s="916" t="s">
        <v>21</v>
      </c>
      <c r="AA236" s="916" t="s">
        <v>21</v>
      </c>
      <c r="AB236" s="916" t="s">
        <v>21</v>
      </c>
      <c r="AC236" s="915"/>
      <c r="AD236" s="919" t="s">
        <v>21</v>
      </c>
      <c r="AE236" s="920" t="s">
        <v>21</v>
      </c>
      <c r="AF236" s="920" t="s">
        <v>21</v>
      </c>
      <c r="AG236" s="920" t="s">
        <v>21</v>
      </c>
      <c r="AH236" s="921" t="s">
        <v>21</v>
      </c>
      <c r="AI236" s="921" t="s">
        <v>21</v>
      </c>
      <c r="AJ236" s="920" t="s">
        <v>21</v>
      </c>
      <c r="AK236" s="920" t="s">
        <v>21</v>
      </c>
      <c r="AL236" s="921" t="s">
        <v>21</v>
      </c>
      <c r="AM236" s="921" t="s">
        <v>21</v>
      </c>
      <c r="AN236" s="920"/>
      <c r="AO236" s="920" t="s">
        <v>21</v>
      </c>
      <c r="AP236" s="919" t="s">
        <v>21</v>
      </c>
      <c r="AQ236" s="933" t="s">
        <v>21</v>
      </c>
      <c r="AR236" s="925" t="s">
        <v>21</v>
      </c>
      <c r="AS236" s="925" t="s">
        <v>21</v>
      </c>
      <c r="AT236" s="925" t="s">
        <v>21</v>
      </c>
      <c r="AU236" s="925" t="s">
        <v>21</v>
      </c>
      <c r="AV236" s="926" t="s">
        <v>21</v>
      </c>
      <c r="AW236" s="926" t="s">
        <v>21</v>
      </c>
      <c r="AX236" s="926" t="s">
        <v>21</v>
      </c>
      <c r="AY236" s="926" t="s">
        <v>21</v>
      </c>
      <c r="AZ236" s="925" t="s">
        <v>21</v>
      </c>
      <c r="BA236" s="925"/>
      <c r="BB236" s="919" t="s">
        <v>21</v>
      </c>
      <c r="BC236" s="919" t="s">
        <v>21</v>
      </c>
      <c r="BD236" s="919" t="s">
        <v>21</v>
      </c>
      <c r="BE236" s="925" t="s">
        <v>21</v>
      </c>
      <c r="BF236" s="926" t="s">
        <v>21</v>
      </c>
      <c r="BG236" s="925" t="s">
        <v>21</v>
      </c>
      <c r="BH236" s="926" t="s">
        <v>21</v>
      </c>
      <c r="BI236" s="925" t="s">
        <v>21</v>
      </c>
      <c r="BJ236" s="926" t="s">
        <v>21</v>
      </c>
      <c r="BK236" s="925" t="s">
        <v>21</v>
      </c>
      <c r="BL236" s="926" t="s">
        <v>21</v>
      </c>
      <c r="BM236" s="925" t="s">
        <v>21</v>
      </c>
      <c r="BN236" s="927"/>
      <c r="BO236" s="927"/>
      <c r="BP236" s="928" t="s">
        <v>21</v>
      </c>
      <c r="BQ236" s="928" t="s">
        <v>21</v>
      </c>
      <c r="BR236" s="928" t="s">
        <v>21</v>
      </c>
      <c r="BS236" s="928" t="s">
        <v>21</v>
      </c>
      <c r="BT236" s="928" t="s">
        <v>21</v>
      </c>
      <c r="BU236" s="928" t="s">
        <v>21</v>
      </c>
      <c r="BV236" s="934" t="s">
        <v>21</v>
      </c>
      <c r="BW236" s="934" t="s">
        <v>21</v>
      </c>
      <c r="BX236" s="1104" t="s">
        <v>21</v>
      </c>
      <c r="BY236" s="931" t="s">
        <v>21</v>
      </c>
      <c r="BZ236" s="930" t="s">
        <v>21</v>
      </c>
      <c r="CA236" s="1074" t="s">
        <v>21</v>
      </c>
      <c r="CB236" s="930" t="s">
        <v>21</v>
      </c>
      <c r="CC236" s="930" t="s">
        <v>21</v>
      </c>
      <c r="CD236" s="925" t="s">
        <v>21</v>
      </c>
      <c r="CE236" s="1130" t="s">
        <v>21</v>
      </c>
      <c r="CF236" s="1129" t="s">
        <v>21</v>
      </c>
      <c r="CG236" s="1130" t="s">
        <v>21</v>
      </c>
      <c r="CH236" s="1130" t="s">
        <v>21</v>
      </c>
      <c r="CI236" s="1131" t="s">
        <v>21</v>
      </c>
      <c r="CJ236" s="1129" t="s">
        <v>21</v>
      </c>
      <c r="CK236" s="1130" t="s">
        <v>21</v>
      </c>
      <c r="CL236" s="1130" t="s">
        <v>21</v>
      </c>
      <c r="CM236" s="1131" t="s">
        <v>21</v>
      </c>
      <c r="CN236" s="1130" t="s">
        <v>21</v>
      </c>
      <c r="CP236" s="838" t="s">
        <v>21</v>
      </c>
      <c r="CQ236" s="838" t="s">
        <v>21</v>
      </c>
      <c r="CR236" s="836"/>
    </row>
    <row r="237" spans="1:96" x14ac:dyDescent="0.25">
      <c r="A237" s="935" t="s">
        <v>2525</v>
      </c>
      <c r="B237" s="1490" t="s">
        <v>2442</v>
      </c>
      <c r="C237" s="1491">
        <v>1000</v>
      </c>
      <c r="D237" s="1491" t="s">
        <v>2116</v>
      </c>
      <c r="E237" s="1489">
        <v>1178.96</v>
      </c>
      <c r="F237" s="1489">
        <v>1175.6479999999999</v>
      </c>
      <c r="G237" s="1490" t="s">
        <v>2443</v>
      </c>
      <c r="H237" s="1489">
        <v>1178</v>
      </c>
      <c r="I237" s="1489">
        <v>1175.4839999999999</v>
      </c>
      <c r="J237" s="1488">
        <v>27.06</v>
      </c>
      <c r="K237" s="915"/>
      <c r="L237" s="916">
        <v>0.15</v>
      </c>
      <c r="M237" s="916">
        <v>0.09</v>
      </c>
      <c r="N237" s="916">
        <v>0.2</v>
      </c>
      <c r="O237" s="916">
        <v>6.1689999999999996</v>
      </c>
      <c r="P237" s="915"/>
      <c r="Q237" s="916">
        <v>3.254</v>
      </c>
      <c r="R237" s="917">
        <v>0.33333333333333331</v>
      </c>
      <c r="S237" s="918">
        <v>2</v>
      </c>
      <c r="T237" s="918">
        <v>4.1689999999999996</v>
      </c>
      <c r="U237" s="916">
        <v>6.86</v>
      </c>
      <c r="V237" s="916">
        <v>1.38</v>
      </c>
      <c r="W237" s="915"/>
      <c r="X237" s="916">
        <v>0.78500000000000003</v>
      </c>
      <c r="Y237" s="916">
        <v>1.0940000000000001</v>
      </c>
      <c r="Z237" s="916">
        <v>10.037000000000001</v>
      </c>
      <c r="AA237" s="916">
        <v>2.0009999999999999</v>
      </c>
      <c r="AB237" s="916">
        <v>6.6420000000000003</v>
      </c>
      <c r="AC237" s="915"/>
      <c r="AD237" s="919">
        <v>166.93299999999999</v>
      </c>
      <c r="AE237" s="920">
        <v>271.601</v>
      </c>
      <c r="AF237" s="920" t="s">
        <v>21</v>
      </c>
      <c r="AG237" s="920" t="s">
        <v>21</v>
      </c>
      <c r="AH237" s="921" t="s">
        <v>21</v>
      </c>
      <c r="AI237" s="921">
        <v>271.601</v>
      </c>
      <c r="AJ237" s="920" t="s">
        <v>21</v>
      </c>
      <c r="AK237" s="920" t="s">
        <v>21</v>
      </c>
      <c r="AL237" s="921" t="s">
        <v>21</v>
      </c>
      <c r="AM237" s="921" t="s">
        <v>21</v>
      </c>
      <c r="AN237" s="920"/>
      <c r="AO237" s="920" t="s">
        <v>21</v>
      </c>
      <c r="AP237" s="919">
        <v>54.12</v>
      </c>
      <c r="AQ237" s="933">
        <v>185.63159999999999</v>
      </c>
      <c r="AR237" s="925" t="s">
        <v>21</v>
      </c>
      <c r="AS237" s="925" t="s">
        <v>21</v>
      </c>
      <c r="AT237" s="925" t="s">
        <v>21</v>
      </c>
      <c r="AU237" s="925" t="s">
        <v>21</v>
      </c>
      <c r="AV237" s="926" t="s">
        <v>21</v>
      </c>
      <c r="AW237" s="926">
        <v>185.63159999999999</v>
      </c>
      <c r="AX237" s="926" t="s">
        <v>21</v>
      </c>
      <c r="AY237" s="926" t="s">
        <v>21</v>
      </c>
      <c r="AZ237" s="925" t="s">
        <v>21</v>
      </c>
      <c r="BA237" s="925"/>
      <c r="BB237" s="919" t="s">
        <v>21</v>
      </c>
      <c r="BC237" s="919">
        <v>8.1180000000000003</v>
      </c>
      <c r="BD237" s="919" t="s">
        <v>2152</v>
      </c>
      <c r="BE237" s="925" t="s">
        <v>21</v>
      </c>
      <c r="BF237" s="926" t="s">
        <v>21</v>
      </c>
      <c r="BG237" s="925" t="s">
        <v>21</v>
      </c>
      <c r="BH237" s="926" t="s">
        <v>21</v>
      </c>
      <c r="BI237" s="925">
        <v>27.06</v>
      </c>
      <c r="BJ237" s="926" t="s">
        <v>21</v>
      </c>
      <c r="BK237" s="925" t="s">
        <v>21</v>
      </c>
      <c r="BL237" s="926" t="s">
        <v>21</v>
      </c>
      <c r="BM237" s="925" t="s">
        <v>21</v>
      </c>
      <c r="BN237" s="927"/>
      <c r="BO237" s="927"/>
      <c r="BP237" s="928" t="s">
        <v>21</v>
      </c>
      <c r="BQ237" s="928" t="s">
        <v>21</v>
      </c>
      <c r="BR237" s="928">
        <v>1</v>
      </c>
      <c r="BS237" s="928" t="s">
        <v>21</v>
      </c>
      <c r="BT237" s="928" t="s">
        <v>21</v>
      </c>
      <c r="BU237" s="928" t="s">
        <v>21</v>
      </c>
      <c r="BV237" s="934">
        <v>1.2120000000001254</v>
      </c>
      <c r="BW237" s="934">
        <v>1.5</v>
      </c>
      <c r="BX237" s="1104">
        <v>3</v>
      </c>
      <c r="BY237" s="931">
        <v>7</v>
      </c>
      <c r="BZ237" s="930" t="s">
        <v>21</v>
      </c>
      <c r="CA237" s="1074" t="s">
        <v>21</v>
      </c>
      <c r="CB237" s="930" t="s">
        <v>21</v>
      </c>
      <c r="CC237" s="930" t="s">
        <v>21</v>
      </c>
      <c r="CD237" s="925">
        <v>54.146999999999998</v>
      </c>
      <c r="CE237" s="1130">
        <v>179.733</v>
      </c>
      <c r="CF237" s="1129" t="s">
        <v>21</v>
      </c>
      <c r="CG237" s="1130" t="s">
        <v>21</v>
      </c>
      <c r="CH237" s="1130" t="s">
        <v>21</v>
      </c>
      <c r="CI237" s="1131" t="s">
        <v>21</v>
      </c>
      <c r="CJ237" s="1129" t="s">
        <v>21</v>
      </c>
      <c r="CK237" s="1130" t="s">
        <v>21</v>
      </c>
      <c r="CL237" s="1130" t="s">
        <v>21</v>
      </c>
      <c r="CM237" s="1131" t="s">
        <v>21</v>
      </c>
      <c r="CN237" s="1130">
        <v>179.733</v>
      </c>
      <c r="CP237" s="838" t="s">
        <v>21</v>
      </c>
      <c r="CQ237" s="838" t="s">
        <v>21</v>
      </c>
      <c r="CR237" s="836"/>
    </row>
    <row r="238" spans="1:96" x14ac:dyDescent="0.25">
      <c r="A238" s="935"/>
      <c r="B238" s="1490" t="s">
        <v>2443</v>
      </c>
      <c r="C238" s="1491">
        <v>1000</v>
      </c>
      <c r="D238" s="1491" t="s">
        <v>2116</v>
      </c>
      <c r="E238" s="1489">
        <v>1178</v>
      </c>
      <c r="F238" s="1489">
        <v>1175.384</v>
      </c>
      <c r="G238" s="1490" t="s">
        <v>2444</v>
      </c>
      <c r="H238" s="1489">
        <v>1177.7</v>
      </c>
      <c r="I238" s="1489">
        <v>1175.3</v>
      </c>
      <c r="J238" s="1488">
        <v>17.079999999999998</v>
      </c>
      <c r="K238" s="915"/>
      <c r="L238" s="916">
        <v>0.15</v>
      </c>
      <c r="M238" s="916">
        <v>0.09</v>
      </c>
      <c r="N238" s="916">
        <v>0.2</v>
      </c>
      <c r="O238" s="916">
        <v>5.899</v>
      </c>
      <c r="P238" s="915"/>
      <c r="Q238" s="916">
        <v>2.8479999999999999</v>
      </c>
      <c r="R238" s="917">
        <v>0.33333333333333331</v>
      </c>
      <c r="S238" s="918">
        <v>2</v>
      </c>
      <c r="T238" s="918">
        <v>3.899</v>
      </c>
      <c r="U238" s="916">
        <v>6.0039999999999996</v>
      </c>
      <c r="V238" s="916">
        <v>1.38</v>
      </c>
      <c r="W238" s="915"/>
      <c r="X238" s="916">
        <v>0.78500000000000003</v>
      </c>
      <c r="Y238" s="916">
        <v>1.0940000000000001</v>
      </c>
      <c r="Z238" s="916">
        <v>8.4</v>
      </c>
      <c r="AA238" s="916">
        <v>2.0009999999999999</v>
      </c>
      <c r="AB238" s="916">
        <v>5.0049999999999999</v>
      </c>
      <c r="AC238" s="915"/>
      <c r="AD238" s="919">
        <v>100.755</v>
      </c>
      <c r="AE238" s="920">
        <v>143.47200000000001</v>
      </c>
      <c r="AF238" s="920" t="s">
        <v>21</v>
      </c>
      <c r="AG238" s="920" t="s">
        <v>21</v>
      </c>
      <c r="AH238" s="921" t="s">
        <v>21</v>
      </c>
      <c r="AI238" s="921">
        <v>143.47200000000001</v>
      </c>
      <c r="AJ238" s="920" t="s">
        <v>21</v>
      </c>
      <c r="AK238" s="920" t="s">
        <v>21</v>
      </c>
      <c r="AL238" s="921" t="s">
        <v>21</v>
      </c>
      <c r="AM238" s="921" t="s">
        <v>21</v>
      </c>
      <c r="AN238" s="920"/>
      <c r="AO238" s="920" t="s">
        <v>21</v>
      </c>
      <c r="AP238" s="919">
        <v>34.159999999999997</v>
      </c>
      <c r="AQ238" s="933">
        <v>102.54831999999998</v>
      </c>
      <c r="AR238" s="925" t="s">
        <v>21</v>
      </c>
      <c r="AS238" s="925" t="s">
        <v>21</v>
      </c>
      <c r="AT238" s="925" t="s">
        <v>21</v>
      </c>
      <c r="AU238" s="925" t="s">
        <v>21</v>
      </c>
      <c r="AV238" s="926" t="s">
        <v>21</v>
      </c>
      <c r="AW238" s="926">
        <v>102.54831999999998</v>
      </c>
      <c r="AX238" s="926" t="s">
        <v>21</v>
      </c>
      <c r="AY238" s="926" t="s">
        <v>21</v>
      </c>
      <c r="AZ238" s="925" t="s">
        <v>21</v>
      </c>
      <c r="BA238" s="925"/>
      <c r="BB238" s="919" t="s">
        <v>21</v>
      </c>
      <c r="BC238" s="919">
        <v>5.1239999999999997</v>
      </c>
      <c r="BD238" s="919" t="s">
        <v>2142</v>
      </c>
      <c r="BE238" s="925" t="s">
        <v>21</v>
      </c>
      <c r="BF238" s="926" t="s">
        <v>21</v>
      </c>
      <c r="BG238" s="925" t="s">
        <v>21</v>
      </c>
      <c r="BH238" s="926" t="s">
        <v>21</v>
      </c>
      <c r="BI238" s="925">
        <v>17.079999999999998</v>
      </c>
      <c r="BJ238" s="926" t="s">
        <v>21</v>
      </c>
      <c r="BK238" s="925" t="s">
        <v>21</v>
      </c>
      <c r="BL238" s="926" t="s">
        <v>21</v>
      </c>
      <c r="BM238" s="925" t="s">
        <v>21</v>
      </c>
      <c r="BN238" s="927"/>
      <c r="BO238" s="927"/>
      <c r="BP238" s="928" t="s">
        <v>21</v>
      </c>
      <c r="BQ238" s="928" t="s">
        <v>21</v>
      </c>
      <c r="BR238" s="928">
        <v>1</v>
      </c>
      <c r="BS238" s="928" t="s">
        <v>21</v>
      </c>
      <c r="BT238" s="928" t="s">
        <v>21</v>
      </c>
      <c r="BU238" s="928" t="s">
        <v>21</v>
      </c>
      <c r="BV238" s="934">
        <v>0.51599999999998536</v>
      </c>
      <c r="BW238" s="934">
        <v>1</v>
      </c>
      <c r="BX238" s="1104">
        <v>2</v>
      </c>
      <c r="BY238" s="931">
        <v>6</v>
      </c>
      <c r="BZ238" s="930">
        <v>1</v>
      </c>
      <c r="CA238" s="1074" t="s">
        <v>21</v>
      </c>
      <c r="CB238" s="930" t="s">
        <v>21</v>
      </c>
      <c r="CC238" s="930" t="s">
        <v>21</v>
      </c>
      <c r="CD238" s="925">
        <v>34.177</v>
      </c>
      <c r="CE238" s="1130">
        <v>85.484999999999999</v>
      </c>
      <c r="CF238" s="1129" t="s">
        <v>21</v>
      </c>
      <c r="CG238" s="1130" t="s">
        <v>21</v>
      </c>
      <c r="CH238" s="1130" t="s">
        <v>21</v>
      </c>
      <c r="CI238" s="1131" t="s">
        <v>21</v>
      </c>
      <c r="CJ238" s="1129" t="s">
        <v>21</v>
      </c>
      <c r="CK238" s="1130" t="s">
        <v>21</v>
      </c>
      <c r="CL238" s="1130" t="s">
        <v>21</v>
      </c>
      <c r="CM238" s="1131" t="s">
        <v>21</v>
      </c>
      <c r="CN238" s="1130">
        <v>85.484999999999999</v>
      </c>
      <c r="CP238" s="838" t="s">
        <v>21</v>
      </c>
      <c r="CQ238" s="838" t="s">
        <v>21</v>
      </c>
      <c r="CR238" s="836"/>
    </row>
    <row r="239" spans="1:96" x14ac:dyDescent="0.25">
      <c r="A239" s="935"/>
      <c r="B239" s="1490" t="s">
        <v>2444</v>
      </c>
      <c r="C239" s="1491">
        <v>1000</v>
      </c>
      <c r="D239" s="1491" t="s">
        <v>2116</v>
      </c>
      <c r="E239" s="1489">
        <v>1177.7</v>
      </c>
      <c r="F239" s="1489">
        <v>1175.3</v>
      </c>
      <c r="G239" s="932" t="s">
        <v>2298</v>
      </c>
      <c r="H239" s="1489">
        <v>1177</v>
      </c>
      <c r="I239" s="1489">
        <v>1174.7</v>
      </c>
      <c r="J239" s="1488">
        <v>48.1</v>
      </c>
      <c r="K239" s="915"/>
      <c r="L239" s="916">
        <v>0.15</v>
      </c>
      <c r="M239" s="916">
        <v>0.09</v>
      </c>
      <c r="N239" s="916">
        <v>0.2</v>
      </c>
      <c r="O239" s="916">
        <v>5.7930000000000001</v>
      </c>
      <c r="P239" s="915"/>
      <c r="Q239" s="916">
        <v>2.69</v>
      </c>
      <c r="R239" s="917">
        <v>0.33333333333333331</v>
      </c>
      <c r="S239" s="918">
        <v>2</v>
      </c>
      <c r="T239" s="918">
        <v>3.7930000000000001</v>
      </c>
      <c r="U239" s="916">
        <v>5.6710000000000003</v>
      </c>
      <c r="V239" s="916">
        <v>1.38</v>
      </c>
      <c r="W239" s="915"/>
      <c r="X239" s="916">
        <v>0.78500000000000003</v>
      </c>
      <c r="Y239" s="916">
        <v>1.0940000000000001</v>
      </c>
      <c r="Z239" s="916">
        <v>7.7919999999999998</v>
      </c>
      <c r="AA239" s="916">
        <v>2.0009999999999999</v>
      </c>
      <c r="AB239" s="916">
        <v>4.3970000000000002</v>
      </c>
      <c r="AC239" s="915"/>
      <c r="AD239" s="919">
        <v>278.64299999999997</v>
      </c>
      <c r="AE239" s="920">
        <v>374.79500000000002</v>
      </c>
      <c r="AF239" s="920" t="s">
        <v>21</v>
      </c>
      <c r="AG239" s="920" t="s">
        <v>21</v>
      </c>
      <c r="AH239" s="921" t="s">
        <v>21</v>
      </c>
      <c r="AI239" s="921">
        <v>374.79500000000002</v>
      </c>
      <c r="AJ239" s="920" t="s">
        <v>21</v>
      </c>
      <c r="AK239" s="920" t="s">
        <v>21</v>
      </c>
      <c r="AL239" s="921" t="s">
        <v>21</v>
      </c>
      <c r="AM239" s="921" t="s">
        <v>21</v>
      </c>
      <c r="AN239" s="920"/>
      <c r="AO239" s="920" t="s">
        <v>21</v>
      </c>
      <c r="AP239" s="919">
        <v>96.2</v>
      </c>
      <c r="AQ239" s="933">
        <v>272.77510000000001</v>
      </c>
      <c r="AR239" s="925" t="s">
        <v>21</v>
      </c>
      <c r="AS239" s="925" t="s">
        <v>21</v>
      </c>
      <c r="AT239" s="925" t="s">
        <v>21</v>
      </c>
      <c r="AU239" s="925" t="s">
        <v>21</v>
      </c>
      <c r="AV239" s="926" t="s">
        <v>21</v>
      </c>
      <c r="AW239" s="926">
        <v>272.77510000000001</v>
      </c>
      <c r="AX239" s="926" t="s">
        <v>21</v>
      </c>
      <c r="AY239" s="926" t="s">
        <v>21</v>
      </c>
      <c r="AZ239" s="925" t="s">
        <v>21</v>
      </c>
      <c r="BA239" s="925"/>
      <c r="BB239" s="919" t="s">
        <v>21</v>
      </c>
      <c r="BC239" s="919">
        <v>14.43</v>
      </c>
      <c r="BD239" s="919" t="s">
        <v>2142</v>
      </c>
      <c r="BE239" s="925" t="s">
        <v>21</v>
      </c>
      <c r="BF239" s="926" t="s">
        <v>21</v>
      </c>
      <c r="BG239" s="925" t="s">
        <v>21</v>
      </c>
      <c r="BH239" s="926" t="s">
        <v>21</v>
      </c>
      <c r="BI239" s="925">
        <v>48.1</v>
      </c>
      <c r="BJ239" s="926" t="s">
        <v>21</v>
      </c>
      <c r="BK239" s="925" t="s">
        <v>21</v>
      </c>
      <c r="BL239" s="926" t="s">
        <v>21</v>
      </c>
      <c r="BM239" s="925" t="s">
        <v>21</v>
      </c>
      <c r="BN239" s="927"/>
      <c r="BO239" s="927"/>
      <c r="BP239" s="928" t="s">
        <v>21</v>
      </c>
      <c r="BQ239" s="928" t="s">
        <v>21</v>
      </c>
      <c r="BR239" s="928">
        <v>1</v>
      </c>
      <c r="BS239" s="928" t="s">
        <v>21</v>
      </c>
      <c r="BT239" s="928" t="s">
        <v>21</v>
      </c>
      <c r="BU239" s="928" t="s">
        <v>21</v>
      </c>
      <c r="BV239" s="934">
        <v>0.30000000000009086</v>
      </c>
      <c r="BW239" s="934">
        <v>0.5</v>
      </c>
      <c r="BX239" s="1104">
        <v>1</v>
      </c>
      <c r="BY239" s="931">
        <v>5</v>
      </c>
      <c r="BZ239" s="930">
        <v>1</v>
      </c>
      <c r="CA239" s="1074" t="s">
        <v>21</v>
      </c>
      <c r="CB239" s="930" t="s">
        <v>21</v>
      </c>
      <c r="CC239" s="930" t="s">
        <v>21</v>
      </c>
      <c r="CD239" s="925">
        <v>96.248000000000005</v>
      </c>
      <c r="CE239" s="1130">
        <v>211.49600000000001</v>
      </c>
      <c r="CF239" s="1129" t="s">
        <v>21</v>
      </c>
      <c r="CG239" s="1130" t="s">
        <v>21</v>
      </c>
      <c r="CH239" s="1130" t="s">
        <v>21</v>
      </c>
      <c r="CI239" s="1131" t="s">
        <v>21</v>
      </c>
      <c r="CJ239" s="1129" t="s">
        <v>21</v>
      </c>
      <c r="CK239" s="1130" t="s">
        <v>21</v>
      </c>
      <c r="CL239" s="1130" t="s">
        <v>21</v>
      </c>
      <c r="CM239" s="1131" t="s">
        <v>21</v>
      </c>
      <c r="CN239" s="1130">
        <v>211.49600000000001</v>
      </c>
      <c r="CP239" s="838" t="s">
        <v>21</v>
      </c>
      <c r="CQ239" s="838" t="s">
        <v>21</v>
      </c>
      <c r="CR239" s="836"/>
    </row>
    <row r="240" spans="1:96" x14ac:dyDescent="0.25">
      <c r="A240" s="935"/>
      <c r="B240" s="932"/>
      <c r="C240" s="911"/>
      <c r="D240" s="911"/>
      <c r="E240" s="912"/>
      <c r="F240" s="912"/>
      <c r="G240" s="910"/>
      <c r="H240" s="912"/>
      <c r="I240" s="912"/>
      <c r="J240" s="914"/>
      <c r="K240" s="915"/>
      <c r="L240" s="916" t="s">
        <v>21</v>
      </c>
      <c r="M240" s="916" t="s">
        <v>21</v>
      </c>
      <c r="N240" s="916" t="s">
        <v>21</v>
      </c>
      <c r="O240" s="916" t="s">
        <v>21</v>
      </c>
      <c r="P240" s="915"/>
      <c r="Q240" s="916" t="s">
        <v>21</v>
      </c>
      <c r="R240" s="917" t="s">
        <v>21</v>
      </c>
      <c r="S240" s="918" t="s">
        <v>21</v>
      </c>
      <c r="T240" s="918" t="s">
        <v>21</v>
      </c>
      <c r="U240" s="916" t="s">
        <v>21</v>
      </c>
      <c r="V240" s="916" t="s">
        <v>21</v>
      </c>
      <c r="W240" s="915"/>
      <c r="X240" s="916" t="s">
        <v>21</v>
      </c>
      <c r="Y240" s="916" t="s">
        <v>21</v>
      </c>
      <c r="Z240" s="916" t="s">
        <v>21</v>
      </c>
      <c r="AA240" s="916" t="s">
        <v>21</v>
      </c>
      <c r="AB240" s="916" t="s">
        <v>21</v>
      </c>
      <c r="AC240" s="915"/>
      <c r="AD240" s="919" t="s">
        <v>21</v>
      </c>
      <c r="AE240" s="920" t="s">
        <v>21</v>
      </c>
      <c r="AF240" s="920" t="s">
        <v>21</v>
      </c>
      <c r="AG240" s="920" t="s">
        <v>21</v>
      </c>
      <c r="AH240" s="921" t="s">
        <v>21</v>
      </c>
      <c r="AI240" s="921" t="s">
        <v>21</v>
      </c>
      <c r="AJ240" s="920" t="s">
        <v>21</v>
      </c>
      <c r="AK240" s="920" t="s">
        <v>21</v>
      </c>
      <c r="AL240" s="921" t="s">
        <v>21</v>
      </c>
      <c r="AM240" s="921" t="s">
        <v>21</v>
      </c>
      <c r="AN240" s="920"/>
      <c r="AO240" s="920" t="s">
        <v>21</v>
      </c>
      <c r="AP240" s="919" t="s">
        <v>21</v>
      </c>
      <c r="AQ240" s="933" t="s">
        <v>21</v>
      </c>
      <c r="AR240" s="925" t="s">
        <v>21</v>
      </c>
      <c r="AS240" s="925" t="s">
        <v>21</v>
      </c>
      <c r="AT240" s="925" t="s">
        <v>21</v>
      </c>
      <c r="AU240" s="925" t="s">
        <v>21</v>
      </c>
      <c r="AV240" s="926" t="s">
        <v>21</v>
      </c>
      <c r="AW240" s="926" t="s">
        <v>21</v>
      </c>
      <c r="AX240" s="926" t="s">
        <v>21</v>
      </c>
      <c r="AY240" s="926" t="s">
        <v>21</v>
      </c>
      <c r="AZ240" s="925" t="s">
        <v>21</v>
      </c>
      <c r="BA240" s="925"/>
      <c r="BB240" s="919" t="s">
        <v>21</v>
      </c>
      <c r="BC240" s="919" t="s">
        <v>21</v>
      </c>
      <c r="BD240" s="919" t="s">
        <v>21</v>
      </c>
      <c r="BE240" s="925" t="s">
        <v>21</v>
      </c>
      <c r="BF240" s="926" t="s">
        <v>21</v>
      </c>
      <c r="BG240" s="925" t="s">
        <v>21</v>
      </c>
      <c r="BH240" s="926" t="s">
        <v>21</v>
      </c>
      <c r="BI240" s="925" t="s">
        <v>21</v>
      </c>
      <c r="BJ240" s="926" t="s">
        <v>21</v>
      </c>
      <c r="BK240" s="925" t="s">
        <v>21</v>
      </c>
      <c r="BL240" s="926" t="s">
        <v>21</v>
      </c>
      <c r="BM240" s="925" t="s">
        <v>21</v>
      </c>
      <c r="BN240" s="927"/>
      <c r="BO240" s="927"/>
      <c r="BP240" s="928" t="s">
        <v>21</v>
      </c>
      <c r="BQ240" s="928" t="s">
        <v>21</v>
      </c>
      <c r="BR240" s="928" t="s">
        <v>21</v>
      </c>
      <c r="BS240" s="928" t="s">
        <v>21</v>
      </c>
      <c r="BT240" s="928" t="s">
        <v>21</v>
      </c>
      <c r="BU240" s="928" t="s">
        <v>21</v>
      </c>
      <c r="BV240" s="934" t="s">
        <v>21</v>
      </c>
      <c r="BW240" s="934" t="s">
        <v>21</v>
      </c>
      <c r="BX240" s="1104" t="s">
        <v>21</v>
      </c>
      <c r="BY240" s="931" t="s">
        <v>21</v>
      </c>
      <c r="BZ240" s="930" t="s">
        <v>21</v>
      </c>
      <c r="CA240" s="1074" t="s">
        <v>21</v>
      </c>
      <c r="CB240" s="930" t="s">
        <v>21</v>
      </c>
      <c r="CC240" s="930" t="s">
        <v>21</v>
      </c>
      <c r="CD240" s="925" t="s">
        <v>21</v>
      </c>
      <c r="CE240" s="1130" t="s">
        <v>21</v>
      </c>
      <c r="CF240" s="1129" t="s">
        <v>21</v>
      </c>
      <c r="CG240" s="1130" t="s">
        <v>21</v>
      </c>
      <c r="CH240" s="1130" t="s">
        <v>21</v>
      </c>
      <c r="CI240" s="1131" t="s">
        <v>21</v>
      </c>
      <c r="CJ240" s="1129" t="s">
        <v>21</v>
      </c>
      <c r="CK240" s="1130" t="s">
        <v>21</v>
      </c>
      <c r="CL240" s="1130" t="s">
        <v>21</v>
      </c>
      <c r="CM240" s="1131" t="s">
        <v>21</v>
      </c>
      <c r="CN240" s="1130" t="s">
        <v>21</v>
      </c>
      <c r="CP240" s="838" t="s">
        <v>21</v>
      </c>
      <c r="CQ240" s="838" t="s">
        <v>21</v>
      </c>
      <c r="CR240" s="836"/>
    </row>
    <row r="241" spans="1:96" x14ac:dyDescent="0.25">
      <c r="A241" s="935" t="s">
        <v>2526</v>
      </c>
      <c r="B241" s="932" t="s">
        <v>2451</v>
      </c>
      <c r="C241" s="911">
        <v>600</v>
      </c>
      <c r="D241" s="911" t="s">
        <v>2116</v>
      </c>
      <c r="E241" s="912">
        <v>1208.8499999999999</v>
      </c>
      <c r="F241" s="912">
        <v>1206.95</v>
      </c>
      <c r="G241" s="910" t="s">
        <v>2452</v>
      </c>
      <c r="H241" s="912">
        <v>1208.3499999999999</v>
      </c>
      <c r="I241" s="912">
        <v>1206.45</v>
      </c>
      <c r="J241" s="914">
        <v>30.22</v>
      </c>
      <c r="K241" s="915"/>
      <c r="L241" s="916">
        <v>0.1</v>
      </c>
      <c r="M241" s="916">
        <v>0.06</v>
      </c>
      <c r="N241" s="916">
        <v>0.2</v>
      </c>
      <c r="O241" s="916">
        <v>4.84</v>
      </c>
      <c r="P241" s="915"/>
      <c r="Q241" s="916">
        <v>2.16</v>
      </c>
      <c r="R241" s="917">
        <v>0.33333333333333331</v>
      </c>
      <c r="S241" s="918">
        <v>1.4</v>
      </c>
      <c r="T241" s="918">
        <v>2.84</v>
      </c>
      <c r="U241" s="916">
        <v>4.5540000000000003</v>
      </c>
      <c r="V241" s="916">
        <v>0.92</v>
      </c>
      <c r="W241" s="915"/>
      <c r="X241" s="916">
        <v>0.28299999999999997</v>
      </c>
      <c r="Y241" s="916">
        <v>0.40699999999999997</v>
      </c>
      <c r="Z241" s="916">
        <v>4.5789999999999997</v>
      </c>
      <c r="AA241" s="916">
        <v>1.0229999999999999</v>
      </c>
      <c r="AB241" s="916">
        <v>3.0089999999999999</v>
      </c>
      <c r="AC241" s="915"/>
      <c r="AD241" s="919">
        <v>146.26499999999999</v>
      </c>
      <c r="AE241" s="920">
        <v>138.37700000000001</v>
      </c>
      <c r="AF241" s="920" t="s">
        <v>21</v>
      </c>
      <c r="AG241" s="920" t="s">
        <v>21</v>
      </c>
      <c r="AH241" s="921">
        <v>138.37700000000001</v>
      </c>
      <c r="AI241" s="921" t="s">
        <v>21</v>
      </c>
      <c r="AJ241" s="920" t="s">
        <v>21</v>
      </c>
      <c r="AK241" s="920" t="s">
        <v>21</v>
      </c>
      <c r="AL241" s="921" t="s">
        <v>21</v>
      </c>
      <c r="AM241" s="921" t="s">
        <v>21</v>
      </c>
      <c r="AN241" s="920"/>
      <c r="AO241" s="920" t="s">
        <v>21</v>
      </c>
      <c r="AP241" s="919">
        <v>42.308</v>
      </c>
      <c r="AQ241" s="933">
        <v>137.62188</v>
      </c>
      <c r="AR241" s="925" t="s">
        <v>21</v>
      </c>
      <c r="AS241" s="925">
        <v>137.62188</v>
      </c>
      <c r="AT241" s="925" t="s">
        <v>21</v>
      </c>
      <c r="AU241" s="925" t="s">
        <v>21</v>
      </c>
      <c r="AV241" s="926" t="s">
        <v>21</v>
      </c>
      <c r="AW241" s="926" t="s">
        <v>21</v>
      </c>
      <c r="AX241" s="926" t="s">
        <v>21</v>
      </c>
      <c r="AY241" s="926" t="s">
        <v>21</v>
      </c>
      <c r="AZ241" s="925" t="s">
        <v>21</v>
      </c>
      <c r="BA241" s="925"/>
      <c r="BB241" s="919">
        <v>4.2309999999999999</v>
      </c>
      <c r="BC241" s="919" t="s">
        <v>21</v>
      </c>
      <c r="BD241" s="919" t="s">
        <v>2142</v>
      </c>
      <c r="BE241" s="925" t="s">
        <v>21</v>
      </c>
      <c r="BF241" s="926" t="s">
        <v>21</v>
      </c>
      <c r="BG241" s="925">
        <v>30.22</v>
      </c>
      <c r="BH241" s="926" t="s">
        <v>21</v>
      </c>
      <c r="BI241" s="925" t="s">
        <v>21</v>
      </c>
      <c r="BJ241" s="926" t="s">
        <v>21</v>
      </c>
      <c r="BK241" s="925" t="s">
        <v>21</v>
      </c>
      <c r="BL241" s="926" t="s">
        <v>21</v>
      </c>
      <c r="BM241" s="925" t="s">
        <v>21</v>
      </c>
      <c r="BN241" s="927"/>
      <c r="BO241" s="927"/>
      <c r="BP241" s="928">
        <v>1</v>
      </c>
      <c r="BQ241" s="928" t="s">
        <v>21</v>
      </c>
      <c r="BR241" s="928" t="s">
        <v>21</v>
      </c>
      <c r="BS241" s="928" t="s">
        <v>21</v>
      </c>
      <c r="BT241" s="928" t="s">
        <v>21</v>
      </c>
      <c r="BU241" s="928" t="s">
        <v>21</v>
      </c>
      <c r="BV241" s="934">
        <v>0.49999999999986366</v>
      </c>
      <c r="BW241" s="934">
        <v>0.5</v>
      </c>
      <c r="BX241" s="1104">
        <v>1</v>
      </c>
      <c r="BY241" s="931">
        <v>3</v>
      </c>
      <c r="BZ241" s="930" t="s">
        <v>21</v>
      </c>
      <c r="CA241" s="1074">
        <v>1</v>
      </c>
      <c r="CB241" s="930" t="s">
        <v>21</v>
      </c>
      <c r="CC241" s="930" t="s">
        <v>21</v>
      </c>
      <c r="CD241" s="925">
        <v>30.914999999999999</v>
      </c>
      <c r="CE241" s="1130">
        <v>90.932000000000002</v>
      </c>
      <c r="CF241" s="1129" t="s">
        <v>21</v>
      </c>
      <c r="CG241" s="1130" t="s">
        <v>21</v>
      </c>
      <c r="CH241" s="1130" t="s">
        <v>21</v>
      </c>
      <c r="CI241" s="1131" t="s">
        <v>21</v>
      </c>
      <c r="CJ241" s="1129" t="s">
        <v>21</v>
      </c>
      <c r="CK241" s="1130">
        <v>90.932000000000002</v>
      </c>
      <c r="CL241" s="1130" t="s">
        <v>21</v>
      </c>
      <c r="CM241" s="1131" t="s">
        <v>21</v>
      </c>
      <c r="CN241" s="1130" t="s">
        <v>21</v>
      </c>
      <c r="CP241" s="838" t="s">
        <v>21</v>
      </c>
      <c r="CQ241" s="838" t="s">
        <v>21</v>
      </c>
      <c r="CR241" s="836"/>
    </row>
    <row r="242" spans="1:96" x14ac:dyDescent="0.25">
      <c r="A242" s="935"/>
      <c r="B242" s="932"/>
      <c r="C242" s="911"/>
      <c r="D242" s="911"/>
      <c r="E242" s="912"/>
      <c r="F242" s="912"/>
      <c r="G242" s="910"/>
      <c r="H242" s="912"/>
      <c r="I242" s="912"/>
      <c r="J242" s="914"/>
      <c r="K242" s="915"/>
      <c r="L242" s="916" t="s">
        <v>21</v>
      </c>
      <c r="M242" s="916" t="s">
        <v>21</v>
      </c>
      <c r="N242" s="916" t="s">
        <v>21</v>
      </c>
      <c r="O242" s="916" t="s">
        <v>21</v>
      </c>
      <c r="P242" s="915"/>
      <c r="Q242" s="916" t="s">
        <v>21</v>
      </c>
      <c r="R242" s="917" t="s">
        <v>21</v>
      </c>
      <c r="S242" s="918" t="s">
        <v>21</v>
      </c>
      <c r="T242" s="918" t="s">
        <v>21</v>
      </c>
      <c r="U242" s="916" t="s">
        <v>21</v>
      </c>
      <c r="V242" s="916" t="s">
        <v>21</v>
      </c>
      <c r="W242" s="915"/>
      <c r="X242" s="916" t="s">
        <v>21</v>
      </c>
      <c r="Y242" s="916" t="s">
        <v>21</v>
      </c>
      <c r="Z242" s="916" t="s">
        <v>21</v>
      </c>
      <c r="AA242" s="916" t="s">
        <v>21</v>
      </c>
      <c r="AB242" s="916" t="s">
        <v>21</v>
      </c>
      <c r="AC242" s="915"/>
      <c r="AD242" s="919" t="s">
        <v>21</v>
      </c>
      <c r="AE242" s="920" t="s">
        <v>21</v>
      </c>
      <c r="AF242" s="920" t="s">
        <v>21</v>
      </c>
      <c r="AG242" s="920" t="s">
        <v>21</v>
      </c>
      <c r="AH242" s="921" t="s">
        <v>21</v>
      </c>
      <c r="AI242" s="921" t="s">
        <v>21</v>
      </c>
      <c r="AJ242" s="920" t="s">
        <v>21</v>
      </c>
      <c r="AK242" s="920" t="s">
        <v>21</v>
      </c>
      <c r="AL242" s="921" t="s">
        <v>21</v>
      </c>
      <c r="AM242" s="921" t="s">
        <v>21</v>
      </c>
      <c r="AN242" s="920"/>
      <c r="AO242" s="920" t="s">
        <v>21</v>
      </c>
      <c r="AP242" s="919" t="s">
        <v>21</v>
      </c>
      <c r="AQ242" s="933" t="s">
        <v>21</v>
      </c>
      <c r="AR242" s="925" t="s">
        <v>21</v>
      </c>
      <c r="AS242" s="925" t="s">
        <v>21</v>
      </c>
      <c r="AT242" s="925" t="s">
        <v>21</v>
      </c>
      <c r="AU242" s="925" t="s">
        <v>21</v>
      </c>
      <c r="AV242" s="926" t="s">
        <v>21</v>
      </c>
      <c r="AW242" s="926" t="s">
        <v>21</v>
      </c>
      <c r="AX242" s="926" t="s">
        <v>21</v>
      </c>
      <c r="AY242" s="926" t="s">
        <v>21</v>
      </c>
      <c r="AZ242" s="925" t="s">
        <v>21</v>
      </c>
      <c r="BA242" s="925"/>
      <c r="BB242" s="919" t="s">
        <v>21</v>
      </c>
      <c r="BC242" s="919" t="s">
        <v>21</v>
      </c>
      <c r="BD242" s="919" t="s">
        <v>21</v>
      </c>
      <c r="BE242" s="925" t="s">
        <v>21</v>
      </c>
      <c r="BF242" s="926" t="s">
        <v>21</v>
      </c>
      <c r="BG242" s="925" t="s">
        <v>21</v>
      </c>
      <c r="BH242" s="926" t="s">
        <v>21</v>
      </c>
      <c r="BI242" s="925" t="s">
        <v>21</v>
      </c>
      <c r="BJ242" s="926" t="s">
        <v>21</v>
      </c>
      <c r="BK242" s="925" t="s">
        <v>21</v>
      </c>
      <c r="BL242" s="926" t="s">
        <v>21</v>
      </c>
      <c r="BM242" s="925" t="s">
        <v>21</v>
      </c>
      <c r="BN242" s="927"/>
      <c r="BO242" s="927"/>
      <c r="BP242" s="928" t="s">
        <v>21</v>
      </c>
      <c r="BQ242" s="928" t="s">
        <v>21</v>
      </c>
      <c r="BR242" s="928" t="s">
        <v>21</v>
      </c>
      <c r="BS242" s="928" t="s">
        <v>21</v>
      </c>
      <c r="BT242" s="928" t="s">
        <v>21</v>
      </c>
      <c r="BU242" s="928" t="s">
        <v>21</v>
      </c>
      <c r="BV242" s="934" t="s">
        <v>21</v>
      </c>
      <c r="BW242" s="934" t="s">
        <v>21</v>
      </c>
      <c r="BX242" s="1104" t="s">
        <v>21</v>
      </c>
      <c r="BY242" s="931" t="s">
        <v>21</v>
      </c>
      <c r="BZ242" s="930" t="s">
        <v>21</v>
      </c>
      <c r="CA242" s="1074" t="s">
        <v>21</v>
      </c>
      <c r="CB242" s="930" t="s">
        <v>21</v>
      </c>
      <c r="CC242" s="930" t="s">
        <v>21</v>
      </c>
      <c r="CD242" s="925" t="s">
        <v>21</v>
      </c>
      <c r="CE242" s="1130" t="s">
        <v>21</v>
      </c>
      <c r="CF242" s="1129" t="s">
        <v>21</v>
      </c>
      <c r="CG242" s="1130" t="s">
        <v>21</v>
      </c>
      <c r="CH242" s="1130" t="s">
        <v>21</v>
      </c>
      <c r="CI242" s="1131" t="s">
        <v>21</v>
      </c>
      <c r="CJ242" s="1129" t="s">
        <v>21</v>
      </c>
      <c r="CK242" s="1130" t="s">
        <v>21</v>
      </c>
      <c r="CL242" s="1130" t="s">
        <v>21</v>
      </c>
      <c r="CM242" s="1131" t="s">
        <v>21</v>
      </c>
      <c r="CN242" s="1130" t="s">
        <v>21</v>
      </c>
      <c r="CP242" s="838" t="s">
        <v>21</v>
      </c>
      <c r="CQ242" s="838" t="s">
        <v>21</v>
      </c>
      <c r="CR242" s="836"/>
    </row>
    <row r="243" spans="1:96" x14ac:dyDescent="0.25">
      <c r="A243" s="935" t="s">
        <v>2527</v>
      </c>
      <c r="B243" s="932" t="s">
        <v>2454</v>
      </c>
      <c r="C243" s="911">
        <v>600</v>
      </c>
      <c r="D243" s="911" t="s">
        <v>2116</v>
      </c>
      <c r="E243" s="912">
        <v>1192</v>
      </c>
      <c r="F243" s="912">
        <v>1190.0999999999999</v>
      </c>
      <c r="G243" s="910" t="s">
        <v>2298</v>
      </c>
      <c r="H243" s="912">
        <v>1191</v>
      </c>
      <c r="I243" s="912">
        <v>1189.0999999999999</v>
      </c>
      <c r="J243" s="914">
        <v>43.34</v>
      </c>
      <c r="K243" s="915"/>
      <c r="L243" s="916">
        <v>0.1</v>
      </c>
      <c r="M243" s="916">
        <v>0.06</v>
      </c>
      <c r="N243" s="916">
        <v>0.2</v>
      </c>
      <c r="O243" s="916">
        <v>4.84</v>
      </c>
      <c r="P243" s="915"/>
      <c r="Q243" s="916">
        <v>2.16</v>
      </c>
      <c r="R243" s="917">
        <v>0.33333333333333331</v>
      </c>
      <c r="S243" s="918">
        <v>1.4</v>
      </c>
      <c r="T243" s="918">
        <v>2.84</v>
      </c>
      <c r="U243" s="916">
        <v>4.5540000000000003</v>
      </c>
      <c r="V243" s="916">
        <v>0.92</v>
      </c>
      <c r="W243" s="915"/>
      <c r="X243" s="916">
        <v>0.28299999999999997</v>
      </c>
      <c r="Y243" s="916">
        <v>0.40699999999999997</v>
      </c>
      <c r="Z243" s="916">
        <v>4.5789999999999997</v>
      </c>
      <c r="AA243" s="916">
        <v>1.0229999999999999</v>
      </c>
      <c r="AB243" s="916">
        <v>3.0089999999999999</v>
      </c>
      <c r="AC243" s="915"/>
      <c r="AD243" s="919">
        <v>209.76599999999999</v>
      </c>
      <c r="AE243" s="920">
        <v>198.45400000000001</v>
      </c>
      <c r="AF243" s="920" t="s">
        <v>21</v>
      </c>
      <c r="AG243" s="920" t="s">
        <v>21</v>
      </c>
      <c r="AH243" s="921">
        <v>198.45400000000001</v>
      </c>
      <c r="AI243" s="921" t="s">
        <v>21</v>
      </c>
      <c r="AJ243" s="920" t="s">
        <v>21</v>
      </c>
      <c r="AK243" s="920" t="s">
        <v>21</v>
      </c>
      <c r="AL243" s="921" t="s">
        <v>21</v>
      </c>
      <c r="AM243" s="921" t="s">
        <v>21</v>
      </c>
      <c r="AN243" s="920"/>
      <c r="AO243" s="920" t="s">
        <v>21</v>
      </c>
      <c r="AP243" s="919">
        <v>60.676000000000002</v>
      </c>
      <c r="AQ243" s="933">
        <v>197.37036000000003</v>
      </c>
      <c r="AR243" s="925" t="s">
        <v>21</v>
      </c>
      <c r="AS243" s="925">
        <v>197.37036000000003</v>
      </c>
      <c r="AT243" s="925" t="s">
        <v>21</v>
      </c>
      <c r="AU243" s="925" t="s">
        <v>21</v>
      </c>
      <c r="AV243" s="926" t="s">
        <v>21</v>
      </c>
      <c r="AW243" s="926" t="s">
        <v>21</v>
      </c>
      <c r="AX243" s="926" t="s">
        <v>21</v>
      </c>
      <c r="AY243" s="926" t="s">
        <v>21</v>
      </c>
      <c r="AZ243" s="925" t="s">
        <v>21</v>
      </c>
      <c r="BA243" s="925"/>
      <c r="BB243" s="919">
        <v>6.0679999999999996</v>
      </c>
      <c r="BC243" s="919" t="s">
        <v>21</v>
      </c>
      <c r="BD243" s="919" t="s">
        <v>2142</v>
      </c>
      <c r="BE243" s="925" t="s">
        <v>21</v>
      </c>
      <c r="BF243" s="926" t="s">
        <v>21</v>
      </c>
      <c r="BG243" s="925">
        <v>43.34</v>
      </c>
      <c r="BH243" s="926" t="s">
        <v>21</v>
      </c>
      <c r="BI243" s="925" t="s">
        <v>21</v>
      </c>
      <c r="BJ243" s="926" t="s">
        <v>21</v>
      </c>
      <c r="BK243" s="925" t="s">
        <v>21</v>
      </c>
      <c r="BL243" s="926" t="s">
        <v>21</v>
      </c>
      <c r="BM243" s="925" t="s">
        <v>21</v>
      </c>
      <c r="BN243" s="927"/>
      <c r="BO243" s="927"/>
      <c r="BP243" s="928">
        <v>1</v>
      </c>
      <c r="BQ243" s="928" t="s">
        <v>21</v>
      </c>
      <c r="BR243" s="928" t="s">
        <v>21</v>
      </c>
      <c r="BS243" s="928" t="s">
        <v>21</v>
      </c>
      <c r="BT243" s="928" t="s">
        <v>21</v>
      </c>
      <c r="BU243" s="928" t="s">
        <v>21</v>
      </c>
      <c r="BV243" s="934">
        <v>0.50000000000009104</v>
      </c>
      <c r="BW243" s="934">
        <v>1</v>
      </c>
      <c r="BX243" s="1104">
        <v>2</v>
      </c>
      <c r="BY243" s="931">
        <v>4</v>
      </c>
      <c r="BZ243" s="930">
        <v>1</v>
      </c>
      <c r="CA243" s="1074" t="s">
        <v>21</v>
      </c>
      <c r="CB243" s="930" t="s">
        <v>21</v>
      </c>
      <c r="CC243" s="930" t="s">
        <v>21</v>
      </c>
      <c r="CD243" s="925">
        <v>44.337000000000003</v>
      </c>
      <c r="CE243" s="1130">
        <v>130.41</v>
      </c>
      <c r="CF243" s="1129" t="s">
        <v>21</v>
      </c>
      <c r="CG243" s="1130" t="s">
        <v>21</v>
      </c>
      <c r="CH243" s="1130" t="s">
        <v>21</v>
      </c>
      <c r="CI243" s="1131" t="s">
        <v>21</v>
      </c>
      <c r="CJ243" s="1129" t="s">
        <v>21</v>
      </c>
      <c r="CK243" s="1130">
        <v>130.41</v>
      </c>
      <c r="CL243" s="1130" t="s">
        <v>21</v>
      </c>
      <c r="CM243" s="1131" t="s">
        <v>21</v>
      </c>
      <c r="CN243" s="1130" t="s">
        <v>21</v>
      </c>
      <c r="CP243" s="838" t="s">
        <v>21</v>
      </c>
      <c r="CQ243" s="838" t="s">
        <v>21</v>
      </c>
      <c r="CR243" s="836"/>
    </row>
    <row r="244" spans="1:96" x14ac:dyDescent="0.25">
      <c r="A244" s="935"/>
      <c r="B244" s="932"/>
      <c r="C244" s="911"/>
      <c r="D244" s="911"/>
      <c r="E244" s="912"/>
      <c r="F244" s="912"/>
      <c r="G244" s="910"/>
      <c r="H244" s="912"/>
      <c r="I244" s="912"/>
      <c r="J244" s="914"/>
      <c r="K244" s="915"/>
      <c r="L244" s="916" t="s">
        <v>21</v>
      </c>
      <c r="M244" s="916" t="s">
        <v>21</v>
      </c>
      <c r="N244" s="916" t="s">
        <v>21</v>
      </c>
      <c r="O244" s="916" t="s">
        <v>21</v>
      </c>
      <c r="P244" s="915"/>
      <c r="Q244" s="916" t="s">
        <v>21</v>
      </c>
      <c r="R244" s="917" t="s">
        <v>21</v>
      </c>
      <c r="S244" s="918" t="s">
        <v>21</v>
      </c>
      <c r="T244" s="918" t="s">
        <v>21</v>
      </c>
      <c r="U244" s="916" t="s">
        <v>21</v>
      </c>
      <c r="V244" s="916" t="s">
        <v>21</v>
      </c>
      <c r="W244" s="915"/>
      <c r="X244" s="916" t="s">
        <v>21</v>
      </c>
      <c r="Y244" s="916" t="s">
        <v>21</v>
      </c>
      <c r="Z244" s="916" t="s">
        <v>21</v>
      </c>
      <c r="AA244" s="916" t="s">
        <v>21</v>
      </c>
      <c r="AB244" s="916" t="s">
        <v>21</v>
      </c>
      <c r="AC244" s="915"/>
      <c r="AD244" s="919" t="s">
        <v>21</v>
      </c>
      <c r="AE244" s="920" t="s">
        <v>21</v>
      </c>
      <c r="AF244" s="920" t="s">
        <v>21</v>
      </c>
      <c r="AG244" s="920" t="s">
        <v>21</v>
      </c>
      <c r="AH244" s="921" t="s">
        <v>21</v>
      </c>
      <c r="AI244" s="921" t="s">
        <v>21</v>
      </c>
      <c r="AJ244" s="920" t="s">
        <v>21</v>
      </c>
      <c r="AK244" s="920" t="s">
        <v>21</v>
      </c>
      <c r="AL244" s="921" t="s">
        <v>21</v>
      </c>
      <c r="AM244" s="921" t="s">
        <v>21</v>
      </c>
      <c r="AN244" s="920"/>
      <c r="AO244" s="920" t="s">
        <v>21</v>
      </c>
      <c r="AP244" s="919" t="s">
        <v>21</v>
      </c>
      <c r="AQ244" s="933" t="s">
        <v>21</v>
      </c>
      <c r="AR244" s="925" t="s">
        <v>21</v>
      </c>
      <c r="AS244" s="925" t="s">
        <v>21</v>
      </c>
      <c r="AT244" s="925" t="s">
        <v>21</v>
      </c>
      <c r="AU244" s="925" t="s">
        <v>21</v>
      </c>
      <c r="AV244" s="926" t="s">
        <v>21</v>
      </c>
      <c r="AW244" s="926" t="s">
        <v>21</v>
      </c>
      <c r="AX244" s="926" t="s">
        <v>21</v>
      </c>
      <c r="AY244" s="926" t="s">
        <v>21</v>
      </c>
      <c r="AZ244" s="925" t="s">
        <v>21</v>
      </c>
      <c r="BA244" s="925"/>
      <c r="BB244" s="919" t="s">
        <v>21</v>
      </c>
      <c r="BC244" s="919" t="s">
        <v>21</v>
      </c>
      <c r="BD244" s="919" t="s">
        <v>21</v>
      </c>
      <c r="BE244" s="925" t="s">
        <v>21</v>
      </c>
      <c r="BF244" s="926" t="s">
        <v>21</v>
      </c>
      <c r="BG244" s="925" t="s">
        <v>21</v>
      </c>
      <c r="BH244" s="926" t="s">
        <v>21</v>
      </c>
      <c r="BI244" s="925" t="s">
        <v>21</v>
      </c>
      <c r="BJ244" s="926" t="s">
        <v>21</v>
      </c>
      <c r="BK244" s="925" t="s">
        <v>21</v>
      </c>
      <c r="BL244" s="926" t="s">
        <v>21</v>
      </c>
      <c r="BM244" s="925" t="s">
        <v>21</v>
      </c>
      <c r="BN244" s="927"/>
      <c r="BO244" s="927"/>
      <c r="BP244" s="928" t="s">
        <v>21</v>
      </c>
      <c r="BQ244" s="928" t="s">
        <v>21</v>
      </c>
      <c r="BR244" s="928" t="s">
        <v>21</v>
      </c>
      <c r="BS244" s="928" t="s">
        <v>21</v>
      </c>
      <c r="BT244" s="928" t="s">
        <v>21</v>
      </c>
      <c r="BU244" s="928" t="s">
        <v>21</v>
      </c>
      <c r="BV244" s="934" t="s">
        <v>21</v>
      </c>
      <c r="BW244" s="934" t="s">
        <v>21</v>
      </c>
      <c r="BX244" s="1104" t="s">
        <v>21</v>
      </c>
      <c r="BY244" s="931" t="s">
        <v>21</v>
      </c>
      <c r="BZ244" s="930" t="s">
        <v>21</v>
      </c>
      <c r="CA244" s="1074" t="s">
        <v>21</v>
      </c>
      <c r="CB244" s="930" t="s">
        <v>21</v>
      </c>
      <c r="CC244" s="930" t="s">
        <v>21</v>
      </c>
      <c r="CD244" s="925" t="s">
        <v>21</v>
      </c>
      <c r="CE244" s="1130" t="s">
        <v>21</v>
      </c>
      <c r="CF244" s="1129" t="s">
        <v>21</v>
      </c>
      <c r="CG244" s="1130" t="s">
        <v>21</v>
      </c>
      <c r="CH244" s="1130" t="s">
        <v>21</v>
      </c>
      <c r="CI244" s="1131" t="s">
        <v>21</v>
      </c>
      <c r="CJ244" s="1129" t="s">
        <v>21</v>
      </c>
      <c r="CK244" s="1130" t="s">
        <v>21</v>
      </c>
      <c r="CL244" s="1130" t="s">
        <v>21</v>
      </c>
      <c r="CM244" s="1131" t="s">
        <v>21</v>
      </c>
      <c r="CN244" s="1130" t="s">
        <v>21</v>
      </c>
      <c r="CP244" s="838" t="s">
        <v>21</v>
      </c>
      <c r="CQ244" s="838" t="s">
        <v>21</v>
      </c>
      <c r="CR244" s="836"/>
    </row>
    <row r="245" spans="1:96" x14ac:dyDescent="0.25">
      <c r="A245" s="935" t="s">
        <v>2528</v>
      </c>
      <c r="B245" s="932" t="s">
        <v>2455</v>
      </c>
      <c r="C245" s="911">
        <v>600</v>
      </c>
      <c r="D245" s="911" t="s">
        <v>2116</v>
      </c>
      <c r="E245" s="912">
        <v>1162</v>
      </c>
      <c r="F245" s="912">
        <v>1160.0999999999999</v>
      </c>
      <c r="G245" s="932" t="s">
        <v>2456</v>
      </c>
      <c r="H245" s="912">
        <v>1161</v>
      </c>
      <c r="I245" s="912">
        <v>1159.0999999999999</v>
      </c>
      <c r="J245" s="914">
        <v>40</v>
      </c>
      <c r="K245" s="915"/>
      <c r="L245" s="916">
        <v>0.1</v>
      </c>
      <c r="M245" s="916">
        <v>0.06</v>
      </c>
      <c r="N245" s="916">
        <v>0.2</v>
      </c>
      <c r="O245" s="916">
        <v>4.84</v>
      </c>
      <c r="P245" s="915"/>
      <c r="Q245" s="916">
        <v>2.16</v>
      </c>
      <c r="R245" s="917">
        <v>0.33333333333333331</v>
      </c>
      <c r="S245" s="918">
        <v>1.4</v>
      </c>
      <c r="T245" s="918">
        <v>2.84</v>
      </c>
      <c r="U245" s="916">
        <v>4.5540000000000003</v>
      </c>
      <c r="V245" s="916">
        <v>0.92</v>
      </c>
      <c r="W245" s="915"/>
      <c r="X245" s="916">
        <v>0.28299999999999997</v>
      </c>
      <c r="Y245" s="916">
        <v>0.40699999999999997</v>
      </c>
      <c r="Z245" s="916">
        <v>4.5789999999999997</v>
      </c>
      <c r="AA245" s="916">
        <v>1.0229999999999999</v>
      </c>
      <c r="AB245" s="916">
        <v>3.0089999999999999</v>
      </c>
      <c r="AC245" s="915"/>
      <c r="AD245" s="919">
        <v>193.6</v>
      </c>
      <c r="AE245" s="920">
        <v>183.16</v>
      </c>
      <c r="AF245" s="920" t="s">
        <v>21</v>
      </c>
      <c r="AG245" s="920" t="s">
        <v>21</v>
      </c>
      <c r="AH245" s="921">
        <v>183.16</v>
      </c>
      <c r="AI245" s="921" t="s">
        <v>21</v>
      </c>
      <c r="AJ245" s="920" t="s">
        <v>21</v>
      </c>
      <c r="AK245" s="920" t="s">
        <v>21</v>
      </c>
      <c r="AL245" s="921" t="s">
        <v>21</v>
      </c>
      <c r="AM245" s="921" t="s">
        <v>21</v>
      </c>
      <c r="AN245" s="920"/>
      <c r="AO245" s="920" t="s">
        <v>21</v>
      </c>
      <c r="AP245" s="919">
        <v>56</v>
      </c>
      <c r="AQ245" s="933">
        <v>182.16000000000003</v>
      </c>
      <c r="AR245" s="925" t="s">
        <v>21</v>
      </c>
      <c r="AS245" s="925">
        <v>182.16000000000003</v>
      </c>
      <c r="AT245" s="925" t="s">
        <v>21</v>
      </c>
      <c r="AU245" s="925" t="s">
        <v>21</v>
      </c>
      <c r="AV245" s="926" t="s">
        <v>21</v>
      </c>
      <c r="AW245" s="926" t="s">
        <v>21</v>
      </c>
      <c r="AX245" s="926" t="s">
        <v>21</v>
      </c>
      <c r="AY245" s="926" t="s">
        <v>21</v>
      </c>
      <c r="AZ245" s="925" t="s">
        <v>21</v>
      </c>
      <c r="BA245" s="925"/>
      <c r="BB245" s="919">
        <v>5.6</v>
      </c>
      <c r="BC245" s="919" t="s">
        <v>21</v>
      </c>
      <c r="BD245" s="919" t="s">
        <v>2142</v>
      </c>
      <c r="BE245" s="925" t="s">
        <v>21</v>
      </c>
      <c r="BF245" s="926" t="s">
        <v>21</v>
      </c>
      <c r="BG245" s="925">
        <v>40</v>
      </c>
      <c r="BH245" s="926" t="s">
        <v>21</v>
      </c>
      <c r="BI245" s="925" t="s">
        <v>21</v>
      </c>
      <c r="BJ245" s="926" t="s">
        <v>21</v>
      </c>
      <c r="BK245" s="925" t="s">
        <v>21</v>
      </c>
      <c r="BL245" s="926" t="s">
        <v>21</v>
      </c>
      <c r="BM245" s="925" t="s">
        <v>21</v>
      </c>
      <c r="BN245" s="927"/>
      <c r="BO245" s="927"/>
      <c r="BP245" s="928">
        <v>1</v>
      </c>
      <c r="BQ245" s="928" t="s">
        <v>21</v>
      </c>
      <c r="BR245" s="928" t="s">
        <v>21</v>
      </c>
      <c r="BS245" s="928" t="s">
        <v>21</v>
      </c>
      <c r="BT245" s="928" t="s">
        <v>21</v>
      </c>
      <c r="BU245" s="928" t="s">
        <v>21</v>
      </c>
      <c r="BV245" s="934">
        <v>0.50000000000009104</v>
      </c>
      <c r="BW245" s="934">
        <v>1</v>
      </c>
      <c r="BX245" s="1104">
        <v>2</v>
      </c>
      <c r="BY245" s="931">
        <v>4</v>
      </c>
      <c r="BZ245" s="930" t="s">
        <v>21</v>
      </c>
      <c r="CA245" s="1074">
        <v>1</v>
      </c>
      <c r="CB245" s="930" t="s">
        <v>21</v>
      </c>
      <c r="CC245" s="930" t="s">
        <v>21</v>
      </c>
      <c r="CD245" s="925">
        <v>40.92</v>
      </c>
      <c r="CE245" s="1130">
        <v>120.36</v>
      </c>
      <c r="CF245" s="1129" t="s">
        <v>21</v>
      </c>
      <c r="CG245" s="1130" t="s">
        <v>21</v>
      </c>
      <c r="CH245" s="1130" t="s">
        <v>21</v>
      </c>
      <c r="CI245" s="1131" t="s">
        <v>21</v>
      </c>
      <c r="CJ245" s="1129" t="s">
        <v>21</v>
      </c>
      <c r="CK245" s="1130">
        <v>120.36</v>
      </c>
      <c r="CL245" s="1130" t="s">
        <v>21</v>
      </c>
      <c r="CM245" s="1131" t="s">
        <v>21</v>
      </c>
      <c r="CN245" s="1130" t="s">
        <v>21</v>
      </c>
      <c r="CP245" s="838" t="s">
        <v>21</v>
      </c>
      <c r="CQ245" s="838" t="s">
        <v>21</v>
      </c>
      <c r="CR245" s="836"/>
    </row>
    <row r="246" spans="1:96" x14ac:dyDescent="0.25">
      <c r="A246" s="935"/>
      <c r="B246" s="932" t="s">
        <v>2456</v>
      </c>
      <c r="C246" s="911">
        <v>600</v>
      </c>
      <c r="D246" s="911" t="s">
        <v>2116</v>
      </c>
      <c r="E246" s="912">
        <v>1161</v>
      </c>
      <c r="F246" s="912">
        <v>1159.05</v>
      </c>
      <c r="G246" s="932" t="s">
        <v>2457</v>
      </c>
      <c r="H246" s="912">
        <v>1158.8</v>
      </c>
      <c r="I246" s="912">
        <v>1156.9000000000001</v>
      </c>
      <c r="J246" s="914">
        <v>42.5</v>
      </c>
      <c r="K246" s="915"/>
      <c r="L246" s="916">
        <v>0.1</v>
      </c>
      <c r="M246" s="916">
        <v>0.06</v>
      </c>
      <c r="N246" s="916">
        <v>0.2</v>
      </c>
      <c r="O246" s="916">
        <v>4.8570000000000002</v>
      </c>
      <c r="P246" s="915"/>
      <c r="Q246" s="916">
        <v>2.1850000000000001</v>
      </c>
      <c r="R246" s="917">
        <v>0.33333333333333331</v>
      </c>
      <c r="S246" s="918">
        <v>1.4</v>
      </c>
      <c r="T246" s="918">
        <v>2.8570000000000002</v>
      </c>
      <c r="U246" s="916">
        <v>4.6059999999999999</v>
      </c>
      <c r="V246" s="916">
        <v>0.92</v>
      </c>
      <c r="W246" s="915"/>
      <c r="X246" s="916">
        <v>0.28299999999999997</v>
      </c>
      <c r="Y246" s="916">
        <v>0.40699999999999997</v>
      </c>
      <c r="Z246" s="916">
        <v>4.6509999999999998</v>
      </c>
      <c r="AA246" s="916">
        <v>1.0229999999999999</v>
      </c>
      <c r="AB246" s="916">
        <v>3.081</v>
      </c>
      <c r="AC246" s="915"/>
      <c r="AD246" s="919">
        <v>206.423</v>
      </c>
      <c r="AE246" s="920">
        <v>197.66800000000001</v>
      </c>
      <c r="AF246" s="920" t="s">
        <v>21</v>
      </c>
      <c r="AG246" s="920" t="s">
        <v>21</v>
      </c>
      <c r="AH246" s="921">
        <v>197.66800000000001</v>
      </c>
      <c r="AI246" s="921" t="s">
        <v>21</v>
      </c>
      <c r="AJ246" s="920" t="s">
        <v>21</v>
      </c>
      <c r="AK246" s="920" t="s">
        <v>21</v>
      </c>
      <c r="AL246" s="921" t="s">
        <v>21</v>
      </c>
      <c r="AM246" s="921" t="s">
        <v>21</v>
      </c>
      <c r="AN246" s="920"/>
      <c r="AO246" s="920" t="s">
        <v>21</v>
      </c>
      <c r="AP246" s="919">
        <v>59.5</v>
      </c>
      <c r="AQ246" s="933">
        <v>195.755</v>
      </c>
      <c r="AR246" s="925" t="s">
        <v>21</v>
      </c>
      <c r="AS246" s="925">
        <v>195.755</v>
      </c>
      <c r="AT246" s="925" t="s">
        <v>21</v>
      </c>
      <c r="AU246" s="925" t="s">
        <v>21</v>
      </c>
      <c r="AV246" s="926" t="s">
        <v>21</v>
      </c>
      <c r="AW246" s="926" t="s">
        <v>21</v>
      </c>
      <c r="AX246" s="926" t="s">
        <v>21</v>
      </c>
      <c r="AY246" s="926" t="s">
        <v>21</v>
      </c>
      <c r="AZ246" s="925" t="s">
        <v>21</v>
      </c>
      <c r="BA246" s="925"/>
      <c r="BB246" s="919">
        <v>5.95</v>
      </c>
      <c r="BC246" s="919" t="s">
        <v>21</v>
      </c>
      <c r="BD246" s="919" t="s">
        <v>2142</v>
      </c>
      <c r="BE246" s="925" t="s">
        <v>21</v>
      </c>
      <c r="BF246" s="926" t="s">
        <v>21</v>
      </c>
      <c r="BG246" s="925">
        <v>42.5</v>
      </c>
      <c r="BH246" s="926" t="s">
        <v>21</v>
      </c>
      <c r="BI246" s="925" t="s">
        <v>21</v>
      </c>
      <c r="BJ246" s="926" t="s">
        <v>21</v>
      </c>
      <c r="BK246" s="925" t="s">
        <v>21</v>
      </c>
      <c r="BL246" s="926" t="s">
        <v>21</v>
      </c>
      <c r="BM246" s="925" t="s">
        <v>21</v>
      </c>
      <c r="BN246" s="927"/>
      <c r="BO246" s="927"/>
      <c r="BP246" s="928">
        <v>1</v>
      </c>
      <c r="BQ246" s="928" t="s">
        <v>21</v>
      </c>
      <c r="BR246" s="928" t="s">
        <v>21</v>
      </c>
      <c r="BS246" s="928" t="s">
        <v>21</v>
      </c>
      <c r="BT246" s="928" t="s">
        <v>21</v>
      </c>
      <c r="BU246" s="928" t="s">
        <v>21</v>
      </c>
      <c r="BV246" s="934">
        <v>0.55000000000004556</v>
      </c>
      <c r="BW246" s="934">
        <v>1</v>
      </c>
      <c r="BX246" s="1104">
        <v>2</v>
      </c>
      <c r="BY246" s="931">
        <v>4</v>
      </c>
      <c r="BZ246" s="930">
        <v>2</v>
      </c>
      <c r="CA246" s="1074" t="s">
        <v>21</v>
      </c>
      <c r="CB246" s="930" t="s">
        <v>21</v>
      </c>
      <c r="CC246" s="930" t="s">
        <v>21</v>
      </c>
      <c r="CD246" s="925">
        <v>43.478000000000002</v>
      </c>
      <c r="CE246" s="1130">
        <v>130.94300000000001</v>
      </c>
      <c r="CF246" s="1129" t="s">
        <v>21</v>
      </c>
      <c r="CG246" s="1130" t="s">
        <v>21</v>
      </c>
      <c r="CH246" s="1130" t="s">
        <v>21</v>
      </c>
      <c r="CI246" s="1131" t="s">
        <v>21</v>
      </c>
      <c r="CJ246" s="1129" t="s">
        <v>21</v>
      </c>
      <c r="CK246" s="1130">
        <v>130.94300000000001</v>
      </c>
      <c r="CL246" s="1130" t="s">
        <v>21</v>
      </c>
      <c r="CM246" s="1131" t="s">
        <v>21</v>
      </c>
      <c r="CN246" s="1130" t="s">
        <v>21</v>
      </c>
      <c r="CP246" s="838" t="s">
        <v>21</v>
      </c>
      <c r="CQ246" s="838" t="s">
        <v>21</v>
      </c>
      <c r="CR246" s="836"/>
    </row>
    <row r="247" spans="1:96" x14ac:dyDescent="0.25">
      <c r="A247" s="935"/>
      <c r="B247" s="932" t="s">
        <v>2457</v>
      </c>
      <c r="C247" s="911">
        <v>600</v>
      </c>
      <c r="D247" s="911" t="s">
        <v>2116</v>
      </c>
      <c r="E247" s="912">
        <v>1158.8</v>
      </c>
      <c r="F247" s="912">
        <v>1156.9000000000001</v>
      </c>
      <c r="G247" s="932" t="s">
        <v>2458</v>
      </c>
      <c r="H247" s="912">
        <v>1158.7</v>
      </c>
      <c r="I247" s="912">
        <v>1156.8</v>
      </c>
      <c r="J247" s="914">
        <v>12.69</v>
      </c>
      <c r="K247" s="915"/>
      <c r="L247" s="916">
        <v>0.1</v>
      </c>
      <c r="M247" s="916">
        <v>0.06</v>
      </c>
      <c r="N247" s="916">
        <v>0.2</v>
      </c>
      <c r="O247" s="916">
        <v>4.84</v>
      </c>
      <c r="P247" s="915"/>
      <c r="Q247" s="916">
        <v>2.16</v>
      </c>
      <c r="R247" s="917">
        <v>0.33333333333333331</v>
      </c>
      <c r="S247" s="918">
        <v>1.4</v>
      </c>
      <c r="T247" s="918">
        <v>2.84</v>
      </c>
      <c r="U247" s="916">
        <v>4.5540000000000003</v>
      </c>
      <c r="V247" s="916">
        <v>0.92</v>
      </c>
      <c r="W247" s="915"/>
      <c r="X247" s="916">
        <v>0.28299999999999997</v>
      </c>
      <c r="Y247" s="916">
        <v>0.40699999999999997</v>
      </c>
      <c r="Z247" s="916">
        <v>4.5789999999999997</v>
      </c>
      <c r="AA247" s="916">
        <v>1.0229999999999999</v>
      </c>
      <c r="AB247" s="916">
        <v>3.0089999999999999</v>
      </c>
      <c r="AC247" s="915"/>
      <c r="AD247" s="919">
        <v>61.42</v>
      </c>
      <c r="AE247" s="920">
        <v>58.107999999999997</v>
      </c>
      <c r="AF247" s="920" t="s">
        <v>21</v>
      </c>
      <c r="AG247" s="920" t="s">
        <v>21</v>
      </c>
      <c r="AH247" s="921">
        <v>58.107999999999997</v>
      </c>
      <c r="AI247" s="921" t="s">
        <v>21</v>
      </c>
      <c r="AJ247" s="920" t="s">
        <v>21</v>
      </c>
      <c r="AK247" s="920" t="s">
        <v>21</v>
      </c>
      <c r="AL247" s="921" t="s">
        <v>21</v>
      </c>
      <c r="AM247" s="921" t="s">
        <v>21</v>
      </c>
      <c r="AN247" s="920"/>
      <c r="AO247" s="920" t="s">
        <v>21</v>
      </c>
      <c r="AP247" s="919">
        <v>17.765999999999998</v>
      </c>
      <c r="AQ247" s="933">
        <v>57.790260000000004</v>
      </c>
      <c r="AR247" s="925" t="s">
        <v>21</v>
      </c>
      <c r="AS247" s="925">
        <v>57.790260000000004</v>
      </c>
      <c r="AT247" s="925" t="s">
        <v>21</v>
      </c>
      <c r="AU247" s="925" t="s">
        <v>21</v>
      </c>
      <c r="AV247" s="926" t="s">
        <v>21</v>
      </c>
      <c r="AW247" s="926" t="s">
        <v>21</v>
      </c>
      <c r="AX247" s="926" t="s">
        <v>21</v>
      </c>
      <c r="AY247" s="926" t="s">
        <v>21</v>
      </c>
      <c r="AZ247" s="925" t="s">
        <v>21</v>
      </c>
      <c r="BA247" s="925"/>
      <c r="BB247" s="919">
        <v>1.7769999999999999</v>
      </c>
      <c r="BC247" s="919" t="s">
        <v>21</v>
      </c>
      <c r="BD247" s="919" t="s">
        <v>2142</v>
      </c>
      <c r="BE247" s="925" t="s">
        <v>21</v>
      </c>
      <c r="BF247" s="926" t="s">
        <v>21</v>
      </c>
      <c r="BG247" s="925">
        <v>12.69</v>
      </c>
      <c r="BH247" s="926" t="s">
        <v>21</v>
      </c>
      <c r="BI247" s="925" t="s">
        <v>21</v>
      </c>
      <c r="BJ247" s="926" t="s">
        <v>21</v>
      </c>
      <c r="BK247" s="925" t="s">
        <v>21</v>
      </c>
      <c r="BL247" s="926" t="s">
        <v>21</v>
      </c>
      <c r="BM247" s="925" t="s">
        <v>21</v>
      </c>
      <c r="BN247" s="927"/>
      <c r="BO247" s="927"/>
      <c r="BP247" s="928">
        <v>1</v>
      </c>
      <c r="BQ247" s="928" t="s">
        <v>21</v>
      </c>
      <c r="BR247" s="928" t="s">
        <v>21</v>
      </c>
      <c r="BS247" s="928" t="s">
        <v>21</v>
      </c>
      <c r="BT247" s="928" t="s">
        <v>21</v>
      </c>
      <c r="BU247" s="928" t="s">
        <v>21</v>
      </c>
      <c r="BV247" s="934">
        <v>0.49999999999986366</v>
      </c>
      <c r="BW247" s="934">
        <v>0.5</v>
      </c>
      <c r="BX247" s="1104">
        <v>1</v>
      </c>
      <c r="BY247" s="931">
        <v>3</v>
      </c>
      <c r="BZ247" s="930">
        <v>1</v>
      </c>
      <c r="CA247" s="1074" t="s">
        <v>21</v>
      </c>
      <c r="CB247" s="930" t="s">
        <v>21</v>
      </c>
      <c r="CC247" s="930" t="s">
        <v>21</v>
      </c>
      <c r="CD247" s="925">
        <v>12.981999999999999</v>
      </c>
      <c r="CE247" s="1130">
        <v>38.183999999999997</v>
      </c>
      <c r="CF247" s="1129" t="s">
        <v>21</v>
      </c>
      <c r="CG247" s="1130" t="s">
        <v>21</v>
      </c>
      <c r="CH247" s="1130" t="s">
        <v>21</v>
      </c>
      <c r="CI247" s="1131" t="s">
        <v>21</v>
      </c>
      <c r="CJ247" s="1129" t="s">
        <v>21</v>
      </c>
      <c r="CK247" s="1130">
        <v>38.183999999999997</v>
      </c>
      <c r="CL247" s="1130" t="s">
        <v>21</v>
      </c>
      <c r="CM247" s="1131" t="s">
        <v>21</v>
      </c>
      <c r="CN247" s="1130" t="s">
        <v>21</v>
      </c>
      <c r="CP247" s="838" t="s">
        <v>21</v>
      </c>
      <c r="CQ247" s="838" t="s">
        <v>21</v>
      </c>
      <c r="CR247" s="836"/>
    </row>
    <row r="248" spans="1:96" x14ac:dyDescent="0.25">
      <c r="A248" s="935"/>
      <c r="B248" s="932" t="s">
        <v>2458</v>
      </c>
      <c r="C248" s="911">
        <v>600</v>
      </c>
      <c r="D248" s="911" t="s">
        <v>2116</v>
      </c>
      <c r="E248" s="912">
        <v>1158.7</v>
      </c>
      <c r="F248" s="912">
        <v>1156.8</v>
      </c>
      <c r="G248" s="932" t="s">
        <v>2459</v>
      </c>
      <c r="H248" s="912">
        <v>1155.93</v>
      </c>
      <c r="I248" s="912">
        <v>1154.03</v>
      </c>
      <c r="J248" s="914">
        <v>20.93</v>
      </c>
      <c r="K248" s="915"/>
      <c r="L248" s="916">
        <v>0.1</v>
      </c>
      <c r="M248" s="916">
        <v>0.06</v>
      </c>
      <c r="N248" s="916">
        <v>0.2</v>
      </c>
      <c r="O248" s="916">
        <v>4.84</v>
      </c>
      <c r="P248" s="915"/>
      <c r="Q248" s="916">
        <v>2.16</v>
      </c>
      <c r="R248" s="917">
        <v>0.33333333333333331</v>
      </c>
      <c r="S248" s="918">
        <v>1.4</v>
      </c>
      <c r="T248" s="918">
        <v>2.84</v>
      </c>
      <c r="U248" s="916">
        <v>4.5540000000000003</v>
      </c>
      <c r="V248" s="916">
        <v>0.92</v>
      </c>
      <c r="W248" s="915"/>
      <c r="X248" s="916">
        <v>0.28299999999999997</v>
      </c>
      <c r="Y248" s="916">
        <v>0.40699999999999997</v>
      </c>
      <c r="Z248" s="916">
        <v>4.5789999999999997</v>
      </c>
      <c r="AA248" s="916">
        <v>1.0229999999999999</v>
      </c>
      <c r="AB248" s="916">
        <v>3.0089999999999999</v>
      </c>
      <c r="AC248" s="915"/>
      <c r="AD248" s="919">
        <v>101.301</v>
      </c>
      <c r="AE248" s="920">
        <v>95.837999999999994</v>
      </c>
      <c r="AF248" s="920" t="s">
        <v>21</v>
      </c>
      <c r="AG248" s="920" t="s">
        <v>21</v>
      </c>
      <c r="AH248" s="921">
        <v>95.837999999999994</v>
      </c>
      <c r="AI248" s="921" t="s">
        <v>21</v>
      </c>
      <c r="AJ248" s="920" t="s">
        <v>21</v>
      </c>
      <c r="AK248" s="920" t="s">
        <v>21</v>
      </c>
      <c r="AL248" s="921" t="s">
        <v>21</v>
      </c>
      <c r="AM248" s="921" t="s">
        <v>21</v>
      </c>
      <c r="AN248" s="920"/>
      <c r="AO248" s="920" t="s">
        <v>21</v>
      </c>
      <c r="AP248" s="919">
        <v>29.302</v>
      </c>
      <c r="AQ248" s="933">
        <v>95.315220000000011</v>
      </c>
      <c r="AR248" s="925" t="s">
        <v>21</v>
      </c>
      <c r="AS248" s="925">
        <v>95.315220000000011</v>
      </c>
      <c r="AT248" s="925" t="s">
        <v>21</v>
      </c>
      <c r="AU248" s="925" t="s">
        <v>21</v>
      </c>
      <c r="AV248" s="926" t="s">
        <v>21</v>
      </c>
      <c r="AW248" s="926" t="s">
        <v>21</v>
      </c>
      <c r="AX248" s="926" t="s">
        <v>21</v>
      </c>
      <c r="AY248" s="926" t="s">
        <v>21</v>
      </c>
      <c r="AZ248" s="925" t="s">
        <v>21</v>
      </c>
      <c r="BA248" s="925"/>
      <c r="BB248" s="919">
        <v>2.93</v>
      </c>
      <c r="BC248" s="919" t="s">
        <v>21</v>
      </c>
      <c r="BD248" s="919" t="s">
        <v>2142</v>
      </c>
      <c r="BE248" s="925" t="s">
        <v>21</v>
      </c>
      <c r="BF248" s="926" t="s">
        <v>21</v>
      </c>
      <c r="BG248" s="925">
        <v>20.93</v>
      </c>
      <c r="BH248" s="926" t="s">
        <v>21</v>
      </c>
      <c r="BI248" s="925" t="s">
        <v>21</v>
      </c>
      <c r="BJ248" s="926" t="s">
        <v>21</v>
      </c>
      <c r="BK248" s="925" t="s">
        <v>21</v>
      </c>
      <c r="BL248" s="926" t="s">
        <v>21</v>
      </c>
      <c r="BM248" s="925" t="s">
        <v>21</v>
      </c>
      <c r="BN248" s="927"/>
      <c r="BO248" s="927"/>
      <c r="BP248" s="928">
        <v>1</v>
      </c>
      <c r="BQ248" s="928" t="s">
        <v>21</v>
      </c>
      <c r="BR248" s="928" t="s">
        <v>21</v>
      </c>
      <c r="BS248" s="928" t="s">
        <v>21</v>
      </c>
      <c r="BT248" s="928" t="s">
        <v>21</v>
      </c>
      <c r="BU248" s="928" t="s">
        <v>21</v>
      </c>
      <c r="BV248" s="934">
        <v>0.50000000000009104</v>
      </c>
      <c r="BW248" s="934">
        <v>1</v>
      </c>
      <c r="BX248" s="1104">
        <v>2</v>
      </c>
      <c r="BY248" s="931">
        <v>4</v>
      </c>
      <c r="BZ248" s="930">
        <v>1</v>
      </c>
      <c r="CA248" s="1074" t="s">
        <v>21</v>
      </c>
      <c r="CB248" s="930" t="s">
        <v>21</v>
      </c>
      <c r="CC248" s="930" t="s">
        <v>21</v>
      </c>
      <c r="CD248" s="925">
        <v>21.411000000000001</v>
      </c>
      <c r="CE248" s="1130">
        <v>62.978000000000002</v>
      </c>
      <c r="CF248" s="1129" t="s">
        <v>21</v>
      </c>
      <c r="CG248" s="1130" t="s">
        <v>21</v>
      </c>
      <c r="CH248" s="1130" t="s">
        <v>21</v>
      </c>
      <c r="CI248" s="1131" t="s">
        <v>21</v>
      </c>
      <c r="CJ248" s="1129" t="s">
        <v>21</v>
      </c>
      <c r="CK248" s="1130">
        <v>62.978000000000002</v>
      </c>
      <c r="CL248" s="1130" t="s">
        <v>21</v>
      </c>
      <c r="CM248" s="1131" t="s">
        <v>21</v>
      </c>
      <c r="CN248" s="1130" t="s">
        <v>21</v>
      </c>
      <c r="CP248" s="838" t="s">
        <v>21</v>
      </c>
      <c r="CQ248" s="838" t="s">
        <v>21</v>
      </c>
      <c r="CR248" s="836"/>
    </row>
    <row r="249" spans="1:96" x14ac:dyDescent="0.25">
      <c r="A249" s="935"/>
      <c r="B249" s="932" t="s">
        <v>2459</v>
      </c>
      <c r="C249" s="911">
        <v>600</v>
      </c>
      <c r="D249" s="911" t="s">
        <v>2116</v>
      </c>
      <c r="E249" s="912">
        <v>1155.93</v>
      </c>
      <c r="F249" s="912">
        <v>1153.98</v>
      </c>
      <c r="G249" s="932" t="s">
        <v>2460</v>
      </c>
      <c r="H249" s="912">
        <v>1151.5999999999999</v>
      </c>
      <c r="I249" s="912">
        <v>1149.7</v>
      </c>
      <c r="J249" s="914">
        <v>49.93</v>
      </c>
      <c r="K249" s="915"/>
      <c r="L249" s="916">
        <v>0.1</v>
      </c>
      <c r="M249" s="916">
        <v>0.06</v>
      </c>
      <c r="N249" s="916">
        <v>0.2</v>
      </c>
      <c r="O249" s="916">
        <v>4.8570000000000002</v>
      </c>
      <c r="P249" s="915"/>
      <c r="Q249" s="916">
        <v>2.1850000000000001</v>
      </c>
      <c r="R249" s="917">
        <v>0.33333333333333331</v>
      </c>
      <c r="S249" s="918">
        <v>1.4</v>
      </c>
      <c r="T249" s="918">
        <v>2.8570000000000002</v>
      </c>
      <c r="U249" s="916">
        <v>4.6059999999999999</v>
      </c>
      <c r="V249" s="916">
        <v>0.92</v>
      </c>
      <c r="W249" s="915"/>
      <c r="X249" s="916">
        <v>0.28299999999999997</v>
      </c>
      <c r="Y249" s="916">
        <v>0.40699999999999997</v>
      </c>
      <c r="Z249" s="916">
        <v>4.6509999999999998</v>
      </c>
      <c r="AA249" s="916">
        <v>1.0229999999999999</v>
      </c>
      <c r="AB249" s="916">
        <v>3.081</v>
      </c>
      <c r="AC249" s="915"/>
      <c r="AD249" s="919">
        <v>242.51</v>
      </c>
      <c r="AE249" s="920">
        <v>232.22399999999999</v>
      </c>
      <c r="AF249" s="920" t="s">
        <v>21</v>
      </c>
      <c r="AG249" s="920" t="s">
        <v>21</v>
      </c>
      <c r="AH249" s="921">
        <v>232.22399999999999</v>
      </c>
      <c r="AI249" s="921" t="s">
        <v>21</v>
      </c>
      <c r="AJ249" s="920" t="s">
        <v>21</v>
      </c>
      <c r="AK249" s="920" t="s">
        <v>21</v>
      </c>
      <c r="AL249" s="921" t="s">
        <v>21</v>
      </c>
      <c r="AM249" s="921" t="s">
        <v>21</v>
      </c>
      <c r="AN249" s="920"/>
      <c r="AO249" s="920" t="s">
        <v>21</v>
      </c>
      <c r="AP249" s="919">
        <v>69.902000000000001</v>
      </c>
      <c r="AQ249" s="933">
        <v>229.97757999999999</v>
      </c>
      <c r="AR249" s="925" t="s">
        <v>21</v>
      </c>
      <c r="AS249" s="925">
        <v>229.97757999999999</v>
      </c>
      <c r="AT249" s="925" t="s">
        <v>21</v>
      </c>
      <c r="AU249" s="925" t="s">
        <v>21</v>
      </c>
      <c r="AV249" s="926" t="s">
        <v>21</v>
      </c>
      <c r="AW249" s="926" t="s">
        <v>21</v>
      </c>
      <c r="AX249" s="926" t="s">
        <v>21</v>
      </c>
      <c r="AY249" s="926" t="s">
        <v>21</v>
      </c>
      <c r="AZ249" s="925" t="s">
        <v>21</v>
      </c>
      <c r="BA249" s="925"/>
      <c r="BB249" s="919">
        <v>6.99</v>
      </c>
      <c r="BC249" s="919" t="s">
        <v>21</v>
      </c>
      <c r="BD249" s="919" t="s">
        <v>2142</v>
      </c>
      <c r="BE249" s="925" t="s">
        <v>21</v>
      </c>
      <c r="BF249" s="926" t="s">
        <v>21</v>
      </c>
      <c r="BG249" s="925">
        <v>49.93</v>
      </c>
      <c r="BH249" s="926" t="s">
        <v>21</v>
      </c>
      <c r="BI249" s="925" t="s">
        <v>21</v>
      </c>
      <c r="BJ249" s="926" t="s">
        <v>21</v>
      </c>
      <c r="BK249" s="925" t="s">
        <v>21</v>
      </c>
      <c r="BL249" s="926" t="s">
        <v>21</v>
      </c>
      <c r="BM249" s="925" t="s">
        <v>21</v>
      </c>
      <c r="BN249" s="927"/>
      <c r="BO249" s="927"/>
      <c r="BP249" s="928">
        <v>1</v>
      </c>
      <c r="BQ249" s="928" t="s">
        <v>21</v>
      </c>
      <c r="BR249" s="928" t="s">
        <v>21</v>
      </c>
      <c r="BS249" s="928" t="s">
        <v>21</v>
      </c>
      <c r="BT249" s="928" t="s">
        <v>21</v>
      </c>
      <c r="BU249" s="928" t="s">
        <v>21</v>
      </c>
      <c r="BV249" s="934">
        <v>0.55000000000004556</v>
      </c>
      <c r="BW249" s="934">
        <v>1</v>
      </c>
      <c r="BX249" s="1104">
        <v>2</v>
      </c>
      <c r="BY249" s="931">
        <v>4</v>
      </c>
      <c r="BZ249" s="930"/>
      <c r="CA249" s="1074" t="s">
        <v>21</v>
      </c>
      <c r="CB249" s="930" t="s">
        <v>21</v>
      </c>
      <c r="CC249" s="930" t="s">
        <v>21</v>
      </c>
      <c r="CD249" s="925">
        <v>51.078000000000003</v>
      </c>
      <c r="CE249" s="1130">
        <v>153.834</v>
      </c>
      <c r="CF249" s="1129" t="s">
        <v>21</v>
      </c>
      <c r="CG249" s="1130" t="s">
        <v>21</v>
      </c>
      <c r="CH249" s="1130" t="s">
        <v>21</v>
      </c>
      <c r="CI249" s="1131" t="s">
        <v>21</v>
      </c>
      <c r="CJ249" s="1129" t="s">
        <v>21</v>
      </c>
      <c r="CK249" s="1130">
        <v>153.834</v>
      </c>
      <c r="CL249" s="1130" t="s">
        <v>21</v>
      </c>
      <c r="CM249" s="1131" t="s">
        <v>21</v>
      </c>
      <c r="CN249" s="1130" t="s">
        <v>21</v>
      </c>
      <c r="CP249" s="838" t="s">
        <v>21</v>
      </c>
      <c r="CQ249" s="838" t="s">
        <v>21</v>
      </c>
      <c r="CR249" s="836"/>
    </row>
    <row r="250" spans="1:96" x14ac:dyDescent="0.25">
      <c r="A250" s="935"/>
      <c r="B250" s="932" t="s">
        <v>2460</v>
      </c>
      <c r="C250" s="911">
        <v>600</v>
      </c>
      <c r="D250" s="911" t="s">
        <v>2116</v>
      </c>
      <c r="E250" s="912">
        <v>1151.5999999999999</v>
      </c>
      <c r="F250" s="912">
        <v>1149.5</v>
      </c>
      <c r="G250" s="932" t="s">
        <v>2461</v>
      </c>
      <c r="H250" s="1489">
        <v>1150.6500000000001</v>
      </c>
      <c r="I250" s="1489">
        <v>1148.75</v>
      </c>
      <c r="J250" s="914">
        <v>26.39</v>
      </c>
      <c r="K250" s="915"/>
      <c r="L250" s="916">
        <v>0.1</v>
      </c>
      <c r="M250" s="916">
        <v>0.06</v>
      </c>
      <c r="N250" s="916">
        <v>0.2</v>
      </c>
      <c r="O250" s="916">
        <v>4.907</v>
      </c>
      <c r="P250" s="915"/>
      <c r="Q250" s="916">
        <v>2.2599999999999998</v>
      </c>
      <c r="R250" s="917">
        <v>0.33333333333333331</v>
      </c>
      <c r="S250" s="918">
        <v>1.4</v>
      </c>
      <c r="T250" s="918">
        <v>2.907</v>
      </c>
      <c r="U250" s="916">
        <v>4.7640000000000002</v>
      </c>
      <c r="V250" s="916">
        <v>0.92</v>
      </c>
      <c r="W250" s="915"/>
      <c r="X250" s="916">
        <v>0.28299999999999997</v>
      </c>
      <c r="Y250" s="916">
        <v>0.40699999999999997</v>
      </c>
      <c r="Z250" s="916">
        <v>4.867</v>
      </c>
      <c r="AA250" s="916">
        <v>1.0229999999999999</v>
      </c>
      <c r="AB250" s="916">
        <v>3.2970000000000002</v>
      </c>
      <c r="AC250" s="915"/>
      <c r="AD250" s="919">
        <v>129.49600000000001</v>
      </c>
      <c r="AE250" s="920">
        <v>128.44</v>
      </c>
      <c r="AF250" s="920" t="s">
        <v>21</v>
      </c>
      <c r="AG250" s="920" t="s">
        <v>21</v>
      </c>
      <c r="AH250" s="921">
        <v>128.44</v>
      </c>
      <c r="AI250" s="921" t="s">
        <v>21</v>
      </c>
      <c r="AJ250" s="920" t="s">
        <v>21</v>
      </c>
      <c r="AK250" s="920" t="s">
        <v>21</v>
      </c>
      <c r="AL250" s="921" t="s">
        <v>21</v>
      </c>
      <c r="AM250" s="921" t="s">
        <v>21</v>
      </c>
      <c r="AN250" s="920"/>
      <c r="AO250" s="920" t="s">
        <v>21</v>
      </c>
      <c r="AP250" s="919">
        <v>36.945999999999998</v>
      </c>
      <c r="AQ250" s="933">
        <v>125.72196000000001</v>
      </c>
      <c r="AR250" s="925" t="s">
        <v>21</v>
      </c>
      <c r="AS250" s="925">
        <v>125.72196000000001</v>
      </c>
      <c r="AT250" s="925" t="s">
        <v>21</v>
      </c>
      <c r="AU250" s="925" t="s">
        <v>21</v>
      </c>
      <c r="AV250" s="926" t="s">
        <v>21</v>
      </c>
      <c r="AW250" s="926" t="s">
        <v>21</v>
      </c>
      <c r="AX250" s="926" t="s">
        <v>21</v>
      </c>
      <c r="AY250" s="926" t="s">
        <v>21</v>
      </c>
      <c r="AZ250" s="925" t="s">
        <v>21</v>
      </c>
      <c r="BA250" s="925"/>
      <c r="BB250" s="919">
        <v>3.6949999999999998</v>
      </c>
      <c r="BC250" s="919" t="s">
        <v>21</v>
      </c>
      <c r="BD250" s="919" t="s">
        <v>2142</v>
      </c>
      <c r="BE250" s="925" t="s">
        <v>21</v>
      </c>
      <c r="BF250" s="926" t="s">
        <v>21</v>
      </c>
      <c r="BG250" s="925">
        <v>26.39</v>
      </c>
      <c r="BH250" s="926" t="s">
        <v>21</v>
      </c>
      <c r="BI250" s="925" t="s">
        <v>21</v>
      </c>
      <c r="BJ250" s="926" t="s">
        <v>21</v>
      </c>
      <c r="BK250" s="925" t="s">
        <v>21</v>
      </c>
      <c r="BL250" s="926" t="s">
        <v>21</v>
      </c>
      <c r="BM250" s="925" t="s">
        <v>21</v>
      </c>
      <c r="BN250" s="927"/>
      <c r="BO250" s="927"/>
      <c r="BP250" s="928">
        <v>1</v>
      </c>
      <c r="BQ250" s="928" t="s">
        <v>21</v>
      </c>
      <c r="BR250" s="928" t="s">
        <v>21</v>
      </c>
      <c r="BS250" s="928" t="s">
        <v>21</v>
      </c>
      <c r="BT250" s="928" t="s">
        <v>21</v>
      </c>
      <c r="BU250" s="928" t="s">
        <v>21</v>
      </c>
      <c r="BV250" s="934">
        <v>0.69999999999990914</v>
      </c>
      <c r="BW250" s="934">
        <v>1</v>
      </c>
      <c r="BX250" s="1104">
        <v>2</v>
      </c>
      <c r="BY250" s="931">
        <v>4</v>
      </c>
      <c r="BZ250" s="930">
        <v>1</v>
      </c>
      <c r="CA250" s="1074" t="s">
        <v>21</v>
      </c>
      <c r="CB250" s="930" t="s">
        <v>21</v>
      </c>
      <c r="CC250" s="930" t="s">
        <v>21</v>
      </c>
      <c r="CD250" s="925">
        <v>26.997</v>
      </c>
      <c r="CE250" s="1130">
        <v>87.007999999999996</v>
      </c>
      <c r="CF250" s="1129" t="s">
        <v>21</v>
      </c>
      <c r="CG250" s="1130" t="s">
        <v>21</v>
      </c>
      <c r="CH250" s="1130" t="s">
        <v>21</v>
      </c>
      <c r="CI250" s="1131" t="s">
        <v>21</v>
      </c>
      <c r="CJ250" s="1129" t="s">
        <v>21</v>
      </c>
      <c r="CK250" s="1130">
        <v>87.007999999999996</v>
      </c>
      <c r="CL250" s="1130" t="s">
        <v>21</v>
      </c>
      <c r="CM250" s="1131" t="s">
        <v>21</v>
      </c>
      <c r="CN250" s="1130" t="s">
        <v>21</v>
      </c>
      <c r="CP250" s="838" t="s">
        <v>21</v>
      </c>
      <c r="CQ250" s="838" t="s">
        <v>21</v>
      </c>
      <c r="CR250" s="836"/>
    </row>
    <row r="251" spans="1:96" x14ac:dyDescent="0.25">
      <c r="A251" s="935"/>
      <c r="B251" s="932" t="s">
        <v>2461</v>
      </c>
      <c r="C251" s="911">
        <v>600</v>
      </c>
      <c r="D251" s="911" t="s">
        <v>2116</v>
      </c>
      <c r="E251" s="1489">
        <v>1150.6500000000001</v>
      </c>
      <c r="F251" s="1489">
        <v>1147.45</v>
      </c>
      <c r="G251" s="910" t="s">
        <v>2233</v>
      </c>
      <c r="H251" s="1489">
        <v>1148.22</v>
      </c>
      <c r="I251" s="1489">
        <v>1146.92</v>
      </c>
      <c r="J251" s="914">
        <v>7.2</v>
      </c>
      <c r="K251" s="915"/>
      <c r="L251" s="916">
        <v>0.1</v>
      </c>
      <c r="M251" s="916">
        <v>0.06</v>
      </c>
      <c r="N251" s="916">
        <v>0.2</v>
      </c>
      <c r="O251" s="916">
        <v>5.0730000000000004</v>
      </c>
      <c r="P251" s="915"/>
      <c r="Q251" s="916">
        <v>2.5099999999999998</v>
      </c>
      <c r="R251" s="917">
        <v>0.33333333333333331</v>
      </c>
      <c r="S251" s="918">
        <v>1.4</v>
      </c>
      <c r="T251" s="918">
        <v>3.073</v>
      </c>
      <c r="U251" s="916">
        <v>5.2919999999999998</v>
      </c>
      <c r="V251" s="916">
        <v>0.92</v>
      </c>
      <c r="W251" s="915"/>
      <c r="X251" s="916">
        <v>0.28299999999999997</v>
      </c>
      <c r="Y251" s="916">
        <v>0.40699999999999997</v>
      </c>
      <c r="Z251" s="916">
        <v>5.6139999999999999</v>
      </c>
      <c r="AA251" s="916">
        <v>1.0229999999999999</v>
      </c>
      <c r="AB251" s="916">
        <v>4.0439999999999996</v>
      </c>
      <c r="AC251" s="915"/>
      <c r="AD251" s="919">
        <v>36.526000000000003</v>
      </c>
      <c r="AE251" s="920">
        <v>40.420999999999999</v>
      </c>
      <c r="AF251" s="920" t="s">
        <v>21</v>
      </c>
      <c r="AG251" s="920" t="s">
        <v>21</v>
      </c>
      <c r="AH251" s="921">
        <v>40.420999999999999</v>
      </c>
      <c r="AI251" s="921" t="s">
        <v>21</v>
      </c>
      <c r="AJ251" s="920" t="s">
        <v>21</v>
      </c>
      <c r="AK251" s="920" t="s">
        <v>21</v>
      </c>
      <c r="AL251" s="921" t="s">
        <v>21</v>
      </c>
      <c r="AM251" s="921" t="s">
        <v>21</v>
      </c>
      <c r="AN251" s="920"/>
      <c r="AO251" s="920" t="s">
        <v>21</v>
      </c>
      <c r="AP251" s="919">
        <v>10.08</v>
      </c>
      <c r="AQ251" s="933">
        <v>38.102400000000003</v>
      </c>
      <c r="AR251" s="925" t="s">
        <v>21</v>
      </c>
      <c r="AS251" s="925">
        <v>38.102400000000003</v>
      </c>
      <c r="AT251" s="925" t="s">
        <v>21</v>
      </c>
      <c r="AU251" s="925" t="s">
        <v>21</v>
      </c>
      <c r="AV251" s="926" t="s">
        <v>21</v>
      </c>
      <c r="AW251" s="926" t="s">
        <v>21</v>
      </c>
      <c r="AX251" s="926" t="s">
        <v>21</v>
      </c>
      <c r="AY251" s="926" t="s">
        <v>21</v>
      </c>
      <c r="AZ251" s="925" t="s">
        <v>21</v>
      </c>
      <c r="BA251" s="925"/>
      <c r="BB251" s="919">
        <v>1.008</v>
      </c>
      <c r="BC251" s="919" t="s">
        <v>21</v>
      </c>
      <c r="BD251" s="919" t="s">
        <v>2142</v>
      </c>
      <c r="BE251" s="925" t="s">
        <v>21</v>
      </c>
      <c r="BF251" s="926" t="s">
        <v>21</v>
      </c>
      <c r="BG251" s="925">
        <v>7.2</v>
      </c>
      <c r="BH251" s="926" t="s">
        <v>21</v>
      </c>
      <c r="BI251" s="925" t="s">
        <v>21</v>
      </c>
      <c r="BJ251" s="926" t="s">
        <v>21</v>
      </c>
      <c r="BK251" s="925" t="s">
        <v>21</v>
      </c>
      <c r="BL251" s="926" t="s">
        <v>21</v>
      </c>
      <c r="BM251" s="925" t="s">
        <v>21</v>
      </c>
      <c r="BN251" s="927"/>
      <c r="BO251" s="927"/>
      <c r="BP251" s="928">
        <v>1</v>
      </c>
      <c r="BQ251" s="928" t="s">
        <v>21</v>
      </c>
      <c r="BR251" s="928" t="s">
        <v>21</v>
      </c>
      <c r="BS251" s="928" t="s">
        <v>21</v>
      </c>
      <c r="BT251" s="928" t="s">
        <v>21</v>
      </c>
      <c r="BU251" s="928" t="s">
        <v>21</v>
      </c>
      <c r="BV251" s="934">
        <v>1.8000000000000456</v>
      </c>
      <c r="BW251" s="934">
        <v>2</v>
      </c>
      <c r="BX251" s="1104">
        <v>4</v>
      </c>
      <c r="BY251" s="931">
        <v>6</v>
      </c>
      <c r="BZ251" s="930">
        <v>1</v>
      </c>
      <c r="CA251" s="1074" t="s">
        <v>21</v>
      </c>
      <c r="CB251" s="930" t="s">
        <v>21</v>
      </c>
      <c r="CC251" s="930" t="s">
        <v>21</v>
      </c>
      <c r="CD251" s="925">
        <v>7.3659999999999997</v>
      </c>
      <c r="CE251" s="1130">
        <v>29.117000000000001</v>
      </c>
      <c r="CF251" s="1129" t="s">
        <v>21</v>
      </c>
      <c r="CG251" s="1130" t="s">
        <v>21</v>
      </c>
      <c r="CH251" s="1130" t="s">
        <v>21</v>
      </c>
      <c r="CI251" s="1131" t="s">
        <v>21</v>
      </c>
      <c r="CJ251" s="1129" t="s">
        <v>21</v>
      </c>
      <c r="CK251" s="1130">
        <v>29.117000000000001</v>
      </c>
      <c r="CL251" s="1130" t="s">
        <v>21</v>
      </c>
      <c r="CM251" s="1131" t="s">
        <v>21</v>
      </c>
      <c r="CN251" s="1130" t="s">
        <v>21</v>
      </c>
      <c r="CP251" s="838" t="s">
        <v>21</v>
      </c>
      <c r="CQ251" s="838" t="s">
        <v>21</v>
      </c>
      <c r="CR251" s="836"/>
    </row>
    <row r="252" spans="1:96" x14ac:dyDescent="0.25">
      <c r="A252" s="935"/>
      <c r="B252" s="932"/>
      <c r="C252" s="911"/>
      <c r="D252" s="911"/>
      <c r="E252" s="912"/>
      <c r="F252" s="912"/>
      <c r="G252" s="910"/>
      <c r="H252" s="912"/>
      <c r="I252" s="912"/>
      <c r="J252" s="914"/>
      <c r="K252" s="915"/>
      <c r="L252" s="916" t="s">
        <v>21</v>
      </c>
      <c r="M252" s="916" t="s">
        <v>21</v>
      </c>
      <c r="N252" s="916" t="s">
        <v>21</v>
      </c>
      <c r="O252" s="916" t="s">
        <v>21</v>
      </c>
      <c r="P252" s="915"/>
      <c r="Q252" s="916" t="s">
        <v>21</v>
      </c>
      <c r="R252" s="917" t="s">
        <v>21</v>
      </c>
      <c r="S252" s="918" t="s">
        <v>21</v>
      </c>
      <c r="T252" s="918" t="s">
        <v>21</v>
      </c>
      <c r="U252" s="916" t="s">
        <v>21</v>
      </c>
      <c r="V252" s="916" t="s">
        <v>21</v>
      </c>
      <c r="W252" s="915"/>
      <c r="X252" s="916" t="s">
        <v>21</v>
      </c>
      <c r="Y252" s="916" t="s">
        <v>21</v>
      </c>
      <c r="Z252" s="916" t="s">
        <v>21</v>
      </c>
      <c r="AA252" s="916" t="s">
        <v>21</v>
      </c>
      <c r="AB252" s="916" t="s">
        <v>21</v>
      </c>
      <c r="AC252" s="915"/>
      <c r="AD252" s="919" t="s">
        <v>21</v>
      </c>
      <c r="AE252" s="920" t="s">
        <v>21</v>
      </c>
      <c r="AF252" s="920" t="s">
        <v>21</v>
      </c>
      <c r="AG252" s="920" t="s">
        <v>21</v>
      </c>
      <c r="AH252" s="921" t="s">
        <v>21</v>
      </c>
      <c r="AI252" s="921" t="s">
        <v>21</v>
      </c>
      <c r="AJ252" s="920" t="s">
        <v>21</v>
      </c>
      <c r="AK252" s="920" t="s">
        <v>21</v>
      </c>
      <c r="AL252" s="921" t="s">
        <v>21</v>
      </c>
      <c r="AM252" s="921" t="s">
        <v>21</v>
      </c>
      <c r="AN252" s="920"/>
      <c r="AO252" s="920" t="s">
        <v>21</v>
      </c>
      <c r="AP252" s="919" t="s">
        <v>21</v>
      </c>
      <c r="AQ252" s="933" t="s">
        <v>21</v>
      </c>
      <c r="AR252" s="925" t="s">
        <v>21</v>
      </c>
      <c r="AS252" s="925" t="s">
        <v>21</v>
      </c>
      <c r="AT252" s="925" t="s">
        <v>21</v>
      </c>
      <c r="AU252" s="925" t="s">
        <v>21</v>
      </c>
      <c r="AV252" s="926" t="s">
        <v>21</v>
      </c>
      <c r="AW252" s="926" t="s">
        <v>21</v>
      </c>
      <c r="AX252" s="926" t="s">
        <v>21</v>
      </c>
      <c r="AY252" s="926" t="s">
        <v>21</v>
      </c>
      <c r="AZ252" s="925" t="s">
        <v>21</v>
      </c>
      <c r="BA252" s="925"/>
      <c r="BB252" s="919" t="s">
        <v>21</v>
      </c>
      <c r="BC252" s="919" t="s">
        <v>21</v>
      </c>
      <c r="BD252" s="919" t="s">
        <v>21</v>
      </c>
      <c r="BE252" s="925" t="s">
        <v>21</v>
      </c>
      <c r="BF252" s="926" t="s">
        <v>21</v>
      </c>
      <c r="BG252" s="925" t="s">
        <v>21</v>
      </c>
      <c r="BH252" s="926" t="s">
        <v>21</v>
      </c>
      <c r="BI252" s="925" t="s">
        <v>21</v>
      </c>
      <c r="BJ252" s="926" t="s">
        <v>21</v>
      </c>
      <c r="BK252" s="925" t="s">
        <v>21</v>
      </c>
      <c r="BL252" s="926" t="s">
        <v>21</v>
      </c>
      <c r="BM252" s="925" t="s">
        <v>21</v>
      </c>
      <c r="BN252" s="927"/>
      <c r="BO252" s="927"/>
      <c r="BP252" s="928" t="s">
        <v>21</v>
      </c>
      <c r="BQ252" s="928" t="s">
        <v>21</v>
      </c>
      <c r="BR252" s="928" t="s">
        <v>21</v>
      </c>
      <c r="BS252" s="928" t="s">
        <v>21</v>
      </c>
      <c r="BT252" s="928" t="s">
        <v>21</v>
      </c>
      <c r="BU252" s="928" t="s">
        <v>21</v>
      </c>
      <c r="BV252" s="934" t="s">
        <v>21</v>
      </c>
      <c r="BW252" s="934" t="s">
        <v>21</v>
      </c>
      <c r="BX252" s="1104" t="s">
        <v>21</v>
      </c>
      <c r="BY252" s="931" t="s">
        <v>21</v>
      </c>
      <c r="BZ252" s="930" t="s">
        <v>21</v>
      </c>
      <c r="CA252" s="1074" t="s">
        <v>21</v>
      </c>
      <c r="CB252" s="930" t="s">
        <v>21</v>
      </c>
      <c r="CC252" s="930" t="s">
        <v>21</v>
      </c>
      <c r="CD252" s="925" t="s">
        <v>21</v>
      </c>
      <c r="CE252" s="1130" t="s">
        <v>21</v>
      </c>
      <c r="CF252" s="1129" t="s">
        <v>21</v>
      </c>
      <c r="CG252" s="1130" t="s">
        <v>21</v>
      </c>
      <c r="CH252" s="1130" t="s">
        <v>21</v>
      </c>
      <c r="CI252" s="1131" t="s">
        <v>21</v>
      </c>
      <c r="CJ252" s="1129" t="s">
        <v>21</v>
      </c>
      <c r="CK252" s="1130" t="s">
        <v>21</v>
      </c>
      <c r="CL252" s="1130" t="s">
        <v>21</v>
      </c>
      <c r="CM252" s="1131" t="s">
        <v>21</v>
      </c>
      <c r="CN252" s="1130" t="s">
        <v>21</v>
      </c>
      <c r="CP252" s="838" t="s">
        <v>21</v>
      </c>
      <c r="CQ252" s="838" t="s">
        <v>21</v>
      </c>
      <c r="CR252" s="836"/>
    </row>
    <row r="253" spans="1:96" x14ac:dyDescent="0.25">
      <c r="A253" s="935" t="s">
        <v>2529</v>
      </c>
      <c r="B253" s="932" t="s">
        <v>2462</v>
      </c>
      <c r="C253" s="911">
        <v>600</v>
      </c>
      <c r="D253" s="911" t="s">
        <v>2116</v>
      </c>
      <c r="E253" s="912">
        <v>1159.45</v>
      </c>
      <c r="F253" s="912">
        <v>1157.55</v>
      </c>
      <c r="G253" s="910" t="s">
        <v>2458</v>
      </c>
      <c r="H253" s="912">
        <v>1158.7</v>
      </c>
      <c r="I253" s="912">
        <v>1156.8</v>
      </c>
      <c r="J253" s="914">
        <v>29.16</v>
      </c>
      <c r="K253" s="915"/>
      <c r="L253" s="916">
        <v>0.1</v>
      </c>
      <c r="M253" s="916">
        <v>0.06</v>
      </c>
      <c r="N253" s="916">
        <v>0.2</v>
      </c>
      <c r="O253" s="916">
        <v>4.84</v>
      </c>
      <c r="P253" s="915"/>
      <c r="Q253" s="916">
        <v>2.16</v>
      </c>
      <c r="R253" s="917">
        <v>0.33333333333333331</v>
      </c>
      <c r="S253" s="918">
        <v>1.4</v>
      </c>
      <c r="T253" s="918">
        <v>2.84</v>
      </c>
      <c r="U253" s="916">
        <v>4.5540000000000003</v>
      </c>
      <c r="V253" s="916">
        <v>0.92</v>
      </c>
      <c r="W253" s="915"/>
      <c r="X253" s="916">
        <v>0.28299999999999997</v>
      </c>
      <c r="Y253" s="916">
        <v>0.40699999999999997</v>
      </c>
      <c r="Z253" s="916">
        <v>4.5789999999999997</v>
      </c>
      <c r="AA253" s="916">
        <v>1.0229999999999999</v>
      </c>
      <c r="AB253" s="916">
        <v>3.0089999999999999</v>
      </c>
      <c r="AC253" s="915"/>
      <c r="AD253" s="919">
        <v>141.13399999999999</v>
      </c>
      <c r="AE253" s="920">
        <v>133.524</v>
      </c>
      <c r="AF253" s="920" t="s">
        <v>21</v>
      </c>
      <c r="AG253" s="920" t="s">
        <v>21</v>
      </c>
      <c r="AH253" s="921">
        <v>133.524</v>
      </c>
      <c r="AI253" s="921" t="s">
        <v>21</v>
      </c>
      <c r="AJ253" s="920" t="s">
        <v>21</v>
      </c>
      <c r="AK253" s="920" t="s">
        <v>21</v>
      </c>
      <c r="AL253" s="921" t="s">
        <v>21</v>
      </c>
      <c r="AM253" s="921" t="s">
        <v>21</v>
      </c>
      <c r="AN253" s="920"/>
      <c r="AO253" s="920" t="s">
        <v>21</v>
      </c>
      <c r="AP253" s="919">
        <v>40.823999999999998</v>
      </c>
      <c r="AQ253" s="933">
        <v>132.79464000000002</v>
      </c>
      <c r="AR253" s="925" t="s">
        <v>21</v>
      </c>
      <c r="AS253" s="925">
        <v>132.79464000000002</v>
      </c>
      <c r="AT253" s="925" t="s">
        <v>21</v>
      </c>
      <c r="AU253" s="925" t="s">
        <v>21</v>
      </c>
      <c r="AV253" s="926" t="s">
        <v>21</v>
      </c>
      <c r="AW253" s="926" t="s">
        <v>21</v>
      </c>
      <c r="AX253" s="926" t="s">
        <v>21</v>
      </c>
      <c r="AY253" s="926" t="s">
        <v>21</v>
      </c>
      <c r="AZ253" s="925" t="s">
        <v>21</v>
      </c>
      <c r="BA253" s="925"/>
      <c r="BB253" s="919">
        <v>4.0819999999999999</v>
      </c>
      <c r="BC253" s="919" t="s">
        <v>21</v>
      </c>
      <c r="BD253" s="919" t="s">
        <v>2142</v>
      </c>
      <c r="BE253" s="925" t="s">
        <v>21</v>
      </c>
      <c r="BF253" s="926" t="s">
        <v>21</v>
      </c>
      <c r="BG253" s="925">
        <v>29.16</v>
      </c>
      <c r="BH253" s="926" t="s">
        <v>21</v>
      </c>
      <c r="BI253" s="925" t="s">
        <v>21</v>
      </c>
      <c r="BJ253" s="926" t="s">
        <v>21</v>
      </c>
      <c r="BK253" s="925" t="s">
        <v>21</v>
      </c>
      <c r="BL253" s="926" t="s">
        <v>21</v>
      </c>
      <c r="BM253" s="925" t="s">
        <v>21</v>
      </c>
      <c r="BN253" s="927"/>
      <c r="BO253" s="927"/>
      <c r="BP253" s="928">
        <v>1</v>
      </c>
      <c r="BQ253" s="928" t="s">
        <v>21</v>
      </c>
      <c r="BR253" s="928" t="s">
        <v>21</v>
      </c>
      <c r="BS253" s="928" t="s">
        <v>21</v>
      </c>
      <c r="BT253" s="928" t="s">
        <v>21</v>
      </c>
      <c r="BU253" s="928" t="s">
        <v>21</v>
      </c>
      <c r="BV253" s="934">
        <v>0.50000000000009104</v>
      </c>
      <c r="BW253" s="934">
        <v>1</v>
      </c>
      <c r="BX253" s="1104">
        <v>2</v>
      </c>
      <c r="BY253" s="931">
        <v>4</v>
      </c>
      <c r="BZ253" s="930" t="s">
        <v>21</v>
      </c>
      <c r="CA253" s="1074">
        <v>1</v>
      </c>
      <c r="CB253" s="930" t="s">
        <v>21</v>
      </c>
      <c r="CC253" s="930" t="s">
        <v>21</v>
      </c>
      <c r="CD253" s="925">
        <v>29.831</v>
      </c>
      <c r="CE253" s="1130">
        <v>87.742000000000004</v>
      </c>
      <c r="CF253" s="1129" t="s">
        <v>21</v>
      </c>
      <c r="CG253" s="1130" t="s">
        <v>21</v>
      </c>
      <c r="CH253" s="1130" t="s">
        <v>21</v>
      </c>
      <c r="CI253" s="1131" t="s">
        <v>21</v>
      </c>
      <c r="CJ253" s="1129" t="s">
        <v>21</v>
      </c>
      <c r="CK253" s="1130">
        <v>87.742000000000004</v>
      </c>
      <c r="CL253" s="1130" t="s">
        <v>21</v>
      </c>
      <c r="CM253" s="1131" t="s">
        <v>21</v>
      </c>
      <c r="CN253" s="1130" t="s">
        <v>21</v>
      </c>
      <c r="CP253" s="838" t="s">
        <v>21</v>
      </c>
      <c r="CQ253" s="838" t="s">
        <v>21</v>
      </c>
      <c r="CR253" s="836"/>
    </row>
    <row r="254" spans="1:96" x14ac:dyDescent="0.25">
      <c r="A254" s="935"/>
      <c r="B254" s="932"/>
      <c r="C254" s="911"/>
      <c r="D254" s="911"/>
      <c r="E254" s="912"/>
      <c r="F254" s="912"/>
      <c r="G254" s="910"/>
      <c r="H254" s="912"/>
      <c r="I254" s="912"/>
      <c r="J254" s="914"/>
      <c r="K254" s="915"/>
      <c r="L254" s="916" t="s">
        <v>21</v>
      </c>
      <c r="M254" s="916" t="s">
        <v>21</v>
      </c>
      <c r="N254" s="916" t="s">
        <v>21</v>
      </c>
      <c r="O254" s="916" t="s">
        <v>21</v>
      </c>
      <c r="P254" s="915"/>
      <c r="Q254" s="916" t="s">
        <v>21</v>
      </c>
      <c r="R254" s="917" t="s">
        <v>21</v>
      </c>
      <c r="S254" s="918" t="s">
        <v>21</v>
      </c>
      <c r="T254" s="918" t="s">
        <v>21</v>
      </c>
      <c r="U254" s="916" t="s">
        <v>21</v>
      </c>
      <c r="V254" s="916" t="s">
        <v>21</v>
      </c>
      <c r="W254" s="915"/>
      <c r="X254" s="916" t="s">
        <v>21</v>
      </c>
      <c r="Y254" s="916" t="s">
        <v>21</v>
      </c>
      <c r="Z254" s="916" t="s">
        <v>21</v>
      </c>
      <c r="AA254" s="916" t="s">
        <v>21</v>
      </c>
      <c r="AB254" s="916" t="s">
        <v>21</v>
      </c>
      <c r="AC254" s="915"/>
      <c r="AD254" s="919" t="s">
        <v>21</v>
      </c>
      <c r="AE254" s="920" t="s">
        <v>21</v>
      </c>
      <c r="AF254" s="920" t="s">
        <v>21</v>
      </c>
      <c r="AG254" s="920" t="s">
        <v>21</v>
      </c>
      <c r="AH254" s="921" t="s">
        <v>21</v>
      </c>
      <c r="AI254" s="921" t="s">
        <v>21</v>
      </c>
      <c r="AJ254" s="920" t="s">
        <v>21</v>
      </c>
      <c r="AK254" s="920" t="s">
        <v>21</v>
      </c>
      <c r="AL254" s="921" t="s">
        <v>21</v>
      </c>
      <c r="AM254" s="921" t="s">
        <v>21</v>
      </c>
      <c r="AN254" s="920"/>
      <c r="AO254" s="920" t="s">
        <v>21</v>
      </c>
      <c r="AP254" s="919" t="s">
        <v>21</v>
      </c>
      <c r="AQ254" s="933" t="s">
        <v>21</v>
      </c>
      <c r="AR254" s="925" t="s">
        <v>21</v>
      </c>
      <c r="AS254" s="925" t="s">
        <v>21</v>
      </c>
      <c r="AT254" s="925" t="s">
        <v>21</v>
      </c>
      <c r="AU254" s="925" t="s">
        <v>21</v>
      </c>
      <c r="AV254" s="926" t="s">
        <v>21</v>
      </c>
      <c r="AW254" s="926" t="s">
        <v>21</v>
      </c>
      <c r="AX254" s="926" t="s">
        <v>21</v>
      </c>
      <c r="AY254" s="926" t="s">
        <v>21</v>
      </c>
      <c r="AZ254" s="925" t="s">
        <v>21</v>
      </c>
      <c r="BA254" s="925"/>
      <c r="BB254" s="919" t="s">
        <v>21</v>
      </c>
      <c r="BC254" s="919" t="s">
        <v>21</v>
      </c>
      <c r="BD254" s="919" t="s">
        <v>21</v>
      </c>
      <c r="BE254" s="925" t="s">
        <v>21</v>
      </c>
      <c r="BF254" s="926" t="s">
        <v>21</v>
      </c>
      <c r="BG254" s="925" t="s">
        <v>21</v>
      </c>
      <c r="BH254" s="926" t="s">
        <v>21</v>
      </c>
      <c r="BI254" s="925" t="s">
        <v>21</v>
      </c>
      <c r="BJ254" s="926" t="s">
        <v>21</v>
      </c>
      <c r="BK254" s="925" t="s">
        <v>21</v>
      </c>
      <c r="BL254" s="926" t="s">
        <v>21</v>
      </c>
      <c r="BM254" s="925" t="s">
        <v>21</v>
      </c>
      <c r="BN254" s="927"/>
      <c r="BO254" s="927"/>
      <c r="BP254" s="928" t="s">
        <v>21</v>
      </c>
      <c r="BQ254" s="928" t="s">
        <v>21</v>
      </c>
      <c r="BR254" s="928" t="s">
        <v>21</v>
      </c>
      <c r="BS254" s="928" t="s">
        <v>21</v>
      </c>
      <c r="BT254" s="928" t="s">
        <v>21</v>
      </c>
      <c r="BU254" s="928" t="s">
        <v>21</v>
      </c>
      <c r="BV254" s="934" t="s">
        <v>21</v>
      </c>
      <c r="BW254" s="934" t="s">
        <v>21</v>
      </c>
      <c r="BX254" s="1104" t="s">
        <v>21</v>
      </c>
      <c r="BY254" s="931" t="s">
        <v>21</v>
      </c>
      <c r="BZ254" s="930" t="s">
        <v>21</v>
      </c>
      <c r="CA254" s="1074" t="s">
        <v>21</v>
      </c>
      <c r="CB254" s="930" t="s">
        <v>21</v>
      </c>
      <c r="CC254" s="930" t="s">
        <v>21</v>
      </c>
      <c r="CD254" s="925" t="s">
        <v>21</v>
      </c>
      <c r="CE254" s="1130" t="s">
        <v>21</v>
      </c>
      <c r="CF254" s="1129" t="s">
        <v>21</v>
      </c>
      <c r="CG254" s="1130" t="s">
        <v>21</v>
      </c>
      <c r="CH254" s="1130" t="s">
        <v>21</v>
      </c>
      <c r="CI254" s="1131" t="s">
        <v>21</v>
      </c>
      <c r="CJ254" s="1129" t="s">
        <v>21</v>
      </c>
      <c r="CK254" s="1130" t="s">
        <v>21</v>
      </c>
      <c r="CL254" s="1130" t="s">
        <v>21</v>
      </c>
      <c r="CM254" s="1131" t="s">
        <v>21</v>
      </c>
      <c r="CN254" s="1130" t="s">
        <v>21</v>
      </c>
      <c r="CP254" s="838" t="s">
        <v>21</v>
      </c>
      <c r="CQ254" s="838" t="s">
        <v>21</v>
      </c>
      <c r="CR254" s="836"/>
    </row>
    <row r="255" spans="1:96" x14ac:dyDescent="0.25">
      <c r="A255" s="935" t="s">
        <v>2530</v>
      </c>
      <c r="B255" s="932" t="s">
        <v>2463</v>
      </c>
      <c r="C255" s="911">
        <v>600</v>
      </c>
      <c r="D255" s="911" t="s">
        <v>2116</v>
      </c>
      <c r="E255" s="912">
        <v>1156</v>
      </c>
      <c r="F255" s="912">
        <v>1154.0999999999999</v>
      </c>
      <c r="G255" s="910" t="s">
        <v>2460</v>
      </c>
      <c r="H255" s="912">
        <v>1151.5999999999999</v>
      </c>
      <c r="I255" s="912">
        <v>1149.7</v>
      </c>
      <c r="J255" s="914">
        <v>30</v>
      </c>
      <c r="K255" s="915"/>
      <c r="L255" s="916">
        <v>0.1</v>
      </c>
      <c r="M255" s="916">
        <v>0.06</v>
      </c>
      <c r="N255" s="916">
        <v>0.2</v>
      </c>
      <c r="O255" s="916">
        <v>4.84</v>
      </c>
      <c r="P255" s="915"/>
      <c r="Q255" s="916">
        <v>2.16</v>
      </c>
      <c r="R255" s="917">
        <v>0.33333333333333331</v>
      </c>
      <c r="S255" s="918">
        <v>1.4</v>
      </c>
      <c r="T255" s="918">
        <v>2.84</v>
      </c>
      <c r="U255" s="916">
        <v>4.5540000000000003</v>
      </c>
      <c r="V255" s="916">
        <v>0.92</v>
      </c>
      <c r="W255" s="915"/>
      <c r="X255" s="916">
        <v>0.28299999999999997</v>
      </c>
      <c r="Y255" s="916">
        <v>0.40699999999999997</v>
      </c>
      <c r="Z255" s="916">
        <v>4.5789999999999997</v>
      </c>
      <c r="AA255" s="916">
        <v>1.0229999999999999</v>
      </c>
      <c r="AB255" s="916">
        <v>3.0089999999999999</v>
      </c>
      <c r="AC255" s="915"/>
      <c r="AD255" s="919">
        <v>145.19999999999999</v>
      </c>
      <c r="AE255" s="920">
        <v>137.37</v>
      </c>
      <c r="AF255" s="920" t="s">
        <v>21</v>
      </c>
      <c r="AG255" s="920" t="s">
        <v>21</v>
      </c>
      <c r="AH255" s="921">
        <v>137.37</v>
      </c>
      <c r="AI255" s="921" t="s">
        <v>21</v>
      </c>
      <c r="AJ255" s="920" t="s">
        <v>21</v>
      </c>
      <c r="AK255" s="920" t="s">
        <v>21</v>
      </c>
      <c r="AL255" s="921" t="s">
        <v>21</v>
      </c>
      <c r="AM255" s="921" t="s">
        <v>21</v>
      </c>
      <c r="AN255" s="920"/>
      <c r="AO255" s="920" t="s">
        <v>21</v>
      </c>
      <c r="AP255" s="919">
        <v>42</v>
      </c>
      <c r="AQ255" s="933">
        <v>136.62</v>
      </c>
      <c r="AR255" s="925" t="s">
        <v>21</v>
      </c>
      <c r="AS255" s="925">
        <v>136.62</v>
      </c>
      <c r="AT255" s="925" t="s">
        <v>21</v>
      </c>
      <c r="AU255" s="925" t="s">
        <v>21</v>
      </c>
      <c r="AV255" s="926" t="s">
        <v>21</v>
      </c>
      <c r="AW255" s="926" t="s">
        <v>21</v>
      </c>
      <c r="AX255" s="926" t="s">
        <v>21</v>
      </c>
      <c r="AY255" s="926" t="s">
        <v>21</v>
      </c>
      <c r="AZ255" s="925" t="s">
        <v>21</v>
      </c>
      <c r="BA255" s="925"/>
      <c r="BB255" s="919">
        <v>4.2</v>
      </c>
      <c r="BC255" s="919" t="s">
        <v>21</v>
      </c>
      <c r="BD255" s="919" t="s">
        <v>2142</v>
      </c>
      <c r="BE255" s="925" t="s">
        <v>21</v>
      </c>
      <c r="BF255" s="926" t="s">
        <v>21</v>
      </c>
      <c r="BG255" s="925">
        <v>30</v>
      </c>
      <c r="BH255" s="926" t="s">
        <v>21</v>
      </c>
      <c r="BI255" s="925" t="s">
        <v>21</v>
      </c>
      <c r="BJ255" s="926" t="s">
        <v>21</v>
      </c>
      <c r="BK255" s="925" t="s">
        <v>21</v>
      </c>
      <c r="BL255" s="926" t="s">
        <v>21</v>
      </c>
      <c r="BM255" s="925" t="s">
        <v>21</v>
      </c>
      <c r="BN255" s="927"/>
      <c r="BO255" s="927"/>
      <c r="BP255" s="928">
        <v>1</v>
      </c>
      <c r="BQ255" s="928" t="s">
        <v>21</v>
      </c>
      <c r="BR255" s="928" t="s">
        <v>21</v>
      </c>
      <c r="BS255" s="928" t="s">
        <v>21</v>
      </c>
      <c r="BT255" s="928" t="s">
        <v>21</v>
      </c>
      <c r="BU255" s="928" t="s">
        <v>21</v>
      </c>
      <c r="BV255" s="934">
        <v>0.50000000000009104</v>
      </c>
      <c r="BW255" s="934">
        <v>1</v>
      </c>
      <c r="BX255" s="1104">
        <v>2</v>
      </c>
      <c r="BY255" s="931">
        <v>4</v>
      </c>
      <c r="BZ255" s="930" t="s">
        <v>21</v>
      </c>
      <c r="CA255" s="1074">
        <v>1</v>
      </c>
      <c r="CB255" s="930" t="s">
        <v>21</v>
      </c>
      <c r="CC255" s="930" t="s">
        <v>21</v>
      </c>
      <c r="CD255" s="925">
        <v>30.69</v>
      </c>
      <c r="CE255" s="1130">
        <v>90.27</v>
      </c>
      <c r="CF255" s="1129" t="s">
        <v>21</v>
      </c>
      <c r="CG255" s="1130" t="s">
        <v>21</v>
      </c>
      <c r="CH255" s="1130" t="s">
        <v>21</v>
      </c>
      <c r="CI255" s="1131" t="s">
        <v>21</v>
      </c>
      <c r="CJ255" s="1129" t="s">
        <v>21</v>
      </c>
      <c r="CK255" s="1130">
        <v>90.27</v>
      </c>
      <c r="CL255" s="1130" t="s">
        <v>21</v>
      </c>
      <c r="CM255" s="1131" t="s">
        <v>21</v>
      </c>
      <c r="CN255" s="1130" t="s">
        <v>21</v>
      </c>
      <c r="CP255" s="838" t="s">
        <v>21</v>
      </c>
      <c r="CQ255" s="838" t="s">
        <v>21</v>
      </c>
      <c r="CR255" s="836"/>
    </row>
    <row r="256" spans="1:96" x14ac:dyDescent="0.25">
      <c r="A256" s="935"/>
      <c r="B256" s="932"/>
      <c r="C256" s="911"/>
      <c r="D256" s="911"/>
      <c r="E256" s="912"/>
      <c r="F256" s="912"/>
      <c r="G256" s="910"/>
      <c r="H256" s="912"/>
      <c r="I256" s="912"/>
      <c r="J256" s="914"/>
      <c r="K256" s="915"/>
      <c r="L256" s="916" t="s">
        <v>21</v>
      </c>
      <c r="M256" s="916" t="s">
        <v>21</v>
      </c>
      <c r="N256" s="916" t="s">
        <v>21</v>
      </c>
      <c r="O256" s="916" t="s">
        <v>21</v>
      </c>
      <c r="P256" s="915"/>
      <c r="Q256" s="916" t="s">
        <v>21</v>
      </c>
      <c r="R256" s="917" t="s">
        <v>21</v>
      </c>
      <c r="S256" s="918" t="s">
        <v>21</v>
      </c>
      <c r="T256" s="918" t="s">
        <v>21</v>
      </c>
      <c r="U256" s="916" t="s">
        <v>21</v>
      </c>
      <c r="V256" s="916" t="s">
        <v>21</v>
      </c>
      <c r="W256" s="915"/>
      <c r="X256" s="916" t="s">
        <v>21</v>
      </c>
      <c r="Y256" s="916" t="s">
        <v>21</v>
      </c>
      <c r="Z256" s="916" t="s">
        <v>21</v>
      </c>
      <c r="AA256" s="916" t="s">
        <v>21</v>
      </c>
      <c r="AB256" s="916" t="s">
        <v>21</v>
      </c>
      <c r="AC256" s="915"/>
      <c r="AD256" s="919" t="s">
        <v>21</v>
      </c>
      <c r="AE256" s="920" t="s">
        <v>21</v>
      </c>
      <c r="AF256" s="920" t="s">
        <v>21</v>
      </c>
      <c r="AG256" s="920" t="s">
        <v>21</v>
      </c>
      <c r="AH256" s="921" t="s">
        <v>21</v>
      </c>
      <c r="AI256" s="921" t="s">
        <v>21</v>
      </c>
      <c r="AJ256" s="920" t="s">
        <v>21</v>
      </c>
      <c r="AK256" s="920" t="s">
        <v>21</v>
      </c>
      <c r="AL256" s="921" t="s">
        <v>21</v>
      </c>
      <c r="AM256" s="921" t="s">
        <v>21</v>
      </c>
      <c r="AN256" s="920"/>
      <c r="AO256" s="920" t="s">
        <v>21</v>
      </c>
      <c r="AP256" s="919" t="s">
        <v>21</v>
      </c>
      <c r="AQ256" s="933" t="s">
        <v>21</v>
      </c>
      <c r="AR256" s="925" t="s">
        <v>21</v>
      </c>
      <c r="AS256" s="925" t="s">
        <v>21</v>
      </c>
      <c r="AT256" s="925" t="s">
        <v>21</v>
      </c>
      <c r="AU256" s="925" t="s">
        <v>21</v>
      </c>
      <c r="AV256" s="926" t="s">
        <v>21</v>
      </c>
      <c r="AW256" s="926" t="s">
        <v>21</v>
      </c>
      <c r="AX256" s="926" t="s">
        <v>21</v>
      </c>
      <c r="AY256" s="926" t="s">
        <v>21</v>
      </c>
      <c r="AZ256" s="925" t="s">
        <v>21</v>
      </c>
      <c r="BA256" s="925"/>
      <c r="BB256" s="919" t="s">
        <v>21</v>
      </c>
      <c r="BC256" s="919" t="s">
        <v>21</v>
      </c>
      <c r="BD256" s="919" t="s">
        <v>21</v>
      </c>
      <c r="BE256" s="925" t="s">
        <v>21</v>
      </c>
      <c r="BF256" s="926" t="s">
        <v>21</v>
      </c>
      <c r="BG256" s="925" t="s">
        <v>21</v>
      </c>
      <c r="BH256" s="926" t="s">
        <v>21</v>
      </c>
      <c r="BI256" s="925" t="s">
        <v>21</v>
      </c>
      <c r="BJ256" s="926" t="s">
        <v>21</v>
      </c>
      <c r="BK256" s="925" t="s">
        <v>21</v>
      </c>
      <c r="BL256" s="926" t="s">
        <v>21</v>
      </c>
      <c r="BM256" s="925" t="s">
        <v>21</v>
      </c>
      <c r="BN256" s="927"/>
      <c r="BO256" s="927"/>
      <c r="BP256" s="928" t="s">
        <v>21</v>
      </c>
      <c r="BQ256" s="928" t="s">
        <v>21</v>
      </c>
      <c r="BR256" s="928" t="s">
        <v>21</v>
      </c>
      <c r="BS256" s="928" t="s">
        <v>21</v>
      </c>
      <c r="BT256" s="928" t="s">
        <v>21</v>
      </c>
      <c r="BU256" s="928" t="s">
        <v>21</v>
      </c>
      <c r="BV256" s="934" t="s">
        <v>21</v>
      </c>
      <c r="BW256" s="934" t="s">
        <v>21</v>
      </c>
      <c r="BX256" s="1104" t="s">
        <v>21</v>
      </c>
      <c r="BY256" s="931" t="s">
        <v>21</v>
      </c>
      <c r="BZ256" s="930" t="s">
        <v>21</v>
      </c>
      <c r="CA256" s="1074" t="s">
        <v>21</v>
      </c>
      <c r="CB256" s="930" t="s">
        <v>21</v>
      </c>
      <c r="CC256" s="930" t="s">
        <v>21</v>
      </c>
      <c r="CD256" s="925" t="s">
        <v>21</v>
      </c>
      <c r="CE256" s="1130" t="s">
        <v>21</v>
      </c>
      <c r="CF256" s="1129" t="s">
        <v>21</v>
      </c>
      <c r="CG256" s="1130" t="s">
        <v>21</v>
      </c>
      <c r="CH256" s="1130" t="s">
        <v>21</v>
      </c>
      <c r="CI256" s="1131" t="s">
        <v>21</v>
      </c>
      <c r="CJ256" s="1129" t="s">
        <v>21</v>
      </c>
      <c r="CK256" s="1130" t="s">
        <v>21</v>
      </c>
      <c r="CL256" s="1130" t="s">
        <v>21</v>
      </c>
      <c r="CM256" s="1131" t="s">
        <v>21</v>
      </c>
      <c r="CN256" s="1130" t="s">
        <v>21</v>
      </c>
      <c r="CP256" s="838" t="s">
        <v>21</v>
      </c>
      <c r="CQ256" s="838" t="s">
        <v>21</v>
      </c>
      <c r="CR256" s="836"/>
    </row>
    <row r="257" spans="1:96" x14ac:dyDescent="0.25">
      <c r="A257" s="935" t="s">
        <v>2531</v>
      </c>
      <c r="B257" s="932" t="s">
        <v>2464</v>
      </c>
      <c r="C257" s="911">
        <v>600</v>
      </c>
      <c r="D257" s="911" t="s">
        <v>2116</v>
      </c>
      <c r="E257" s="912">
        <v>1160.0999999999999</v>
      </c>
      <c r="F257" s="912">
        <v>1158.2</v>
      </c>
      <c r="G257" s="932" t="s">
        <v>2465</v>
      </c>
      <c r="H257" s="912">
        <v>1160</v>
      </c>
      <c r="I257" s="912">
        <v>1158.018</v>
      </c>
      <c r="J257" s="914">
        <v>26.31</v>
      </c>
      <c r="K257" s="915"/>
      <c r="L257" s="916">
        <v>0.1</v>
      </c>
      <c r="M257" s="916">
        <v>0.06</v>
      </c>
      <c r="N257" s="916">
        <v>0.2</v>
      </c>
      <c r="O257" s="916">
        <v>4.867</v>
      </c>
      <c r="P257" s="915"/>
      <c r="Q257" s="916">
        <v>2.2010000000000001</v>
      </c>
      <c r="R257" s="917">
        <v>0.33333333333333331</v>
      </c>
      <c r="S257" s="918">
        <v>1.4</v>
      </c>
      <c r="T257" s="918">
        <v>2.867</v>
      </c>
      <c r="U257" s="916">
        <v>4.6399999999999997</v>
      </c>
      <c r="V257" s="916">
        <v>0.92</v>
      </c>
      <c r="W257" s="915"/>
      <c r="X257" s="916">
        <v>0.28299999999999997</v>
      </c>
      <c r="Y257" s="916">
        <v>0.40699999999999997</v>
      </c>
      <c r="Z257" s="916">
        <v>4.6959999999999997</v>
      </c>
      <c r="AA257" s="916">
        <v>1.0229999999999999</v>
      </c>
      <c r="AB257" s="916">
        <v>3.1259999999999999</v>
      </c>
      <c r="AC257" s="915"/>
      <c r="AD257" s="919">
        <v>128.05099999999999</v>
      </c>
      <c r="AE257" s="920">
        <v>123.55200000000001</v>
      </c>
      <c r="AF257" s="920" t="s">
        <v>21</v>
      </c>
      <c r="AG257" s="920" t="s">
        <v>21</v>
      </c>
      <c r="AH257" s="921">
        <v>123.55200000000001</v>
      </c>
      <c r="AI257" s="921" t="s">
        <v>21</v>
      </c>
      <c r="AJ257" s="920" t="s">
        <v>21</v>
      </c>
      <c r="AK257" s="920" t="s">
        <v>21</v>
      </c>
      <c r="AL257" s="921" t="s">
        <v>21</v>
      </c>
      <c r="AM257" s="921" t="s">
        <v>21</v>
      </c>
      <c r="AN257" s="920"/>
      <c r="AO257" s="920" t="s">
        <v>21</v>
      </c>
      <c r="AP257" s="919">
        <v>36.834000000000003</v>
      </c>
      <c r="AQ257" s="933">
        <v>122.07839999999999</v>
      </c>
      <c r="AR257" s="925" t="s">
        <v>21</v>
      </c>
      <c r="AS257" s="925">
        <v>122.07839999999999</v>
      </c>
      <c r="AT257" s="925" t="s">
        <v>21</v>
      </c>
      <c r="AU257" s="925" t="s">
        <v>21</v>
      </c>
      <c r="AV257" s="926" t="s">
        <v>21</v>
      </c>
      <c r="AW257" s="926" t="s">
        <v>21</v>
      </c>
      <c r="AX257" s="926" t="s">
        <v>21</v>
      </c>
      <c r="AY257" s="926" t="s">
        <v>21</v>
      </c>
      <c r="AZ257" s="925" t="s">
        <v>21</v>
      </c>
      <c r="BA257" s="925"/>
      <c r="BB257" s="919">
        <v>3.6829999999999998</v>
      </c>
      <c r="BC257" s="919" t="s">
        <v>21</v>
      </c>
      <c r="BD257" s="919" t="s">
        <v>2142</v>
      </c>
      <c r="BE257" s="925" t="s">
        <v>21</v>
      </c>
      <c r="BF257" s="926" t="s">
        <v>21</v>
      </c>
      <c r="BG257" s="925">
        <v>26.31</v>
      </c>
      <c r="BH257" s="926" t="s">
        <v>21</v>
      </c>
      <c r="BI257" s="925" t="s">
        <v>21</v>
      </c>
      <c r="BJ257" s="926" t="s">
        <v>21</v>
      </c>
      <c r="BK257" s="925" t="s">
        <v>21</v>
      </c>
      <c r="BL257" s="926" t="s">
        <v>21</v>
      </c>
      <c r="BM257" s="925" t="s">
        <v>21</v>
      </c>
      <c r="BN257" s="927"/>
      <c r="BO257" s="927"/>
      <c r="BP257" s="928">
        <v>1</v>
      </c>
      <c r="BQ257" s="928" t="s">
        <v>21</v>
      </c>
      <c r="BR257" s="928" t="s">
        <v>21</v>
      </c>
      <c r="BS257" s="928" t="s">
        <v>21</v>
      </c>
      <c r="BT257" s="928" t="s">
        <v>21</v>
      </c>
      <c r="BU257" s="928" t="s">
        <v>21</v>
      </c>
      <c r="BV257" s="934">
        <v>0.49999999999986366</v>
      </c>
      <c r="BW257" s="934">
        <v>0.5</v>
      </c>
      <c r="BX257" s="1104">
        <v>1</v>
      </c>
      <c r="BY257" s="931">
        <v>3</v>
      </c>
      <c r="BZ257" s="930">
        <v>1</v>
      </c>
      <c r="CA257" s="1074" t="s">
        <v>21</v>
      </c>
      <c r="CB257" s="930" t="s">
        <v>21</v>
      </c>
      <c r="CC257" s="930" t="s">
        <v>21</v>
      </c>
      <c r="CD257" s="925">
        <v>26.914999999999999</v>
      </c>
      <c r="CE257" s="1130">
        <v>82.245000000000005</v>
      </c>
      <c r="CF257" s="1129" t="s">
        <v>21</v>
      </c>
      <c r="CG257" s="1130" t="s">
        <v>21</v>
      </c>
      <c r="CH257" s="1130" t="s">
        <v>21</v>
      </c>
      <c r="CI257" s="1131" t="s">
        <v>21</v>
      </c>
      <c r="CJ257" s="1129" t="s">
        <v>21</v>
      </c>
      <c r="CK257" s="1130">
        <v>82.245000000000005</v>
      </c>
      <c r="CL257" s="1130" t="s">
        <v>21</v>
      </c>
      <c r="CM257" s="1131" t="s">
        <v>21</v>
      </c>
      <c r="CN257" s="1130" t="s">
        <v>21</v>
      </c>
      <c r="CP257" s="838" t="s">
        <v>21</v>
      </c>
      <c r="CQ257" s="838" t="s">
        <v>21</v>
      </c>
      <c r="CR257" s="836"/>
    </row>
    <row r="258" spans="1:96" x14ac:dyDescent="0.25">
      <c r="A258" s="935"/>
      <c r="B258" s="932" t="s">
        <v>2465</v>
      </c>
      <c r="C258" s="911">
        <v>600</v>
      </c>
      <c r="D258" s="911" t="s">
        <v>2116</v>
      </c>
      <c r="E258" s="912">
        <v>1160</v>
      </c>
      <c r="F258" s="912">
        <v>1158.018</v>
      </c>
      <c r="G258" s="932" t="s">
        <v>2466</v>
      </c>
      <c r="H258" s="912">
        <v>1154</v>
      </c>
      <c r="I258" s="912">
        <v>1152.0999999999999</v>
      </c>
      <c r="J258" s="914">
        <v>60</v>
      </c>
      <c r="K258" s="915"/>
      <c r="L258" s="916">
        <v>0.1</v>
      </c>
      <c r="M258" s="916">
        <v>0.06</v>
      </c>
      <c r="N258" s="916">
        <v>0.2</v>
      </c>
      <c r="O258" s="916">
        <v>4.867</v>
      </c>
      <c r="P258" s="915"/>
      <c r="Q258" s="916">
        <v>2.2010000000000001</v>
      </c>
      <c r="R258" s="917">
        <v>0.33333333333333331</v>
      </c>
      <c r="S258" s="918">
        <v>1.4</v>
      </c>
      <c r="T258" s="918">
        <v>2.867</v>
      </c>
      <c r="U258" s="916">
        <v>4.6399999999999997</v>
      </c>
      <c r="V258" s="916">
        <v>0.92</v>
      </c>
      <c r="W258" s="915"/>
      <c r="X258" s="916">
        <v>0.28299999999999997</v>
      </c>
      <c r="Y258" s="916">
        <v>0.40699999999999997</v>
      </c>
      <c r="Z258" s="916">
        <v>4.6959999999999997</v>
      </c>
      <c r="AA258" s="916">
        <v>1.0229999999999999</v>
      </c>
      <c r="AB258" s="916">
        <v>3.1259999999999999</v>
      </c>
      <c r="AC258" s="915"/>
      <c r="AD258" s="919">
        <v>292.02</v>
      </c>
      <c r="AE258" s="920">
        <v>281.76</v>
      </c>
      <c r="AF258" s="920" t="s">
        <v>21</v>
      </c>
      <c r="AG258" s="920" t="s">
        <v>21</v>
      </c>
      <c r="AH258" s="921">
        <v>281.76</v>
      </c>
      <c r="AI258" s="921" t="s">
        <v>21</v>
      </c>
      <c r="AJ258" s="920" t="s">
        <v>21</v>
      </c>
      <c r="AK258" s="920" t="s">
        <v>21</v>
      </c>
      <c r="AL258" s="921" t="s">
        <v>21</v>
      </c>
      <c r="AM258" s="921" t="s">
        <v>21</v>
      </c>
      <c r="AN258" s="920"/>
      <c r="AO258" s="920" t="s">
        <v>21</v>
      </c>
      <c r="AP258" s="919">
        <v>84</v>
      </c>
      <c r="AQ258" s="933">
        <v>278.39999999999998</v>
      </c>
      <c r="AR258" s="925" t="s">
        <v>21</v>
      </c>
      <c r="AS258" s="925">
        <v>278.39999999999998</v>
      </c>
      <c r="AT258" s="925" t="s">
        <v>21</v>
      </c>
      <c r="AU258" s="925" t="s">
        <v>21</v>
      </c>
      <c r="AV258" s="926" t="s">
        <v>21</v>
      </c>
      <c r="AW258" s="926" t="s">
        <v>21</v>
      </c>
      <c r="AX258" s="926" t="s">
        <v>21</v>
      </c>
      <c r="AY258" s="926" t="s">
        <v>21</v>
      </c>
      <c r="AZ258" s="925" t="s">
        <v>21</v>
      </c>
      <c r="BA258" s="925"/>
      <c r="BB258" s="919">
        <v>8.4</v>
      </c>
      <c r="BC258" s="919" t="s">
        <v>21</v>
      </c>
      <c r="BD258" s="919" t="s">
        <v>2142</v>
      </c>
      <c r="BE258" s="925" t="s">
        <v>21</v>
      </c>
      <c r="BF258" s="926" t="s">
        <v>21</v>
      </c>
      <c r="BG258" s="925">
        <v>60</v>
      </c>
      <c r="BH258" s="926" t="s">
        <v>21</v>
      </c>
      <c r="BI258" s="925" t="s">
        <v>21</v>
      </c>
      <c r="BJ258" s="926" t="s">
        <v>21</v>
      </c>
      <c r="BK258" s="925" t="s">
        <v>21</v>
      </c>
      <c r="BL258" s="926" t="s">
        <v>21</v>
      </c>
      <c r="BM258" s="925" t="s">
        <v>21</v>
      </c>
      <c r="BN258" s="927"/>
      <c r="BO258" s="927"/>
      <c r="BP258" s="928">
        <v>1</v>
      </c>
      <c r="BQ258" s="928" t="s">
        <v>21</v>
      </c>
      <c r="BR258" s="928" t="s">
        <v>21</v>
      </c>
      <c r="BS258" s="928" t="s">
        <v>21</v>
      </c>
      <c r="BT258" s="928" t="s">
        <v>21</v>
      </c>
      <c r="BU258" s="928" t="s">
        <v>21</v>
      </c>
      <c r="BV258" s="934">
        <v>0.58199999999997098</v>
      </c>
      <c r="BW258" s="934">
        <v>1</v>
      </c>
      <c r="BX258" s="1104">
        <v>2</v>
      </c>
      <c r="BY258" s="931">
        <v>4</v>
      </c>
      <c r="BZ258" s="930">
        <v>1</v>
      </c>
      <c r="CA258" s="1074" t="s">
        <v>21</v>
      </c>
      <c r="CB258" s="930" t="s">
        <v>21</v>
      </c>
      <c r="CC258" s="930" t="s">
        <v>21</v>
      </c>
      <c r="CD258" s="925">
        <v>61.38</v>
      </c>
      <c r="CE258" s="1130">
        <v>187.56</v>
      </c>
      <c r="CF258" s="1129" t="s">
        <v>21</v>
      </c>
      <c r="CG258" s="1130" t="s">
        <v>21</v>
      </c>
      <c r="CH258" s="1130" t="s">
        <v>21</v>
      </c>
      <c r="CI258" s="1131" t="s">
        <v>21</v>
      </c>
      <c r="CJ258" s="1129" t="s">
        <v>21</v>
      </c>
      <c r="CK258" s="1130">
        <v>187.56</v>
      </c>
      <c r="CL258" s="1130" t="s">
        <v>21</v>
      </c>
      <c r="CM258" s="1131" t="s">
        <v>21</v>
      </c>
      <c r="CN258" s="1130" t="s">
        <v>21</v>
      </c>
      <c r="CP258" s="838" t="s">
        <v>21</v>
      </c>
      <c r="CQ258" s="838" t="s">
        <v>21</v>
      </c>
      <c r="CR258" s="836"/>
    </row>
    <row r="259" spans="1:96" x14ac:dyDescent="0.25">
      <c r="A259" s="935"/>
      <c r="B259" s="932" t="s">
        <v>2466</v>
      </c>
      <c r="C259" s="911">
        <v>600</v>
      </c>
      <c r="D259" s="911" t="s">
        <v>2116</v>
      </c>
      <c r="E259" s="912">
        <v>1154</v>
      </c>
      <c r="F259" s="912">
        <v>1151.9960000000001</v>
      </c>
      <c r="G259" s="910" t="s">
        <v>2461</v>
      </c>
      <c r="H259" s="1489">
        <v>1150.6500000000001</v>
      </c>
      <c r="I259" s="1489">
        <v>1148.75</v>
      </c>
      <c r="J259" s="914">
        <v>16.61</v>
      </c>
      <c r="K259" s="915"/>
      <c r="L259" s="916">
        <v>0.1</v>
      </c>
      <c r="M259" s="916">
        <v>0.06</v>
      </c>
      <c r="N259" s="916">
        <v>0.2</v>
      </c>
      <c r="O259" s="916">
        <v>4.875</v>
      </c>
      <c r="P259" s="915"/>
      <c r="Q259" s="916">
        <v>2.2120000000000002</v>
      </c>
      <c r="R259" s="917">
        <v>0.33333333333333331</v>
      </c>
      <c r="S259" s="918">
        <v>1.4</v>
      </c>
      <c r="T259" s="918">
        <v>2.875</v>
      </c>
      <c r="U259" s="916">
        <v>4.6630000000000003</v>
      </c>
      <c r="V259" s="916">
        <v>0.92</v>
      </c>
      <c r="W259" s="915"/>
      <c r="X259" s="916">
        <v>0.28299999999999997</v>
      </c>
      <c r="Y259" s="916">
        <v>0.40699999999999997</v>
      </c>
      <c r="Z259" s="916">
        <v>4.7279999999999998</v>
      </c>
      <c r="AA259" s="916">
        <v>1.0229999999999999</v>
      </c>
      <c r="AB259" s="916">
        <v>3.1579999999999999</v>
      </c>
      <c r="AC259" s="915"/>
      <c r="AD259" s="919">
        <v>80.974000000000004</v>
      </c>
      <c r="AE259" s="920">
        <v>78.531999999999996</v>
      </c>
      <c r="AF259" s="920" t="s">
        <v>21</v>
      </c>
      <c r="AG259" s="920" t="s">
        <v>21</v>
      </c>
      <c r="AH259" s="921">
        <v>78.531999999999996</v>
      </c>
      <c r="AI259" s="921" t="s">
        <v>21</v>
      </c>
      <c r="AJ259" s="920" t="s">
        <v>21</v>
      </c>
      <c r="AK259" s="920" t="s">
        <v>21</v>
      </c>
      <c r="AL259" s="921" t="s">
        <v>21</v>
      </c>
      <c r="AM259" s="921" t="s">
        <v>21</v>
      </c>
      <c r="AN259" s="920"/>
      <c r="AO259" s="920" t="s">
        <v>21</v>
      </c>
      <c r="AP259" s="919">
        <v>23.254000000000001</v>
      </c>
      <c r="AQ259" s="933">
        <v>77.452430000000007</v>
      </c>
      <c r="AR259" s="925" t="s">
        <v>21</v>
      </c>
      <c r="AS259" s="925">
        <v>77.452430000000007</v>
      </c>
      <c r="AT259" s="925" t="s">
        <v>21</v>
      </c>
      <c r="AU259" s="925" t="s">
        <v>21</v>
      </c>
      <c r="AV259" s="926" t="s">
        <v>21</v>
      </c>
      <c r="AW259" s="926" t="s">
        <v>21</v>
      </c>
      <c r="AX259" s="926" t="s">
        <v>21</v>
      </c>
      <c r="AY259" s="926" t="s">
        <v>21</v>
      </c>
      <c r="AZ259" s="925" t="s">
        <v>21</v>
      </c>
      <c r="BA259" s="925"/>
      <c r="BB259" s="919">
        <v>2.3250000000000002</v>
      </c>
      <c r="BC259" s="919" t="s">
        <v>21</v>
      </c>
      <c r="BD259" s="919" t="s">
        <v>2142</v>
      </c>
      <c r="BE259" s="925" t="s">
        <v>21</v>
      </c>
      <c r="BF259" s="926" t="s">
        <v>21</v>
      </c>
      <c r="BG259" s="925">
        <v>16.61</v>
      </c>
      <c r="BH259" s="926" t="s">
        <v>21</v>
      </c>
      <c r="BI259" s="925" t="s">
        <v>21</v>
      </c>
      <c r="BJ259" s="926" t="s">
        <v>21</v>
      </c>
      <c r="BK259" s="925" t="s">
        <v>21</v>
      </c>
      <c r="BL259" s="926" t="s">
        <v>21</v>
      </c>
      <c r="BM259" s="925" t="s">
        <v>21</v>
      </c>
      <c r="BN259" s="927"/>
      <c r="BO259" s="927"/>
      <c r="BP259" s="928">
        <v>1</v>
      </c>
      <c r="BQ259" s="928" t="s">
        <v>21</v>
      </c>
      <c r="BR259" s="928" t="s">
        <v>21</v>
      </c>
      <c r="BS259" s="928" t="s">
        <v>21</v>
      </c>
      <c r="BT259" s="928" t="s">
        <v>21</v>
      </c>
      <c r="BU259" s="928" t="s">
        <v>21</v>
      </c>
      <c r="BV259" s="934">
        <v>0.6039999999999055</v>
      </c>
      <c r="BW259" s="934">
        <v>1</v>
      </c>
      <c r="BX259" s="1104">
        <v>2</v>
      </c>
      <c r="BY259" s="931">
        <v>4</v>
      </c>
      <c r="BZ259" s="930" t="s">
        <v>21</v>
      </c>
      <c r="CA259" s="1074">
        <v>1</v>
      </c>
      <c r="CB259" s="930" t="s">
        <v>21</v>
      </c>
      <c r="CC259" s="930" t="s">
        <v>21</v>
      </c>
      <c r="CD259" s="925">
        <v>16.992000000000001</v>
      </c>
      <c r="CE259" s="1130">
        <v>52.454000000000001</v>
      </c>
      <c r="CF259" s="1129" t="s">
        <v>21</v>
      </c>
      <c r="CG259" s="1130" t="s">
        <v>21</v>
      </c>
      <c r="CH259" s="1130" t="s">
        <v>21</v>
      </c>
      <c r="CI259" s="1131" t="s">
        <v>21</v>
      </c>
      <c r="CJ259" s="1129" t="s">
        <v>21</v>
      </c>
      <c r="CK259" s="1130">
        <v>52.454000000000001</v>
      </c>
      <c r="CL259" s="1130" t="s">
        <v>21</v>
      </c>
      <c r="CM259" s="1131" t="s">
        <v>21</v>
      </c>
      <c r="CN259" s="1130" t="s">
        <v>21</v>
      </c>
      <c r="CP259" s="838" t="s">
        <v>21</v>
      </c>
      <c r="CQ259" s="838" t="s">
        <v>21</v>
      </c>
      <c r="CR259" s="836"/>
    </row>
    <row r="260" spans="1:96" x14ac:dyDescent="0.25">
      <c r="A260" s="935"/>
      <c r="B260" s="932"/>
      <c r="C260" s="911"/>
      <c r="D260" s="911"/>
      <c r="E260" s="912"/>
      <c r="F260" s="912"/>
      <c r="G260" s="910"/>
      <c r="H260" s="912"/>
      <c r="I260" s="912"/>
      <c r="J260" s="914"/>
      <c r="K260" s="915"/>
      <c r="L260" s="916" t="s">
        <v>21</v>
      </c>
      <c r="M260" s="916" t="s">
        <v>21</v>
      </c>
      <c r="N260" s="916" t="s">
        <v>21</v>
      </c>
      <c r="O260" s="916" t="s">
        <v>21</v>
      </c>
      <c r="P260" s="915"/>
      <c r="Q260" s="916" t="s">
        <v>21</v>
      </c>
      <c r="R260" s="917" t="s">
        <v>21</v>
      </c>
      <c r="S260" s="918" t="s">
        <v>21</v>
      </c>
      <c r="T260" s="918" t="s">
        <v>21</v>
      </c>
      <c r="U260" s="916" t="s">
        <v>21</v>
      </c>
      <c r="V260" s="916" t="s">
        <v>21</v>
      </c>
      <c r="W260" s="915"/>
      <c r="X260" s="916" t="s">
        <v>21</v>
      </c>
      <c r="Y260" s="916" t="s">
        <v>21</v>
      </c>
      <c r="Z260" s="916" t="s">
        <v>21</v>
      </c>
      <c r="AA260" s="916" t="s">
        <v>21</v>
      </c>
      <c r="AB260" s="916" t="s">
        <v>21</v>
      </c>
      <c r="AC260" s="915"/>
      <c r="AD260" s="919" t="s">
        <v>21</v>
      </c>
      <c r="AE260" s="920" t="s">
        <v>21</v>
      </c>
      <c r="AF260" s="920" t="s">
        <v>21</v>
      </c>
      <c r="AG260" s="920" t="s">
        <v>21</v>
      </c>
      <c r="AH260" s="921" t="s">
        <v>21</v>
      </c>
      <c r="AI260" s="921" t="s">
        <v>21</v>
      </c>
      <c r="AJ260" s="920" t="s">
        <v>21</v>
      </c>
      <c r="AK260" s="920" t="s">
        <v>21</v>
      </c>
      <c r="AL260" s="921" t="s">
        <v>21</v>
      </c>
      <c r="AM260" s="921" t="s">
        <v>21</v>
      </c>
      <c r="AN260" s="920"/>
      <c r="AO260" s="920" t="s">
        <v>21</v>
      </c>
      <c r="AP260" s="919" t="s">
        <v>21</v>
      </c>
      <c r="AQ260" s="933" t="s">
        <v>21</v>
      </c>
      <c r="AR260" s="925" t="s">
        <v>21</v>
      </c>
      <c r="AS260" s="925" t="s">
        <v>21</v>
      </c>
      <c r="AT260" s="925" t="s">
        <v>21</v>
      </c>
      <c r="AU260" s="925" t="s">
        <v>21</v>
      </c>
      <c r="AV260" s="926" t="s">
        <v>21</v>
      </c>
      <c r="AW260" s="926" t="s">
        <v>21</v>
      </c>
      <c r="AX260" s="926" t="s">
        <v>21</v>
      </c>
      <c r="AY260" s="926" t="s">
        <v>21</v>
      </c>
      <c r="AZ260" s="925" t="s">
        <v>21</v>
      </c>
      <c r="BA260" s="925"/>
      <c r="BB260" s="919" t="s">
        <v>21</v>
      </c>
      <c r="BC260" s="919" t="s">
        <v>21</v>
      </c>
      <c r="BD260" s="919" t="s">
        <v>21</v>
      </c>
      <c r="BE260" s="925" t="s">
        <v>21</v>
      </c>
      <c r="BF260" s="926" t="s">
        <v>21</v>
      </c>
      <c r="BG260" s="925" t="s">
        <v>21</v>
      </c>
      <c r="BH260" s="926" t="s">
        <v>21</v>
      </c>
      <c r="BI260" s="925" t="s">
        <v>21</v>
      </c>
      <c r="BJ260" s="926" t="s">
        <v>21</v>
      </c>
      <c r="BK260" s="925" t="s">
        <v>21</v>
      </c>
      <c r="BL260" s="926" t="s">
        <v>21</v>
      </c>
      <c r="BM260" s="925" t="s">
        <v>21</v>
      </c>
      <c r="BN260" s="927"/>
      <c r="BO260" s="927"/>
      <c r="BP260" s="928" t="s">
        <v>21</v>
      </c>
      <c r="BQ260" s="928" t="s">
        <v>21</v>
      </c>
      <c r="BR260" s="928" t="s">
        <v>21</v>
      </c>
      <c r="BS260" s="928" t="s">
        <v>21</v>
      </c>
      <c r="BT260" s="928" t="s">
        <v>21</v>
      </c>
      <c r="BU260" s="928" t="s">
        <v>21</v>
      </c>
      <c r="BV260" s="934" t="s">
        <v>21</v>
      </c>
      <c r="BW260" s="934" t="s">
        <v>21</v>
      </c>
      <c r="BX260" s="1104" t="s">
        <v>21</v>
      </c>
      <c r="BY260" s="931" t="s">
        <v>21</v>
      </c>
      <c r="BZ260" s="930" t="s">
        <v>21</v>
      </c>
      <c r="CA260" s="1074" t="s">
        <v>21</v>
      </c>
      <c r="CB260" s="930" t="s">
        <v>21</v>
      </c>
      <c r="CC260" s="930" t="s">
        <v>21</v>
      </c>
      <c r="CD260" s="925" t="s">
        <v>21</v>
      </c>
      <c r="CE260" s="1130" t="s">
        <v>21</v>
      </c>
      <c r="CF260" s="1129" t="s">
        <v>21</v>
      </c>
      <c r="CG260" s="1130" t="s">
        <v>21</v>
      </c>
      <c r="CH260" s="1130" t="s">
        <v>21</v>
      </c>
      <c r="CI260" s="1131" t="s">
        <v>21</v>
      </c>
      <c r="CJ260" s="1129" t="s">
        <v>21</v>
      </c>
      <c r="CK260" s="1130" t="s">
        <v>21</v>
      </c>
      <c r="CL260" s="1130" t="s">
        <v>21</v>
      </c>
      <c r="CM260" s="1131" t="s">
        <v>21</v>
      </c>
      <c r="CN260" s="1130" t="s">
        <v>21</v>
      </c>
      <c r="CP260" s="838" t="s">
        <v>21</v>
      </c>
      <c r="CQ260" s="838" t="s">
        <v>21</v>
      </c>
      <c r="CR260" s="836"/>
    </row>
    <row r="261" spans="1:96" x14ac:dyDescent="0.25">
      <c r="A261" s="935" t="s">
        <v>2532</v>
      </c>
      <c r="B261" s="932" t="s">
        <v>2467</v>
      </c>
      <c r="C261" s="911">
        <v>600</v>
      </c>
      <c r="D261" s="911" t="s">
        <v>2116</v>
      </c>
      <c r="E261" s="912">
        <v>1154</v>
      </c>
      <c r="F261" s="912">
        <v>1152.0999999999999</v>
      </c>
      <c r="G261" s="910" t="s">
        <v>2466</v>
      </c>
      <c r="H261" s="912">
        <v>1154</v>
      </c>
      <c r="I261" s="912">
        <v>1151.9960000000001</v>
      </c>
      <c r="J261" s="914">
        <v>20.82</v>
      </c>
      <c r="K261" s="915"/>
      <c r="L261" s="916">
        <v>0.1</v>
      </c>
      <c r="M261" s="916">
        <v>0.06</v>
      </c>
      <c r="N261" s="916">
        <v>0.2</v>
      </c>
      <c r="O261" s="916">
        <v>4.875</v>
      </c>
      <c r="P261" s="915"/>
      <c r="Q261" s="916">
        <v>2.2120000000000002</v>
      </c>
      <c r="R261" s="917">
        <v>0.33333333333333331</v>
      </c>
      <c r="S261" s="918">
        <v>1.4</v>
      </c>
      <c r="T261" s="918">
        <v>2.875</v>
      </c>
      <c r="U261" s="916">
        <v>4.6630000000000003</v>
      </c>
      <c r="V261" s="916">
        <v>0.92</v>
      </c>
      <c r="W261" s="915"/>
      <c r="X261" s="916">
        <v>0.28299999999999997</v>
      </c>
      <c r="Y261" s="916">
        <v>0.40699999999999997</v>
      </c>
      <c r="Z261" s="916">
        <v>4.7279999999999998</v>
      </c>
      <c r="AA261" s="916">
        <v>1.0229999999999999</v>
      </c>
      <c r="AB261" s="916">
        <v>3.1579999999999999</v>
      </c>
      <c r="AC261" s="915"/>
      <c r="AD261" s="919">
        <v>101.498</v>
      </c>
      <c r="AE261" s="920">
        <v>98.436999999999998</v>
      </c>
      <c r="AF261" s="920" t="s">
        <v>21</v>
      </c>
      <c r="AG261" s="920" t="s">
        <v>21</v>
      </c>
      <c r="AH261" s="921">
        <v>98.436999999999998</v>
      </c>
      <c r="AI261" s="921" t="s">
        <v>21</v>
      </c>
      <c r="AJ261" s="920" t="s">
        <v>21</v>
      </c>
      <c r="AK261" s="920" t="s">
        <v>21</v>
      </c>
      <c r="AL261" s="921" t="s">
        <v>21</v>
      </c>
      <c r="AM261" s="921" t="s">
        <v>21</v>
      </c>
      <c r="AN261" s="920"/>
      <c r="AO261" s="920" t="s">
        <v>21</v>
      </c>
      <c r="AP261" s="919">
        <v>29.148</v>
      </c>
      <c r="AQ261" s="933">
        <v>97.083660000000009</v>
      </c>
      <c r="AR261" s="925" t="s">
        <v>21</v>
      </c>
      <c r="AS261" s="925">
        <v>97.083660000000009</v>
      </c>
      <c r="AT261" s="925" t="s">
        <v>21</v>
      </c>
      <c r="AU261" s="925" t="s">
        <v>21</v>
      </c>
      <c r="AV261" s="926" t="s">
        <v>21</v>
      </c>
      <c r="AW261" s="926" t="s">
        <v>21</v>
      </c>
      <c r="AX261" s="926" t="s">
        <v>21</v>
      </c>
      <c r="AY261" s="926" t="s">
        <v>21</v>
      </c>
      <c r="AZ261" s="925" t="s">
        <v>21</v>
      </c>
      <c r="BA261" s="925"/>
      <c r="BB261" s="919">
        <v>2.915</v>
      </c>
      <c r="BC261" s="919" t="s">
        <v>21</v>
      </c>
      <c r="BD261" s="919" t="s">
        <v>2142</v>
      </c>
      <c r="BE261" s="925" t="s">
        <v>21</v>
      </c>
      <c r="BF261" s="926" t="s">
        <v>21</v>
      </c>
      <c r="BG261" s="925">
        <v>20.82</v>
      </c>
      <c r="BH261" s="926" t="s">
        <v>21</v>
      </c>
      <c r="BI261" s="925" t="s">
        <v>21</v>
      </c>
      <c r="BJ261" s="926" t="s">
        <v>21</v>
      </c>
      <c r="BK261" s="925" t="s">
        <v>21</v>
      </c>
      <c r="BL261" s="926" t="s">
        <v>21</v>
      </c>
      <c r="BM261" s="925" t="s">
        <v>21</v>
      </c>
      <c r="BN261" s="927"/>
      <c r="BO261" s="927"/>
      <c r="BP261" s="928">
        <v>1</v>
      </c>
      <c r="BQ261" s="928" t="s">
        <v>21</v>
      </c>
      <c r="BR261" s="928" t="s">
        <v>21</v>
      </c>
      <c r="BS261" s="928" t="s">
        <v>21</v>
      </c>
      <c r="BT261" s="928" t="s">
        <v>21</v>
      </c>
      <c r="BU261" s="928" t="s">
        <v>21</v>
      </c>
      <c r="BV261" s="934">
        <v>0.50000000000009104</v>
      </c>
      <c r="BW261" s="934">
        <v>1</v>
      </c>
      <c r="BX261" s="1104">
        <v>2</v>
      </c>
      <c r="BY261" s="931">
        <v>4</v>
      </c>
      <c r="BZ261" s="930" t="s">
        <v>21</v>
      </c>
      <c r="CA261" s="1074">
        <v>1</v>
      </c>
      <c r="CB261" s="930" t="s">
        <v>21</v>
      </c>
      <c r="CC261" s="930" t="s">
        <v>21</v>
      </c>
      <c r="CD261" s="925">
        <v>21.298999999999999</v>
      </c>
      <c r="CE261" s="1130">
        <v>65.75</v>
      </c>
      <c r="CF261" s="1129" t="s">
        <v>21</v>
      </c>
      <c r="CG261" s="1130" t="s">
        <v>21</v>
      </c>
      <c r="CH261" s="1130" t="s">
        <v>21</v>
      </c>
      <c r="CI261" s="1131" t="s">
        <v>21</v>
      </c>
      <c r="CJ261" s="1129" t="s">
        <v>21</v>
      </c>
      <c r="CK261" s="1130">
        <v>65.75</v>
      </c>
      <c r="CL261" s="1130" t="s">
        <v>21</v>
      </c>
      <c r="CM261" s="1131" t="s">
        <v>21</v>
      </c>
      <c r="CN261" s="1130" t="s">
        <v>21</v>
      </c>
      <c r="CP261" s="838" t="s">
        <v>21</v>
      </c>
      <c r="CQ261" s="838" t="s">
        <v>21</v>
      </c>
      <c r="CR261" s="836"/>
    </row>
    <row r="262" spans="1:96" x14ac:dyDescent="0.25">
      <c r="A262" s="935"/>
      <c r="B262" s="932"/>
      <c r="C262" s="911"/>
      <c r="D262" s="911"/>
      <c r="E262" s="912"/>
      <c r="F262" s="912"/>
      <c r="G262" s="910"/>
      <c r="H262" s="912"/>
      <c r="I262" s="912"/>
      <c r="J262" s="914"/>
      <c r="K262" s="915"/>
      <c r="L262" s="916" t="s">
        <v>21</v>
      </c>
      <c r="M262" s="916" t="s">
        <v>21</v>
      </c>
      <c r="N262" s="916" t="s">
        <v>21</v>
      </c>
      <c r="O262" s="916" t="s">
        <v>21</v>
      </c>
      <c r="P262" s="915"/>
      <c r="Q262" s="916" t="s">
        <v>21</v>
      </c>
      <c r="R262" s="917" t="s">
        <v>21</v>
      </c>
      <c r="S262" s="918" t="s">
        <v>21</v>
      </c>
      <c r="T262" s="918" t="s">
        <v>21</v>
      </c>
      <c r="U262" s="916" t="s">
        <v>21</v>
      </c>
      <c r="V262" s="916" t="s">
        <v>21</v>
      </c>
      <c r="W262" s="915"/>
      <c r="X262" s="916" t="s">
        <v>21</v>
      </c>
      <c r="Y262" s="916" t="s">
        <v>21</v>
      </c>
      <c r="Z262" s="916" t="s">
        <v>21</v>
      </c>
      <c r="AA262" s="916" t="s">
        <v>21</v>
      </c>
      <c r="AB262" s="916" t="s">
        <v>21</v>
      </c>
      <c r="AC262" s="915"/>
      <c r="AD262" s="919" t="s">
        <v>21</v>
      </c>
      <c r="AE262" s="920" t="s">
        <v>21</v>
      </c>
      <c r="AF262" s="920" t="s">
        <v>21</v>
      </c>
      <c r="AG262" s="920" t="s">
        <v>21</v>
      </c>
      <c r="AH262" s="921" t="s">
        <v>21</v>
      </c>
      <c r="AI262" s="921" t="s">
        <v>21</v>
      </c>
      <c r="AJ262" s="920" t="s">
        <v>21</v>
      </c>
      <c r="AK262" s="920" t="s">
        <v>21</v>
      </c>
      <c r="AL262" s="921" t="s">
        <v>21</v>
      </c>
      <c r="AM262" s="921" t="s">
        <v>21</v>
      </c>
      <c r="AN262" s="920"/>
      <c r="AO262" s="920" t="s">
        <v>21</v>
      </c>
      <c r="AP262" s="919" t="s">
        <v>21</v>
      </c>
      <c r="AQ262" s="933" t="s">
        <v>21</v>
      </c>
      <c r="AR262" s="925" t="s">
        <v>21</v>
      </c>
      <c r="AS262" s="925" t="s">
        <v>21</v>
      </c>
      <c r="AT262" s="925" t="s">
        <v>21</v>
      </c>
      <c r="AU262" s="925" t="s">
        <v>21</v>
      </c>
      <c r="AV262" s="926" t="s">
        <v>21</v>
      </c>
      <c r="AW262" s="926" t="s">
        <v>21</v>
      </c>
      <c r="AX262" s="926" t="s">
        <v>21</v>
      </c>
      <c r="AY262" s="926" t="s">
        <v>21</v>
      </c>
      <c r="AZ262" s="925" t="s">
        <v>21</v>
      </c>
      <c r="BA262" s="925"/>
      <c r="BB262" s="919" t="s">
        <v>21</v>
      </c>
      <c r="BC262" s="919" t="s">
        <v>21</v>
      </c>
      <c r="BD262" s="919" t="s">
        <v>21</v>
      </c>
      <c r="BE262" s="925" t="s">
        <v>21</v>
      </c>
      <c r="BF262" s="926" t="s">
        <v>21</v>
      </c>
      <c r="BG262" s="925" t="s">
        <v>21</v>
      </c>
      <c r="BH262" s="926" t="s">
        <v>21</v>
      </c>
      <c r="BI262" s="925" t="s">
        <v>21</v>
      </c>
      <c r="BJ262" s="926" t="s">
        <v>21</v>
      </c>
      <c r="BK262" s="925" t="s">
        <v>21</v>
      </c>
      <c r="BL262" s="926" t="s">
        <v>21</v>
      </c>
      <c r="BM262" s="925" t="s">
        <v>21</v>
      </c>
      <c r="BN262" s="927"/>
      <c r="BO262" s="927"/>
      <c r="BP262" s="928" t="s">
        <v>21</v>
      </c>
      <c r="BQ262" s="928" t="s">
        <v>21</v>
      </c>
      <c r="BR262" s="928" t="s">
        <v>21</v>
      </c>
      <c r="BS262" s="928" t="s">
        <v>21</v>
      </c>
      <c r="BT262" s="928" t="s">
        <v>21</v>
      </c>
      <c r="BU262" s="928" t="s">
        <v>21</v>
      </c>
      <c r="BV262" s="934" t="s">
        <v>21</v>
      </c>
      <c r="BW262" s="934" t="s">
        <v>21</v>
      </c>
      <c r="BX262" s="1104" t="s">
        <v>21</v>
      </c>
      <c r="BY262" s="931" t="s">
        <v>21</v>
      </c>
      <c r="BZ262" s="930" t="s">
        <v>21</v>
      </c>
      <c r="CA262" s="1074" t="s">
        <v>21</v>
      </c>
      <c r="CB262" s="930" t="s">
        <v>21</v>
      </c>
      <c r="CC262" s="930" t="s">
        <v>21</v>
      </c>
      <c r="CD262" s="925" t="s">
        <v>21</v>
      </c>
      <c r="CE262" s="1130" t="s">
        <v>21</v>
      </c>
      <c r="CF262" s="1129" t="s">
        <v>21</v>
      </c>
      <c r="CG262" s="1130" t="s">
        <v>21</v>
      </c>
      <c r="CH262" s="1130" t="s">
        <v>21</v>
      </c>
      <c r="CI262" s="1131" t="s">
        <v>21</v>
      </c>
      <c r="CJ262" s="1129" t="s">
        <v>21</v>
      </c>
      <c r="CK262" s="1130" t="s">
        <v>21</v>
      </c>
      <c r="CL262" s="1130" t="s">
        <v>21</v>
      </c>
      <c r="CM262" s="1131" t="s">
        <v>21</v>
      </c>
      <c r="CN262" s="1130" t="s">
        <v>21</v>
      </c>
      <c r="CP262" s="838" t="s">
        <v>21</v>
      </c>
      <c r="CQ262" s="838" t="s">
        <v>21</v>
      </c>
      <c r="CR262" s="836"/>
    </row>
    <row r="263" spans="1:96" x14ac:dyDescent="0.25">
      <c r="A263" s="935" t="s">
        <v>2533</v>
      </c>
      <c r="B263" s="932" t="s">
        <v>2468</v>
      </c>
      <c r="C263" s="911">
        <v>600</v>
      </c>
      <c r="D263" s="911" t="s">
        <v>2116</v>
      </c>
      <c r="E263" s="912">
        <v>1132.6500000000001</v>
      </c>
      <c r="F263" s="912">
        <v>1130.75</v>
      </c>
      <c r="G263" s="910" t="s">
        <v>2469</v>
      </c>
      <c r="H263" s="912">
        <v>1126</v>
      </c>
      <c r="I263" s="912">
        <v>1124.0999999999999</v>
      </c>
      <c r="J263" s="914">
        <v>55.29</v>
      </c>
      <c r="K263" s="915"/>
      <c r="L263" s="916">
        <v>0.1</v>
      </c>
      <c r="M263" s="916">
        <v>0.06</v>
      </c>
      <c r="N263" s="916">
        <v>0.2</v>
      </c>
      <c r="O263" s="916">
        <v>4.84</v>
      </c>
      <c r="P263" s="915"/>
      <c r="Q263" s="916">
        <v>2.16</v>
      </c>
      <c r="R263" s="917">
        <v>0.33333333333333331</v>
      </c>
      <c r="S263" s="918">
        <v>1.4</v>
      </c>
      <c r="T263" s="918">
        <v>2.84</v>
      </c>
      <c r="U263" s="916">
        <v>4.5540000000000003</v>
      </c>
      <c r="V263" s="916">
        <v>0.92</v>
      </c>
      <c r="W263" s="915"/>
      <c r="X263" s="916">
        <v>0.28299999999999997</v>
      </c>
      <c r="Y263" s="916">
        <v>0.40699999999999997</v>
      </c>
      <c r="Z263" s="916">
        <v>4.5789999999999997</v>
      </c>
      <c r="AA263" s="916">
        <v>1.0229999999999999</v>
      </c>
      <c r="AB263" s="916">
        <v>3.0089999999999999</v>
      </c>
      <c r="AC263" s="915"/>
      <c r="AD263" s="919">
        <v>267.60399999999998</v>
      </c>
      <c r="AE263" s="920">
        <v>253.173</v>
      </c>
      <c r="AF263" s="920" t="s">
        <v>21</v>
      </c>
      <c r="AG263" s="920" t="s">
        <v>21</v>
      </c>
      <c r="AH263" s="921">
        <v>253.173</v>
      </c>
      <c r="AI263" s="921" t="s">
        <v>21</v>
      </c>
      <c r="AJ263" s="920" t="s">
        <v>21</v>
      </c>
      <c r="AK263" s="920" t="s">
        <v>21</v>
      </c>
      <c r="AL263" s="921" t="s">
        <v>21</v>
      </c>
      <c r="AM263" s="921" t="s">
        <v>21</v>
      </c>
      <c r="AN263" s="920"/>
      <c r="AO263" s="920" t="s">
        <v>21</v>
      </c>
      <c r="AP263" s="919">
        <v>77.406000000000006</v>
      </c>
      <c r="AQ263" s="933">
        <v>251.79066</v>
      </c>
      <c r="AR263" s="925" t="s">
        <v>21</v>
      </c>
      <c r="AS263" s="925">
        <v>251.79066</v>
      </c>
      <c r="AT263" s="925" t="s">
        <v>21</v>
      </c>
      <c r="AU263" s="925" t="s">
        <v>21</v>
      </c>
      <c r="AV263" s="926" t="s">
        <v>21</v>
      </c>
      <c r="AW263" s="926" t="s">
        <v>21</v>
      </c>
      <c r="AX263" s="926" t="s">
        <v>21</v>
      </c>
      <c r="AY263" s="926" t="s">
        <v>21</v>
      </c>
      <c r="AZ263" s="925" t="s">
        <v>21</v>
      </c>
      <c r="BA263" s="925"/>
      <c r="BB263" s="919">
        <v>7.7409999999999997</v>
      </c>
      <c r="BC263" s="919" t="s">
        <v>21</v>
      </c>
      <c r="BD263" s="919" t="s">
        <v>2142</v>
      </c>
      <c r="BE263" s="925" t="s">
        <v>21</v>
      </c>
      <c r="BF263" s="926" t="s">
        <v>21</v>
      </c>
      <c r="BG263" s="925">
        <v>55.29</v>
      </c>
      <c r="BH263" s="926" t="s">
        <v>21</v>
      </c>
      <c r="BI263" s="925" t="s">
        <v>21</v>
      </c>
      <c r="BJ263" s="926" t="s">
        <v>21</v>
      </c>
      <c r="BK263" s="925" t="s">
        <v>21</v>
      </c>
      <c r="BL263" s="926" t="s">
        <v>21</v>
      </c>
      <c r="BM263" s="925" t="s">
        <v>21</v>
      </c>
      <c r="BN263" s="927"/>
      <c r="BO263" s="927"/>
      <c r="BP263" s="928">
        <v>1</v>
      </c>
      <c r="BQ263" s="928" t="s">
        <v>21</v>
      </c>
      <c r="BR263" s="928" t="s">
        <v>21</v>
      </c>
      <c r="BS263" s="928" t="s">
        <v>21</v>
      </c>
      <c r="BT263" s="928" t="s">
        <v>21</v>
      </c>
      <c r="BU263" s="928" t="s">
        <v>21</v>
      </c>
      <c r="BV263" s="934">
        <v>0.50000000000009104</v>
      </c>
      <c r="BW263" s="934">
        <v>1</v>
      </c>
      <c r="BX263" s="1104">
        <v>2</v>
      </c>
      <c r="BY263" s="931">
        <v>4</v>
      </c>
      <c r="BZ263" s="930">
        <v>2</v>
      </c>
      <c r="CA263" s="1074" t="s">
        <v>21</v>
      </c>
      <c r="CB263" s="930" t="s">
        <v>21</v>
      </c>
      <c r="CC263" s="930" t="s">
        <v>21</v>
      </c>
      <c r="CD263" s="925">
        <v>56.561999999999998</v>
      </c>
      <c r="CE263" s="1130">
        <v>166.36799999999999</v>
      </c>
      <c r="CF263" s="1129" t="s">
        <v>21</v>
      </c>
      <c r="CG263" s="1130" t="s">
        <v>21</v>
      </c>
      <c r="CH263" s="1130" t="s">
        <v>21</v>
      </c>
      <c r="CI263" s="1131" t="s">
        <v>21</v>
      </c>
      <c r="CJ263" s="1129" t="s">
        <v>21</v>
      </c>
      <c r="CK263" s="1130">
        <v>166.36799999999999</v>
      </c>
      <c r="CL263" s="1130" t="s">
        <v>21</v>
      </c>
      <c r="CM263" s="1131" t="s">
        <v>21</v>
      </c>
      <c r="CN263" s="1130" t="s">
        <v>21</v>
      </c>
      <c r="CP263" s="838" t="s">
        <v>21</v>
      </c>
      <c r="CQ263" s="838" t="s">
        <v>21</v>
      </c>
      <c r="CR263" s="836"/>
    </row>
    <row r="264" spans="1:96" x14ac:dyDescent="0.25">
      <c r="A264" s="935"/>
      <c r="B264" s="932" t="s">
        <v>2469</v>
      </c>
      <c r="C264" s="911">
        <v>600</v>
      </c>
      <c r="D264" s="911" t="s">
        <v>2116</v>
      </c>
      <c r="E264" s="912">
        <v>1126</v>
      </c>
      <c r="F264" s="912">
        <v>1121.5999999999999</v>
      </c>
      <c r="G264" s="910" t="s">
        <v>2233</v>
      </c>
      <c r="H264" s="1489">
        <v>1122.27</v>
      </c>
      <c r="I264" s="1489">
        <v>1121.26</v>
      </c>
      <c r="J264" s="1488">
        <v>8.81</v>
      </c>
      <c r="K264" s="915"/>
      <c r="L264" s="916">
        <v>0.1</v>
      </c>
      <c r="M264" s="916">
        <v>0.06</v>
      </c>
      <c r="N264" s="916">
        <v>0.2</v>
      </c>
      <c r="O264" s="916">
        <v>5.3769999999999998</v>
      </c>
      <c r="P264" s="915"/>
      <c r="Q264" s="916">
        <v>2.9649999999999999</v>
      </c>
      <c r="R264" s="917">
        <v>0.33333333333333331</v>
      </c>
      <c r="S264" s="918">
        <v>1.4</v>
      </c>
      <c r="T264" s="918">
        <v>3.3769999999999998</v>
      </c>
      <c r="U264" s="916">
        <v>6.2510000000000003</v>
      </c>
      <c r="V264" s="916">
        <v>0.92</v>
      </c>
      <c r="W264" s="915"/>
      <c r="X264" s="916">
        <v>0.28299999999999997</v>
      </c>
      <c r="Y264" s="916">
        <v>0.40699999999999997</v>
      </c>
      <c r="Z264" s="916">
        <v>7.0819999999999999</v>
      </c>
      <c r="AA264" s="916">
        <v>1.0229999999999999</v>
      </c>
      <c r="AB264" s="916">
        <v>5.5119999999999996</v>
      </c>
      <c r="AC264" s="915"/>
      <c r="AD264" s="919">
        <v>47.371000000000002</v>
      </c>
      <c r="AE264" s="920">
        <v>62.392000000000003</v>
      </c>
      <c r="AF264" s="920" t="s">
        <v>21</v>
      </c>
      <c r="AG264" s="920" t="s">
        <v>21</v>
      </c>
      <c r="AH264" s="921">
        <v>62.392000000000003</v>
      </c>
      <c r="AI264" s="921" t="s">
        <v>21</v>
      </c>
      <c r="AJ264" s="920" t="s">
        <v>21</v>
      </c>
      <c r="AK264" s="920" t="s">
        <v>21</v>
      </c>
      <c r="AL264" s="921" t="s">
        <v>21</v>
      </c>
      <c r="AM264" s="921" t="s">
        <v>21</v>
      </c>
      <c r="AN264" s="920"/>
      <c r="AO264" s="920" t="s">
        <v>21</v>
      </c>
      <c r="AP264" s="919">
        <v>12.334</v>
      </c>
      <c r="AQ264" s="933">
        <v>55.071310000000004</v>
      </c>
      <c r="AR264" s="925" t="s">
        <v>21</v>
      </c>
      <c r="AS264" s="925">
        <v>55.071310000000004</v>
      </c>
      <c r="AT264" s="925" t="s">
        <v>21</v>
      </c>
      <c r="AU264" s="925" t="s">
        <v>21</v>
      </c>
      <c r="AV264" s="926" t="s">
        <v>21</v>
      </c>
      <c r="AW264" s="926" t="s">
        <v>21</v>
      </c>
      <c r="AX264" s="926" t="s">
        <v>21</v>
      </c>
      <c r="AY264" s="926" t="s">
        <v>21</v>
      </c>
      <c r="AZ264" s="925" t="s">
        <v>21</v>
      </c>
      <c r="BA264" s="925"/>
      <c r="BB264" s="919">
        <v>1.2330000000000001</v>
      </c>
      <c r="BC264" s="919" t="s">
        <v>21</v>
      </c>
      <c r="BD264" s="919" t="s">
        <v>2142</v>
      </c>
      <c r="BE264" s="925" t="s">
        <v>21</v>
      </c>
      <c r="BF264" s="926" t="s">
        <v>21</v>
      </c>
      <c r="BG264" s="925">
        <v>8.81</v>
      </c>
      <c r="BH264" s="926" t="s">
        <v>21</v>
      </c>
      <c r="BI264" s="925" t="s">
        <v>21</v>
      </c>
      <c r="BJ264" s="926" t="s">
        <v>21</v>
      </c>
      <c r="BK264" s="925" t="s">
        <v>21</v>
      </c>
      <c r="BL264" s="926" t="s">
        <v>21</v>
      </c>
      <c r="BM264" s="925" t="s">
        <v>21</v>
      </c>
      <c r="BN264" s="927"/>
      <c r="BO264" s="927"/>
      <c r="BP264" s="928">
        <v>1</v>
      </c>
      <c r="BQ264" s="928" t="s">
        <v>21</v>
      </c>
      <c r="BR264" s="928" t="s">
        <v>21</v>
      </c>
      <c r="BS264" s="928" t="s">
        <v>21</v>
      </c>
      <c r="BT264" s="928" t="s">
        <v>21</v>
      </c>
      <c r="BU264" s="928" t="s">
        <v>21</v>
      </c>
      <c r="BV264" s="934">
        <v>3.000000000000091</v>
      </c>
      <c r="BW264" s="934">
        <v>3.5</v>
      </c>
      <c r="BX264" s="1104">
        <v>7</v>
      </c>
      <c r="BY264" s="931">
        <v>9</v>
      </c>
      <c r="BZ264" s="930">
        <v>2</v>
      </c>
      <c r="CA264" s="1074" t="s">
        <v>21</v>
      </c>
      <c r="CB264" s="930" t="s">
        <v>21</v>
      </c>
      <c r="CC264" s="930" t="s">
        <v>21</v>
      </c>
      <c r="CD264" s="925">
        <v>9.0129999999999999</v>
      </c>
      <c r="CE264" s="1130">
        <v>48.561</v>
      </c>
      <c r="CF264" s="1129" t="s">
        <v>21</v>
      </c>
      <c r="CG264" s="1130" t="s">
        <v>21</v>
      </c>
      <c r="CH264" s="1130" t="s">
        <v>21</v>
      </c>
      <c r="CI264" s="1131" t="s">
        <v>21</v>
      </c>
      <c r="CJ264" s="1129" t="s">
        <v>21</v>
      </c>
      <c r="CK264" s="1130">
        <v>48.561</v>
      </c>
      <c r="CL264" s="1130" t="s">
        <v>21</v>
      </c>
      <c r="CM264" s="1131" t="s">
        <v>21</v>
      </c>
      <c r="CN264" s="1130" t="s">
        <v>21</v>
      </c>
      <c r="CP264" s="838" t="s">
        <v>21</v>
      </c>
      <c r="CQ264" s="838" t="s">
        <v>21</v>
      </c>
      <c r="CR264" s="836"/>
    </row>
    <row r="265" spans="1:96" x14ac:dyDescent="0.25">
      <c r="A265" s="935"/>
      <c r="B265" s="932"/>
      <c r="C265" s="911"/>
      <c r="D265" s="911"/>
      <c r="E265" s="912"/>
      <c r="F265" s="912"/>
      <c r="G265" s="910"/>
      <c r="H265" s="912"/>
      <c r="I265" s="912"/>
      <c r="J265" s="914"/>
      <c r="K265" s="915"/>
      <c r="L265" s="916" t="s">
        <v>21</v>
      </c>
      <c r="M265" s="916" t="s">
        <v>21</v>
      </c>
      <c r="N265" s="916" t="s">
        <v>21</v>
      </c>
      <c r="O265" s="916" t="s">
        <v>21</v>
      </c>
      <c r="P265" s="915"/>
      <c r="Q265" s="916" t="s">
        <v>21</v>
      </c>
      <c r="R265" s="917" t="s">
        <v>21</v>
      </c>
      <c r="S265" s="918" t="s">
        <v>21</v>
      </c>
      <c r="T265" s="918" t="s">
        <v>21</v>
      </c>
      <c r="U265" s="916" t="s">
        <v>21</v>
      </c>
      <c r="V265" s="916" t="s">
        <v>21</v>
      </c>
      <c r="W265" s="915"/>
      <c r="X265" s="916" t="s">
        <v>21</v>
      </c>
      <c r="Y265" s="916" t="s">
        <v>21</v>
      </c>
      <c r="Z265" s="916" t="s">
        <v>21</v>
      </c>
      <c r="AA265" s="916" t="s">
        <v>21</v>
      </c>
      <c r="AB265" s="916" t="s">
        <v>21</v>
      </c>
      <c r="AC265" s="915"/>
      <c r="AD265" s="919" t="s">
        <v>21</v>
      </c>
      <c r="AE265" s="920" t="s">
        <v>21</v>
      </c>
      <c r="AF265" s="920" t="s">
        <v>21</v>
      </c>
      <c r="AG265" s="920" t="s">
        <v>21</v>
      </c>
      <c r="AH265" s="921" t="s">
        <v>21</v>
      </c>
      <c r="AI265" s="921" t="s">
        <v>21</v>
      </c>
      <c r="AJ265" s="920" t="s">
        <v>21</v>
      </c>
      <c r="AK265" s="920" t="s">
        <v>21</v>
      </c>
      <c r="AL265" s="921" t="s">
        <v>21</v>
      </c>
      <c r="AM265" s="921" t="s">
        <v>21</v>
      </c>
      <c r="AN265" s="920"/>
      <c r="AO265" s="920" t="s">
        <v>21</v>
      </c>
      <c r="AP265" s="919" t="s">
        <v>21</v>
      </c>
      <c r="AQ265" s="933" t="s">
        <v>21</v>
      </c>
      <c r="AR265" s="925" t="s">
        <v>21</v>
      </c>
      <c r="AS265" s="925" t="s">
        <v>21</v>
      </c>
      <c r="AT265" s="925" t="s">
        <v>21</v>
      </c>
      <c r="AU265" s="925" t="s">
        <v>21</v>
      </c>
      <c r="AV265" s="926" t="s">
        <v>21</v>
      </c>
      <c r="AW265" s="926" t="s">
        <v>21</v>
      </c>
      <c r="AX265" s="926" t="s">
        <v>21</v>
      </c>
      <c r="AY265" s="926" t="s">
        <v>21</v>
      </c>
      <c r="AZ265" s="925" t="s">
        <v>21</v>
      </c>
      <c r="BA265" s="925"/>
      <c r="BB265" s="919" t="s">
        <v>21</v>
      </c>
      <c r="BC265" s="919" t="s">
        <v>21</v>
      </c>
      <c r="BD265" s="919" t="s">
        <v>21</v>
      </c>
      <c r="BE265" s="925" t="s">
        <v>21</v>
      </c>
      <c r="BF265" s="926" t="s">
        <v>21</v>
      </c>
      <c r="BG265" s="925" t="s">
        <v>21</v>
      </c>
      <c r="BH265" s="926" t="s">
        <v>21</v>
      </c>
      <c r="BI265" s="925" t="s">
        <v>21</v>
      </c>
      <c r="BJ265" s="926" t="s">
        <v>21</v>
      </c>
      <c r="BK265" s="925" t="s">
        <v>21</v>
      </c>
      <c r="BL265" s="926" t="s">
        <v>21</v>
      </c>
      <c r="BM265" s="925" t="s">
        <v>21</v>
      </c>
      <c r="BN265" s="927"/>
      <c r="BO265" s="927"/>
      <c r="BP265" s="928" t="s">
        <v>21</v>
      </c>
      <c r="BQ265" s="928" t="s">
        <v>21</v>
      </c>
      <c r="BR265" s="928" t="s">
        <v>21</v>
      </c>
      <c r="BS265" s="928" t="s">
        <v>21</v>
      </c>
      <c r="BT265" s="928" t="s">
        <v>21</v>
      </c>
      <c r="BU265" s="928" t="s">
        <v>21</v>
      </c>
      <c r="BV265" s="934" t="s">
        <v>21</v>
      </c>
      <c r="BW265" s="934" t="s">
        <v>21</v>
      </c>
      <c r="BX265" s="1104" t="s">
        <v>21</v>
      </c>
      <c r="BY265" s="931" t="s">
        <v>21</v>
      </c>
      <c r="BZ265" s="930" t="s">
        <v>21</v>
      </c>
      <c r="CA265" s="1074" t="s">
        <v>21</v>
      </c>
      <c r="CB265" s="930" t="s">
        <v>21</v>
      </c>
      <c r="CC265" s="930" t="s">
        <v>21</v>
      </c>
      <c r="CD265" s="925" t="s">
        <v>21</v>
      </c>
      <c r="CE265" s="1130" t="s">
        <v>21</v>
      </c>
      <c r="CF265" s="1129" t="s">
        <v>21</v>
      </c>
      <c r="CG265" s="1130" t="s">
        <v>21</v>
      </c>
      <c r="CH265" s="1130" t="s">
        <v>21</v>
      </c>
      <c r="CI265" s="1131" t="s">
        <v>21</v>
      </c>
      <c r="CJ265" s="1129" t="s">
        <v>21</v>
      </c>
      <c r="CK265" s="1130" t="s">
        <v>21</v>
      </c>
      <c r="CL265" s="1130" t="s">
        <v>21</v>
      </c>
      <c r="CM265" s="1131" t="s">
        <v>21</v>
      </c>
      <c r="CN265" s="1130" t="s">
        <v>21</v>
      </c>
      <c r="CP265" s="838" t="s">
        <v>21</v>
      </c>
      <c r="CQ265" s="838" t="s">
        <v>21</v>
      </c>
      <c r="CR265" s="836"/>
    </row>
    <row r="266" spans="1:96" x14ac:dyDescent="0.25">
      <c r="A266" s="935" t="s">
        <v>2534</v>
      </c>
      <c r="B266" s="932" t="s">
        <v>2470</v>
      </c>
      <c r="C266" s="911">
        <v>600</v>
      </c>
      <c r="D266" s="911" t="s">
        <v>2116</v>
      </c>
      <c r="E266" s="912">
        <v>1124</v>
      </c>
      <c r="F266" s="912">
        <v>1122.0999999999999</v>
      </c>
      <c r="G266" s="910" t="s">
        <v>2469</v>
      </c>
      <c r="H266" s="912">
        <v>1126</v>
      </c>
      <c r="I266" s="912">
        <v>1121.9390000000001</v>
      </c>
      <c r="J266" s="914">
        <v>32.29</v>
      </c>
      <c r="K266" s="915"/>
      <c r="L266" s="916">
        <v>0.1</v>
      </c>
      <c r="M266" s="916">
        <v>0.06</v>
      </c>
      <c r="N266" s="916">
        <v>0.2</v>
      </c>
      <c r="O266" s="916">
        <v>5.5609999999999999</v>
      </c>
      <c r="P266" s="915"/>
      <c r="Q266" s="916">
        <v>3.2410000000000001</v>
      </c>
      <c r="R266" s="917">
        <v>0.33333333333333331</v>
      </c>
      <c r="S266" s="918">
        <v>1.4</v>
      </c>
      <c r="T266" s="918">
        <v>3.5609999999999999</v>
      </c>
      <c r="U266" s="916">
        <v>6.8330000000000002</v>
      </c>
      <c r="V266" s="916">
        <v>0.92</v>
      </c>
      <c r="W266" s="915"/>
      <c r="X266" s="916">
        <v>0.28299999999999997</v>
      </c>
      <c r="Y266" s="916">
        <v>0.40699999999999997</v>
      </c>
      <c r="Z266" s="916">
        <v>8.0389999999999997</v>
      </c>
      <c r="AA266" s="916">
        <v>1.0229999999999999</v>
      </c>
      <c r="AB266" s="916">
        <v>6.4690000000000003</v>
      </c>
      <c r="AC266" s="915"/>
      <c r="AD266" s="919">
        <v>179.565</v>
      </c>
      <c r="AE266" s="920">
        <v>259.57900000000001</v>
      </c>
      <c r="AF266" s="920" t="s">
        <v>21</v>
      </c>
      <c r="AG266" s="920" t="s">
        <v>21</v>
      </c>
      <c r="AH266" s="921">
        <v>259.57900000000001</v>
      </c>
      <c r="AI266" s="921" t="s">
        <v>21</v>
      </c>
      <c r="AJ266" s="920" t="s">
        <v>21</v>
      </c>
      <c r="AK266" s="920" t="s">
        <v>21</v>
      </c>
      <c r="AL266" s="921" t="s">
        <v>21</v>
      </c>
      <c r="AM266" s="921" t="s">
        <v>21</v>
      </c>
      <c r="AN266" s="920"/>
      <c r="AO266" s="920" t="s">
        <v>21</v>
      </c>
      <c r="AP266" s="919">
        <v>45.206000000000003</v>
      </c>
      <c r="AQ266" s="933">
        <v>220.63757000000001</v>
      </c>
      <c r="AR266" s="925" t="s">
        <v>21</v>
      </c>
      <c r="AS266" s="925">
        <v>220.63757000000001</v>
      </c>
      <c r="AT266" s="925" t="s">
        <v>21</v>
      </c>
      <c r="AU266" s="925" t="s">
        <v>21</v>
      </c>
      <c r="AV266" s="926" t="s">
        <v>21</v>
      </c>
      <c r="AW266" s="926" t="s">
        <v>21</v>
      </c>
      <c r="AX266" s="926" t="s">
        <v>21</v>
      </c>
      <c r="AY266" s="926" t="s">
        <v>21</v>
      </c>
      <c r="AZ266" s="925" t="s">
        <v>21</v>
      </c>
      <c r="BA266" s="925"/>
      <c r="BB266" s="919">
        <v>4.5209999999999999</v>
      </c>
      <c r="BC266" s="919" t="s">
        <v>21</v>
      </c>
      <c r="BD266" s="919" t="s">
        <v>2152</v>
      </c>
      <c r="BE266" s="925" t="s">
        <v>21</v>
      </c>
      <c r="BF266" s="926" t="s">
        <v>21</v>
      </c>
      <c r="BG266" s="925">
        <v>32.29</v>
      </c>
      <c r="BH266" s="926" t="s">
        <v>21</v>
      </c>
      <c r="BI266" s="925" t="s">
        <v>21</v>
      </c>
      <c r="BJ266" s="926" t="s">
        <v>21</v>
      </c>
      <c r="BK266" s="925" t="s">
        <v>21</v>
      </c>
      <c r="BL266" s="926" t="s">
        <v>21</v>
      </c>
      <c r="BM266" s="925" t="s">
        <v>21</v>
      </c>
      <c r="BN266" s="927"/>
      <c r="BO266" s="927"/>
      <c r="BP266" s="928">
        <v>1</v>
      </c>
      <c r="BQ266" s="928" t="s">
        <v>21</v>
      </c>
      <c r="BR266" s="928" t="s">
        <v>21</v>
      </c>
      <c r="BS266" s="928" t="s">
        <v>21</v>
      </c>
      <c r="BT266" s="928" t="s">
        <v>21</v>
      </c>
      <c r="BU266" s="928" t="s">
        <v>21</v>
      </c>
      <c r="BV266" s="934">
        <v>0.50000000000009104</v>
      </c>
      <c r="BW266" s="934">
        <v>1</v>
      </c>
      <c r="BX266" s="1104">
        <v>2</v>
      </c>
      <c r="BY266" s="931">
        <v>4</v>
      </c>
      <c r="BZ266" s="930">
        <v>1</v>
      </c>
      <c r="CA266" s="1074" t="s">
        <v>21</v>
      </c>
      <c r="CB266" s="930" t="s">
        <v>21</v>
      </c>
      <c r="CC266" s="930" t="s">
        <v>21</v>
      </c>
      <c r="CD266" s="925">
        <v>33.033000000000001</v>
      </c>
      <c r="CE266" s="1130">
        <v>208.88399999999999</v>
      </c>
      <c r="CF266" s="1129" t="s">
        <v>21</v>
      </c>
      <c r="CG266" s="1130" t="s">
        <v>21</v>
      </c>
      <c r="CH266" s="1130" t="s">
        <v>21</v>
      </c>
      <c r="CI266" s="1131" t="s">
        <v>21</v>
      </c>
      <c r="CJ266" s="1129" t="s">
        <v>21</v>
      </c>
      <c r="CK266" s="1130" t="s">
        <v>21</v>
      </c>
      <c r="CL266" s="1130">
        <v>208.88399999999999</v>
      </c>
      <c r="CM266" s="1131" t="s">
        <v>21</v>
      </c>
      <c r="CN266" s="1130" t="s">
        <v>21</v>
      </c>
      <c r="CP266" s="838" t="s">
        <v>21</v>
      </c>
      <c r="CQ266" s="838" t="s">
        <v>21</v>
      </c>
      <c r="CR266" s="836"/>
    </row>
    <row r="267" spans="1:96" x14ac:dyDescent="0.25">
      <c r="A267" s="935"/>
      <c r="B267" s="932"/>
      <c r="C267" s="911"/>
      <c r="D267" s="911"/>
      <c r="E267" s="912"/>
      <c r="F267" s="912"/>
      <c r="G267" s="910"/>
      <c r="H267" s="912"/>
      <c r="I267" s="912"/>
      <c r="J267" s="914"/>
      <c r="K267" s="915"/>
      <c r="L267" s="916" t="s">
        <v>21</v>
      </c>
      <c r="M267" s="916" t="s">
        <v>21</v>
      </c>
      <c r="N267" s="916" t="s">
        <v>21</v>
      </c>
      <c r="O267" s="916" t="s">
        <v>21</v>
      </c>
      <c r="P267" s="915"/>
      <c r="Q267" s="916" t="s">
        <v>21</v>
      </c>
      <c r="R267" s="917" t="s">
        <v>21</v>
      </c>
      <c r="S267" s="918" t="s">
        <v>21</v>
      </c>
      <c r="T267" s="918" t="s">
        <v>21</v>
      </c>
      <c r="U267" s="916" t="s">
        <v>21</v>
      </c>
      <c r="V267" s="916" t="s">
        <v>21</v>
      </c>
      <c r="W267" s="915"/>
      <c r="X267" s="916" t="s">
        <v>21</v>
      </c>
      <c r="Y267" s="916" t="s">
        <v>21</v>
      </c>
      <c r="Z267" s="916" t="s">
        <v>21</v>
      </c>
      <c r="AA267" s="916" t="s">
        <v>21</v>
      </c>
      <c r="AB267" s="916" t="s">
        <v>21</v>
      </c>
      <c r="AC267" s="915"/>
      <c r="AD267" s="919" t="s">
        <v>21</v>
      </c>
      <c r="AE267" s="920" t="s">
        <v>21</v>
      </c>
      <c r="AF267" s="920" t="s">
        <v>21</v>
      </c>
      <c r="AG267" s="920" t="s">
        <v>21</v>
      </c>
      <c r="AH267" s="921" t="s">
        <v>21</v>
      </c>
      <c r="AI267" s="921" t="s">
        <v>21</v>
      </c>
      <c r="AJ267" s="920" t="s">
        <v>21</v>
      </c>
      <c r="AK267" s="920" t="s">
        <v>21</v>
      </c>
      <c r="AL267" s="921" t="s">
        <v>21</v>
      </c>
      <c r="AM267" s="921" t="s">
        <v>21</v>
      </c>
      <c r="AN267" s="920"/>
      <c r="AO267" s="920" t="s">
        <v>21</v>
      </c>
      <c r="AP267" s="919" t="s">
        <v>21</v>
      </c>
      <c r="AQ267" s="933" t="s">
        <v>21</v>
      </c>
      <c r="AR267" s="925" t="s">
        <v>21</v>
      </c>
      <c r="AS267" s="925" t="s">
        <v>21</v>
      </c>
      <c r="AT267" s="925" t="s">
        <v>21</v>
      </c>
      <c r="AU267" s="925" t="s">
        <v>21</v>
      </c>
      <c r="AV267" s="926" t="s">
        <v>21</v>
      </c>
      <c r="AW267" s="926" t="s">
        <v>21</v>
      </c>
      <c r="AX267" s="926" t="s">
        <v>21</v>
      </c>
      <c r="AY267" s="926" t="s">
        <v>21</v>
      </c>
      <c r="AZ267" s="925" t="s">
        <v>21</v>
      </c>
      <c r="BA267" s="925"/>
      <c r="BB267" s="919" t="s">
        <v>21</v>
      </c>
      <c r="BC267" s="919" t="s">
        <v>21</v>
      </c>
      <c r="BD267" s="919" t="s">
        <v>21</v>
      </c>
      <c r="BE267" s="925" t="s">
        <v>21</v>
      </c>
      <c r="BF267" s="926" t="s">
        <v>21</v>
      </c>
      <c r="BG267" s="925" t="s">
        <v>21</v>
      </c>
      <c r="BH267" s="926" t="s">
        <v>21</v>
      </c>
      <c r="BI267" s="925" t="s">
        <v>21</v>
      </c>
      <c r="BJ267" s="926" t="s">
        <v>21</v>
      </c>
      <c r="BK267" s="925" t="s">
        <v>21</v>
      </c>
      <c r="BL267" s="926" t="s">
        <v>21</v>
      </c>
      <c r="BM267" s="925" t="s">
        <v>21</v>
      </c>
      <c r="BN267" s="927"/>
      <c r="BO267" s="927"/>
      <c r="BP267" s="928" t="s">
        <v>21</v>
      </c>
      <c r="BQ267" s="928" t="s">
        <v>21</v>
      </c>
      <c r="BR267" s="928" t="s">
        <v>21</v>
      </c>
      <c r="BS267" s="928" t="s">
        <v>21</v>
      </c>
      <c r="BT267" s="928" t="s">
        <v>21</v>
      </c>
      <c r="BU267" s="928" t="s">
        <v>21</v>
      </c>
      <c r="BV267" s="934" t="s">
        <v>21</v>
      </c>
      <c r="BW267" s="934" t="s">
        <v>21</v>
      </c>
      <c r="BX267" s="1104" t="s">
        <v>21</v>
      </c>
      <c r="BY267" s="931" t="s">
        <v>21</v>
      </c>
      <c r="BZ267" s="930" t="s">
        <v>21</v>
      </c>
      <c r="CA267" s="1074" t="s">
        <v>21</v>
      </c>
      <c r="CB267" s="930" t="s">
        <v>21</v>
      </c>
      <c r="CC267" s="930" t="s">
        <v>21</v>
      </c>
      <c r="CD267" s="925" t="s">
        <v>21</v>
      </c>
      <c r="CE267" s="1130" t="s">
        <v>21</v>
      </c>
      <c r="CF267" s="1129" t="s">
        <v>21</v>
      </c>
      <c r="CG267" s="1130" t="s">
        <v>21</v>
      </c>
      <c r="CH267" s="1130" t="s">
        <v>21</v>
      </c>
      <c r="CI267" s="1131" t="s">
        <v>21</v>
      </c>
      <c r="CJ267" s="1129" t="s">
        <v>21</v>
      </c>
      <c r="CK267" s="1130" t="s">
        <v>21</v>
      </c>
      <c r="CL267" s="1130" t="s">
        <v>21</v>
      </c>
      <c r="CM267" s="1131" t="s">
        <v>21</v>
      </c>
      <c r="CN267" s="1130" t="s">
        <v>21</v>
      </c>
      <c r="CP267" s="838" t="s">
        <v>21</v>
      </c>
      <c r="CQ267" s="838" t="s">
        <v>21</v>
      </c>
      <c r="CR267" s="836"/>
    </row>
    <row r="268" spans="1:96" s="1097" customFormat="1" x14ac:dyDescent="0.25">
      <c r="A268" s="1079" t="s">
        <v>2548</v>
      </c>
      <c r="B268" s="1078"/>
      <c r="C268" s="1076"/>
      <c r="D268" s="1076"/>
      <c r="E268" s="1077"/>
      <c r="F268" s="1077"/>
      <c r="G268" s="1078"/>
      <c r="H268" s="1077"/>
      <c r="I268" s="1077"/>
      <c r="J268" s="1080">
        <v>2319.4900000000002</v>
      </c>
      <c r="K268" s="1081"/>
      <c r="L268" s="1082"/>
      <c r="M268" s="1082"/>
      <c r="N268" s="1082"/>
      <c r="O268" s="1082"/>
      <c r="P268" s="1081"/>
      <c r="Q268" s="1082"/>
      <c r="R268" s="1083"/>
      <c r="S268" s="976"/>
      <c r="T268" s="976"/>
      <c r="U268" s="1082"/>
      <c r="V268" s="1082"/>
      <c r="W268" s="1081"/>
      <c r="X268" s="1082"/>
      <c r="Y268" s="1082"/>
      <c r="Z268" s="1082"/>
      <c r="AA268" s="1082"/>
      <c r="AB268" s="1082"/>
      <c r="AC268" s="1081"/>
      <c r="AD268" s="1084">
        <v>11661.563999999997</v>
      </c>
      <c r="AE268" s="1085">
        <v>12701.975000000002</v>
      </c>
      <c r="AF268" s="1085">
        <v>261.52100000000002</v>
      </c>
      <c r="AG268" s="1085">
        <v>0</v>
      </c>
      <c r="AH268" s="1086">
        <v>9201.351999999999</v>
      </c>
      <c r="AI268" s="1086">
        <v>1378.3440000000001</v>
      </c>
      <c r="AJ268" s="1085">
        <v>0</v>
      </c>
      <c r="AK268" s="1085">
        <v>671.303</v>
      </c>
      <c r="AL268" s="1086">
        <v>0</v>
      </c>
      <c r="AM268" s="1086">
        <v>989.31799999999998</v>
      </c>
      <c r="AN268" s="1085">
        <v>0</v>
      </c>
      <c r="AO268" s="1085">
        <v>200.137</v>
      </c>
      <c r="AP268" s="1084">
        <v>3366.473</v>
      </c>
      <c r="AQ268" s="1087">
        <v>11561.786190000003</v>
      </c>
      <c r="AR268" s="1088">
        <v>286.83834000000002</v>
      </c>
      <c r="AS268" s="1088">
        <v>9035.2370299999984</v>
      </c>
      <c r="AT268" s="1088">
        <v>0</v>
      </c>
      <c r="AU268" s="1088">
        <v>0</v>
      </c>
      <c r="AV268" s="1089">
        <v>0</v>
      </c>
      <c r="AW268" s="1089">
        <v>1041.2029700000001</v>
      </c>
      <c r="AX268" s="1089">
        <v>489.58238000000006</v>
      </c>
      <c r="AY268" s="1089">
        <v>708.92547000000002</v>
      </c>
      <c r="AZ268" s="1088">
        <v>0</v>
      </c>
      <c r="BA268" s="1088">
        <v>0</v>
      </c>
      <c r="BB268" s="1084">
        <v>282.02100000000002</v>
      </c>
      <c r="BC268" s="1084">
        <v>81.938999999999993</v>
      </c>
      <c r="BD268" s="1090"/>
      <c r="BE268" s="1088">
        <v>0</v>
      </c>
      <c r="BF268" s="1089">
        <v>0</v>
      </c>
      <c r="BG268" s="1088">
        <v>2014.4400000000003</v>
      </c>
      <c r="BH268" s="1089">
        <v>212.81</v>
      </c>
      <c r="BI268" s="1088">
        <v>92.240000000000009</v>
      </c>
      <c r="BJ268" s="1089">
        <v>0</v>
      </c>
      <c r="BK268" s="1088">
        <v>0</v>
      </c>
      <c r="BL268" s="1089">
        <v>0</v>
      </c>
      <c r="BM268" s="1088">
        <v>0</v>
      </c>
      <c r="BN268" s="1091">
        <v>0</v>
      </c>
      <c r="BO268" s="1091">
        <v>0</v>
      </c>
      <c r="BP268" s="1092">
        <v>61</v>
      </c>
      <c r="BQ268" s="1092">
        <v>7</v>
      </c>
      <c r="BR268" s="1092">
        <v>3</v>
      </c>
      <c r="BS268" s="1092">
        <v>0</v>
      </c>
      <c r="BT268" s="1092">
        <v>0</v>
      </c>
      <c r="BU268" s="1092">
        <v>0</v>
      </c>
      <c r="BV268" s="1093">
        <v>56.310000000001871</v>
      </c>
      <c r="BW268" s="1093">
        <v>83.5</v>
      </c>
      <c r="BX268" s="1105">
        <v>167</v>
      </c>
      <c r="BY268" s="1095">
        <v>315</v>
      </c>
      <c r="BZ268" s="1094">
        <v>38</v>
      </c>
      <c r="CA268" s="1094">
        <v>30</v>
      </c>
      <c r="CB268" s="1094">
        <v>3</v>
      </c>
      <c r="CC268" s="1094">
        <v>0</v>
      </c>
      <c r="CD268" s="1088">
        <v>2550.5149999999999</v>
      </c>
      <c r="CE268" s="1133">
        <v>8715.1930000000011</v>
      </c>
      <c r="CF268" s="1132">
        <v>0</v>
      </c>
      <c r="CG268" s="1133">
        <v>0</v>
      </c>
      <c r="CH268" s="1133">
        <v>0</v>
      </c>
      <c r="CI268" s="1134">
        <v>0</v>
      </c>
      <c r="CJ268" s="1132">
        <v>32.003999999999998</v>
      </c>
      <c r="CK268" s="1133">
        <v>5949.0869999999995</v>
      </c>
      <c r="CL268" s="1133">
        <v>319.11099999999999</v>
      </c>
      <c r="CM268" s="1134">
        <v>0</v>
      </c>
      <c r="CN268" s="1133">
        <v>2414.991</v>
      </c>
      <c r="CO268" s="1096"/>
      <c r="CP268" s="1096" t="s">
        <v>21</v>
      </c>
      <c r="CQ268" s="1096" t="s">
        <v>21</v>
      </c>
    </row>
    <row r="269" spans="1:96" x14ac:dyDescent="0.25">
      <c r="A269" s="935"/>
      <c r="B269" s="932"/>
      <c r="C269" s="911"/>
      <c r="D269" s="911"/>
      <c r="E269" s="912"/>
      <c r="F269" s="912"/>
      <c r="G269" s="910"/>
      <c r="H269" s="912"/>
      <c r="I269" s="912"/>
      <c r="J269" s="914"/>
      <c r="K269" s="915"/>
      <c r="L269" s="916" t="s">
        <v>21</v>
      </c>
      <c r="M269" s="916" t="s">
        <v>21</v>
      </c>
      <c r="N269" s="916" t="s">
        <v>21</v>
      </c>
      <c r="O269" s="916" t="s">
        <v>21</v>
      </c>
      <c r="P269" s="915"/>
      <c r="Q269" s="916" t="s">
        <v>21</v>
      </c>
      <c r="R269" s="917" t="s">
        <v>21</v>
      </c>
      <c r="S269" s="918" t="s">
        <v>21</v>
      </c>
      <c r="T269" s="918" t="s">
        <v>21</v>
      </c>
      <c r="U269" s="916" t="s">
        <v>21</v>
      </c>
      <c r="V269" s="916" t="s">
        <v>21</v>
      </c>
      <c r="W269" s="915"/>
      <c r="X269" s="916" t="s">
        <v>21</v>
      </c>
      <c r="Y269" s="916" t="s">
        <v>21</v>
      </c>
      <c r="Z269" s="916" t="s">
        <v>21</v>
      </c>
      <c r="AA269" s="916" t="s">
        <v>21</v>
      </c>
      <c r="AB269" s="916" t="s">
        <v>21</v>
      </c>
      <c r="AC269" s="915"/>
      <c r="AD269" s="919" t="s">
        <v>21</v>
      </c>
      <c r="AE269" s="920" t="s">
        <v>21</v>
      </c>
      <c r="AF269" s="920" t="s">
        <v>21</v>
      </c>
      <c r="AG269" s="920" t="s">
        <v>21</v>
      </c>
      <c r="AH269" s="921" t="s">
        <v>21</v>
      </c>
      <c r="AI269" s="921" t="s">
        <v>21</v>
      </c>
      <c r="AJ269" s="920" t="s">
        <v>21</v>
      </c>
      <c r="AK269" s="920" t="s">
        <v>21</v>
      </c>
      <c r="AL269" s="921" t="s">
        <v>21</v>
      </c>
      <c r="AM269" s="921" t="s">
        <v>21</v>
      </c>
      <c r="AN269" s="920"/>
      <c r="AO269" s="920" t="s">
        <v>21</v>
      </c>
      <c r="AP269" s="919" t="s">
        <v>21</v>
      </c>
      <c r="AQ269" s="933" t="s">
        <v>21</v>
      </c>
      <c r="AR269" s="925" t="s">
        <v>21</v>
      </c>
      <c r="AS269" s="925" t="s">
        <v>21</v>
      </c>
      <c r="AT269" s="925" t="s">
        <v>21</v>
      </c>
      <c r="AU269" s="925" t="s">
        <v>21</v>
      </c>
      <c r="AV269" s="926" t="s">
        <v>21</v>
      </c>
      <c r="AW269" s="926" t="s">
        <v>21</v>
      </c>
      <c r="AX269" s="926" t="s">
        <v>21</v>
      </c>
      <c r="AY269" s="926" t="s">
        <v>21</v>
      </c>
      <c r="AZ269" s="925" t="s">
        <v>21</v>
      </c>
      <c r="BA269" s="925"/>
      <c r="BB269" s="919" t="s">
        <v>21</v>
      </c>
      <c r="BC269" s="919" t="s">
        <v>21</v>
      </c>
      <c r="BD269" s="919" t="s">
        <v>21</v>
      </c>
      <c r="BE269" s="925" t="s">
        <v>21</v>
      </c>
      <c r="BF269" s="926" t="s">
        <v>21</v>
      </c>
      <c r="BG269" s="925" t="s">
        <v>21</v>
      </c>
      <c r="BH269" s="926" t="s">
        <v>21</v>
      </c>
      <c r="BI269" s="925" t="s">
        <v>21</v>
      </c>
      <c r="BJ269" s="926" t="s">
        <v>21</v>
      </c>
      <c r="BK269" s="925" t="s">
        <v>21</v>
      </c>
      <c r="BL269" s="926" t="s">
        <v>21</v>
      </c>
      <c r="BM269" s="925" t="s">
        <v>21</v>
      </c>
      <c r="BN269" s="927"/>
      <c r="BO269" s="927"/>
      <c r="BP269" s="928" t="s">
        <v>21</v>
      </c>
      <c r="BQ269" s="928" t="s">
        <v>21</v>
      </c>
      <c r="BR269" s="928" t="s">
        <v>21</v>
      </c>
      <c r="BS269" s="928" t="s">
        <v>21</v>
      </c>
      <c r="BT269" s="928" t="s">
        <v>21</v>
      </c>
      <c r="BU269" s="928" t="s">
        <v>21</v>
      </c>
      <c r="BV269" s="934" t="s">
        <v>21</v>
      </c>
      <c r="BW269" s="934" t="s">
        <v>21</v>
      </c>
      <c r="BX269" s="1104" t="s">
        <v>21</v>
      </c>
      <c r="BY269" s="931" t="s">
        <v>21</v>
      </c>
      <c r="BZ269" s="930" t="s">
        <v>21</v>
      </c>
      <c r="CA269" s="1074" t="s">
        <v>21</v>
      </c>
      <c r="CB269" s="930" t="s">
        <v>21</v>
      </c>
      <c r="CC269" s="930" t="s">
        <v>21</v>
      </c>
      <c r="CD269" s="925" t="s">
        <v>21</v>
      </c>
      <c r="CE269" s="1130" t="s">
        <v>21</v>
      </c>
      <c r="CF269" s="1129" t="s">
        <v>21</v>
      </c>
      <c r="CG269" s="1130" t="s">
        <v>21</v>
      </c>
      <c r="CH269" s="1130" t="s">
        <v>21</v>
      </c>
      <c r="CI269" s="1131" t="s">
        <v>21</v>
      </c>
      <c r="CJ269" s="1129" t="s">
        <v>21</v>
      </c>
      <c r="CK269" s="1130" t="s">
        <v>21</v>
      </c>
      <c r="CL269" s="1130" t="s">
        <v>21</v>
      </c>
      <c r="CM269" s="1131" t="s">
        <v>21</v>
      </c>
      <c r="CN269" s="1130" t="s">
        <v>21</v>
      </c>
      <c r="CP269" s="838" t="s">
        <v>21</v>
      </c>
      <c r="CQ269" s="838" t="s">
        <v>21</v>
      </c>
      <c r="CR269" s="836"/>
    </row>
    <row r="270" spans="1:96" x14ac:dyDescent="0.25">
      <c r="A270" s="935" t="s">
        <v>2535</v>
      </c>
      <c r="B270" s="932" t="s">
        <v>2225</v>
      </c>
      <c r="C270" s="911">
        <v>600</v>
      </c>
      <c r="D270" s="911" t="s">
        <v>2116</v>
      </c>
      <c r="E270" s="912">
        <v>1191.08</v>
      </c>
      <c r="F270" s="912">
        <v>1189.18</v>
      </c>
      <c r="G270" s="932" t="s">
        <v>2226</v>
      </c>
      <c r="H270" s="912">
        <v>1191.5</v>
      </c>
      <c r="I270" s="912">
        <v>1188.8889999999999</v>
      </c>
      <c r="J270" s="914">
        <v>38.159999999999997</v>
      </c>
      <c r="K270" s="915"/>
      <c r="L270" s="916">
        <v>0.1</v>
      </c>
      <c r="M270" s="916">
        <v>0.06</v>
      </c>
      <c r="N270" s="916">
        <v>0.2</v>
      </c>
      <c r="O270" s="916">
        <v>5.077</v>
      </c>
      <c r="P270" s="915"/>
      <c r="Q270" s="916">
        <v>2.5150000000000001</v>
      </c>
      <c r="R270" s="917">
        <v>0.33333333333333331</v>
      </c>
      <c r="S270" s="918">
        <v>1.4</v>
      </c>
      <c r="T270" s="918">
        <v>3.077</v>
      </c>
      <c r="U270" s="916">
        <v>5.3019999999999996</v>
      </c>
      <c r="V270" s="916">
        <v>0.92</v>
      </c>
      <c r="W270" s="915"/>
      <c r="X270" s="916">
        <v>0.28299999999999997</v>
      </c>
      <c r="Y270" s="916">
        <v>0.40699999999999997</v>
      </c>
      <c r="Z270" s="916">
        <v>5.63</v>
      </c>
      <c r="AA270" s="916">
        <v>1.0229999999999999</v>
      </c>
      <c r="AB270" s="916">
        <v>4.0599999999999996</v>
      </c>
      <c r="AC270" s="915"/>
      <c r="AD270" s="919">
        <v>193.738</v>
      </c>
      <c r="AE270" s="920">
        <v>214.84100000000001</v>
      </c>
      <c r="AF270" s="920" t="s">
        <v>21</v>
      </c>
      <c r="AG270" s="920" t="s">
        <v>21</v>
      </c>
      <c r="AH270" s="921">
        <v>214.84100000000001</v>
      </c>
      <c r="AI270" s="921" t="s">
        <v>21</v>
      </c>
      <c r="AJ270" s="920" t="s">
        <v>21</v>
      </c>
      <c r="AK270" s="920" t="s">
        <v>21</v>
      </c>
      <c r="AL270" s="921" t="s">
        <v>21</v>
      </c>
      <c r="AM270" s="921" t="s">
        <v>21</v>
      </c>
      <c r="AN270" s="920"/>
      <c r="AO270" s="920" t="s">
        <v>21</v>
      </c>
      <c r="AP270" s="919">
        <v>53.423999999999999</v>
      </c>
      <c r="AQ270" s="933">
        <v>202.32431999999997</v>
      </c>
      <c r="AR270" s="925" t="s">
        <v>21</v>
      </c>
      <c r="AS270" s="925">
        <v>202.32431999999997</v>
      </c>
      <c r="AT270" s="925" t="s">
        <v>21</v>
      </c>
      <c r="AU270" s="925" t="s">
        <v>21</v>
      </c>
      <c r="AV270" s="926" t="s">
        <v>21</v>
      </c>
      <c r="AW270" s="926" t="s">
        <v>21</v>
      </c>
      <c r="AX270" s="926" t="s">
        <v>21</v>
      </c>
      <c r="AY270" s="926" t="s">
        <v>21</v>
      </c>
      <c r="AZ270" s="925" t="s">
        <v>21</v>
      </c>
      <c r="BA270" s="925"/>
      <c r="BB270" s="919">
        <v>5.3419999999999996</v>
      </c>
      <c r="BC270" s="919" t="s">
        <v>21</v>
      </c>
      <c r="BD270" s="919" t="s">
        <v>2142</v>
      </c>
      <c r="BE270" s="925" t="s">
        <v>21</v>
      </c>
      <c r="BF270" s="926" t="s">
        <v>21</v>
      </c>
      <c r="BG270" s="925">
        <v>38.159999999999997</v>
      </c>
      <c r="BH270" s="926" t="s">
        <v>21</v>
      </c>
      <c r="BI270" s="925" t="s">
        <v>21</v>
      </c>
      <c r="BJ270" s="926" t="s">
        <v>21</v>
      </c>
      <c r="BK270" s="925" t="s">
        <v>21</v>
      </c>
      <c r="BL270" s="926" t="s">
        <v>21</v>
      </c>
      <c r="BM270" s="925" t="s">
        <v>21</v>
      </c>
      <c r="BN270" s="927"/>
      <c r="BO270" s="927"/>
      <c r="BP270" s="928">
        <v>1</v>
      </c>
      <c r="BQ270" s="928" t="s">
        <v>21</v>
      </c>
      <c r="BR270" s="928" t="s">
        <v>21</v>
      </c>
      <c r="BS270" s="928" t="s">
        <v>21</v>
      </c>
      <c r="BT270" s="928" t="s">
        <v>21</v>
      </c>
      <c r="BU270" s="928" t="s">
        <v>21</v>
      </c>
      <c r="BV270" s="934">
        <v>0.49999999999986366</v>
      </c>
      <c r="BW270" s="934">
        <v>0.5</v>
      </c>
      <c r="BX270" s="1104">
        <v>1</v>
      </c>
      <c r="BY270" s="931">
        <v>3</v>
      </c>
      <c r="BZ270" s="930">
        <v>2</v>
      </c>
      <c r="CA270" s="1074" t="s">
        <v>21</v>
      </c>
      <c r="CB270" s="930" t="s">
        <v>21</v>
      </c>
      <c r="CC270" s="930" t="s">
        <v>21</v>
      </c>
      <c r="CD270" s="925">
        <v>39.037999999999997</v>
      </c>
      <c r="CE270" s="1130">
        <v>154.93</v>
      </c>
      <c r="CF270" s="1129" t="s">
        <v>21</v>
      </c>
      <c r="CG270" s="1130" t="s">
        <v>21</v>
      </c>
      <c r="CH270" s="1130" t="s">
        <v>21</v>
      </c>
      <c r="CI270" s="1131" t="s">
        <v>21</v>
      </c>
      <c r="CJ270" s="1129" t="s">
        <v>21</v>
      </c>
      <c r="CK270" s="1130">
        <v>154.93</v>
      </c>
      <c r="CL270" s="1130" t="s">
        <v>21</v>
      </c>
      <c r="CM270" s="1131" t="s">
        <v>21</v>
      </c>
      <c r="CN270" s="1130" t="s">
        <v>21</v>
      </c>
      <c r="CP270" s="838" t="s">
        <v>21</v>
      </c>
      <c r="CQ270" s="838" t="s">
        <v>21</v>
      </c>
      <c r="CR270" s="836"/>
    </row>
    <row r="271" spans="1:96" x14ac:dyDescent="0.25">
      <c r="A271" s="935"/>
      <c r="B271" s="932" t="s">
        <v>2226</v>
      </c>
      <c r="C271" s="911">
        <v>600</v>
      </c>
      <c r="D271" s="911" t="s">
        <v>2116</v>
      </c>
      <c r="E271" s="912">
        <v>1191.5</v>
      </c>
      <c r="F271" s="912">
        <v>1188.8389999999999</v>
      </c>
      <c r="G271" s="932" t="s">
        <v>2227</v>
      </c>
      <c r="H271" s="912">
        <v>1190.08</v>
      </c>
      <c r="I271" s="912">
        <v>1188.18</v>
      </c>
      <c r="J271" s="914">
        <v>46.69</v>
      </c>
      <c r="K271" s="915"/>
      <c r="L271" s="916">
        <v>0.1</v>
      </c>
      <c r="M271" s="916">
        <v>0.06</v>
      </c>
      <c r="N271" s="916">
        <v>0.2</v>
      </c>
      <c r="O271" s="916">
        <v>5.093</v>
      </c>
      <c r="P271" s="915"/>
      <c r="Q271" s="916">
        <v>2.54</v>
      </c>
      <c r="R271" s="917">
        <v>0.33333333333333331</v>
      </c>
      <c r="S271" s="918">
        <v>1.4</v>
      </c>
      <c r="T271" s="918">
        <v>3.093</v>
      </c>
      <c r="U271" s="916">
        <v>5.3550000000000004</v>
      </c>
      <c r="V271" s="916">
        <v>0.92</v>
      </c>
      <c r="W271" s="915"/>
      <c r="X271" s="916">
        <v>0.28299999999999997</v>
      </c>
      <c r="Y271" s="916">
        <v>0.40699999999999997</v>
      </c>
      <c r="Z271" s="916">
        <v>5.7060000000000004</v>
      </c>
      <c r="AA271" s="916">
        <v>1.0229999999999999</v>
      </c>
      <c r="AB271" s="916">
        <v>4.1360000000000001</v>
      </c>
      <c r="AC271" s="915"/>
      <c r="AD271" s="919">
        <v>237.792</v>
      </c>
      <c r="AE271" s="920">
        <v>266.41300000000001</v>
      </c>
      <c r="AF271" s="920" t="s">
        <v>21</v>
      </c>
      <c r="AG271" s="920" t="s">
        <v>21</v>
      </c>
      <c r="AH271" s="921">
        <v>266.41300000000001</v>
      </c>
      <c r="AI271" s="921" t="s">
        <v>21</v>
      </c>
      <c r="AJ271" s="920" t="s">
        <v>21</v>
      </c>
      <c r="AK271" s="920" t="s">
        <v>21</v>
      </c>
      <c r="AL271" s="921" t="s">
        <v>21</v>
      </c>
      <c r="AM271" s="921" t="s">
        <v>21</v>
      </c>
      <c r="AN271" s="920"/>
      <c r="AO271" s="920" t="s">
        <v>21</v>
      </c>
      <c r="AP271" s="919">
        <v>65.366</v>
      </c>
      <c r="AQ271" s="933">
        <v>250.02495000000002</v>
      </c>
      <c r="AR271" s="925" t="s">
        <v>21</v>
      </c>
      <c r="AS271" s="925">
        <v>250.02495000000002</v>
      </c>
      <c r="AT271" s="925" t="s">
        <v>21</v>
      </c>
      <c r="AU271" s="925" t="s">
        <v>21</v>
      </c>
      <c r="AV271" s="926" t="s">
        <v>21</v>
      </c>
      <c r="AW271" s="926" t="s">
        <v>21</v>
      </c>
      <c r="AX271" s="926" t="s">
        <v>21</v>
      </c>
      <c r="AY271" s="926" t="s">
        <v>21</v>
      </c>
      <c r="AZ271" s="925" t="s">
        <v>21</v>
      </c>
      <c r="BA271" s="925"/>
      <c r="BB271" s="919">
        <v>6.5369999999999999</v>
      </c>
      <c r="BC271" s="919" t="s">
        <v>21</v>
      </c>
      <c r="BD271" s="919" t="s">
        <v>2142</v>
      </c>
      <c r="BE271" s="925" t="s">
        <v>21</v>
      </c>
      <c r="BF271" s="926" t="s">
        <v>21</v>
      </c>
      <c r="BG271" s="925">
        <v>46.69</v>
      </c>
      <c r="BH271" s="926" t="s">
        <v>21</v>
      </c>
      <c r="BI271" s="925" t="s">
        <v>21</v>
      </c>
      <c r="BJ271" s="926" t="s">
        <v>21</v>
      </c>
      <c r="BK271" s="925" t="s">
        <v>21</v>
      </c>
      <c r="BL271" s="926" t="s">
        <v>21</v>
      </c>
      <c r="BM271" s="925" t="s">
        <v>21</v>
      </c>
      <c r="BN271" s="927"/>
      <c r="BO271" s="927"/>
      <c r="BP271" s="928">
        <v>1</v>
      </c>
      <c r="BQ271" s="928" t="s">
        <v>21</v>
      </c>
      <c r="BR271" s="928" t="s">
        <v>21</v>
      </c>
      <c r="BS271" s="928" t="s">
        <v>21</v>
      </c>
      <c r="BT271" s="928" t="s">
        <v>21</v>
      </c>
      <c r="BU271" s="928" t="s">
        <v>21</v>
      </c>
      <c r="BV271" s="934">
        <v>1.2610000000000583</v>
      </c>
      <c r="BW271" s="934">
        <v>1.5</v>
      </c>
      <c r="BX271" s="1104">
        <v>3</v>
      </c>
      <c r="BY271" s="931">
        <v>5</v>
      </c>
      <c r="BZ271" s="930" t="s">
        <v>21</v>
      </c>
      <c r="CA271" s="1074">
        <v>1</v>
      </c>
      <c r="CB271" s="930" t="s">
        <v>21</v>
      </c>
      <c r="CC271" s="930" t="s">
        <v>21</v>
      </c>
      <c r="CD271" s="925">
        <v>47.764000000000003</v>
      </c>
      <c r="CE271" s="1130">
        <v>193.11</v>
      </c>
      <c r="CF271" s="1129" t="s">
        <v>21</v>
      </c>
      <c r="CG271" s="1130" t="s">
        <v>21</v>
      </c>
      <c r="CH271" s="1130" t="s">
        <v>21</v>
      </c>
      <c r="CI271" s="1131" t="s">
        <v>21</v>
      </c>
      <c r="CJ271" s="1129" t="s">
        <v>21</v>
      </c>
      <c r="CK271" s="1130">
        <v>193.11</v>
      </c>
      <c r="CL271" s="1130" t="s">
        <v>21</v>
      </c>
      <c r="CM271" s="1131" t="s">
        <v>21</v>
      </c>
      <c r="CN271" s="1130" t="s">
        <v>21</v>
      </c>
      <c r="CP271" s="838" t="s">
        <v>21</v>
      </c>
      <c r="CQ271" s="838" t="s">
        <v>21</v>
      </c>
      <c r="CR271" s="836"/>
    </row>
    <row r="272" spans="1:96" x14ac:dyDescent="0.25">
      <c r="A272" s="935"/>
      <c r="B272" s="932" t="s">
        <v>2227</v>
      </c>
      <c r="C272" s="911">
        <v>600</v>
      </c>
      <c r="D272" s="911" t="s">
        <v>2116</v>
      </c>
      <c r="E272" s="912">
        <v>1190.08</v>
      </c>
      <c r="F272" s="912">
        <v>1188.1300000000001</v>
      </c>
      <c r="G272" s="932" t="s">
        <v>2228</v>
      </c>
      <c r="H272" s="912">
        <v>1189.3599999999999</v>
      </c>
      <c r="I272" s="912">
        <v>1187.46</v>
      </c>
      <c r="J272" s="914">
        <v>46.69</v>
      </c>
      <c r="K272" s="915"/>
      <c r="L272" s="916">
        <v>0.1</v>
      </c>
      <c r="M272" s="916">
        <v>0.06</v>
      </c>
      <c r="N272" s="916">
        <v>0.2</v>
      </c>
      <c r="O272" s="916">
        <v>4.8570000000000002</v>
      </c>
      <c r="P272" s="915"/>
      <c r="Q272" s="916">
        <v>2.1850000000000001</v>
      </c>
      <c r="R272" s="917">
        <v>0.33333333333333331</v>
      </c>
      <c r="S272" s="918">
        <v>1.4</v>
      </c>
      <c r="T272" s="918">
        <v>2.8570000000000002</v>
      </c>
      <c r="U272" s="916">
        <v>4.6059999999999999</v>
      </c>
      <c r="V272" s="916">
        <v>0.92</v>
      </c>
      <c r="W272" s="915"/>
      <c r="X272" s="916">
        <v>0.28299999999999997</v>
      </c>
      <c r="Y272" s="916">
        <v>0.40699999999999997</v>
      </c>
      <c r="Z272" s="916">
        <v>4.6509999999999998</v>
      </c>
      <c r="AA272" s="916">
        <v>1.0229999999999999</v>
      </c>
      <c r="AB272" s="916">
        <v>3.081</v>
      </c>
      <c r="AC272" s="915"/>
      <c r="AD272" s="919">
        <v>226.773</v>
      </c>
      <c r="AE272" s="920">
        <v>217.155</v>
      </c>
      <c r="AF272" s="920" t="s">
        <v>21</v>
      </c>
      <c r="AG272" s="920" t="s">
        <v>21</v>
      </c>
      <c r="AH272" s="921">
        <v>217.155</v>
      </c>
      <c r="AI272" s="921" t="s">
        <v>21</v>
      </c>
      <c r="AJ272" s="920" t="s">
        <v>21</v>
      </c>
      <c r="AK272" s="920" t="s">
        <v>21</v>
      </c>
      <c r="AL272" s="921" t="s">
        <v>21</v>
      </c>
      <c r="AM272" s="921" t="s">
        <v>21</v>
      </c>
      <c r="AN272" s="920"/>
      <c r="AO272" s="920" t="s">
        <v>21</v>
      </c>
      <c r="AP272" s="919">
        <v>65.366</v>
      </c>
      <c r="AQ272" s="933">
        <v>215.05413999999999</v>
      </c>
      <c r="AR272" s="925" t="s">
        <v>21</v>
      </c>
      <c r="AS272" s="925">
        <v>215.05413999999999</v>
      </c>
      <c r="AT272" s="925" t="s">
        <v>21</v>
      </c>
      <c r="AU272" s="925" t="s">
        <v>21</v>
      </c>
      <c r="AV272" s="926" t="s">
        <v>21</v>
      </c>
      <c r="AW272" s="926" t="s">
        <v>21</v>
      </c>
      <c r="AX272" s="926" t="s">
        <v>21</v>
      </c>
      <c r="AY272" s="926" t="s">
        <v>21</v>
      </c>
      <c r="AZ272" s="925" t="s">
        <v>21</v>
      </c>
      <c r="BA272" s="925"/>
      <c r="BB272" s="919">
        <v>6.5369999999999999</v>
      </c>
      <c r="BC272" s="919" t="s">
        <v>21</v>
      </c>
      <c r="BD272" s="919" t="s">
        <v>2142</v>
      </c>
      <c r="BE272" s="925" t="s">
        <v>21</v>
      </c>
      <c r="BF272" s="926" t="s">
        <v>21</v>
      </c>
      <c r="BG272" s="925">
        <v>46.69</v>
      </c>
      <c r="BH272" s="926" t="s">
        <v>21</v>
      </c>
      <c r="BI272" s="925" t="s">
        <v>21</v>
      </c>
      <c r="BJ272" s="926" t="s">
        <v>21</v>
      </c>
      <c r="BK272" s="925" t="s">
        <v>21</v>
      </c>
      <c r="BL272" s="926" t="s">
        <v>21</v>
      </c>
      <c r="BM272" s="925" t="s">
        <v>21</v>
      </c>
      <c r="BN272" s="927"/>
      <c r="BO272" s="927"/>
      <c r="BP272" s="928">
        <v>1</v>
      </c>
      <c r="BQ272" s="928" t="s">
        <v>21</v>
      </c>
      <c r="BR272" s="928" t="s">
        <v>21</v>
      </c>
      <c r="BS272" s="928" t="s">
        <v>21</v>
      </c>
      <c r="BT272" s="928" t="s">
        <v>21</v>
      </c>
      <c r="BU272" s="928" t="s">
        <v>21</v>
      </c>
      <c r="BV272" s="934">
        <v>0.54999999999981819</v>
      </c>
      <c r="BW272" s="934">
        <v>1</v>
      </c>
      <c r="BX272" s="1104">
        <v>2</v>
      </c>
      <c r="BY272" s="931">
        <v>4</v>
      </c>
      <c r="BZ272" s="930">
        <v>1</v>
      </c>
      <c r="CA272" s="1074" t="s">
        <v>21</v>
      </c>
      <c r="CB272" s="930" t="s">
        <v>21</v>
      </c>
      <c r="CC272" s="930" t="s">
        <v>21</v>
      </c>
      <c r="CD272" s="925">
        <v>47.764000000000003</v>
      </c>
      <c r="CE272" s="1130">
        <v>143.852</v>
      </c>
      <c r="CF272" s="1129" t="s">
        <v>21</v>
      </c>
      <c r="CG272" s="1130" t="s">
        <v>21</v>
      </c>
      <c r="CH272" s="1130" t="s">
        <v>21</v>
      </c>
      <c r="CI272" s="1131" t="s">
        <v>21</v>
      </c>
      <c r="CJ272" s="1129" t="s">
        <v>21</v>
      </c>
      <c r="CK272" s="1130">
        <v>143.852</v>
      </c>
      <c r="CL272" s="1130" t="s">
        <v>21</v>
      </c>
      <c r="CM272" s="1131" t="s">
        <v>21</v>
      </c>
      <c r="CN272" s="1130" t="s">
        <v>21</v>
      </c>
      <c r="CP272" s="838" t="s">
        <v>21</v>
      </c>
      <c r="CQ272" s="838" t="s">
        <v>21</v>
      </c>
      <c r="CR272" s="836"/>
    </row>
    <row r="273" spans="1:96" x14ac:dyDescent="0.25">
      <c r="A273" s="935"/>
      <c r="B273" s="932" t="s">
        <v>2228</v>
      </c>
      <c r="C273" s="911">
        <v>600</v>
      </c>
      <c r="D273" s="911" t="s">
        <v>2116</v>
      </c>
      <c r="E273" s="912">
        <v>1189.3599999999999</v>
      </c>
      <c r="F273" s="912">
        <v>1186.827</v>
      </c>
      <c r="G273" s="932" t="s">
        <v>2229</v>
      </c>
      <c r="H273" s="912">
        <v>1188.44</v>
      </c>
      <c r="I273" s="912">
        <v>1186.54</v>
      </c>
      <c r="J273" s="914">
        <v>35.39</v>
      </c>
      <c r="K273" s="915"/>
      <c r="L273" s="916">
        <v>0.1</v>
      </c>
      <c r="M273" s="916">
        <v>0.06</v>
      </c>
      <c r="N273" s="916">
        <v>0.2</v>
      </c>
      <c r="O273" s="916">
        <v>5.0510000000000002</v>
      </c>
      <c r="P273" s="915"/>
      <c r="Q273" s="916">
        <v>2.4769999999999999</v>
      </c>
      <c r="R273" s="917">
        <v>0.33333333333333331</v>
      </c>
      <c r="S273" s="918">
        <v>1.4</v>
      </c>
      <c r="T273" s="918">
        <v>3.0510000000000002</v>
      </c>
      <c r="U273" s="916">
        <v>5.2220000000000004</v>
      </c>
      <c r="V273" s="916">
        <v>0.92</v>
      </c>
      <c r="W273" s="915"/>
      <c r="X273" s="916">
        <v>0.28299999999999997</v>
      </c>
      <c r="Y273" s="916">
        <v>0.40699999999999997</v>
      </c>
      <c r="Z273" s="916">
        <v>5.5129999999999999</v>
      </c>
      <c r="AA273" s="916">
        <v>1.0229999999999999</v>
      </c>
      <c r="AB273" s="916">
        <v>3.9430000000000001</v>
      </c>
      <c r="AC273" s="915"/>
      <c r="AD273" s="919">
        <v>178.755</v>
      </c>
      <c r="AE273" s="920">
        <v>195.10499999999999</v>
      </c>
      <c r="AF273" s="920" t="s">
        <v>21</v>
      </c>
      <c r="AG273" s="920" t="s">
        <v>21</v>
      </c>
      <c r="AH273" s="921">
        <v>195.10499999999999</v>
      </c>
      <c r="AI273" s="921" t="s">
        <v>21</v>
      </c>
      <c r="AJ273" s="920" t="s">
        <v>21</v>
      </c>
      <c r="AK273" s="920" t="s">
        <v>21</v>
      </c>
      <c r="AL273" s="921" t="s">
        <v>21</v>
      </c>
      <c r="AM273" s="921" t="s">
        <v>21</v>
      </c>
      <c r="AN273" s="920"/>
      <c r="AO273" s="920" t="s">
        <v>21</v>
      </c>
      <c r="AP273" s="919">
        <v>49.545999999999999</v>
      </c>
      <c r="AQ273" s="933">
        <v>184.80658000000003</v>
      </c>
      <c r="AR273" s="925" t="s">
        <v>21</v>
      </c>
      <c r="AS273" s="925">
        <v>184.80658000000003</v>
      </c>
      <c r="AT273" s="925" t="s">
        <v>21</v>
      </c>
      <c r="AU273" s="925" t="s">
        <v>21</v>
      </c>
      <c r="AV273" s="926" t="s">
        <v>21</v>
      </c>
      <c r="AW273" s="926" t="s">
        <v>21</v>
      </c>
      <c r="AX273" s="926" t="s">
        <v>21</v>
      </c>
      <c r="AY273" s="926" t="s">
        <v>21</v>
      </c>
      <c r="AZ273" s="925" t="s">
        <v>21</v>
      </c>
      <c r="BA273" s="925"/>
      <c r="BB273" s="919">
        <v>4.9550000000000001</v>
      </c>
      <c r="BC273" s="919" t="s">
        <v>21</v>
      </c>
      <c r="BD273" s="919" t="s">
        <v>2142</v>
      </c>
      <c r="BE273" s="925" t="s">
        <v>21</v>
      </c>
      <c r="BF273" s="926" t="s">
        <v>21</v>
      </c>
      <c r="BG273" s="925">
        <v>35.39</v>
      </c>
      <c r="BH273" s="926" t="s">
        <v>21</v>
      </c>
      <c r="BI273" s="925" t="s">
        <v>21</v>
      </c>
      <c r="BJ273" s="926" t="s">
        <v>21</v>
      </c>
      <c r="BK273" s="925" t="s">
        <v>21</v>
      </c>
      <c r="BL273" s="926" t="s">
        <v>21</v>
      </c>
      <c r="BM273" s="925" t="s">
        <v>21</v>
      </c>
      <c r="BN273" s="927"/>
      <c r="BO273" s="927"/>
      <c r="BP273" s="928">
        <v>1</v>
      </c>
      <c r="BQ273" s="928" t="s">
        <v>21</v>
      </c>
      <c r="BR273" s="928" t="s">
        <v>21</v>
      </c>
      <c r="BS273" s="928" t="s">
        <v>21</v>
      </c>
      <c r="BT273" s="928" t="s">
        <v>21</v>
      </c>
      <c r="BU273" s="928" t="s">
        <v>21</v>
      </c>
      <c r="BV273" s="934">
        <v>1.1329999999999019</v>
      </c>
      <c r="BW273" s="934">
        <v>1.5</v>
      </c>
      <c r="BX273" s="1104">
        <v>3</v>
      </c>
      <c r="BY273" s="931">
        <v>5</v>
      </c>
      <c r="BZ273" s="930">
        <v>1</v>
      </c>
      <c r="CA273" s="1074">
        <v>1</v>
      </c>
      <c r="CB273" s="930" t="s">
        <v>21</v>
      </c>
      <c r="CC273" s="930" t="s">
        <v>21</v>
      </c>
      <c r="CD273" s="925">
        <v>36.204000000000001</v>
      </c>
      <c r="CE273" s="1130">
        <v>139.54300000000001</v>
      </c>
      <c r="CF273" s="1129" t="s">
        <v>21</v>
      </c>
      <c r="CG273" s="1130" t="s">
        <v>21</v>
      </c>
      <c r="CH273" s="1130" t="s">
        <v>21</v>
      </c>
      <c r="CI273" s="1131" t="s">
        <v>21</v>
      </c>
      <c r="CJ273" s="1129" t="s">
        <v>21</v>
      </c>
      <c r="CK273" s="1130">
        <v>139.54300000000001</v>
      </c>
      <c r="CL273" s="1130" t="s">
        <v>21</v>
      </c>
      <c r="CM273" s="1131" t="s">
        <v>21</v>
      </c>
      <c r="CN273" s="1130" t="s">
        <v>21</v>
      </c>
      <c r="CP273" s="838" t="s">
        <v>21</v>
      </c>
      <c r="CQ273" s="838" t="s">
        <v>21</v>
      </c>
      <c r="CR273" s="836"/>
    </row>
    <row r="274" spans="1:96" x14ac:dyDescent="0.25">
      <c r="A274" s="935"/>
      <c r="B274" s="932" t="s">
        <v>2229</v>
      </c>
      <c r="C274" s="911">
        <v>600</v>
      </c>
      <c r="D274" s="911" t="s">
        <v>2116</v>
      </c>
      <c r="E274" s="912">
        <v>1188.44</v>
      </c>
      <c r="F274" s="912">
        <v>1185.04</v>
      </c>
      <c r="G274" s="910" t="s">
        <v>2233</v>
      </c>
      <c r="H274" s="912">
        <v>1185.8599999999999</v>
      </c>
      <c r="I274" s="912">
        <v>1184.3499999999999</v>
      </c>
      <c r="J274" s="914">
        <v>15.72</v>
      </c>
      <c r="K274" s="915"/>
      <c r="L274" s="916">
        <v>0.1</v>
      </c>
      <c r="M274" s="916">
        <v>0.06</v>
      </c>
      <c r="N274" s="916">
        <v>0.2</v>
      </c>
      <c r="O274" s="916">
        <v>5.21</v>
      </c>
      <c r="P274" s="915"/>
      <c r="Q274" s="916">
        <v>2.7149999999999999</v>
      </c>
      <c r="R274" s="917">
        <v>0.33333333333333331</v>
      </c>
      <c r="S274" s="918">
        <v>1.4</v>
      </c>
      <c r="T274" s="918">
        <v>3.21</v>
      </c>
      <c r="U274" s="916">
        <v>5.7240000000000002</v>
      </c>
      <c r="V274" s="916">
        <v>0.92</v>
      </c>
      <c r="W274" s="915"/>
      <c r="X274" s="916">
        <v>0.28299999999999997</v>
      </c>
      <c r="Y274" s="916">
        <v>0.40699999999999997</v>
      </c>
      <c r="Z274" s="916">
        <v>6.258</v>
      </c>
      <c r="AA274" s="916">
        <v>1.0229999999999999</v>
      </c>
      <c r="AB274" s="916">
        <v>4.6879999999999997</v>
      </c>
      <c r="AC274" s="915"/>
      <c r="AD274" s="919">
        <v>81.900999999999996</v>
      </c>
      <c r="AE274" s="920">
        <v>98.376000000000005</v>
      </c>
      <c r="AF274" s="920" t="s">
        <v>21</v>
      </c>
      <c r="AG274" s="920" t="s">
        <v>21</v>
      </c>
      <c r="AH274" s="921">
        <v>98.376000000000005</v>
      </c>
      <c r="AI274" s="921" t="s">
        <v>21</v>
      </c>
      <c r="AJ274" s="920" t="s">
        <v>21</v>
      </c>
      <c r="AK274" s="920" t="s">
        <v>21</v>
      </c>
      <c r="AL274" s="921" t="s">
        <v>21</v>
      </c>
      <c r="AM274" s="921" t="s">
        <v>21</v>
      </c>
      <c r="AN274" s="920"/>
      <c r="AO274" s="920" t="s">
        <v>21</v>
      </c>
      <c r="AP274" s="919">
        <v>22.007999999999999</v>
      </c>
      <c r="AQ274" s="933">
        <v>89.981280000000012</v>
      </c>
      <c r="AR274" s="925" t="s">
        <v>21</v>
      </c>
      <c r="AS274" s="925">
        <v>89.981280000000012</v>
      </c>
      <c r="AT274" s="925" t="s">
        <v>21</v>
      </c>
      <c r="AU274" s="925" t="s">
        <v>21</v>
      </c>
      <c r="AV274" s="926" t="s">
        <v>21</v>
      </c>
      <c r="AW274" s="926" t="s">
        <v>21</v>
      </c>
      <c r="AX274" s="926" t="s">
        <v>21</v>
      </c>
      <c r="AY274" s="926" t="s">
        <v>21</v>
      </c>
      <c r="AZ274" s="925" t="s">
        <v>21</v>
      </c>
      <c r="BA274" s="925"/>
      <c r="BB274" s="919">
        <v>2.2010000000000001</v>
      </c>
      <c r="BC274" s="919" t="s">
        <v>21</v>
      </c>
      <c r="BD274" s="919" t="s">
        <v>2142</v>
      </c>
      <c r="BE274" s="925" t="s">
        <v>21</v>
      </c>
      <c r="BF274" s="926" t="s">
        <v>21</v>
      </c>
      <c r="BG274" s="925">
        <v>15.72</v>
      </c>
      <c r="BH274" s="926" t="s">
        <v>21</v>
      </c>
      <c r="BI274" s="925" t="s">
        <v>21</v>
      </c>
      <c r="BJ274" s="926" t="s">
        <v>21</v>
      </c>
      <c r="BK274" s="925" t="s">
        <v>21</v>
      </c>
      <c r="BL274" s="926" t="s">
        <v>21</v>
      </c>
      <c r="BM274" s="925" t="s">
        <v>21</v>
      </c>
      <c r="BN274" s="927"/>
      <c r="BO274" s="927"/>
      <c r="BP274" s="928">
        <v>1</v>
      </c>
      <c r="BQ274" s="928" t="s">
        <v>21</v>
      </c>
      <c r="BR274" s="928" t="s">
        <v>21</v>
      </c>
      <c r="BS274" s="928" t="s">
        <v>21</v>
      </c>
      <c r="BT274" s="928" t="s">
        <v>21</v>
      </c>
      <c r="BU274" s="928" t="s">
        <v>21</v>
      </c>
      <c r="BV274" s="934">
        <v>2.000000000000091</v>
      </c>
      <c r="BW274" s="934">
        <v>2.5</v>
      </c>
      <c r="BX274" s="1104">
        <v>5</v>
      </c>
      <c r="BY274" s="931">
        <v>7</v>
      </c>
      <c r="BZ274" s="930" t="s">
        <v>21</v>
      </c>
      <c r="CA274" s="1074">
        <v>1</v>
      </c>
      <c r="CB274" s="930" t="s">
        <v>21</v>
      </c>
      <c r="CC274" s="930" t="s">
        <v>21</v>
      </c>
      <c r="CD274" s="925">
        <v>16.082000000000001</v>
      </c>
      <c r="CE274" s="1130">
        <v>73.694999999999993</v>
      </c>
      <c r="CF274" s="1129" t="s">
        <v>21</v>
      </c>
      <c r="CG274" s="1130" t="s">
        <v>21</v>
      </c>
      <c r="CH274" s="1130" t="s">
        <v>21</v>
      </c>
      <c r="CI274" s="1131" t="s">
        <v>21</v>
      </c>
      <c r="CJ274" s="1129" t="s">
        <v>21</v>
      </c>
      <c r="CK274" s="1130">
        <v>73.694999999999993</v>
      </c>
      <c r="CL274" s="1130" t="s">
        <v>21</v>
      </c>
      <c r="CM274" s="1131" t="s">
        <v>21</v>
      </c>
      <c r="CN274" s="1130" t="s">
        <v>21</v>
      </c>
      <c r="CP274" s="838" t="s">
        <v>21</v>
      </c>
      <c r="CQ274" s="838" t="s">
        <v>21</v>
      </c>
      <c r="CR274" s="836"/>
    </row>
    <row r="275" spans="1:96" x14ac:dyDescent="0.25">
      <c r="A275" s="935"/>
      <c r="B275" s="932"/>
      <c r="C275" s="911"/>
      <c r="D275" s="911"/>
      <c r="E275" s="912"/>
      <c r="F275" s="912"/>
      <c r="G275" s="910"/>
      <c r="H275" s="912"/>
      <c r="I275" s="912"/>
      <c r="J275" s="914"/>
      <c r="K275" s="915"/>
      <c r="L275" s="916" t="s">
        <v>21</v>
      </c>
      <c r="M275" s="916" t="s">
        <v>21</v>
      </c>
      <c r="N275" s="916" t="s">
        <v>21</v>
      </c>
      <c r="O275" s="916" t="s">
        <v>21</v>
      </c>
      <c r="P275" s="915"/>
      <c r="Q275" s="916" t="s">
        <v>21</v>
      </c>
      <c r="R275" s="917" t="s">
        <v>21</v>
      </c>
      <c r="S275" s="918" t="s">
        <v>21</v>
      </c>
      <c r="T275" s="918" t="s">
        <v>21</v>
      </c>
      <c r="U275" s="916" t="s">
        <v>21</v>
      </c>
      <c r="V275" s="916" t="s">
        <v>21</v>
      </c>
      <c r="W275" s="915"/>
      <c r="X275" s="916" t="s">
        <v>21</v>
      </c>
      <c r="Y275" s="916" t="s">
        <v>21</v>
      </c>
      <c r="Z275" s="916" t="s">
        <v>21</v>
      </c>
      <c r="AA275" s="916" t="s">
        <v>21</v>
      </c>
      <c r="AB275" s="916" t="s">
        <v>21</v>
      </c>
      <c r="AC275" s="915"/>
      <c r="AD275" s="919" t="s">
        <v>21</v>
      </c>
      <c r="AE275" s="920" t="s">
        <v>21</v>
      </c>
      <c r="AF275" s="920" t="s">
        <v>21</v>
      </c>
      <c r="AG275" s="920" t="s">
        <v>21</v>
      </c>
      <c r="AH275" s="921" t="s">
        <v>21</v>
      </c>
      <c r="AI275" s="921" t="s">
        <v>21</v>
      </c>
      <c r="AJ275" s="920" t="s">
        <v>21</v>
      </c>
      <c r="AK275" s="920" t="s">
        <v>21</v>
      </c>
      <c r="AL275" s="921" t="s">
        <v>21</v>
      </c>
      <c r="AM275" s="921" t="s">
        <v>21</v>
      </c>
      <c r="AN275" s="920"/>
      <c r="AO275" s="920" t="s">
        <v>21</v>
      </c>
      <c r="AP275" s="919" t="s">
        <v>21</v>
      </c>
      <c r="AQ275" s="933" t="s">
        <v>21</v>
      </c>
      <c r="AR275" s="925" t="s">
        <v>21</v>
      </c>
      <c r="AS275" s="925" t="s">
        <v>21</v>
      </c>
      <c r="AT275" s="925" t="s">
        <v>21</v>
      </c>
      <c r="AU275" s="925" t="s">
        <v>21</v>
      </c>
      <c r="AV275" s="926" t="s">
        <v>21</v>
      </c>
      <c r="AW275" s="926" t="s">
        <v>21</v>
      </c>
      <c r="AX275" s="926" t="s">
        <v>21</v>
      </c>
      <c r="AY275" s="926" t="s">
        <v>21</v>
      </c>
      <c r="AZ275" s="925" t="s">
        <v>21</v>
      </c>
      <c r="BA275" s="925"/>
      <c r="BB275" s="919" t="s">
        <v>21</v>
      </c>
      <c r="BC275" s="919" t="s">
        <v>21</v>
      </c>
      <c r="BD275" s="919" t="s">
        <v>21</v>
      </c>
      <c r="BE275" s="925" t="s">
        <v>21</v>
      </c>
      <c r="BF275" s="926" t="s">
        <v>21</v>
      </c>
      <c r="BG275" s="925" t="s">
        <v>21</v>
      </c>
      <c r="BH275" s="926" t="s">
        <v>21</v>
      </c>
      <c r="BI275" s="925" t="s">
        <v>21</v>
      </c>
      <c r="BJ275" s="926" t="s">
        <v>21</v>
      </c>
      <c r="BK275" s="925" t="s">
        <v>21</v>
      </c>
      <c r="BL275" s="926" t="s">
        <v>21</v>
      </c>
      <c r="BM275" s="925" t="s">
        <v>21</v>
      </c>
      <c r="BN275" s="927"/>
      <c r="BO275" s="927"/>
      <c r="BP275" s="928" t="s">
        <v>21</v>
      </c>
      <c r="BQ275" s="928" t="s">
        <v>21</v>
      </c>
      <c r="BR275" s="928" t="s">
        <v>21</v>
      </c>
      <c r="BS275" s="928" t="s">
        <v>21</v>
      </c>
      <c r="BT275" s="928" t="s">
        <v>21</v>
      </c>
      <c r="BU275" s="928" t="s">
        <v>21</v>
      </c>
      <c r="BV275" s="934" t="s">
        <v>21</v>
      </c>
      <c r="BW275" s="934" t="s">
        <v>21</v>
      </c>
      <c r="BX275" s="1104" t="s">
        <v>21</v>
      </c>
      <c r="BY275" s="931" t="s">
        <v>21</v>
      </c>
      <c r="BZ275" s="930" t="s">
        <v>21</v>
      </c>
      <c r="CA275" s="1074" t="s">
        <v>21</v>
      </c>
      <c r="CB275" s="930" t="s">
        <v>21</v>
      </c>
      <c r="CC275" s="930" t="s">
        <v>21</v>
      </c>
      <c r="CD275" s="925" t="s">
        <v>21</v>
      </c>
      <c r="CE275" s="1130" t="s">
        <v>21</v>
      </c>
      <c r="CF275" s="1129" t="s">
        <v>21</v>
      </c>
      <c r="CG275" s="1130" t="s">
        <v>21</v>
      </c>
      <c r="CH275" s="1130" t="s">
        <v>21</v>
      </c>
      <c r="CI275" s="1131" t="s">
        <v>21</v>
      </c>
      <c r="CJ275" s="1129" t="s">
        <v>21</v>
      </c>
      <c r="CK275" s="1130" t="s">
        <v>21</v>
      </c>
      <c r="CL275" s="1130" t="s">
        <v>21</v>
      </c>
      <c r="CM275" s="1131" t="s">
        <v>21</v>
      </c>
      <c r="CN275" s="1130" t="s">
        <v>21</v>
      </c>
      <c r="CP275" s="838" t="s">
        <v>21</v>
      </c>
      <c r="CQ275" s="838" t="s">
        <v>21</v>
      </c>
      <c r="CR275" s="836"/>
    </row>
    <row r="276" spans="1:96" x14ac:dyDescent="0.25">
      <c r="A276" s="935" t="s">
        <v>2536</v>
      </c>
      <c r="B276" s="932" t="s">
        <v>2230</v>
      </c>
      <c r="C276" s="911">
        <v>600</v>
      </c>
      <c r="D276" s="911" t="s">
        <v>2116</v>
      </c>
      <c r="E276" s="912">
        <v>1189.1500000000001</v>
      </c>
      <c r="F276" s="912">
        <v>1187.25</v>
      </c>
      <c r="G276" s="910" t="s">
        <v>2273</v>
      </c>
      <c r="H276" s="912">
        <v>1189.26</v>
      </c>
      <c r="I276" s="912">
        <v>1187.0730000000001</v>
      </c>
      <c r="J276" s="914">
        <v>15.36</v>
      </c>
      <c r="K276" s="915"/>
      <c r="L276" s="916">
        <v>0.1</v>
      </c>
      <c r="M276" s="916">
        <v>0.06</v>
      </c>
      <c r="N276" s="916">
        <v>0.2</v>
      </c>
      <c r="O276" s="916">
        <v>4.9350000000000005</v>
      </c>
      <c r="P276" s="915"/>
      <c r="Q276" s="916">
        <v>2.3029999999999999</v>
      </c>
      <c r="R276" s="917">
        <v>0.33333333333333331</v>
      </c>
      <c r="S276" s="918">
        <v>1.4</v>
      </c>
      <c r="T276" s="918">
        <v>2.9350000000000001</v>
      </c>
      <c r="U276" s="916">
        <v>4.8550000000000004</v>
      </c>
      <c r="V276" s="916">
        <v>0.92</v>
      </c>
      <c r="W276" s="915"/>
      <c r="X276" s="916">
        <v>0.28299999999999997</v>
      </c>
      <c r="Y276" s="916">
        <v>0.40699999999999997</v>
      </c>
      <c r="Z276" s="916">
        <v>4.992</v>
      </c>
      <c r="AA276" s="916">
        <v>1.0229999999999999</v>
      </c>
      <c r="AB276" s="916">
        <v>3.4220000000000002</v>
      </c>
      <c r="AC276" s="915"/>
      <c r="AD276" s="919">
        <v>75.802000000000007</v>
      </c>
      <c r="AE276" s="920">
        <v>76.677000000000007</v>
      </c>
      <c r="AF276" s="920" t="s">
        <v>21</v>
      </c>
      <c r="AG276" s="920" t="s">
        <v>21</v>
      </c>
      <c r="AH276" s="921">
        <v>76.677000000000007</v>
      </c>
      <c r="AI276" s="921" t="s">
        <v>21</v>
      </c>
      <c r="AJ276" s="920" t="s">
        <v>21</v>
      </c>
      <c r="AK276" s="920" t="s">
        <v>21</v>
      </c>
      <c r="AL276" s="921" t="s">
        <v>21</v>
      </c>
      <c r="AM276" s="921" t="s">
        <v>21</v>
      </c>
      <c r="AN276" s="920"/>
      <c r="AO276" s="920" t="s">
        <v>21</v>
      </c>
      <c r="AP276" s="919">
        <v>21.504000000000001</v>
      </c>
      <c r="AQ276" s="933">
        <v>74.572800000000001</v>
      </c>
      <c r="AR276" s="925" t="s">
        <v>21</v>
      </c>
      <c r="AS276" s="925">
        <v>74.572800000000001</v>
      </c>
      <c r="AT276" s="925" t="s">
        <v>21</v>
      </c>
      <c r="AU276" s="925" t="s">
        <v>21</v>
      </c>
      <c r="AV276" s="926" t="s">
        <v>21</v>
      </c>
      <c r="AW276" s="926" t="s">
        <v>21</v>
      </c>
      <c r="AX276" s="926" t="s">
        <v>21</v>
      </c>
      <c r="AY276" s="926" t="s">
        <v>21</v>
      </c>
      <c r="AZ276" s="925" t="s">
        <v>21</v>
      </c>
      <c r="BA276" s="925"/>
      <c r="BB276" s="919">
        <v>2.15</v>
      </c>
      <c r="BC276" s="919" t="s">
        <v>21</v>
      </c>
      <c r="BD276" s="919" t="s">
        <v>2142</v>
      </c>
      <c r="BE276" s="925" t="s">
        <v>21</v>
      </c>
      <c r="BF276" s="926" t="s">
        <v>21</v>
      </c>
      <c r="BG276" s="925">
        <v>15.36</v>
      </c>
      <c r="BH276" s="926" t="s">
        <v>21</v>
      </c>
      <c r="BI276" s="925" t="s">
        <v>21</v>
      </c>
      <c r="BJ276" s="926" t="s">
        <v>21</v>
      </c>
      <c r="BK276" s="925" t="s">
        <v>21</v>
      </c>
      <c r="BL276" s="926" t="s">
        <v>21</v>
      </c>
      <c r="BM276" s="925" t="s">
        <v>21</v>
      </c>
      <c r="BN276" s="927"/>
      <c r="BO276" s="927"/>
      <c r="BP276" s="928">
        <v>1</v>
      </c>
      <c r="BQ276" s="928" t="s">
        <v>21</v>
      </c>
      <c r="BR276" s="928" t="s">
        <v>21</v>
      </c>
      <c r="BS276" s="928" t="s">
        <v>21</v>
      </c>
      <c r="BT276" s="928" t="s">
        <v>21</v>
      </c>
      <c r="BU276" s="928" t="s">
        <v>21</v>
      </c>
      <c r="BV276" s="934">
        <v>0.50000000000009104</v>
      </c>
      <c r="BW276" s="934">
        <v>1</v>
      </c>
      <c r="BX276" s="1104">
        <v>2</v>
      </c>
      <c r="BY276" s="931">
        <v>4</v>
      </c>
      <c r="BZ276" s="930" t="s">
        <v>21</v>
      </c>
      <c r="CA276" s="1074">
        <v>1</v>
      </c>
      <c r="CB276" s="930" t="s">
        <v>21</v>
      </c>
      <c r="CC276" s="930" t="s">
        <v>21</v>
      </c>
      <c r="CD276" s="925">
        <v>15.712999999999999</v>
      </c>
      <c r="CE276" s="1130">
        <v>52.561999999999998</v>
      </c>
      <c r="CF276" s="1129" t="s">
        <v>21</v>
      </c>
      <c r="CG276" s="1130" t="s">
        <v>21</v>
      </c>
      <c r="CH276" s="1130" t="s">
        <v>21</v>
      </c>
      <c r="CI276" s="1131" t="s">
        <v>21</v>
      </c>
      <c r="CJ276" s="1129" t="s">
        <v>21</v>
      </c>
      <c r="CK276" s="1130">
        <v>52.561999999999998</v>
      </c>
      <c r="CL276" s="1130" t="s">
        <v>21</v>
      </c>
      <c r="CM276" s="1131" t="s">
        <v>21</v>
      </c>
      <c r="CN276" s="1130" t="s">
        <v>21</v>
      </c>
      <c r="CP276" s="838" t="s">
        <v>21</v>
      </c>
      <c r="CQ276" s="838" t="s">
        <v>21</v>
      </c>
      <c r="CR276" s="836"/>
    </row>
    <row r="277" spans="1:96" x14ac:dyDescent="0.25">
      <c r="A277" s="935"/>
      <c r="B277" s="932" t="s">
        <v>2273</v>
      </c>
      <c r="C277" s="911">
        <v>600</v>
      </c>
      <c r="D277" s="911" t="s">
        <v>2116</v>
      </c>
      <c r="E277" s="912">
        <v>1189.26</v>
      </c>
      <c r="F277" s="912">
        <v>1187.0730000000001</v>
      </c>
      <c r="G277" s="910" t="s">
        <v>2228</v>
      </c>
      <c r="H277" s="912">
        <v>1189.3599999999999</v>
      </c>
      <c r="I277" s="912">
        <v>1186.827</v>
      </c>
      <c r="J277" s="914">
        <v>49.23</v>
      </c>
      <c r="K277" s="915"/>
      <c r="L277" s="916">
        <v>0.1</v>
      </c>
      <c r="M277" s="916">
        <v>0.06</v>
      </c>
      <c r="N277" s="916">
        <v>0.2</v>
      </c>
      <c r="O277" s="916">
        <v>5.1470000000000002</v>
      </c>
      <c r="P277" s="915"/>
      <c r="Q277" s="916">
        <v>2.62</v>
      </c>
      <c r="R277" s="917">
        <v>0.33333333333333331</v>
      </c>
      <c r="S277" s="918">
        <v>1.4</v>
      </c>
      <c r="T277" s="918">
        <v>3.1469999999999998</v>
      </c>
      <c r="U277" s="916">
        <v>5.5229999999999997</v>
      </c>
      <c r="V277" s="916">
        <v>0.92</v>
      </c>
      <c r="W277" s="915"/>
      <c r="X277" s="916">
        <v>0.28299999999999997</v>
      </c>
      <c r="Y277" s="916">
        <v>0.40699999999999997</v>
      </c>
      <c r="Z277" s="916">
        <v>5.9569999999999999</v>
      </c>
      <c r="AA277" s="916">
        <v>1.0229999999999999</v>
      </c>
      <c r="AB277" s="916">
        <v>4.3869999999999996</v>
      </c>
      <c r="AC277" s="915"/>
      <c r="AD277" s="919">
        <v>253.387</v>
      </c>
      <c r="AE277" s="920">
        <v>293.26299999999998</v>
      </c>
      <c r="AF277" s="920" t="s">
        <v>21</v>
      </c>
      <c r="AG277" s="920" t="s">
        <v>21</v>
      </c>
      <c r="AH277" s="921">
        <v>293.26299999999998</v>
      </c>
      <c r="AI277" s="921" t="s">
        <v>21</v>
      </c>
      <c r="AJ277" s="920" t="s">
        <v>21</v>
      </c>
      <c r="AK277" s="920" t="s">
        <v>21</v>
      </c>
      <c r="AL277" s="921" t="s">
        <v>21</v>
      </c>
      <c r="AM277" s="921" t="s">
        <v>21</v>
      </c>
      <c r="AN277" s="920"/>
      <c r="AO277" s="920" t="s">
        <v>21</v>
      </c>
      <c r="AP277" s="919">
        <v>68.921999999999997</v>
      </c>
      <c r="AQ277" s="933">
        <v>271.89728999999994</v>
      </c>
      <c r="AR277" s="925" t="s">
        <v>21</v>
      </c>
      <c r="AS277" s="925">
        <v>271.89728999999994</v>
      </c>
      <c r="AT277" s="925" t="s">
        <v>21</v>
      </c>
      <c r="AU277" s="925" t="s">
        <v>21</v>
      </c>
      <c r="AV277" s="926" t="s">
        <v>21</v>
      </c>
      <c r="AW277" s="926" t="s">
        <v>21</v>
      </c>
      <c r="AX277" s="926" t="s">
        <v>21</v>
      </c>
      <c r="AY277" s="926" t="s">
        <v>21</v>
      </c>
      <c r="AZ277" s="925" t="s">
        <v>21</v>
      </c>
      <c r="BA277" s="925"/>
      <c r="BB277" s="919">
        <v>6.8920000000000003</v>
      </c>
      <c r="BC277" s="919" t="s">
        <v>21</v>
      </c>
      <c r="BD277" s="919" t="s">
        <v>2142</v>
      </c>
      <c r="BE277" s="925" t="s">
        <v>21</v>
      </c>
      <c r="BF277" s="926" t="s">
        <v>21</v>
      </c>
      <c r="BG277" s="925">
        <v>49.23</v>
      </c>
      <c r="BH277" s="926" t="s">
        <v>21</v>
      </c>
      <c r="BI277" s="925" t="s">
        <v>21</v>
      </c>
      <c r="BJ277" s="926" t="s">
        <v>21</v>
      </c>
      <c r="BK277" s="925" t="s">
        <v>21</v>
      </c>
      <c r="BL277" s="926" t="s">
        <v>21</v>
      </c>
      <c r="BM277" s="925" t="s">
        <v>21</v>
      </c>
      <c r="BN277" s="927"/>
      <c r="BO277" s="927"/>
      <c r="BP277" s="928">
        <v>1</v>
      </c>
      <c r="BQ277" s="928" t="s">
        <v>21</v>
      </c>
      <c r="BR277" s="928" t="s">
        <v>21</v>
      </c>
      <c r="BS277" s="928" t="s">
        <v>21</v>
      </c>
      <c r="BT277" s="928" t="s">
        <v>21</v>
      </c>
      <c r="BU277" s="928" t="s">
        <v>21</v>
      </c>
      <c r="BV277" s="934">
        <v>0.78699999999989823</v>
      </c>
      <c r="BW277" s="934">
        <v>1</v>
      </c>
      <c r="BX277" s="1104">
        <v>2</v>
      </c>
      <c r="BY277" s="931">
        <v>4</v>
      </c>
      <c r="BZ277" s="930">
        <v>1</v>
      </c>
      <c r="CA277" s="1074">
        <v>1</v>
      </c>
      <c r="CB277" s="930" t="s">
        <v>21</v>
      </c>
      <c r="CC277" s="930" t="s">
        <v>21</v>
      </c>
      <c r="CD277" s="925">
        <v>50.362000000000002</v>
      </c>
      <c r="CE277" s="1130">
        <v>215.97200000000001</v>
      </c>
      <c r="CF277" s="1129" t="s">
        <v>21</v>
      </c>
      <c r="CG277" s="1130" t="s">
        <v>21</v>
      </c>
      <c r="CH277" s="1130" t="s">
        <v>21</v>
      </c>
      <c r="CI277" s="1131" t="s">
        <v>21</v>
      </c>
      <c r="CJ277" s="1129" t="s">
        <v>21</v>
      </c>
      <c r="CK277" s="1130">
        <v>215.97200000000001</v>
      </c>
      <c r="CL277" s="1130" t="s">
        <v>21</v>
      </c>
      <c r="CM277" s="1131" t="s">
        <v>21</v>
      </c>
      <c r="CN277" s="1130" t="s">
        <v>21</v>
      </c>
      <c r="CP277" s="838" t="s">
        <v>21</v>
      </c>
      <c r="CQ277" s="838" t="s">
        <v>21</v>
      </c>
      <c r="CR277" s="836"/>
    </row>
    <row r="278" spans="1:96" x14ac:dyDescent="0.25">
      <c r="A278" s="935"/>
      <c r="B278" s="932"/>
      <c r="C278" s="911"/>
      <c r="D278" s="911"/>
      <c r="E278" s="912"/>
      <c r="F278" s="912"/>
      <c r="G278" s="910"/>
      <c r="H278" s="912"/>
      <c r="I278" s="912"/>
      <c r="J278" s="914"/>
      <c r="K278" s="915"/>
      <c r="L278" s="916" t="s">
        <v>21</v>
      </c>
      <c r="M278" s="916" t="s">
        <v>21</v>
      </c>
      <c r="N278" s="916" t="s">
        <v>21</v>
      </c>
      <c r="O278" s="916" t="s">
        <v>21</v>
      </c>
      <c r="P278" s="915"/>
      <c r="Q278" s="916" t="s">
        <v>21</v>
      </c>
      <c r="R278" s="917" t="s">
        <v>21</v>
      </c>
      <c r="S278" s="918" t="s">
        <v>21</v>
      </c>
      <c r="T278" s="918" t="s">
        <v>21</v>
      </c>
      <c r="U278" s="916" t="s">
        <v>21</v>
      </c>
      <c r="V278" s="916" t="s">
        <v>21</v>
      </c>
      <c r="W278" s="915"/>
      <c r="X278" s="916" t="s">
        <v>21</v>
      </c>
      <c r="Y278" s="916" t="s">
        <v>21</v>
      </c>
      <c r="Z278" s="916" t="s">
        <v>21</v>
      </c>
      <c r="AA278" s="916" t="s">
        <v>21</v>
      </c>
      <c r="AB278" s="916" t="s">
        <v>21</v>
      </c>
      <c r="AC278" s="915"/>
      <c r="AD278" s="919" t="s">
        <v>21</v>
      </c>
      <c r="AE278" s="920" t="s">
        <v>21</v>
      </c>
      <c r="AF278" s="920" t="s">
        <v>21</v>
      </c>
      <c r="AG278" s="920" t="s">
        <v>21</v>
      </c>
      <c r="AH278" s="921" t="s">
        <v>21</v>
      </c>
      <c r="AI278" s="921" t="s">
        <v>21</v>
      </c>
      <c r="AJ278" s="920" t="s">
        <v>21</v>
      </c>
      <c r="AK278" s="920" t="s">
        <v>21</v>
      </c>
      <c r="AL278" s="921" t="s">
        <v>21</v>
      </c>
      <c r="AM278" s="921" t="s">
        <v>21</v>
      </c>
      <c r="AN278" s="920"/>
      <c r="AO278" s="920" t="s">
        <v>21</v>
      </c>
      <c r="AP278" s="919" t="s">
        <v>21</v>
      </c>
      <c r="AQ278" s="933" t="s">
        <v>21</v>
      </c>
      <c r="AR278" s="925" t="s">
        <v>21</v>
      </c>
      <c r="AS278" s="925" t="s">
        <v>21</v>
      </c>
      <c r="AT278" s="925" t="s">
        <v>21</v>
      </c>
      <c r="AU278" s="925" t="s">
        <v>21</v>
      </c>
      <c r="AV278" s="926" t="s">
        <v>21</v>
      </c>
      <c r="AW278" s="926" t="s">
        <v>21</v>
      </c>
      <c r="AX278" s="926" t="s">
        <v>21</v>
      </c>
      <c r="AY278" s="926" t="s">
        <v>21</v>
      </c>
      <c r="AZ278" s="925" t="s">
        <v>21</v>
      </c>
      <c r="BA278" s="925"/>
      <c r="BB278" s="919" t="s">
        <v>21</v>
      </c>
      <c r="BC278" s="919" t="s">
        <v>21</v>
      </c>
      <c r="BD278" s="919" t="s">
        <v>21</v>
      </c>
      <c r="BE278" s="925" t="s">
        <v>21</v>
      </c>
      <c r="BF278" s="926" t="s">
        <v>21</v>
      </c>
      <c r="BG278" s="925" t="s">
        <v>21</v>
      </c>
      <c r="BH278" s="926" t="s">
        <v>21</v>
      </c>
      <c r="BI278" s="925" t="s">
        <v>21</v>
      </c>
      <c r="BJ278" s="926" t="s">
        <v>21</v>
      </c>
      <c r="BK278" s="925" t="s">
        <v>21</v>
      </c>
      <c r="BL278" s="926" t="s">
        <v>21</v>
      </c>
      <c r="BM278" s="925" t="s">
        <v>21</v>
      </c>
      <c r="BN278" s="927"/>
      <c r="BO278" s="927"/>
      <c r="BP278" s="928" t="s">
        <v>21</v>
      </c>
      <c r="BQ278" s="928" t="s">
        <v>21</v>
      </c>
      <c r="BR278" s="928" t="s">
        <v>21</v>
      </c>
      <c r="BS278" s="928" t="s">
        <v>21</v>
      </c>
      <c r="BT278" s="928" t="s">
        <v>21</v>
      </c>
      <c r="BU278" s="928" t="s">
        <v>21</v>
      </c>
      <c r="BV278" s="934" t="s">
        <v>21</v>
      </c>
      <c r="BW278" s="934" t="s">
        <v>21</v>
      </c>
      <c r="BX278" s="1104" t="s">
        <v>21</v>
      </c>
      <c r="BY278" s="931" t="s">
        <v>21</v>
      </c>
      <c r="BZ278" s="930" t="s">
        <v>21</v>
      </c>
      <c r="CA278" s="1074" t="s">
        <v>21</v>
      </c>
      <c r="CB278" s="930" t="s">
        <v>21</v>
      </c>
      <c r="CC278" s="930" t="s">
        <v>21</v>
      </c>
      <c r="CD278" s="925" t="s">
        <v>21</v>
      </c>
      <c r="CE278" s="1130" t="s">
        <v>21</v>
      </c>
      <c r="CF278" s="1129" t="s">
        <v>21</v>
      </c>
      <c r="CG278" s="1130" t="s">
        <v>21</v>
      </c>
      <c r="CH278" s="1130" t="s">
        <v>21</v>
      </c>
      <c r="CI278" s="1131" t="s">
        <v>21</v>
      </c>
      <c r="CJ278" s="1129" t="s">
        <v>21</v>
      </c>
      <c r="CK278" s="1130" t="s">
        <v>21</v>
      </c>
      <c r="CL278" s="1130" t="s">
        <v>21</v>
      </c>
      <c r="CM278" s="1131" t="s">
        <v>21</v>
      </c>
      <c r="CN278" s="1130" t="s">
        <v>21</v>
      </c>
      <c r="CP278" s="838" t="s">
        <v>21</v>
      </c>
      <c r="CQ278" s="838" t="s">
        <v>21</v>
      </c>
      <c r="CR278" s="836"/>
    </row>
    <row r="279" spans="1:96" x14ac:dyDescent="0.25">
      <c r="A279" s="935" t="s">
        <v>2537</v>
      </c>
      <c r="B279" s="932" t="s">
        <v>2231</v>
      </c>
      <c r="C279" s="911">
        <v>600</v>
      </c>
      <c r="D279" s="911" t="s">
        <v>2116</v>
      </c>
      <c r="E279" s="912">
        <v>1183.24</v>
      </c>
      <c r="F279" s="912">
        <v>1181.3399999999999</v>
      </c>
      <c r="G279" s="910" t="s">
        <v>2422</v>
      </c>
      <c r="H279" s="912">
        <v>1183.5</v>
      </c>
      <c r="I279" s="912">
        <v>1181.2750000000001</v>
      </c>
      <c r="J279" s="914">
        <v>13.01</v>
      </c>
      <c r="K279" s="915"/>
      <c r="L279" s="916">
        <v>0.1</v>
      </c>
      <c r="M279" s="916">
        <v>0.06</v>
      </c>
      <c r="N279" s="916">
        <v>0.2</v>
      </c>
      <c r="O279" s="916">
        <v>4.9489999999999998</v>
      </c>
      <c r="P279" s="915"/>
      <c r="Q279" s="916">
        <v>2.323</v>
      </c>
      <c r="R279" s="917">
        <v>0.33333333333333331</v>
      </c>
      <c r="S279" s="918">
        <v>1.4</v>
      </c>
      <c r="T279" s="918">
        <v>2.9489999999999998</v>
      </c>
      <c r="U279" s="916">
        <v>4.8970000000000002</v>
      </c>
      <c r="V279" s="916">
        <v>0.92</v>
      </c>
      <c r="W279" s="915"/>
      <c r="X279" s="916">
        <v>0.28299999999999997</v>
      </c>
      <c r="Y279" s="916">
        <v>0.40699999999999997</v>
      </c>
      <c r="Z279" s="916">
        <v>5.0510000000000002</v>
      </c>
      <c r="AA279" s="916">
        <v>1.0229999999999999</v>
      </c>
      <c r="AB279" s="916">
        <v>3.4809999999999999</v>
      </c>
      <c r="AC279" s="915"/>
      <c r="AD279" s="919">
        <v>64.385999999999996</v>
      </c>
      <c r="AE279" s="920">
        <v>65.713999999999999</v>
      </c>
      <c r="AF279" s="920" t="s">
        <v>21</v>
      </c>
      <c r="AG279" s="920" t="s">
        <v>21</v>
      </c>
      <c r="AH279" s="921">
        <v>65.713999999999999</v>
      </c>
      <c r="AI279" s="921" t="s">
        <v>21</v>
      </c>
      <c r="AJ279" s="920" t="s">
        <v>21</v>
      </c>
      <c r="AK279" s="920" t="s">
        <v>21</v>
      </c>
      <c r="AL279" s="921" t="s">
        <v>21</v>
      </c>
      <c r="AM279" s="921" t="s">
        <v>21</v>
      </c>
      <c r="AN279" s="920"/>
      <c r="AO279" s="920" t="s">
        <v>21</v>
      </c>
      <c r="AP279" s="919">
        <v>18.213999999999999</v>
      </c>
      <c r="AQ279" s="933">
        <v>63.709970000000006</v>
      </c>
      <c r="AR279" s="925" t="s">
        <v>21</v>
      </c>
      <c r="AS279" s="925">
        <v>63.709970000000006</v>
      </c>
      <c r="AT279" s="925" t="s">
        <v>21</v>
      </c>
      <c r="AU279" s="925" t="s">
        <v>21</v>
      </c>
      <c r="AV279" s="926" t="s">
        <v>21</v>
      </c>
      <c r="AW279" s="926" t="s">
        <v>21</v>
      </c>
      <c r="AX279" s="926" t="s">
        <v>21</v>
      </c>
      <c r="AY279" s="926" t="s">
        <v>21</v>
      </c>
      <c r="AZ279" s="925" t="s">
        <v>21</v>
      </c>
      <c r="BA279" s="925"/>
      <c r="BB279" s="919">
        <v>1.821</v>
      </c>
      <c r="BC279" s="919" t="s">
        <v>21</v>
      </c>
      <c r="BD279" s="919" t="s">
        <v>2142</v>
      </c>
      <c r="BE279" s="925" t="s">
        <v>21</v>
      </c>
      <c r="BF279" s="926" t="s">
        <v>21</v>
      </c>
      <c r="BG279" s="925">
        <v>13.01</v>
      </c>
      <c r="BH279" s="926" t="s">
        <v>21</v>
      </c>
      <c r="BI279" s="925" t="s">
        <v>21</v>
      </c>
      <c r="BJ279" s="926" t="s">
        <v>21</v>
      </c>
      <c r="BK279" s="925" t="s">
        <v>21</v>
      </c>
      <c r="BL279" s="926" t="s">
        <v>21</v>
      </c>
      <c r="BM279" s="925" t="s">
        <v>21</v>
      </c>
      <c r="BN279" s="927"/>
      <c r="BO279" s="927"/>
      <c r="BP279" s="928">
        <v>1</v>
      </c>
      <c r="BQ279" s="928" t="s">
        <v>21</v>
      </c>
      <c r="BR279" s="928" t="s">
        <v>21</v>
      </c>
      <c r="BS279" s="928" t="s">
        <v>21</v>
      </c>
      <c r="BT279" s="928" t="s">
        <v>21</v>
      </c>
      <c r="BU279" s="928" t="s">
        <v>21</v>
      </c>
      <c r="BV279" s="934">
        <v>0.50000000000009104</v>
      </c>
      <c r="BW279" s="934">
        <v>1</v>
      </c>
      <c r="BX279" s="1104">
        <v>2</v>
      </c>
      <c r="BY279" s="931">
        <v>4</v>
      </c>
      <c r="BZ279" s="930" t="s">
        <v>21</v>
      </c>
      <c r="CA279" s="1074">
        <v>2</v>
      </c>
      <c r="CB279" s="930" t="s">
        <v>21</v>
      </c>
      <c r="CC279" s="930" t="s">
        <v>21</v>
      </c>
      <c r="CD279" s="925">
        <v>13.308999999999999</v>
      </c>
      <c r="CE279" s="1130">
        <v>45.287999999999997</v>
      </c>
      <c r="CF279" s="1129" t="s">
        <v>21</v>
      </c>
      <c r="CG279" s="1130" t="s">
        <v>21</v>
      </c>
      <c r="CH279" s="1130" t="s">
        <v>21</v>
      </c>
      <c r="CI279" s="1131" t="s">
        <v>21</v>
      </c>
      <c r="CJ279" s="1129" t="s">
        <v>21</v>
      </c>
      <c r="CK279" s="1130">
        <v>45.287999999999997</v>
      </c>
      <c r="CL279" s="1130" t="s">
        <v>21</v>
      </c>
      <c r="CM279" s="1131" t="s">
        <v>21</v>
      </c>
      <c r="CN279" s="1130" t="s">
        <v>21</v>
      </c>
      <c r="CP279" s="838" t="s">
        <v>21</v>
      </c>
      <c r="CQ279" s="838" t="s">
        <v>21</v>
      </c>
      <c r="CR279" s="836"/>
    </row>
    <row r="280" spans="1:96" x14ac:dyDescent="0.25">
      <c r="A280" s="935"/>
      <c r="B280" s="932"/>
      <c r="C280" s="911"/>
      <c r="D280" s="911"/>
      <c r="E280" s="912"/>
      <c r="F280" s="912"/>
      <c r="G280" s="910"/>
      <c r="H280" s="912"/>
      <c r="I280" s="912"/>
      <c r="J280" s="914"/>
      <c r="K280" s="915"/>
      <c r="L280" s="916" t="s">
        <v>21</v>
      </c>
      <c r="M280" s="916" t="s">
        <v>21</v>
      </c>
      <c r="N280" s="916" t="s">
        <v>21</v>
      </c>
      <c r="O280" s="916" t="s">
        <v>21</v>
      </c>
      <c r="P280" s="915"/>
      <c r="Q280" s="916" t="s">
        <v>21</v>
      </c>
      <c r="R280" s="917" t="s">
        <v>21</v>
      </c>
      <c r="S280" s="918" t="s">
        <v>21</v>
      </c>
      <c r="T280" s="918" t="s">
        <v>21</v>
      </c>
      <c r="U280" s="916" t="s">
        <v>21</v>
      </c>
      <c r="V280" s="916" t="s">
        <v>21</v>
      </c>
      <c r="W280" s="915"/>
      <c r="X280" s="916" t="s">
        <v>21</v>
      </c>
      <c r="Y280" s="916" t="s">
        <v>21</v>
      </c>
      <c r="Z280" s="916" t="s">
        <v>21</v>
      </c>
      <c r="AA280" s="916" t="s">
        <v>21</v>
      </c>
      <c r="AB280" s="916" t="s">
        <v>21</v>
      </c>
      <c r="AC280" s="915"/>
      <c r="AD280" s="919" t="s">
        <v>21</v>
      </c>
      <c r="AE280" s="920" t="s">
        <v>21</v>
      </c>
      <c r="AF280" s="920" t="s">
        <v>21</v>
      </c>
      <c r="AG280" s="920" t="s">
        <v>21</v>
      </c>
      <c r="AH280" s="921" t="s">
        <v>21</v>
      </c>
      <c r="AI280" s="921" t="s">
        <v>21</v>
      </c>
      <c r="AJ280" s="920" t="s">
        <v>21</v>
      </c>
      <c r="AK280" s="920" t="s">
        <v>21</v>
      </c>
      <c r="AL280" s="921" t="s">
        <v>21</v>
      </c>
      <c r="AM280" s="921" t="s">
        <v>21</v>
      </c>
      <c r="AN280" s="920"/>
      <c r="AO280" s="920" t="s">
        <v>21</v>
      </c>
      <c r="AP280" s="919" t="s">
        <v>21</v>
      </c>
      <c r="AQ280" s="933" t="s">
        <v>21</v>
      </c>
      <c r="AR280" s="925" t="s">
        <v>21</v>
      </c>
      <c r="AS280" s="925" t="s">
        <v>21</v>
      </c>
      <c r="AT280" s="925" t="s">
        <v>21</v>
      </c>
      <c r="AU280" s="925" t="s">
        <v>21</v>
      </c>
      <c r="AV280" s="926" t="s">
        <v>21</v>
      </c>
      <c r="AW280" s="926" t="s">
        <v>21</v>
      </c>
      <c r="AX280" s="926" t="s">
        <v>21</v>
      </c>
      <c r="AY280" s="926" t="s">
        <v>21</v>
      </c>
      <c r="AZ280" s="925" t="s">
        <v>21</v>
      </c>
      <c r="BA280" s="925"/>
      <c r="BB280" s="919" t="s">
        <v>21</v>
      </c>
      <c r="BC280" s="919" t="s">
        <v>21</v>
      </c>
      <c r="BD280" s="919" t="s">
        <v>21</v>
      </c>
      <c r="BE280" s="925" t="s">
        <v>21</v>
      </c>
      <c r="BF280" s="926" t="s">
        <v>21</v>
      </c>
      <c r="BG280" s="925" t="s">
        <v>21</v>
      </c>
      <c r="BH280" s="926" t="s">
        <v>21</v>
      </c>
      <c r="BI280" s="925" t="s">
        <v>21</v>
      </c>
      <c r="BJ280" s="926" t="s">
        <v>21</v>
      </c>
      <c r="BK280" s="925" t="s">
        <v>21</v>
      </c>
      <c r="BL280" s="926" t="s">
        <v>21</v>
      </c>
      <c r="BM280" s="925" t="s">
        <v>21</v>
      </c>
      <c r="BN280" s="927"/>
      <c r="BO280" s="927"/>
      <c r="BP280" s="928" t="s">
        <v>21</v>
      </c>
      <c r="BQ280" s="928" t="s">
        <v>21</v>
      </c>
      <c r="BR280" s="928" t="s">
        <v>21</v>
      </c>
      <c r="BS280" s="928" t="s">
        <v>21</v>
      </c>
      <c r="BT280" s="928" t="s">
        <v>21</v>
      </c>
      <c r="BU280" s="928" t="s">
        <v>21</v>
      </c>
      <c r="BV280" s="934" t="s">
        <v>21</v>
      </c>
      <c r="BW280" s="934" t="s">
        <v>21</v>
      </c>
      <c r="BX280" s="1104" t="s">
        <v>21</v>
      </c>
      <c r="BY280" s="931" t="s">
        <v>21</v>
      </c>
      <c r="BZ280" s="930" t="s">
        <v>21</v>
      </c>
      <c r="CA280" s="1074" t="s">
        <v>21</v>
      </c>
      <c r="CB280" s="930" t="s">
        <v>21</v>
      </c>
      <c r="CC280" s="930" t="s">
        <v>21</v>
      </c>
      <c r="CD280" s="925" t="s">
        <v>21</v>
      </c>
      <c r="CE280" s="1130" t="s">
        <v>21</v>
      </c>
      <c r="CF280" s="1129" t="s">
        <v>21</v>
      </c>
      <c r="CG280" s="1130" t="s">
        <v>21</v>
      </c>
      <c r="CH280" s="1130" t="s">
        <v>21</v>
      </c>
      <c r="CI280" s="1131" t="s">
        <v>21</v>
      </c>
      <c r="CJ280" s="1129" t="s">
        <v>21</v>
      </c>
      <c r="CK280" s="1130" t="s">
        <v>21</v>
      </c>
      <c r="CL280" s="1130" t="s">
        <v>21</v>
      </c>
      <c r="CM280" s="1131" t="s">
        <v>21</v>
      </c>
      <c r="CN280" s="1130" t="s">
        <v>21</v>
      </c>
      <c r="CP280" s="838" t="s">
        <v>21</v>
      </c>
      <c r="CQ280" s="838" t="s">
        <v>21</v>
      </c>
      <c r="CR280" s="836"/>
    </row>
    <row r="281" spans="1:96" x14ac:dyDescent="0.25">
      <c r="A281" s="935" t="s">
        <v>2538</v>
      </c>
      <c r="B281" s="932" t="s">
        <v>2234</v>
      </c>
      <c r="C281" s="911">
        <v>600</v>
      </c>
      <c r="D281" s="911" t="s">
        <v>2116</v>
      </c>
      <c r="E281" s="912">
        <v>1180.18</v>
      </c>
      <c r="F281" s="912">
        <v>1178.28</v>
      </c>
      <c r="G281" s="932" t="s">
        <v>2266</v>
      </c>
      <c r="H281" s="912">
        <v>1180.1099999999999</v>
      </c>
      <c r="I281" s="912">
        <v>1178.0899999999999</v>
      </c>
      <c r="J281" s="914">
        <v>38.08</v>
      </c>
      <c r="K281" s="915"/>
      <c r="L281" s="916">
        <v>0.1</v>
      </c>
      <c r="M281" s="916">
        <v>0.06</v>
      </c>
      <c r="N281" s="916">
        <v>0.2</v>
      </c>
      <c r="O281" s="916">
        <v>4.88</v>
      </c>
      <c r="P281" s="915"/>
      <c r="Q281" s="916">
        <v>2.2200000000000002</v>
      </c>
      <c r="R281" s="917">
        <v>0.33333333333333331</v>
      </c>
      <c r="S281" s="918">
        <v>1.4</v>
      </c>
      <c r="T281" s="918">
        <v>2.88</v>
      </c>
      <c r="U281" s="916">
        <v>4.68</v>
      </c>
      <c r="V281" s="916">
        <v>0.92</v>
      </c>
      <c r="W281" s="915"/>
      <c r="X281" s="916">
        <v>0.28299999999999997</v>
      </c>
      <c r="Y281" s="916">
        <v>0.40699999999999997</v>
      </c>
      <c r="Z281" s="916">
        <v>4.7510000000000003</v>
      </c>
      <c r="AA281" s="916">
        <v>1.0229999999999999</v>
      </c>
      <c r="AB281" s="916">
        <v>3.181</v>
      </c>
      <c r="AC281" s="915"/>
      <c r="AD281" s="919">
        <v>185.83</v>
      </c>
      <c r="AE281" s="920">
        <v>180.91800000000001</v>
      </c>
      <c r="AF281" s="920" t="s">
        <v>21</v>
      </c>
      <c r="AG281" s="920" t="s">
        <v>21</v>
      </c>
      <c r="AH281" s="921">
        <v>180.91800000000001</v>
      </c>
      <c r="AI281" s="921" t="s">
        <v>21</v>
      </c>
      <c r="AJ281" s="920" t="s">
        <v>21</v>
      </c>
      <c r="AK281" s="920" t="s">
        <v>21</v>
      </c>
      <c r="AL281" s="921" t="s">
        <v>21</v>
      </c>
      <c r="AM281" s="921" t="s">
        <v>21</v>
      </c>
      <c r="AN281" s="920"/>
      <c r="AO281" s="920" t="s">
        <v>21</v>
      </c>
      <c r="AP281" s="919">
        <v>53.311999999999998</v>
      </c>
      <c r="AQ281" s="933">
        <v>178.21439999999998</v>
      </c>
      <c r="AR281" s="925" t="s">
        <v>21</v>
      </c>
      <c r="AS281" s="925">
        <v>178.21439999999998</v>
      </c>
      <c r="AT281" s="925" t="s">
        <v>21</v>
      </c>
      <c r="AU281" s="925" t="s">
        <v>21</v>
      </c>
      <c r="AV281" s="926" t="s">
        <v>21</v>
      </c>
      <c r="AW281" s="926" t="s">
        <v>21</v>
      </c>
      <c r="AX281" s="926" t="s">
        <v>21</v>
      </c>
      <c r="AY281" s="926" t="s">
        <v>21</v>
      </c>
      <c r="AZ281" s="925" t="s">
        <v>21</v>
      </c>
      <c r="BA281" s="925"/>
      <c r="BB281" s="919">
        <v>5.3310000000000004</v>
      </c>
      <c r="BC281" s="919" t="s">
        <v>21</v>
      </c>
      <c r="BD281" s="919" t="s">
        <v>2142</v>
      </c>
      <c r="BE281" s="925" t="s">
        <v>21</v>
      </c>
      <c r="BF281" s="926" t="s">
        <v>21</v>
      </c>
      <c r="BG281" s="925">
        <v>38.08</v>
      </c>
      <c r="BH281" s="926" t="s">
        <v>21</v>
      </c>
      <c r="BI281" s="925" t="s">
        <v>21</v>
      </c>
      <c r="BJ281" s="926" t="s">
        <v>21</v>
      </c>
      <c r="BK281" s="925" t="s">
        <v>21</v>
      </c>
      <c r="BL281" s="926" t="s">
        <v>21</v>
      </c>
      <c r="BM281" s="925" t="s">
        <v>21</v>
      </c>
      <c r="BN281" s="927"/>
      <c r="BO281" s="927"/>
      <c r="BP281" s="928">
        <v>1</v>
      </c>
      <c r="BQ281" s="928" t="s">
        <v>21</v>
      </c>
      <c r="BR281" s="928" t="s">
        <v>21</v>
      </c>
      <c r="BS281" s="928" t="s">
        <v>21</v>
      </c>
      <c r="BT281" s="928" t="s">
        <v>21</v>
      </c>
      <c r="BU281" s="928" t="s">
        <v>21</v>
      </c>
      <c r="BV281" s="934">
        <v>0.50000000000009104</v>
      </c>
      <c r="BW281" s="934">
        <v>1</v>
      </c>
      <c r="BX281" s="1104">
        <v>2</v>
      </c>
      <c r="BY281" s="931">
        <v>4</v>
      </c>
      <c r="BZ281" s="930">
        <v>1</v>
      </c>
      <c r="CA281" s="1074">
        <v>1</v>
      </c>
      <c r="CB281" s="930" t="s">
        <v>21</v>
      </c>
      <c r="CC281" s="930" t="s">
        <v>21</v>
      </c>
      <c r="CD281" s="925">
        <v>38.956000000000003</v>
      </c>
      <c r="CE281" s="1130">
        <v>121.13200000000001</v>
      </c>
      <c r="CF281" s="1129" t="s">
        <v>21</v>
      </c>
      <c r="CG281" s="1130" t="s">
        <v>21</v>
      </c>
      <c r="CH281" s="1130" t="s">
        <v>21</v>
      </c>
      <c r="CI281" s="1131" t="s">
        <v>21</v>
      </c>
      <c r="CJ281" s="1129" t="s">
        <v>21</v>
      </c>
      <c r="CK281" s="1130">
        <v>121.13200000000001</v>
      </c>
      <c r="CL281" s="1130" t="s">
        <v>21</v>
      </c>
      <c r="CM281" s="1131" t="s">
        <v>21</v>
      </c>
      <c r="CN281" s="1130" t="s">
        <v>21</v>
      </c>
      <c r="CP281" s="838" t="s">
        <v>21</v>
      </c>
      <c r="CQ281" s="838" t="s">
        <v>21</v>
      </c>
      <c r="CR281" s="836"/>
    </row>
    <row r="282" spans="1:96" x14ac:dyDescent="0.25">
      <c r="A282" s="935"/>
      <c r="B282" s="932" t="s">
        <v>2266</v>
      </c>
      <c r="C282" s="911">
        <v>600</v>
      </c>
      <c r="D282" s="911" t="s">
        <v>2116</v>
      </c>
      <c r="E282" s="912">
        <v>1180.1099999999999</v>
      </c>
      <c r="F282" s="912">
        <v>1178.0899999999999</v>
      </c>
      <c r="G282" s="932" t="s">
        <v>2275</v>
      </c>
      <c r="H282" s="912">
        <v>1180.28</v>
      </c>
      <c r="I282" s="912">
        <v>1177.973</v>
      </c>
      <c r="J282" s="914">
        <v>23.42</v>
      </c>
      <c r="K282" s="915"/>
      <c r="L282" s="916">
        <v>0.1</v>
      </c>
      <c r="M282" s="916">
        <v>0.06</v>
      </c>
      <c r="N282" s="916">
        <v>0.2</v>
      </c>
      <c r="O282" s="916">
        <v>5.016</v>
      </c>
      <c r="P282" s="915"/>
      <c r="Q282" s="916">
        <v>2.4239999999999999</v>
      </c>
      <c r="R282" s="917">
        <v>0.33333333333333331</v>
      </c>
      <c r="S282" s="918">
        <v>1.4</v>
      </c>
      <c r="T282" s="918">
        <v>3.016</v>
      </c>
      <c r="U282" s="916">
        <v>5.1100000000000003</v>
      </c>
      <c r="V282" s="916">
        <v>0.92</v>
      </c>
      <c r="W282" s="915"/>
      <c r="X282" s="916">
        <v>0.28299999999999997</v>
      </c>
      <c r="Y282" s="916">
        <v>0.40699999999999997</v>
      </c>
      <c r="Z282" s="916">
        <v>5.3520000000000003</v>
      </c>
      <c r="AA282" s="916">
        <v>1.0229999999999999</v>
      </c>
      <c r="AB282" s="916">
        <v>3.782</v>
      </c>
      <c r="AC282" s="915"/>
      <c r="AD282" s="919">
        <v>117.47499999999999</v>
      </c>
      <c r="AE282" s="920">
        <v>125.34399999999999</v>
      </c>
      <c r="AF282" s="920" t="s">
        <v>21</v>
      </c>
      <c r="AG282" s="920" t="s">
        <v>21</v>
      </c>
      <c r="AH282" s="921">
        <v>125.34399999999999</v>
      </c>
      <c r="AI282" s="921" t="s">
        <v>21</v>
      </c>
      <c r="AJ282" s="920" t="s">
        <v>21</v>
      </c>
      <c r="AK282" s="920" t="s">
        <v>21</v>
      </c>
      <c r="AL282" s="921" t="s">
        <v>21</v>
      </c>
      <c r="AM282" s="921" t="s">
        <v>21</v>
      </c>
      <c r="AN282" s="920"/>
      <c r="AO282" s="920" t="s">
        <v>21</v>
      </c>
      <c r="AP282" s="919">
        <v>32.787999999999997</v>
      </c>
      <c r="AQ282" s="933">
        <v>119.67620000000002</v>
      </c>
      <c r="AR282" s="925" t="s">
        <v>21</v>
      </c>
      <c r="AS282" s="925">
        <v>119.67620000000002</v>
      </c>
      <c r="AT282" s="925" t="s">
        <v>21</v>
      </c>
      <c r="AU282" s="925" t="s">
        <v>21</v>
      </c>
      <c r="AV282" s="926" t="s">
        <v>21</v>
      </c>
      <c r="AW282" s="926" t="s">
        <v>21</v>
      </c>
      <c r="AX282" s="926" t="s">
        <v>21</v>
      </c>
      <c r="AY282" s="926" t="s">
        <v>21</v>
      </c>
      <c r="AZ282" s="925" t="s">
        <v>21</v>
      </c>
      <c r="BA282" s="925"/>
      <c r="BB282" s="919">
        <v>3.2789999999999999</v>
      </c>
      <c r="BC282" s="919" t="s">
        <v>21</v>
      </c>
      <c r="BD282" s="919" t="s">
        <v>2142</v>
      </c>
      <c r="BE282" s="925" t="s">
        <v>21</v>
      </c>
      <c r="BF282" s="926" t="s">
        <v>21</v>
      </c>
      <c r="BG282" s="925">
        <v>23.42</v>
      </c>
      <c r="BH282" s="926" t="s">
        <v>21</v>
      </c>
      <c r="BI282" s="925" t="s">
        <v>21</v>
      </c>
      <c r="BJ282" s="926" t="s">
        <v>21</v>
      </c>
      <c r="BK282" s="925" t="s">
        <v>21</v>
      </c>
      <c r="BL282" s="926" t="s">
        <v>21</v>
      </c>
      <c r="BM282" s="925" t="s">
        <v>21</v>
      </c>
      <c r="BN282" s="927"/>
      <c r="BO282" s="927"/>
      <c r="BP282" s="928">
        <v>1</v>
      </c>
      <c r="BQ282" s="928" t="s">
        <v>21</v>
      </c>
      <c r="BR282" s="928" t="s">
        <v>21</v>
      </c>
      <c r="BS282" s="928" t="s">
        <v>21</v>
      </c>
      <c r="BT282" s="928" t="s">
        <v>21</v>
      </c>
      <c r="BU282" s="928" t="s">
        <v>21</v>
      </c>
      <c r="BV282" s="934">
        <v>0.6199999999999819</v>
      </c>
      <c r="BW282" s="934">
        <v>1</v>
      </c>
      <c r="BX282" s="1104">
        <v>2</v>
      </c>
      <c r="BY282" s="931">
        <v>4</v>
      </c>
      <c r="BZ282" s="930">
        <v>2</v>
      </c>
      <c r="CA282" s="1074" t="s">
        <v>21</v>
      </c>
      <c r="CB282" s="930" t="s">
        <v>21</v>
      </c>
      <c r="CC282" s="930" t="s">
        <v>21</v>
      </c>
      <c r="CD282" s="925">
        <v>23.959</v>
      </c>
      <c r="CE282" s="1130">
        <v>88.573999999999998</v>
      </c>
      <c r="CF282" s="1129" t="s">
        <v>21</v>
      </c>
      <c r="CG282" s="1130" t="s">
        <v>21</v>
      </c>
      <c r="CH282" s="1130" t="s">
        <v>21</v>
      </c>
      <c r="CI282" s="1131" t="s">
        <v>21</v>
      </c>
      <c r="CJ282" s="1129" t="s">
        <v>21</v>
      </c>
      <c r="CK282" s="1130">
        <v>88.573999999999998</v>
      </c>
      <c r="CL282" s="1130" t="s">
        <v>21</v>
      </c>
      <c r="CM282" s="1131" t="s">
        <v>21</v>
      </c>
      <c r="CN282" s="1130" t="s">
        <v>21</v>
      </c>
      <c r="CP282" s="838" t="s">
        <v>21</v>
      </c>
      <c r="CQ282" s="838" t="s">
        <v>21</v>
      </c>
      <c r="CR282" s="836"/>
    </row>
    <row r="283" spans="1:96" x14ac:dyDescent="0.25">
      <c r="A283" s="935"/>
      <c r="B283" s="932" t="s">
        <v>2275</v>
      </c>
      <c r="C283" s="911">
        <v>600</v>
      </c>
      <c r="D283" s="911" t="s">
        <v>2116</v>
      </c>
      <c r="E283" s="912">
        <v>1180.28</v>
      </c>
      <c r="F283" s="912">
        <v>1177.973</v>
      </c>
      <c r="G283" s="910" t="s">
        <v>2422</v>
      </c>
      <c r="H283" s="912">
        <v>1179.3</v>
      </c>
      <c r="I283" s="912">
        <v>1177.4000000000001</v>
      </c>
      <c r="J283" s="914">
        <v>26.16</v>
      </c>
      <c r="K283" s="915"/>
      <c r="L283" s="916">
        <v>0.1</v>
      </c>
      <c r="M283" s="916">
        <v>0.06</v>
      </c>
      <c r="N283" s="916">
        <v>0.2</v>
      </c>
      <c r="O283" s="916">
        <v>4.9749999999999996</v>
      </c>
      <c r="P283" s="915"/>
      <c r="Q283" s="916">
        <v>2.363</v>
      </c>
      <c r="R283" s="917">
        <v>0.33333333333333331</v>
      </c>
      <c r="S283" s="918">
        <v>1.4</v>
      </c>
      <c r="T283" s="918">
        <v>2.9750000000000001</v>
      </c>
      <c r="U283" s="916">
        <v>4.9820000000000002</v>
      </c>
      <c r="V283" s="916">
        <v>0.92</v>
      </c>
      <c r="W283" s="915"/>
      <c r="X283" s="916">
        <v>0.28299999999999997</v>
      </c>
      <c r="Y283" s="916">
        <v>0.40699999999999997</v>
      </c>
      <c r="Z283" s="916">
        <v>5.1689999999999996</v>
      </c>
      <c r="AA283" s="916">
        <v>1.0229999999999999</v>
      </c>
      <c r="AB283" s="916">
        <v>3.5990000000000002</v>
      </c>
      <c r="AC283" s="915"/>
      <c r="AD283" s="919">
        <v>130.14599999999999</v>
      </c>
      <c r="AE283" s="920">
        <v>135.221</v>
      </c>
      <c r="AF283" s="920" t="s">
        <v>21</v>
      </c>
      <c r="AG283" s="920" t="s">
        <v>21</v>
      </c>
      <c r="AH283" s="921">
        <v>135.221</v>
      </c>
      <c r="AI283" s="921" t="s">
        <v>21</v>
      </c>
      <c r="AJ283" s="920" t="s">
        <v>21</v>
      </c>
      <c r="AK283" s="920" t="s">
        <v>21</v>
      </c>
      <c r="AL283" s="921" t="s">
        <v>21</v>
      </c>
      <c r="AM283" s="921" t="s">
        <v>21</v>
      </c>
      <c r="AN283" s="920"/>
      <c r="AO283" s="920" t="s">
        <v>21</v>
      </c>
      <c r="AP283" s="919">
        <v>36.624000000000002</v>
      </c>
      <c r="AQ283" s="933">
        <v>130.32912000000002</v>
      </c>
      <c r="AR283" s="925" t="s">
        <v>21</v>
      </c>
      <c r="AS283" s="925">
        <v>130.32912000000002</v>
      </c>
      <c r="AT283" s="925" t="s">
        <v>21</v>
      </c>
      <c r="AU283" s="925" t="s">
        <v>21</v>
      </c>
      <c r="AV283" s="926" t="s">
        <v>21</v>
      </c>
      <c r="AW283" s="926" t="s">
        <v>21</v>
      </c>
      <c r="AX283" s="926" t="s">
        <v>21</v>
      </c>
      <c r="AY283" s="926" t="s">
        <v>21</v>
      </c>
      <c r="AZ283" s="925" t="s">
        <v>21</v>
      </c>
      <c r="BA283" s="925"/>
      <c r="BB283" s="919">
        <v>3.6619999999999999</v>
      </c>
      <c r="BC283" s="919" t="s">
        <v>21</v>
      </c>
      <c r="BD283" s="919" t="s">
        <v>2142</v>
      </c>
      <c r="BE283" s="925" t="s">
        <v>21</v>
      </c>
      <c r="BF283" s="926" t="s">
        <v>21</v>
      </c>
      <c r="BG283" s="925">
        <v>26.16</v>
      </c>
      <c r="BH283" s="926" t="s">
        <v>21</v>
      </c>
      <c r="BI283" s="925" t="s">
        <v>21</v>
      </c>
      <c r="BJ283" s="926" t="s">
        <v>21</v>
      </c>
      <c r="BK283" s="925" t="s">
        <v>21</v>
      </c>
      <c r="BL283" s="926" t="s">
        <v>21</v>
      </c>
      <c r="BM283" s="925" t="s">
        <v>21</v>
      </c>
      <c r="BN283" s="927"/>
      <c r="BO283" s="927"/>
      <c r="BP283" s="928">
        <v>1</v>
      </c>
      <c r="BQ283" s="928" t="s">
        <v>21</v>
      </c>
      <c r="BR283" s="928" t="s">
        <v>21</v>
      </c>
      <c r="BS283" s="928" t="s">
        <v>21</v>
      </c>
      <c r="BT283" s="928" t="s">
        <v>21</v>
      </c>
      <c r="BU283" s="928" t="s">
        <v>21</v>
      </c>
      <c r="BV283" s="934">
        <v>0.90700000000001646</v>
      </c>
      <c r="BW283" s="934">
        <v>1</v>
      </c>
      <c r="BX283" s="1104">
        <v>2</v>
      </c>
      <c r="BY283" s="931">
        <v>4</v>
      </c>
      <c r="BZ283" s="930" t="s">
        <v>21</v>
      </c>
      <c r="CA283" s="1074">
        <v>1</v>
      </c>
      <c r="CB283" s="930" t="s">
        <v>21</v>
      </c>
      <c r="CC283" s="930" t="s">
        <v>21</v>
      </c>
      <c r="CD283" s="925">
        <v>26.762</v>
      </c>
      <c r="CE283" s="1130">
        <v>94.15</v>
      </c>
      <c r="CF283" s="1129" t="s">
        <v>21</v>
      </c>
      <c r="CG283" s="1130" t="s">
        <v>21</v>
      </c>
      <c r="CH283" s="1130" t="s">
        <v>21</v>
      </c>
      <c r="CI283" s="1131" t="s">
        <v>21</v>
      </c>
      <c r="CJ283" s="1129" t="s">
        <v>21</v>
      </c>
      <c r="CK283" s="1130">
        <v>94.15</v>
      </c>
      <c r="CL283" s="1130" t="s">
        <v>21</v>
      </c>
      <c r="CM283" s="1131" t="s">
        <v>21</v>
      </c>
      <c r="CN283" s="1130" t="s">
        <v>21</v>
      </c>
      <c r="CP283" s="838" t="s">
        <v>21</v>
      </c>
      <c r="CQ283" s="838" t="s">
        <v>21</v>
      </c>
      <c r="CR283" s="836"/>
    </row>
    <row r="284" spans="1:96" x14ac:dyDescent="0.25">
      <c r="A284" s="935"/>
      <c r="B284" s="932"/>
      <c r="C284" s="911"/>
      <c r="D284" s="911"/>
      <c r="E284" s="912"/>
      <c r="F284" s="912"/>
      <c r="G284" s="910"/>
      <c r="H284" s="912"/>
      <c r="I284" s="912"/>
      <c r="J284" s="914"/>
      <c r="K284" s="915"/>
      <c r="L284" s="916" t="s">
        <v>21</v>
      </c>
      <c r="M284" s="916" t="s">
        <v>21</v>
      </c>
      <c r="N284" s="916" t="s">
        <v>21</v>
      </c>
      <c r="O284" s="916" t="s">
        <v>21</v>
      </c>
      <c r="P284" s="915"/>
      <c r="Q284" s="916" t="s">
        <v>21</v>
      </c>
      <c r="R284" s="917" t="s">
        <v>21</v>
      </c>
      <c r="S284" s="918" t="s">
        <v>21</v>
      </c>
      <c r="T284" s="918" t="s">
        <v>21</v>
      </c>
      <c r="U284" s="916" t="s">
        <v>21</v>
      </c>
      <c r="V284" s="916" t="s">
        <v>21</v>
      </c>
      <c r="W284" s="915"/>
      <c r="X284" s="916" t="s">
        <v>21</v>
      </c>
      <c r="Y284" s="916" t="s">
        <v>21</v>
      </c>
      <c r="Z284" s="916" t="s">
        <v>21</v>
      </c>
      <c r="AA284" s="916" t="s">
        <v>21</v>
      </c>
      <c r="AB284" s="916" t="s">
        <v>21</v>
      </c>
      <c r="AC284" s="915"/>
      <c r="AD284" s="919" t="s">
        <v>21</v>
      </c>
      <c r="AE284" s="920" t="s">
        <v>21</v>
      </c>
      <c r="AF284" s="920" t="s">
        <v>21</v>
      </c>
      <c r="AG284" s="920" t="s">
        <v>21</v>
      </c>
      <c r="AH284" s="921" t="s">
        <v>21</v>
      </c>
      <c r="AI284" s="921" t="s">
        <v>21</v>
      </c>
      <c r="AJ284" s="920" t="s">
        <v>21</v>
      </c>
      <c r="AK284" s="920" t="s">
        <v>21</v>
      </c>
      <c r="AL284" s="921" t="s">
        <v>21</v>
      </c>
      <c r="AM284" s="921" t="s">
        <v>21</v>
      </c>
      <c r="AN284" s="920"/>
      <c r="AO284" s="920" t="s">
        <v>21</v>
      </c>
      <c r="AP284" s="919" t="s">
        <v>21</v>
      </c>
      <c r="AQ284" s="933" t="s">
        <v>21</v>
      </c>
      <c r="AR284" s="925" t="s">
        <v>21</v>
      </c>
      <c r="AS284" s="925" t="s">
        <v>21</v>
      </c>
      <c r="AT284" s="925" t="s">
        <v>21</v>
      </c>
      <c r="AU284" s="925" t="s">
        <v>21</v>
      </c>
      <c r="AV284" s="926" t="s">
        <v>21</v>
      </c>
      <c r="AW284" s="926" t="s">
        <v>21</v>
      </c>
      <c r="AX284" s="926" t="s">
        <v>21</v>
      </c>
      <c r="AY284" s="926" t="s">
        <v>21</v>
      </c>
      <c r="AZ284" s="925" t="s">
        <v>21</v>
      </c>
      <c r="BA284" s="925"/>
      <c r="BB284" s="919" t="s">
        <v>21</v>
      </c>
      <c r="BC284" s="919" t="s">
        <v>21</v>
      </c>
      <c r="BD284" s="919" t="s">
        <v>21</v>
      </c>
      <c r="BE284" s="925" t="s">
        <v>21</v>
      </c>
      <c r="BF284" s="926" t="s">
        <v>21</v>
      </c>
      <c r="BG284" s="925" t="s">
        <v>21</v>
      </c>
      <c r="BH284" s="926" t="s">
        <v>21</v>
      </c>
      <c r="BI284" s="925" t="s">
        <v>21</v>
      </c>
      <c r="BJ284" s="926" t="s">
        <v>21</v>
      </c>
      <c r="BK284" s="925" t="s">
        <v>21</v>
      </c>
      <c r="BL284" s="926" t="s">
        <v>21</v>
      </c>
      <c r="BM284" s="925" t="s">
        <v>21</v>
      </c>
      <c r="BN284" s="927"/>
      <c r="BO284" s="927"/>
      <c r="BP284" s="928" t="s">
        <v>21</v>
      </c>
      <c r="BQ284" s="928" t="s">
        <v>21</v>
      </c>
      <c r="BR284" s="928" t="s">
        <v>21</v>
      </c>
      <c r="BS284" s="928" t="s">
        <v>21</v>
      </c>
      <c r="BT284" s="928" t="s">
        <v>21</v>
      </c>
      <c r="BU284" s="928" t="s">
        <v>21</v>
      </c>
      <c r="BV284" s="934" t="s">
        <v>21</v>
      </c>
      <c r="BW284" s="934" t="s">
        <v>21</v>
      </c>
      <c r="BX284" s="1104" t="s">
        <v>21</v>
      </c>
      <c r="BY284" s="931" t="s">
        <v>21</v>
      </c>
      <c r="BZ284" s="930" t="s">
        <v>21</v>
      </c>
      <c r="CA284" s="1074" t="s">
        <v>21</v>
      </c>
      <c r="CB284" s="930" t="s">
        <v>21</v>
      </c>
      <c r="CC284" s="930" t="s">
        <v>21</v>
      </c>
      <c r="CD284" s="925" t="s">
        <v>21</v>
      </c>
      <c r="CE284" s="1130" t="s">
        <v>21</v>
      </c>
      <c r="CF284" s="1129" t="s">
        <v>21</v>
      </c>
      <c r="CG284" s="1130" t="s">
        <v>21</v>
      </c>
      <c r="CH284" s="1130" t="s">
        <v>21</v>
      </c>
      <c r="CI284" s="1131" t="s">
        <v>21</v>
      </c>
      <c r="CJ284" s="1129" t="s">
        <v>21</v>
      </c>
      <c r="CK284" s="1130" t="s">
        <v>21</v>
      </c>
      <c r="CL284" s="1130" t="s">
        <v>21</v>
      </c>
      <c r="CM284" s="1131" t="s">
        <v>21</v>
      </c>
      <c r="CN284" s="1130" t="s">
        <v>21</v>
      </c>
      <c r="CP284" s="838" t="s">
        <v>21</v>
      </c>
      <c r="CQ284" s="838" t="s">
        <v>21</v>
      </c>
      <c r="CR284" s="836"/>
    </row>
    <row r="285" spans="1:96" x14ac:dyDescent="0.25">
      <c r="A285" s="935" t="s">
        <v>2539</v>
      </c>
      <c r="B285" s="932" t="s">
        <v>2235</v>
      </c>
      <c r="C285" s="911">
        <v>600</v>
      </c>
      <c r="D285" s="911" t="s">
        <v>2116</v>
      </c>
      <c r="E285" s="912">
        <v>1174.94</v>
      </c>
      <c r="F285" s="912">
        <v>1173.04</v>
      </c>
      <c r="G285" s="910" t="s">
        <v>2267</v>
      </c>
      <c r="H285" s="912">
        <v>1174.93</v>
      </c>
      <c r="I285" s="912">
        <v>1172.925</v>
      </c>
      <c r="J285" s="914">
        <v>22.93</v>
      </c>
      <c r="K285" s="915"/>
      <c r="L285" s="916">
        <v>0.1</v>
      </c>
      <c r="M285" s="916">
        <v>0.06</v>
      </c>
      <c r="N285" s="916">
        <v>0.2</v>
      </c>
      <c r="O285" s="916">
        <v>4.875</v>
      </c>
      <c r="P285" s="915"/>
      <c r="Q285" s="916">
        <v>2.2130000000000001</v>
      </c>
      <c r="R285" s="917">
        <v>0.33333333333333331</v>
      </c>
      <c r="S285" s="918">
        <v>1.4</v>
      </c>
      <c r="T285" s="918">
        <v>2.875</v>
      </c>
      <c r="U285" s="916">
        <v>4.665</v>
      </c>
      <c r="V285" s="916">
        <v>0.92</v>
      </c>
      <c r="W285" s="915"/>
      <c r="X285" s="916">
        <v>0.28299999999999997</v>
      </c>
      <c r="Y285" s="916">
        <v>0.40699999999999997</v>
      </c>
      <c r="Z285" s="916">
        <v>4.7300000000000004</v>
      </c>
      <c r="AA285" s="916">
        <v>1.0229999999999999</v>
      </c>
      <c r="AB285" s="916">
        <v>3.16</v>
      </c>
      <c r="AC285" s="915"/>
      <c r="AD285" s="919">
        <v>111.78400000000001</v>
      </c>
      <c r="AE285" s="920">
        <v>108.459</v>
      </c>
      <c r="AF285" s="920" t="s">
        <v>21</v>
      </c>
      <c r="AG285" s="920" t="s">
        <v>21</v>
      </c>
      <c r="AH285" s="921">
        <v>108.459</v>
      </c>
      <c r="AI285" s="921" t="s">
        <v>21</v>
      </c>
      <c r="AJ285" s="920" t="s">
        <v>21</v>
      </c>
      <c r="AK285" s="920" t="s">
        <v>21</v>
      </c>
      <c r="AL285" s="921" t="s">
        <v>21</v>
      </c>
      <c r="AM285" s="921" t="s">
        <v>21</v>
      </c>
      <c r="AN285" s="920"/>
      <c r="AO285" s="920" t="s">
        <v>21</v>
      </c>
      <c r="AP285" s="919">
        <v>32.101999999999997</v>
      </c>
      <c r="AQ285" s="933">
        <v>106.96845</v>
      </c>
      <c r="AR285" s="925" t="s">
        <v>21</v>
      </c>
      <c r="AS285" s="925">
        <v>106.96845</v>
      </c>
      <c r="AT285" s="925" t="s">
        <v>21</v>
      </c>
      <c r="AU285" s="925" t="s">
        <v>21</v>
      </c>
      <c r="AV285" s="926" t="s">
        <v>21</v>
      </c>
      <c r="AW285" s="926" t="s">
        <v>21</v>
      </c>
      <c r="AX285" s="926" t="s">
        <v>21</v>
      </c>
      <c r="AY285" s="926" t="s">
        <v>21</v>
      </c>
      <c r="AZ285" s="925" t="s">
        <v>21</v>
      </c>
      <c r="BA285" s="925"/>
      <c r="BB285" s="919">
        <v>3.21</v>
      </c>
      <c r="BC285" s="919" t="s">
        <v>21</v>
      </c>
      <c r="BD285" s="919" t="s">
        <v>2142</v>
      </c>
      <c r="BE285" s="925" t="s">
        <v>21</v>
      </c>
      <c r="BF285" s="926" t="s">
        <v>21</v>
      </c>
      <c r="BG285" s="925">
        <v>22.93</v>
      </c>
      <c r="BH285" s="926" t="s">
        <v>21</v>
      </c>
      <c r="BI285" s="925" t="s">
        <v>21</v>
      </c>
      <c r="BJ285" s="926" t="s">
        <v>21</v>
      </c>
      <c r="BK285" s="925" t="s">
        <v>21</v>
      </c>
      <c r="BL285" s="926" t="s">
        <v>21</v>
      </c>
      <c r="BM285" s="925" t="s">
        <v>21</v>
      </c>
      <c r="BN285" s="927"/>
      <c r="BO285" s="927"/>
      <c r="BP285" s="928">
        <v>1</v>
      </c>
      <c r="BQ285" s="928" t="s">
        <v>21</v>
      </c>
      <c r="BR285" s="928" t="s">
        <v>21</v>
      </c>
      <c r="BS285" s="928" t="s">
        <v>21</v>
      </c>
      <c r="BT285" s="928" t="s">
        <v>21</v>
      </c>
      <c r="BU285" s="928" t="s">
        <v>21</v>
      </c>
      <c r="BV285" s="934">
        <v>0.50000000000009104</v>
      </c>
      <c r="BW285" s="934">
        <v>1</v>
      </c>
      <c r="BX285" s="1104">
        <v>2</v>
      </c>
      <c r="BY285" s="931">
        <v>4</v>
      </c>
      <c r="BZ285" s="930">
        <v>2</v>
      </c>
      <c r="CA285" s="1074" t="s">
        <v>21</v>
      </c>
      <c r="CB285" s="930" t="s">
        <v>21</v>
      </c>
      <c r="CC285" s="930" t="s">
        <v>21</v>
      </c>
      <c r="CD285" s="925">
        <v>23.457000000000001</v>
      </c>
      <c r="CE285" s="1130">
        <v>72.459000000000003</v>
      </c>
      <c r="CF285" s="1129" t="s">
        <v>21</v>
      </c>
      <c r="CG285" s="1130" t="s">
        <v>21</v>
      </c>
      <c r="CH285" s="1130" t="s">
        <v>21</v>
      </c>
      <c r="CI285" s="1131" t="s">
        <v>21</v>
      </c>
      <c r="CJ285" s="1129" t="s">
        <v>21</v>
      </c>
      <c r="CK285" s="1130">
        <v>72.459000000000003</v>
      </c>
      <c r="CL285" s="1130" t="s">
        <v>21</v>
      </c>
      <c r="CM285" s="1131" t="s">
        <v>21</v>
      </c>
      <c r="CN285" s="1130" t="s">
        <v>21</v>
      </c>
      <c r="CP285" s="838" t="s">
        <v>21</v>
      </c>
      <c r="CQ285" s="838" t="s">
        <v>21</v>
      </c>
      <c r="CR285" s="836"/>
    </row>
    <row r="286" spans="1:96" x14ac:dyDescent="0.25">
      <c r="A286" s="935"/>
      <c r="B286" s="932" t="s">
        <v>2267</v>
      </c>
      <c r="C286" s="911">
        <v>600</v>
      </c>
      <c r="D286" s="911" t="s">
        <v>2116</v>
      </c>
      <c r="E286" s="912">
        <v>1174.93</v>
      </c>
      <c r="F286" s="912">
        <v>1172.925</v>
      </c>
      <c r="G286" s="910" t="s">
        <v>2268</v>
      </c>
      <c r="H286" s="912">
        <v>1175.04</v>
      </c>
      <c r="I286" s="912">
        <v>1172.731</v>
      </c>
      <c r="J286" s="914">
        <v>38.71</v>
      </c>
      <c r="K286" s="915"/>
      <c r="L286" s="916">
        <v>0.1</v>
      </c>
      <c r="M286" s="916">
        <v>0.06</v>
      </c>
      <c r="N286" s="916">
        <v>0.2</v>
      </c>
      <c r="O286" s="916">
        <v>5.0110000000000001</v>
      </c>
      <c r="P286" s="915"/>
      <c r="Q286" s="916">
        <v>2.4169999999999998</v>
      </c>
      <c r="R286" s="917">
        <v>0.33333333333333331</v>
      </c>
      <c r="S286" s="918">
        <v>1.4</v>
      </c>
      <c r="T286" s="918">
        <v>3.0110000000000001</v>
      </c>
      <c r="U286" s="916">
        <v>5.0949999999999998</v>
      </c>
      <c r="V286" s="916">
        <v>0.92</v>
      </c>
      <c r="W286" s="915"/>
      <c r="X286" s="916">
        <v>0.28299999999999997</v>
      </c>
      <c r="Y286" s="916">
        <v>0.40699999999999997</v>
      </c>
      <c r="Z286" s="916">
        <v>5.3310000000000004</v>
      </c>
      <c r="AA286" s="916">
        <v>1.0229999999999999</v>
      </c>
      <c r="AB286" s="916">
        <v>3.7610000000000001</v>
      </c>
      <c r="AC286" s="915"/>
      <c r="AD286" s="919">
        <v>193.976</v>
      </c>
      <c r="AE286" s="920">
        <v>206.363</v>
      </c>
      <c r="AF286" s="920" t="s">
        <v>21</v>
      </c>
      <c r="AG286" s="920" t="s">
        <v>21</v>
      </c>
      <c r="AH286" s="921">
        <v>206.363</v>
      </c>
      <c r="AI286" s="921" t="s">
        <v>21</v>
      </c>
      <c r="AJ286" s="920" t="s">
        <v>21</v>
      </c>
      <c r="AK286" s="920" t="s">
        <v>21</v>
      </c>
      <c r="AL286" s="921" t="s">
        <v>21</v>
      </c>
      <c r="AM286" s="921" t="s">
        <v>21</v>
      </c>
      <c r="AN286" s="920"/>
      <c r="AO286" s="920" t="s">
        <v>21</v>
      </c>
      <c r="AP286" s="919">
        <v>54.194000000000003</v>
      </c>
      <c r="AQ286" s="933">
        <v>197.22745</v>
      </c>
      <c r="AR286" s="925" t="s">
        <v>21</v>
      </c>
      <c r="AS286" s="925">
        <v>197.22745</v>
      </c>
      <c r="AT286" s="925" t="s">
        <v>21</v>
      </c>
      <c r="AU286" s="925" t="s">
        <v>21</v>
      </c>
      <c r="AV286" s="926" t="s">
        <v>21</v>
      </c>
      <c r="AW286" s="926" t="s">
        <v>21</v>
      </c>
      <c r="AX286" s="926" t="s">
        <v>21</v>
      </c>
      <c r="AY286" s="926" t="s">
        <v>21</v>
      </c>
      <c r="AZ286" s="925" t="s">
        <v>21</v>
      </c>
      <c r="BA286" s="925"/>
      <c r="BB286" s="919">
        <v>5.4189999999999996</v>
      </c>
      <c r="BC286" s="919" t="s">
        <v>21</v>
      </c>
      <c r="BD286" s="919" t="s">
        <v>2142</v>
      </c>
      <c r="BE286" s="925" t="s">
        <v>21</v>
      </c>
      <c r="BF286" s="926" t="s">
        <v>21</v>
      </c>
      <c r="BG286" s="925">
        <v>38.71</v>
      </c>
      <c r="BH286" s="926" t="s">
        <v>21</v>
      </c>
      <c r="BI286" s="925" t="s">
        <v>21</v>
      </c>
      <c r="BJ286" s="926" t="s">
        <v>21</v>
      </c>
      <c r="BK286" s="925" t="s">
        <v>21</v>
      </c>
      <c r="BL286" s="926" t="s">
        <v>21</v>
      </c>
      <c r="BM286" s="925" t="s">
        <v>21</v>
      </c>
      <c r="BN286" s="927"/>
      <c r="BO286" s="927"/>
      <c r="BP286" s="928">
        <v>1</v>
      </c>
      <c r="BQ286" s="928" t="s">
        <v>21</v>
      </c>
      <c r="BR286" s="928" t="s">
        <v>21</v>
      </c>
      <c r="BS286" s="928" t="s">
        <v>21</v>
      </c>
      <c r="BT286" s="928" t="s">
        <v>21</v>
      </c>
      <c r="BU286" s="928" t="s">
        <v>21</v>
      </c>
      <c r="BV286" s="934">
        <v>0.60500000000010923</v>
      </c>
      <c r="BW286" s="934">
        <v>1</v>
      </c>
      <c r="BX286" s="1104">
        <v>2</v>
      </c>
      <c r="BY286" s="931">
        <v>4</v>
      </c>
      <c r="BZ286" s="930">
        <v>2</v>
      </c>
      <c r="CA286" s="1074" t="s">
        <v>21</v>
      </c>
      <c r="CB286" s="930" t="s">
        <v>21</v>
      </c>
      <c r="CC286" s="930" t="s">
        <v>21</v>
      </c>
      <c r="CD286" s="925">
        <v>39.6</v>
      </c>
      <c r="CE286" s="1130">
        <v>145.58799999999999</v>
      </c>
      <c r="CF286" s="1129" t="s">
        <v>21</v>
      </c>
      <c r="CG286" s="1130" t="s">
        <v>21</v>
      </c>
      <c r="CH286" s="1130" t="s">
        <v>21</v>
      </c>
      <c r="CI286" s="1131" t="s">
        <v>21</v>
      </c>
      <c r="CJ286" s="1129" t="s">
        <v>21</v>
      </c>
      <c r="CK286" s="1130">
        <v>145.58799999999999</v>
      </c>
      <c r="CL286" s="1130" t="s">
        <v>21</v>
      </c>
      <c r="CM286" s="1131" t="s">
        <v>21</v>
      </c>
      <c r="CN286" s="1130" t="s">
        <v>21</v>
      </c>
      <c r="CP286" s="838" t="s">
        <v>21</v>
      </c>
      <c r="CQ286" s="838" t="s">
        <v>21</v>
      </c>
      <c r="CR286" s="836"/>
    </row>
    <row r="287" spans="1:96" x14ac:dyDescent="0.25">
      <c r="A287" s="935"/>
      <c r="B287" s="932" t="s">
        <v>2268</v>
      </c>
      <c r="C287" s="911">
        <v>600</v>
      </c>
      <c r="D287" s="911" t="s">
        <v>2116</v>
      </c>
      <c r="E287" s="912">
        <v>1175.04</v>
      </c>
      <c r="F287" s="912">
        <v>1172.5809999999999</v>
      </c>
      <c r="G287" s="910" t="s">
        <v>2472</v>
      </c>
      <c r="H287" s="912">
        <v>1175</v>
      </c>
      <c r="I287" s="912">
        <v>1172.45</v>
      </c>
      <c r="J287" s="914">
        <v>36.18</v>
      </c>
      <c r="K287" s="915"/>
      <c r="L287" s="916">
        <v>0.1</v>
      </c>
      <c r="M287" s="916">
        <v>0.06</v>
      </c>
      <c r="N287" s="916">
        <v>0.2</v>
      </c>
      <c r="O287" s="916">
        <v>5.2430000000000003</v>
      </c>
      <c r="P287" s="915"/>
      <c r="Q287" s="916">
        <v>2.7650000000000001</v>
      </c>
      <c r="R287" s="917">
        <v>0.33333333333333331</v>
      </c>
      <c r="S287" s="918">
        <v>1.4</v>
      </c>
      <c r="T287" s="918">
        <v>3.2429999999999999</v>
      </c>
      <c r="U287" s="916">
        <v>5.8289999999999997</v>
      </c>
      <c r="V287" s="916">
        <v>0.92</v>
      </c>
      <c r="W287" s="915"/>
      <c r="X287" s="916">
        <v>0.28299999999999997</v>
      </c>
      <c r="Y287" s="916">
        <v>0.40699999999999997</v>
      </c>
      <c r="Z287" s="916">
        <v>6.4189999999999996</v>
      </c>
      <c r="AA287" s="916">
        <v>1.0229999999999999</v>
      </c>
      <c r="AB287" s="916">
        <v>4.8490000000000002</v>
      </c>
      <c r="AC287" s="915"/>
      <c r="AD287" s="919">
        <v>189.69200000000001</v>
      </c>
      <c r="AE287" s="920">
        <v>232.239</v>
      </c>
      <c r="AF287" s="920" t="s">
        <v>21</v>
      </c>
      <c r="AG287" s="920" t="s">
        <v>21</v>
      </c>
      <c r="AH287" s="921">
        <v>232.239</v>
      </c>
      <c r="AI287" s="921" t="s">
        <v>21</v>
      </c>
      <c r="AJ287" s="920" t="s">
        <v>21</v>
      </c>
      <c r="AK287" s="920" t="s">
        <v>21</v>
      </c>
      <c r="AL287" s="921" t="s">
        <v>21</v>
      </c>
      <c r="AM287" s="921" t="s">
        <v>21</v>
      </c>
      <c r="AN287" s="920"/>
      <c r="AO287" s="920" t="s">
        <v>21</v>
      </c>
      <c r="AP287" s="919">
        <v>50.652000000000001</v>
      </c>
      <c r="AQ287" s="933">
        <v>210.89321999999999</v>
      </c>
      <c r="AR287" s="925" t="s">
        <v>21</v>
      </c>
      <c r="AS287" s="925">
        <v>210.89321999999999</v>
      </c>
      <c r="AT287" s="925" t="s">
        <v>21</v>
      </c>
      <c r="AU287" s="925" t="s">
        <v>21</v>
      </c>
      <c r="AV287" s="926" t="s">
        <v>21</v>
      </c>
      <c r="AW287" s="926" t="s">
        <v>21</v>
      </c>
      <c r="AX287" s="926" t="s">
        <v>21</v>
      </c>
      <c r="AY287" s="926" t="s">
        <v>21</v>
      </c>
      <c r="AZ287" s="925" t="s">
        <v>21</v>
      </c>
      <c r="BA287" s="925"/>
      <c r="BB287" s="919">
        <v>5.0650000000000004</v>
      </c>
      <c r="BC287" s="919" t="s">
        <v>21</v>
      </c>
      <c r="BD287" s="919" t="s">
        <v>2142</v>
      </c>
      <c r="BE287" s="925" t="s">
        <v>21</v>
      </c>
      <c r="BF287" s="926" t="s">
        <v>21</v>
      </c>
      <c r="BG287" s="925">
        <v>36.18</v>
      </c>
      <c r="BH287" s="926" t="s">
        <v>21</v>
      </c>
      <c r="BI287" s="925" t="s">
        <v>21</v>
      </c>
      <c r="BJ287" s="926" t="s">
        <v>21</v>
      </c>
      <c r="BK287" s="925" t="s">
        <v>21</v>
      </c>
      <c r="BL287" s="926" t="s">
        <v>21</v>
      </c>
      <c r="BM287" s="925" t="s">
        <v>21</v>
      </c>
      <c r="BN287" s="927"/>
      <c r="BO287" s="927"/>
      <c r="BP287" s="928">
        <v>1</v>
      </c>
      <c r="BQ287" s="928" t="s">
        <v>21</v>
      </c>
      <c r="BR287" s="928" t="s">
        <v>21</v>
      </c>
      <c r="BS287" s="928" t="s">
        <v>21</v>
      </c>
      <c r="BT287" s="928" t="s">
        <v>21</v>
      </c>
      <c r="BU287" s="928" t="s">
        <v>21</v>
      </c>
      <c r="BV287" s="934">
        <v>1.0590000000000601</v>
      </c>
      <c r="BW287" s="934">
        <v>1.5</v>
      </c>
      <c r="BX287" s="1104">
        <v>3</v>
      </c>
      <c r="BY287" s="931">
        <v>5</v>
      </c>
      <c r="BZ287" s="930">
        <v>2</v>
      </c>
      <c r="CA287" s="1074" t="s">
        <v>21</v>
      </c>
      <c r="CB287" s="930" t="s">
        <v>21</v>
      </c>
      <c r="CC287" s="930" t="s">
        <v>21</v>
      </c>
      <c r="CD287" s="925">
        <v>37.012</v>
      </c>
      <c r="CE287" s="1130">
        <v>175.43700000000001</v>
      </c>
      <c r="CF287" s="1129" t="s">
        <v>21</v>
      </c>
      <c r="CG287" s="1130" t="s">
        <v>21</v>
      </c>
      <c r="CH287" s="1130" t="s">
        <v>21</v>
      </c>
      <c r="CI287" s="1131" t="s">
        <v>21</v>
      </c>
      <c r="CJ287" s="1129" t="s">
        <v>21</v>
      </c>
      <c r="CK287" s="1130">
        <v>175.43700000000001</v>
      </c>
      <c r="CL287" s="1130" t="s">
        <v>21</v>
      </c>
      <c r="CM287" s="1131" t="s">
        <v>21</v>
      </c>
      <c r="CN287" s="1130" t="s">
        <v>21</v>
      </c>
      <c r="CP287" s="838" t="s">
        <v>21</v>
      </c>
      <c r="CQ287" s="838" t="s">
        <v>21</v>
      </c>
      <c r="CR287" s="836"/>
    </row>
    <row r="288" spans="1:96" x14ac:dyDescent="0.25">
      <c r="A288" s="935"/>
      <c r="B288" s="932" t="s">
        <v>2472</v>
      </c>
      <c r="C288" s="911">
        <v>600</v>
      </c>
      <c r="D288" s="911" t="s">
        <v>2116</v>
      </c>
      <c r="E288" s="912">
        <v>1175</v>
      </c>
      <c r="F288" s="912">
        <v>1172.45</v>
      </c>
      <c r="G288" s="910" t="s">
        <v>2473</v>
      </c>
      <c r="H288" s="912">
        <v>1174</v>
      </c>
      <c r="I288" s="912">
        <v>1172.0999999999999</v>
      </c>
      <c r="J288" s="914">
        <v>24.66</v>
      </c>
      <c r="K288" s="915"/>
      <c r="L288" s="916">
        <v>0.1</v>
      </c>
      <c r="M288" s="916">
        <v>0.06</v>
      </c>
      <c r="N288" s="916">
        <v>0.2</v>
      </c>
      <c r="O288" s="916">
        <v>5.0570000000000004</v>
      </c>
      <c r="P288" s="915"/>
      <c r="Q288" s="916">
        <v>2.4849999999999999</v>
      </c>
      <c r="R288" s="917">
        <v>0.33333333333333331</v>
      </c>
      <c r="S288" s="918">
        <v>1.4</v>
      </c>
      <c r="T288" s="918">
        <v>3.0569999999999999</v>
      </c>
      <c r="U288" s="916">
        <v>5.2389999999999999</v>
      </c>
      <c r="V288" s="916">
        <v>0.92</v>
      </c>
      <c r="W288" s="915"/>
      <c r="X288" s="916">
        <v>0.28299999999999997</v>
      </c>
      <c r="Y288" s="916">
        <v>0.40699999999999997</v>
      </c>
      <c r="Z288" s="916">
        <v>5.5380000000000003</v>
      </c>
      <c r="AA288" s="916">
        <v>1.0229999999999999</v>
      </c>
      <c r="AB288" s="916">
        <v>3.968</v>
      </c>
      <c r="AC288" s="915"/>
      <c r="AD288" s="919">
        <v>124.706</v>
      </c>
      <c r="AE288" s="920">
        <v>136.56700000000001</v>
      </c>
      <c r="AF288" s="920" t="s">
        <v>21</v>
      </c>
      <c r="AG288" s="920" t="s">
        <v>21</v>
      </c>
      <c r="AH288" s="921">
        <v>136.56700000000001</v>
      </c>
      <c r="AI288" s="921" t="s">
        <v>21</v>
      </c>
      <c r="AJ288" s="920" t="s">
        <v>21</v>
      </c>
      <c r="AK288" s="920" t="s">
        <v>21</v>
      </c>
      <c r="AL288" s="921" t="s">
        <v>21</v>
      </c>
      <c r="AM288" s="921" t="s">
        <v>21</v>
      </c>
      <c r="AN288" s="920"/>
      <c r="AO288" s="920" t="s">
        <v>21</v>
      </c>
      <c r="AP288" s="919">
        <v>34.524000000000001</v>
      </c>
      <c r="AQ288" s="933">
        <v>129.19373999999999</v>
      </c>
      <c r="AR288" s="925" t="s">
        <v>21</v>
      </c>
      <c r="AS288" s="925">
        <v>129.19373999999999</v>
      </c>
      <c r="AT288" s="925" t="s">
        <v>21</v>
      </c>
      <c r="AU288" s="925" t="s">
        <v>21</v>
      </c>
      <c r="AV288" s="926" t="s">
        <v>21</v>
      </c>
      <c r="AW288" s="926" t="s">
        <v>21</v>
      </c>
      <c r="AX288" s="926" t="s">
        <v>21</v>
      </c>
      <c r="AY288" s="926" t="s">
        <v>21</v>
      </c>
      <c r="AZ288" s="925" t="s">
        <v>21</v>
      </c>
      <c r="BA288" s="925"/>
      <c r="BB288" s="919">
        <v>3.452</v>
      </c>
      <c r="BC288" s="919" t="s">
        <v>21</v>
      </c>
      <c r="BD288" s="919" t="s">
        <v>2142</v>
      </c>
      <c r="BE288" s="925" t="s">
        <v>21</v>
      </c>
      <c r="BF288" s="926" t="s">
        <v>21</v>
      </c>
      <c r="BG288" s="925">
        <v>24.66</v>
      </c>
      <c r="BH288" s="926" t="s">
        <v>21</v>
      </c>
      <c r="BI288" s="925" t="s">
        <v>21</v>
      </c>
      <c r="BJ288" s="926" t="s">
        <v>21</v>
      </c>
      <c r="BK288" s="925" t="s">
        <v>21</v>
      </c>
      <c r="BL288" s="926" t="s">
        <v>21</v>
      </c>
      <c r="BM288" s="925" t="s">
        <v>21</v>
      </c>
      <c r="BN288" s="927"/>
      <c r="BO288" s="927"/>
      <c r="BP288" s="928">
        <v>1</v>
      </c>
      <c r="BQ288" s="928" t="s">
        <v>21</v>
      </c>
      <c r="BR288" s="928" t="s">
        <v>21</v>
      </c>
      <c r="BS288" s="928" t="s">
        <v>21</v>
      </c>
      <c r="BT288" s="928" t="s">
        <v>21</v>
      </c>
      <c r="BU288" s="928" t="s">
        <v>21</v>
      </c>
      <c r="BV288" s="934">
        <v>1.1499999999999546</v>
      </c>
      <c r="BW288" s="934">
        <v>1.5</v>
      </c>
      <c r="BX288" s="1104">
        <v>3</v>
      </c>
      <c r="BY288" s="931">
        <v>5</v>
      </c>
      <c r="BZ288" s="930">
        <v>1</v>
      </c>
      <c r="CA288" s="1074" t="s">
        <v>21</v>
      </c>
      <c r="CB288" s="930" t="s">
        <v>21</v>
      </c>
      <c r="CC288" s="930" t="s">
        <v>21</v>
      </c>
      <c r="CD288" s="925">
        <v>25.227</v>
      </c>
      <c r="CE288" s="1130">
        <v>97.850999999999999</v>
      </c>
      <c r="CF288" s="1129" t="s">
        <v>21</v>
      </c>
      <c r="CG288" s="1130" t="s">
        <v>21</v>
      </c>
      <c r="CH288" s="1130" t="s">
        <v>21</v>
      </c>
      <c r="CI288" s="1131" t="s">
        <v>21</v>
      </c>
      <c r="CJ288" s="1129" t="s">
        <v>21</v>
      </c>
      <c r="CK288" s="1130">
        <v>97.850999999999999</v>
      </c>
      <c r="CL288" s="1130" t="s">
        <v>21</v>
      </c>
      <c r="CM288" s="1131" t="s">
        <v>21</v>
      </c>
      <c r="CN288" s="1130" t="s">
        <v>21</v>
      </c>
      <c r="CP288" s="838" t="s">
        <v>21</v>
      </c>
      <c r="CQ288" s="838" t="s">
        <v>21</v>
      </c>
      <c r="CR288" s="836"/>
    </row>
    <row r="289" spans="1:96" x14ac:dyDescent="0.25">
      <c r="A289" s="935"/>
      <c r="B289" s="932" t="s">
        <v>2473</v>
      </c>
      <c r="C289" s="911">
        <v>600</v>
      </c>
      <c r="D289" s="911" t="s">
        <v>2116</v>
      </c>
      <c r="E289" s="912">
        <v>1174</v>
      </c>
      <c r="F289" s="912">
        <v>1171.8800000000001</v>
      </c>
      <c r="G289" s="910" t="s">
        <v>2474</v>
      </c>
      <c r="H289" s="912">
        <v>1173.01</v>
      </c>
      <c r="I289" s="912">
        <v>1170.71</v>
      </c>
      <c r="J289" s="914">
        <v>49.4</v>
      </c>
      <c r="K289" s="915"/>
      <c r="L289" s="916">
        <v>0.1</v>
      </c>
      <c r="M289" s="916">
        <v>0.06</v>
      </c>
      <c r="N289" s="916">
        <v>0.2</v>
      </c>
      <c r="O289" s="916">
        <v>5.0470000000000006</v>
      </c>
      <c r="P289" s="915"/>
      <c r="Q289" s="916">
        <v>2.4700000000000002</v>
      </c>
      <c r="R289" s="917">
        <v>0.33333333333333331</v>
      </c>
      <c r="S289" s="918">
        <v>1.4</v>
      </c>
      <c r="T289" s="918">
        <v>3.0470000000000002</v>
      </c>
      <c r="U289" s="916">
        <v>5.2069999999999999</v>
      </c>
      <c r="V289" s="916">
        <v>0.92</v>
      </c>
      <c r="W289" s="915"/>
      <c r="X289" s="916">
        <v>0.28299999999999997</v>
      </c>
      <c r="Y289" s="916">
        <v>0.40699999999999997</v>
      </c>
      <c r="Z289" s="916">
        <v>5.492</v>
      </c>
      <c r="AA289" s="916">
        <v>1.0229999999999999</v>
      </c>
      <c r="AB289" s="916">
        <v>3.9220000000000002</v>
      </c>
      <c r="AC289" s="915"/>
      <c r="AD289" s="919">
        <v>249.322</v>
      </c>
      <c r="AE289" s="920">
        <v>271.30500000000001</v>
      </c>
      <c r="AF289" s="920" t="s">
        <v>21</v>
      </c>
      <c r="AG289" s="920" t="s">
        <v>21</v>
      </c>
      <c r="AH289" s="921">
        <v>271.30500000000001</v>
      </c>
      <c r="AI289" s="921" t="s">
        <v>21</v>
      </c>
      <c r="AJ289" s="920" t="s">
        <v>21</v>
      </c>
      <c r="AK289" s="920" t="s">
        <v>21</v>
      </c>
      <c r="AL289" s="921" t="s">
        <v>21</v>
      </c>
      <c r="AM289" s="921" t="s">
        <v>21</v>
      </c>
      <c r="AN289" s="920"/>
      <c r="AO289" s="920" t="s">
        <v>21</v>
      </c>
      <c r="AP289" s="919">
        <v>69.16</v>
      </c>
      <c r="AQ289" s="933">
        <v>257.22579999999999</v>
      </c>
      <c r="AR289" s="925" t="s">
        <v>21</v>
      </c>
      <c r="AS289" s="925">
        <v>257.22579999999999</v>
      </c>
      <c r="AT289" s="925" t="s">
        <v>21</v>
      </c>
      <c r="AU289" s="925" t="s">
        <v>21</v>
      </c>
      <c r="AV289" s="926" t="s">
        <v>21</v>
      </c>
      <c r="AW289" s="926" t="s">
        <v>21</v>
      </c>
      <c r="AX289" s="926" t="s">
        <v>21</v>
      </c>
      <c r="AY289" s="926" t="s">
        <v>21</v>
      </c>
      <c r="AZ289" s="925" t="s">
        <v>21</v>
      </c>
      <c r="BA289" s="925"/>
      <c r="BB289" s="919">
        <v>6.9160000000000004</v>
      </c>
      <c r="BC289" s="919" t="s">
        <v>21</v>
      </c>
      <c r="BD289" s="919" t="s">
        <v>2142</v>
      </c>
      <c r="BE289" s="925" t="s">
        <v>21</v>
      </c>
      <c r="BF289" s="926" t="s">
        <v>21</v>
      </c>
      <c r="BG289" s="925">
        <v>49.4</v>
      </c>
      <c r="BH289" s="926" t="s">
        <v>21</v>
      </c>
      <c r="BI289" s="925" t="s">
        <v>21</v>
      </c>
      <c r="BJ289" s="926" t="s">
        <v>21</v>
      </c>
      <c r="BK289" s="925" t="s">
        <v>21</v>
      </c>
      <c r="BL289" s="926" t="s">
        <v>21</v>
      </c>
      <c r="BM289" s="925" t="s">
        <v>21</v>
      </c>
      <c r="BN289" s="927"/>
      <c r="BO289" s="927"/>
      <c r="BP289" s="928">
        <v>1</v>
      </c>
      <c r="BQ289" s="928" t="s">
        <v>21</v>
      </c>
      <c r="BR289" s="928" t="s">
        <v>21</v>
      </c>
      <c r="BS289" s="928" t="s">
        <v>21</v>
      </c>
      <c r="BT289" s="928" t="s">
        <v>21</v>
      </c>
      <c r="BU289" s="928" t="s">
        <v>21</v>
      </c>
      <c r="BV289" s="934">
        <v>0.71999999999989095</v>
      </c>
      <c r="BW289" s="934">
        <v>1</v>
      </c>
      <c r="BX289" s="1104">
        <v>2</v>
      </c>
      <c r="BY289" s="931">
        <v>4</v>
      </c>
      <c r="BZ289" s="930" t="s">
        <v>21</v>
      </c>
      <c r="CA289" s="1074" t="s">
        <v>21</v>
      </c>
      <c r="CB289" s="930" t="s">
        <v>21</v>
      </c>
      <c r="CC289" s="930" t="s">
        <v>21</v>
      </c>
      <c r="CD289" s="925">
        <v>50.536000000000001</v>
      </c>
      <c r="CE289" s="1130">
        <v>193.74700000000001</v>
      </c>
      <c r="CF289" s="1129" t="s">
        <v>21</v>
      </c>
      <c r="CG289" s="1130" t="s">
        <v>21</v>
      </c>
      <c r="CH289" s="1130" t="s">
        <v>21</v>
      </c>
      <c r="CI289" s="1131" t="s">
        <v>21</v>
      </c>
      <c r="CJ289" s="1129" t="s">
        <v>21</v>
      </c>
      <c r="CK289" s="1130">
        <v>193.74700000000001</v>
      </c>
      <c r="CL289" s="1130" t="s">
        <v>21</v>
      </c>
      <c r="CM289" s="1131" t="s">
        <v>21</v>
      </c>
      <c r="CN289" s="1130" t="s">
        <v>21</v>
      </c>
      <c r="CP289" s="838" t="s">
        <v>21</v>
      </c>
      <c r="CQ289" s="838" t="s">
        <v>21</v>
      </c>
      <c r="CR289" s="836"/>
    </row>
    <row r="290" spans="1:96" x14ac:dyDescent="0.25">
      <c r="A290" s="935"/>
      <c r="B290" s="932" t="s">
        <v>2474</v>
      </c>
      <c r="C290" s="911">
        <v>800</v>
      </c>
      <c r="D290" s="911" t="s">
        <v>2116</v>
      </c>
      <c r="E290" s="912">
        <v>1173.01</v>
      </c>
      <c r="F290" s="912">
        <v>1170.51</v>
      </c>
      <c r="G290" s="1487" t="s">
        <v>2244</v>
      </c>
      <c r="H290" s="1489">
        <v>1168.5</v>
      </c>
      <c r="I290" s="1489">
        <v>1168</v>
      </c>
      <c r="J290" s="1488">
        <v>60</v>
      </c>
      <c r="K290" s="915"/>
      <c r="L290" s="916">
        <v>0.15</v>
      </c>
      <c r="M290" s="916">
        <v>7.5999999999999998E-2</v>
      </c>
      <c r="N290" s="916">
        <v>0.2</v>
      </c>
      <c r="O290" s="916">
        <v>4.9169999999999998</v>
      </c>
      <c r="P290" s="915"/>
      <c r="Q290" s="916">
        <v>1.8260000000000001</v>
      </c>
      <c r="R290" s="917">
        <v>0.33333333333333331</v>
      </c>
      <c r="S290" s="918">
        <v>1.7</v>
      </c>
      <c r="T290" s="918">
        <v>2.9169999999999998</v>
      </c>
      <c r="U290" s="916">
        <v>3.85</v>
      </c>
      <c r="V290" s="916">
        <v>1.1519999999999999</v>
      </c>
      <c r="W290" s="915"/>
      <c r="X290" s="916">
        <v>0.503</v>
      </c>
      <c r="Y290" s="916">
        <v>0.71199999999999997</v>
      </c>
      <c r="Z290" s="916">
        <v>4.2149999999999999</v>
      </c>
      <c r="AA290" s="916">
        <v>1.4339999999999999</v>
      </c>
      <c r="AB290" s="916">
        <v>1.8140000000000001</v>
      </c>
      <c r="AC290" s="915"/>
      <c r="AD290" s="919">
        <v>295.02</v>
      </c>
      <c r="AE290" s="920">
        <v>252.9</v>
      </c>
      <c r="AF290" s="920" t="s">
        <v>21</v>
      </c>
      <c r="AG290" s="920" t="s">
        <v>21</v>
      </c>
      <c r="AH290" s="921" t="s">
        <v>21</v>
      </c>
      <c r="AI290" s="921">
        <v>252.9</v>
      </c>
      <c r="AJ290" s="920" t="s">
        <v>21</v>
      </c>
      <c r="AK290" s="920" t="s">
        <v>21</v>
      </c>
      <c r="AL290" s="921" t="s">
        <v>21</v>
      </c>
      <c r="AM290" s="921" t="s">
        <v>21</v>
      </c>
      <c r="AN290" s="920"/>
      <c r="AO290" s="920" t="s">
        <v>21</v>
      </c>
      <c r="AP290" s="919">
        <v>102</v>
      </c>
      <c r="AQ290" s="933">
        <v>231</v>
      </c>
      <c r="AR290" s="925" t="s">
        <v>21</v>
      </c>
      <c r="AS290" s="925" t="s">
        <v>21</v>
      </c>
      <c r="AT290" s="925" t="s">
        <v>21</v>
      </c>
      <c r="AU290" s="925" t="s">
        <v>21</v>
      </c>
      <c r="AV290" s="926" t="s">
        <v>21</v>
      </c>
      <c r="AW290" s="926">
        <v>231</v>
      </c>
      <c r="AX290" s="926" t="s">
        <v>21</v>
      </c>
      <c r="AY290" s="926" t="s">
        <v>21</v>
      </c>
      <c r="AZ290" s="925" t="s">
        <v>21</v>
      </c>
      <c r="BA290" s="925"/>
      <c r="BB290" s="919" t="s">
        <v>21</v>
      </c>
      <c r="BC290" s="919">
        <v>15.3</v>
      </c>
      <c r="BD290" s="919" t="s">
        <v>2142</v>
      </c>
      <c r="BE290" s="925" t="s">
        <v>21</v>
      </c>
      <c r="BF290" s="926" t="s">
        <v>21</v>
      </c>
      <c r="BG290" s="925" t="s">
        <v>21</v>
      </c>
      <c r="BH290" s="926">
        <v>60</v>
      </c>
      <c r="BI290" s="925" t="s">
        <v>21</v>
      </c>
      <c r="BJ290" s="926" t="s">
        <v>21</v>
      </c>
      <c r="BK290" s="925" t="s">
        <v>21</v>
      </c>
      <c r="BL290" s="926" t="s">
        <v>21</v>
      </c>
      <c r="BM290" s="925" t="s">
        <v>21</v>
      </c>
      <c r="BN290" s="927"/>
      <c r="BO290" s="927"/>
      <c r="BP290" s="928" t="s">
        <v>21</v>
      </c>
      <c r="BQ290" s="928">
        <v>1</v>
      </c>
      <c r="BR290" s="928" t="s">
        <v>21</v>
      </c>
      <c r="BS290" s="928" t="s">
        <v>21</v>
      </c>
      <c r="BT290" s="928" t="s">
        <v>21</v>
      </c>
      <c r="BU290" s="928" t="s">
        <v>21</v>
      </c>
      <c r="BV290" s="934">
        <v>1</v>
      </c>
      <c r="BW290" s="934">
        <v>1.5</v>
      </c>
      <c r="BX290" s="1104">
        <v>3</v>
      </c>
      <c r="BY290" s="931">
        <v>5</v>
      </c>
      <c r="BZ290" s="930">
        <v>1</v>
      </c>
      <c r="CA290" s="1074">
        <v>1</v>
      </c>
      <c r="CB290" s="930">
        <v>1</v>
      </c>
      <c r="CC290" s="930" t="s">
        <v>21</v>
      </c>
      <c r="CD290" s="925">
        <v>86.04</v>
      </c>
      <c r="CE290" s="1130">
        <v>108.84</v>
      </c>
      <c r="CF290" s="1129" t="s">
        <v>21</v>
      </c>
      <c r="CG290" s="1130" t="s">
        <v>21</v>
      </c>
      <c r="CH290" s="1130" t="s">
        <v>21</v>
      </c>
      <c r="CI290" s="1131" t="s">
        <v>21</v>
      </c>
      <c r="CJ290" s="1129" t="s">
        <v>21</v>
      </c>
      <c r="CK290" s="1130">
        <v>108.84</v>
      </c>
      <c r="CL290" s="1130" t="s">
        <v>21</v>
      </c>
      <c r="CM290" s="1131" t="s">
        <v>21</v>
      </c>
      <c r="CN290" s="1130" t="s">
        <v>21</v>
      </c>
      <c r="CP290" s="838" t="s">
        <v>21</v>
      </c>
      <c r="CQ290" s="838" t="s">
        <v>21</v>
      </c>
      <c r="CR290" s="836"/>
    </row>
    <row r="291" spans="1:96" x14ac:dyDescent="0.25">
      <c r="A291" s="935"/>
      <c r="B291" s="932"/>
      <c r="C291" s="911"/>
      <c r="D291" s="911"/>
      <c r="E291" s="912"/>
      <c r="F291" s="912"/>
      <c r="G291" s="910"/>
      <c r="H291" s="912"/>
      <c r="I291" s="912"/>
      <c r="J291" s="914"/>
      <c r="K291" s="915"/>
      <c r="L291" s="916" t="s">
        <v>21</v>
      </c>
      <c r="M291" s="916" t="s">
        <v>21</v>
      </c>
      <c r="N291" s="916" t="s">
        <v>21</v>
      </c>
      <c r="O291" s="916" t="s">
        <v>21</v>
      </c>
      <c r="P291" s="915"/>
      <c r="Q291" s="916" t="s">
        <v>21</v>
      </c>
      <c r="R291" s="917" t="s">
        <v>21</v>
      </c>
      <c r="S291" s="918" t="s">
        <v>21</v>
      </c>
      <c r="T291" s="918" t="s">
        <v>21</v>
      </c>
      <c r="U291" s="916" t="s">
        <v>21</v>
      </c>
      <c r="V291" s="916" t="s">
        <v>21</v>
      </c>
      <c r="W291" s="915"/>
      <c r="X291" s="916" t="s">
        <v>21</v>
      </c>
      <c r="Y291" s="916" t="s">
        <v>21</v>
      </c>
      <c r="Z291" s="916" t="s">
        <v>21</v>
      </c>
      <c r="AA291" s="916" t="s">
        <v>21</v>
      </c>
      <c r="AB291" s="916" t="s">
        <v>21</v>
      </c>
      <c r="AC291" s="915"/>
      <c r="AD291" s="919" t="s">
        <v>21</v>
      </c>
      <c r="AE291" s="920" t="s">
        <v>21</v>
      </c>
      <c r="AF291" s="920" t="s">
        <v>21</v>
      </c>
      <c r="AG291" s="920" t="s">
        <v>21</v>
      </c>
      <c r="AH291" s="921" t="s">
        <v>21</v>
      </c>
      <c r="AI291" s="921" t="s">
        <v>21</v>
      </c>
      <c r="AJ291" s="920" t="s">
        <v>21</v>
      </c>
      <c r="AK291" s="920" t="s">
        <v>21</v>
      </c>
      <c r="AL291" s="921" t="s">
        <v>21</v>
      </c>
      <c r="AM291" s="921" t="s">
        <v>21</v>
      </c>
      <c r="AN291" s="920"/>
      <c r="AO291" s="920" t="s">
        <v>21</v>
      </c>
      <c r="AP291" s="919" t="s">
        <v>21</v>
      </c>
      <c r="AQ291" s="933" t="s">
        <v>21</v>
      </c>
      <c r="AR291" s="925" t="s">
        <v>21</v>
      </c>
      <c r="AS291" s="925" t="s">
        <v>21</v>
      </c>
      <c r="AT291" s="925" t="s">
        <v>21</v>
      </c>
      <c r="AU291" s="925" t="s">
        <v>21</v>
      </c>
      <c r="AV291" s="926" t="s">
        <v>21</v>
      </c>
      <c r="AW291" s="926" t="s">
        <v>21</v>
      </c>
      <c r="AX291" s="926" t="s">
        <v>21</v>
      </c>
      <c r="AY291" s="926" t="s">
        <v>21</v>
      </c>
      <c r="AZ291" s="925" t="s">
        <v>21</v>
      </c>
      <c r="BA291" s="925"/>
      <c r="BB291" s="919" t="s">
        <v>21</v>
      </c>
      <c r="BC291" s="919" t="s">
        <v>21</v>
      </c>
      <c r="BD291" s="919" t="s">
        <v>21</v>
      </c>
      <c r="BE291" s="925" t="s">
        <v>21</v>
      </c>
      <c r="BF291" s="926" t="s">
        <v>21</v>
      </c>
      <c r="BG291" s="925" t="s">
        <v>21</v>
      </c>
      <c r="BH291" s="926" t="s">
        <v>21</v>
      </c>
      <c r="BI291" s="925" t="s">
        <v>21</v>
      </c>
      <c r="BJ291" s="926" t="s">
        <v>21</v>
      </c>
      <c r="BK291" s="925" t="s">
        <v>21</v>
      </c>
      <c r="BL291" s="926" t="s">
        <v>21</v>
      </c>
      <c r="BM291" s="925" t="s">
        <v>21</v>
      </c>
      <c r="BN291" s="927"/>
      <c r="BO291" s="927"/>
      <c r="BP291" s="928" t="s">
        <v>21</v>
      </c>
      <c r="BQ291" s="928" t="s">
        <v>21</v>
      </c>
      <c r="BR291" s="928" t="s">
        <v>21</v>
      </c>
      <c r="BS291" s="928" t="s">
        <v>21</v>
      </c>
      <c r="BT291" s="928" t="s">
        <v>21</v>
      </c>
      <c r="BU291" s="928" t="s">
        <v>21</v>
      </c>
      <c r="BV291" s="934" t="s">
        <v>21</v>
      </c>
      <c r="BW291" s="934" t="s">
        <v>21</v>
      </c>
      <c r="BX291" s="1104" t="s">
        <v>21</v>
      </c>
      <c r="BY291" s="931" t="s">
        <v>21</v>
      </c>
      <c r="BZ291" s="930" t="s">
        <v>21</v>
      </c>
      <c r="CA291" s="1074" t="s">
        <v>21</v>
      </c>
      <c r="CB291" s="930" t="s">
        <v>21</v>
      </c>
      <c r="CC291" s="930" t="s">
        <v>21</v>
      </c>
      <c r="CD291" s="925" t="s">
        <v>21</v>
      </c>
      <c r="CE291" s="1130" t="s">
        <v>21</v>
      </c>
      <c r="CF291" s="1129" t="s">
        <v>21</v>
      </c>
      <c r="CG291" s="1130" t="s">
        <v>21</v>
      </c>
      <c r="CH291" s="1130" t="s">
        <v>21</v>
      </c>
      <c r="CI291" s="1131" t="s">
        <v>21</v>
      </c>
      <c r="CJ291" s="1129" t="s">
        <v>21</v>
      </c>
      <c r="CK291" s="1130" t="s">
        <v>21</v>
      </c>
      <c r="CL291" s="1130" t="s">
        <v>21</v>
      </c>
      <c r="CM291" s="1131" t="s">
        <v>21</v>
      </c>
      <c r="CN291" s="1130" t="s">
        <v>21</v>
      </c>
      <c r="CP291" s="838" t="s">
        <v>21</v>
      </c>
      <c r="CQ291" s="838" t="s">
        <v>21</v>
      </c>
      <c r="CR291" s="836"/>
    </row>
    <row r="292" spans="1:96" x14ac:dyDescent="0.25">
      <c r="A292" s="935" t="s">
        <v>2540</v>
      </c>
      <c r="B292" s="932" t="s">
        <v>2236</v>
      </c>
      <c r="C292" s="911">
        <v>600</v>
      </c>
      <c r="D292" s="911" t="s">
        <v>2116</v>
      </c>
      <c r="E292" s="912">
        <v>1174.0999999999999</v>
      </c>
      <c r="F292" s="912">
        <v>1172.2</v>
      </c>
      <c r="G292" s="910" t="s">
        <v>2237</v>
      </c>
      <c r="H292" s="912">
        <v>1174.17</v>
      </c>
      <c r="I292" s="912">
        <v>1172.04</v>
      </c>
      <c r="J292" s="914">
        <v>31.95</v>
      </c>
      <c r="K292" s="915"/>
      <c r="L292" s="916">
        <v>0.1</v>
      </c>
      <c r="M292" s="916">
        <v>0.06</v>
      </c>
      <c r="N292" s="916">
        <v>0.2</v>
      </c>
      <c r="O292" s="916">
        <v>4.9169999999999998</v>
      </c>
      <c r="P292" s="915"/>
      <c r="Q292" s="916">
        <v>2.2749999999999999</v>
      </c>
      <c r="R292" s="917">
        <v>0.33333333333333331</v>
      </c>
      <c r="S292" s="918">
        <v>1.4</v>
      </c>
      <c r="T292" s="918">
        <v>2.9169999999999998</v>
      </c>
      <c r="U292" s="916">
        <v>4.7960000000000003</v>
      </c>
      <c r="V292" s="916">
        <v>0.92</v>
      </c>
      <c r="W292" s="915"/>
      <c r="X292" s="916">
        <v>0.28299999999999997</v>
      </c>
      <c r="Y292" s="916">
        <v>0.40699999999999997</v>
      </c>
      <c r="Z292" s="916">
        <v>4.9109999999999996</v>
      </c>
      <c r="AA292" s="916">
        <v>1.0229999999999999</v>
      </c>
      <c r="AB292" s="916">
        <v>3.3410000000000002</v>
      </c>
      <c r="AC292" s="915"/>
      <c r="AD292" s="919">
        <v>157.09800000000001</v>
      </c>
      <c r="AE292" s="920">
        <v>156.90600000000001</v>
      </c>
      <c r="AF292" s="920" t="s">
        <v>21</v>
      </c>
      <c r="AG292" s="920" t="s">
        <v>21</v>
      </c>
      <c r="AH292" s="921">
        <v>156.90600000000001</v>
      </c>
      <c r="AI292" s="921" t="s">
        <v>21</v>
      </c>
      <c r="AJ292" s="920" t="s">
        <v>21</v>
      </c>
      <c r="AK292" s="920" t="s">
        <v>21</v>
      </c>
      <c r="AL292" s="921" t="s">
        <v>21</v>
      </c>
      <c r="AM292" s="921" t="s">
        <v>21</v>
      </c>
      <c r="AN292" s="920"/>
      <c r="AO292" s="920" t="s">
        <v>21</v>
      </c>
      <c r="AP292" s="919">
        <v>44.73</v>
      </c>
      <c r="AQ292" s="933">
        <v>153.23220000000001</v>
      </c>
      <c r="AR292" s="925" t="s">
        <v>21</v>
      </c>
      <c r="AS292" s="925">
        <v>153.23220000000001</v>
      </c>
      <c r="AT292" s="925" t="s">
        <v>21</v>
      </c>
      <c r="AU292" s="925" t="s">
        <v>21</v>
      </c>
      <c r="AV292" s="926" t="s">
        <v>21</v>
      </c>
      <c r="AW292" s="926" t="s">
        <v>21</v>
      </c>
      <c r="AX292" s="926" t="s">
        <v>21</v>
      </c>
      <c r="AY292" s="926" t="s">
        <v>21</v>
      </c>
      <c r="AZ292" s="925" t="s">
        <v>21</v>
      </c>
      <c r="BA292" s="925"/>
      <c r="BB292" s="919">
        <v>4.4729999999999999</v>
      </c>
      <c r="BC292" s="919" t="s">
        <v>21</v>
      </c>
      <c r="BD292" s="919" t="s">
        <v>2142</v>
      </c>
      <c r="BE292" s="925" t="s">
        <v>21</v>
      </c>
      <c r="BF292" s="926" t="s">
        <v>21</v>
      </c>
      <c r="BG292" s="925">
        <v>31.95</v>
      </c>
      <c r="BH292" s="926" t="s">
        <v>21</v>
      </c>
      <c r="BI292" s="925" t="s">
        <v>21</v>
      </c>
      <c r="BJ292" s="926" t="s">
        <v>21</v>
      </c>
      <c r="BK292" s="925" t="s">
        <v>21</v>
      </c>
      <c r="BL292" s="926" t="s">
        <v>21</v>
      </c>
      <c r="BM292" s="925" t="s">
        <v>21</v>
      </c>
      <c r="BN292" s="927"/>
      <c r="BO292" s="927"/>
      <c r="BP292" s="928">
        <v>1</v>
      </c>
      <c r="BQ292" s="928" t="s">
        <v>21</v>
      </c>
      <c r="BR292" s="928" t="s">
        <v>21</v>
      </c>
      <c r="BS292" s="928" t="s">
        <v>21</v>
      </c>
      <c r="BT292" s="928" t="s">
        <v>21</v>
      </c>
      <c r="BU292" s="928" t="s">
        <v>21</v>
      </c>
      <c r="BV292" s="934">
        <v>0.49999999999986366</v>
      </c>
      <c r="BW292" s="934">
        <v>0.5</v>
      </c>
      <c r="BX292" s="1104">
        <v>1</v>
      </c>
      <c r="BY292" s="931">
        <v>3</v>
      </c>
      <c r="BZ292" s="930" t="s">
        <v>21</v>
      </c>
      <c r="CA292" s="1074">
        <v>1</v>
      </c>
      <c r="CB292" s="930" t="s">
        <v>21</v>
      </c>
      <c r="CC292" s="930" t="s">
        <v>21</v>
      </c>
      <c r="CD292" s="925">
        <v>32.685000000000002</v>
      </c>
      <c r="CE292" s="1130">
        <v>106.745</v>
      </c>
      <c r="CF292" s="1129" t="s">
        <v>21</v>
      </c>
      <c r="CG292" s="1130" t="s">
        <v>21</v>
      </c>
      <c r="CH292" s="1130" t="s">
        <v>21</v>
      </c>
      <c r="CI292" s="1131" t="s">
        <v>21</v>
      </c>
      <c r="CJ292" s="1129" t="s">
        <v>21</v>
      </c>
      <c r="CK292" s="1130">
        <v>106.745</v>
      </c>
      <c r="CL292" s="1130" t="s">
        <v>21</v>
      </c>
      <c r="CM292" s="1131" t="s">
        <v>21</v>
      </c>
      <c r="CN292" s="1130" t="s">
        <v>21</v>
      </c>
      <c r="CP292" s="838" t="s">
        <v>21</v>
      </c>
      <c r="CQ292" s="838" t="s">
        <v>21</v>
      </c>
      <c r="CR292" s="836"/>
    </row>
    <row r="293" spans="1:96" x14ac:dyDescent="0.25">
      <c r="A293" s="935"/>
      <c r="B293" s="932" t="s">
        <v>2237</v>
      </c>
      <c r="C293" s="911">
        <v>600</v>
      </c>
      <c r="D293" s="911" t="s">
        <v>2116</v>
      </c>
      <c r="E293" s="912">
        <v>1174.17</v>
      </c>
      <c r="F293" s="912">
        <v>1172.04</v>
      </c>
      <c r="G293" s="910" t="s">
        <v>2473</v>
      </c>
      <c r="H293" s="912">
        <v>1174</v>
      </c>
      <c r="I293" s="912">
        <v>1171.8800000000001</v>
      </c>
      <c r="J293" s="914">
        <v>31.95</v>
      </c>
      <c r="K293" s="915"/>
      <c r="L293" s="916">
        <v>0.1</v>
      </c>
      <c r="M293" s="916">
        <v>0.06</v>
      </c>
      <c r="N293" s="916">
        <v>0.2</v>
      </c>
      <c r="O293" s="916">
        <v>4.99</v>
      </c>
      <c r="P293" s="915"/>
      <c r="Q293" s="916">
        <v>2.3849999999999998</v>
      </c>
      <c r="R293" s="917">
        <v>0.33333333333333331</v>
      </c>
      <c r="S293" s="918">
        <v>1.4</v>
      </c>
      <c r="T293" s="918">
        <v>2.99</v>
      </c>
      <c r="U293" s="916">
        <v>5.0279999999999996</v>
      </c>
      <c r="V293" s="916">
        <v>0.92</v>
      </c>
      <c r="W293" s="915"/>
      <c r="X293" s="916">
        <v>0.28299999999999997</v>
      </c>
      <c r="Y293" s="916">
        <v>0.40699999999999997</v>
      </c>
      <c r="Z293" s="916">
        <v>5.2350000000000003</v>
      </c>
      <c r="AA293" s="916">
        <v>1.0229999999999999</v>
      </c>
      <c r="AB293" s="916">
        <v>3.665</v>
      </c>
      <c r="AC293" s="915"/>
      <c r="AD293" s="919">
        <v>159.43100000000001</v>
      </c>
      <c r="AE293" s="920">
        <v>167.25800000000001</v>
      </c>
      <c r="AF293" s="920" t="s">
        <v>21</v>
      </c>
      <c r="AG293" s="920" t="s">
        <v>21</v>
      </c>
      <c r="AH293" s="921">
        <v>167.25800000000001</v>
      </c>
      <c r="AI293" s="921" t="s">
        <v>21</v>
      </c>
      <c r="AJ293" s="920" t="s">
        <v>21</v>
      </c>
      <c r="AK293" s="920" t="s">
        <v>21</v>
      </c>
      <c r="AL293" s="921" t="s">
        <v>21</v>
      </c>
      <c r="AM293" s="921" t="s">
        <v>21</v>
      </c>
      <c r="AN293" s="920"/>
      <c r="AO293" s="920" t="s">
        <v>21</v>
      </c>
      <c r="AP293" s="919">
        <v>44.73</v>
      </c>
      <c r="AQ293" s="933">
        <v>160.6446</v>
      </c>
      <c r="AR293" s="925" t="s">
        <v>21</v>
      </c>
      <c r="AS293" s="925">
        <v>160.6446</v>
      </c>
      <c r="AT293" s="925" t="s">
        <v>21</v>
      </c>
      <c r="AU293" s="925" t="s">
        <v>21</v>
      </c>
      <c r="AV293" s="926" t="s">
        <v>21</v>
      </c>
      <c r="AW293" s="926" t="s">
        <v>21</v>
      </c>
      <c r="AX293" s="926" t="s">
        <v>21</v>
      </c>
      <c r="AY293" s="926" t="s">
        <v>21</v>
      </c>
      <c r="AZ293" s="925" t="s">
        <v>21</v>
      </c>
      <c r="BA293" s="925"/>
      <c r="BB293" s="919">
        <v>4.4729999999999999</v>
      </c>
      <c r="BC293" s="919" t="s">
        <v>21</v>
      </c>
      <c r="BD293" s="919" t="s">
        <v>2142</v>
      </c>
      <c r="BE293" s="925" t="s">
        <v>21</v>
      </c>
      <c r="BF293" s="926" t="s">
        <v>21</v>
      </c>
      <c r="BG293" s="925">
        <v>31.95</v>
      </c>
      <c r="BH293" s="926" t="s">
        <v>21</v>
      </c>
      <c r="BI293" s="925" t="s">
        <v>21</v>
      </c>
      <c r="BJ293" s="926" t="s">
        <v>21</v>
      </c>
      <c r="BK293" s="925" t="s">
        <v>21</v>
      </c>
      <c r="BL293" s="926" t="s">
        <v>21</v>
      </c>
      <c r="BM293" s="925" t="s">
        <v>21</v>
      </c>
      <c r="BN293" s="927"/>
      <c r="BO293" s="927"/>
      <c r="BP293" s="928">
        <v>1</v>
      </c>
      <c r="BQ293" s="928" t="s">
        <v>21</v>
      </c>
      <c r="BR293" s="928" t="s">
        <v>21</v>
      </c>
      <c r="BS293" s="928" t="s">
        <v>21</v>
      </c>
      <c r="BT293" s="928" t="s">
        <v>21</v>
      </c>
      <c r="BU293" s="928" t="s">
        <v>21</v>
      </c>
      <c r="BV293" s="934">
        <v>0.73000000000010923</v>
      </c>
      <c r="BW293" s="934">
        <v>1</v>
      </c>
      <c r="BX293" s="1104">
        <v>2</v>
      </c>
      <c r="BY293" s="931">
        <v>4</v>
      </c>
      <c r="BZ293" s="930" t="s">
        <v>21</v>
      </c>
      <c r="CA293" s="1074" t="s">
        <v>21</v>
      </c>
      <c r="CB293" s="930" t="s">
        <v>21</v>
      </c>
      <c r="CC293" s="930" t="s">
        <v>21</v>
      </c>
      <c r="CD293" s="925">
        <v>32.685000000000002</v>
      </c>
      <c r="CE293" s="1130">
        <v>117.09699999999999</v>
      </c>
      <c r="CF293" s="1129" t="s">
        <v>21</v>
      </c>
      <c r="CG293" s="1130" t="s">
        <v>21</v>
      </c>
      <c r="CH293" s="1130" t="s">
        <v>21</v>
      </c>
      <c r="CI293" s="1131" t="s">
        <v>21</v>
      </c>
      <c r="CJ293" s="1129" t="s">
        <v>21</v>
      </c>
      <c r="CK293" s="1130">
        <v>117.09699999999999</v>
      </c>
      <c r="CL293" s="1130" t="s">
        <v>21</v>
      </c>
      <c r="CM293" s="1131" t="s">
        <v>21</v>
      </c>
      <c r="CN293" s="1130" t="s">
        <v>21</v>
      </c>
      <c r="CP293" s="838" t="s">
        <v>21</v>
      </c>
      <c r="CQ293" s="838" t="s">
        <v>21</v>
      </c>
      <c r="CR293" s="836"/>
    </row>
    <row r="294" spans="1:96" x14ac:dyDescent="0.25">
      <c r="A294" s="935"/>
      <c r="B294" s="932"/>
      <c r="C294" s="911"/>
      <c r="D294" s="911"/>
      <c r="E294" s="912"/>
      <c r="F294" s="912"/>
      <c r="G294" s="910"/>
      <c r="H294" s="912"/>
      <c r="I294" s="912"/>
      <c r="J294" s="914"/>
      <c r="K294" s="915"/>
      <c r="L294" s="916" t="s">
        <v>21</v>
      </c>
      <c r="M294" s="916" t="s">
        <v>21</v>
      </c>
      <c r="N294" s="916" t="s">
        <v>21</v>
      </c>
      <c r="O294" s="916" t="s">
        <v>21</v>
      </c>
      <c r="P294" s="915"/>
      <c r="Q294" s="916" t="s">
        <v>21</v>
      </c>
      <c r="R294" s="917" t="s">
        <v>21</v>
      </c>
      <c r="S294" s="918" t="s">
        <v>21</v>
      </c>
      <c r="T294" s="918" t="s">
        <v>21</v>
      </c>
      <c r="U294" s="916" t="s">
        <v>21</v>
      </c>
      <c r="V294" s="916" t="s">
        <v>21</v>
      </c>
      <c r="W294" s="915"/>
      <c r="X294" s="916" t="s">
        <v>21</v>
      </c>
      <c r="Y294" s="916" t="s">
        <v>21</v>
      </c>
      <c r="Z294" s="916" t="s">
        <v>21</v>
      </c>
      <c r="AA294" s="916" t="s">
        <v>21</v>
      </c>
      <c r="AB294" s="916" t="s">
        <v>21</v>
      </c>
      <c r="AC294" s="915"/>
      <c r="AD294" s="919" t="s">
        <v>21</v>
      </c>
      <c r="AE294" s="920" t="s">
        <v>21</v>
      </c>
      <c r="AF294" s="920" t="s">
        <v>21</v>
      </c>
      <c r="AG294" s="920" t="s">
        <v>21</v>
      </c>
      <c r="AH294" s="921" t="s">
        <v>21</v>
      </c>
      <c r="AI294" s="921" t="s">
        <v>21</v>
      </c>
      <c r="AJ294" s="920" t="s">
        <v>21</v>
      </c>
      <c r="AK294" s="920" t="s">
        <v>21</v>
      </c>
      <c r="AL294" s="921" t="s">
        <v>21</v>
      </c>
      <c r="AM294" s="921" t="s">
        <v>21</v>
      </c>
      <c r="AN294" s="920"/>
      <c r="AO294" s="920" t="s">
        <v>21</v>
      </c>
      <c r="AP294" s="919" t="s">
        <v>21</v>
      </c>
      <c r="AQ294" s="933" t="s">
        <v>21</v>
      </c>
      <c r="AR294" s="925" t="s">
        <v>21</v>
      </c>
      <c r="AS294" s="925" t="s">
        <v>21</v>
      </c>
      <c r="AT294" s="925" t="s">
        <v>21</v>
      </c>
      <c r="AU294" s="925" t="s">
        <v>21</v>
      </c>
      <c r="AV294" s="926" t="s">
        <v>21</v>
      </c>
      <c r="AW294" s="926" t="s">
        <v>21</v>
      </c>
      <c r="AX294" s="926" t="s">
        <v>21</v>
      </c>
      <c r="AY294" s="926" t="s">
        <v>21</v>
      </c>
      <c r="AZ294" s="925" t="s">
        <v>21</v>
      </c>
      <c r="BA294" s="925"/>
      <c r="BB294" s="919" t="s">
        <v>21</v>
      </c>
      <c r="BC294" s="919" t="s">
        <v>21</v>
      </c>
      <c r="BD294" s="919" t="s">
        <v>21</v>
      </c>
      <c r="BE294" s="925" t="s">
        <v>21</v>
      </c>
      <c r="BF294" s="926" t="s">
        <v>21</v>
      </c>
      <c r="BG294" s="925" t="s">
        <v>21</v>
      </c>
      <c r="BH294" s="926" t="s">
        <v>21</v>
      </c>
      <c r="BI294" s="925" t="s">
        <v>21</v>
      </c>
      <c r="BJ294" s="926" t="s">
        <v>21</v>
      </c>
      <c r="BK294" s="925" t="s">
        <v>21</v>
      </c>
      <c r="BL294" s="926" t="s">
        <v>21</v>
      </c>
      <c r="BM294" s="925" t="s">
        <v>21</v>
      </c>
      <c r="BN294" s="927"/>
      <c r="BO294" s="927"/>
      <c r="BP294" s="928" t="s">
        <v>21</v>
      </c>
      <c r="BQ294" s="928" t="s">
        <v>21</v>
      </c>
      <c r="BR294" s="928" t="s">
        <v>21</v>
      </c>
      <c r="BS294" s="928" t="s">
        <v>21</v>
      </c>
      <c r="BT294" s="928" t="s">
        <v>21</v>
      </c>
      <c r="BU294" s="928" t="s">
        <v>21</v>
      </c>
      <c r="BV294" s="934" t="s">
        <v>21</v>
      </c>
      <c r="BW294" s="934" t="s">
        <v>21</v>
      </c>
      <c r="BX294" s="1104" t="s">
        <v>21</v>
      </c>
      <c r="BY294" s="931" t="s">
        <v>21</v>
      </c>
      <c r="BZ294" s="930" t="s">
        <v>21</v>
      </c>
      <c r="CA294" s="1074" t="s">
        <v>21</v>
      </c>
      <c r="CB294" s="930" t="s">
        <v>21</v>
      </c>
      <c r="CC294" s="930" t="s">
        <v>21</v>
      </c>
      <c r="CD294" s="925" t="s">
        <v>21</v>
      </c>
      <c r="CE294" s="1130" t="s">
        <v>21</v>
      </c>
      <c r="CF294" s="1129" t="s">
        <v>21</v>
      </c>
      <c r="CG294" s="1130" t="s">
        <v>21</v>
      </c>
      <c r="CH294" s="1130" t="s">
        <v>21</v>
      </c>
      <c r="CI294" s="1131" t="s">
        <v>21</v>
      </c>
      <c r="CJ294" s="1129" t="s">
        <v>21</v>
      </c>
      <c r="CK294" s="1130" t="s">
        <v>21</v>
      </c>
      <c r="CL294" s="1130" t="s">
        <v>21</v>
      </c>
      <c r="CM294" s="1131" t="s">
        <v>21</v>
      </c>
      <c r="CN294" s="1130" t="s">
        <v>21</v>
      </c>
      <c r="CP294" s="838" t="s">
        <v>21</v>
      </c>
      <c r="CQ294" s="838" t="s">
        <v>21</v>
      </c>
      <c r="CR294" s="836"/>
    </row>
    <row r="295" spans="1:96" x14ac:dyDescent="0.25">
      <c r="A295" s="935" t="s">
        <v>2541</v>
      </c>
      <c r="B295" s="932" t="s">
        <v>2475</v>
      </c>
      <c r="C295" s="911">
        <v>600</v>
      </c>
      <c r="D295" s="911" t="s">
        <v>2116</v>
      </c>
      <c r="E295" s="912">
        <v>1177.4000000000001</v>
      </c>
      <c r="F295" s="912">
        <v>1175.5</v>
      </c>
      <c r="G295" s="932" t="s">
        <v>2476</v>
      </c>
      <c r="H295" s="912">
        <v>1176.9000000000001</v>
      </c>
      <c r="I295" s="912">
        <v>1175</v>
      </c>
      <c r="J295" s="914">
        <v>46.67</v>
      </c>
      <c r="K295" s="915"/>
      <c r="L295" s="916">
        <v>0.1</v>
      </c>
      <c r="M295" s="916">
        <v>0.06</v>
      </c>
      <c r="N295" s="916">
        <v>0.2</v>
      </c>
      <c r="O295" s="916">
        <v>4.84</v>
      </c>
      <c r="P295" s="915"/>
      <c r="Q295" s="916">
        <v>2.16</v>
      </c>
      <c r="R295" s="917">
        <v>0.33333333333333331</v>
      </c>
      <c r="S295" s="918">
        <v>1.4</v>
      </c>
      <c r="T295" s="918">
        <v>2.84</v>
      </c>
      <c r="U295" s="916">
        <v>4.5540000000000003</v>
      </c>
      <c r="V295" s="916">
        <v>0.92</v>
      </c>
      <c r="W295" s="915"/>
      <c r="X295" s="916">
        <v>0.28299999999999997</v>
      </c>
      <c r="Y295" s="916">
        <v>0.40699999999999997</v>
      </c>
      <c r="Z295" s="916">
        <v>4.5789999999999997</v>
      </c>
      <c r="AA295" s="916">
        <v>1.0229999999999999</v>
      </c>
      <c r="AB295" s="916">
        <v>3.0089999999999999</v>
      </c>
      <c r="AC295" s="915"/>
      <c r="AD295" s="919">
        <v>225.88300000000001</v>
      </c>
      <c r="AE295" s="920">
        <v>213.702</v>
      </c>
      <c r="AF295" s="920" t="s">
        <v>21</v>
      </c>
      <c r="AG295" s="920" t="s">
        <v>21</v>
      </c>
      <c r="AH295" s="921">
        <v>213.702</v>
      </c>
      <c r="AI295" s="921" t="s">
        <v>21</v>
      </c>
      <c r="AJ295" s="920" t="s">
        <v>21</v>
      </c>
      <c r="AK295" s="920" t="s">
        <v>21</v>
      </c>
      <c r="AL295" s="921" t="s">
        <v>21</v>
      </c>
      <c r="AM295" s="921" t="s">
        <v>21</v>
      </c>
      <c r="AN295" s="920"/>
      <c r="AO295" s="920" t="s">
        <v>21</v>
      </c>
      <c r="AP295" s="919">
        <v>65.337999999999994</v>
      </c>
      <c r="AQ295" s="933">
        <v>212.53518000000003</v>
      </c>
      <c r="AR295" s="925" t="s">
        <v>21</v>
      </c>
      <c r="AS295" s="925">
        <v>212.53518000000003</v>
      </c>
      <c r="AT295" s="925" t="s">
        <v>21</v>
      </c>
      <c r="AU295" s="925" t="s">
        <v>21</v>
      </c>
      <c r="AV295" s="926" t="s">
        <v>21</v>
      </c>
      <c r="AW295" s="926" t="s">
        <v>21</v>
      </c>
      <c r="AX295" s="926" t="s">
        <v>21</v>
      </c>
      <c r="AY295" s="926" t="s">
        <v>21</v>
      </c>
      <c r="AZ295" s="925" t="s">
        <v>21</v>
      </c>
      <c r="BA295" s="925"/>
      <c r="BB295" s="919">
        <v>6.5339999999999998</v>
      </c>
      <c r="BC295" s="919" t="s">
        <v>21</v>
      </c>
      <c r="BD295" s="919" t="s">
        <v>2142</v>
      </c>
      <c r="BE295" s="925" t="s">
        <v>21</v>
      </c>
      <c r="BF295" s="926" t="s">
        <v>21</v>
      </c>
      <c r="BG295" s="925">
        <v>46.67</v>
      </c>
      <c r="BH295" s="926" t="s">
        <v>21</v>
      </c>
      <c r="BI295" s="925" t="s">
        <v>21</v>
      </c>
      <c r="BJ295" s="926" t="s">
        <v>21</v>
      </c>
      <c r="BK295" s="925" t="s">
        <v>21</v>
      </c>
      <c r="BL295" s="926" t="s">
        <v>21</v>
      </c>
      <c r="BM295" s="925" t="s">
        <v>21</v>
      </c>
      <c r="BN295" s="927"/>
      <c r="BO295" s="927"/>
      <c r="BP295" s="928">
        <v>1</v>
      </c>
      <c r="BQ295" s="928" t="s">
        <v>21</v>
      </c>
      <c r="BR295" s="928" t="s">
        <v>21</v>
      </c>
      <c r="BS295" s="928" t="s">
        <v>21</v>
      </c>
      <c r="BT295" s="928" t="s">
        <v>21</v>
      </c>
      <c r="BU295" s="928" t="s">
        <v>21</v>
      </c>
      <c r="BV295" s="934">
        <v>0.50000000000009104</v>
      </c>
      <c r="BW295" s="934">
        <v>1</v>
      </c>
      <c r="BX295" s="1104">
        <v>2</v>
      </c>
      <c r="BY295" s="931">
        <v>4</v>
      </c>
      <c r="BZ295" s="930" t="s">
        <v>21</v>
      </c>
      <c r="CA295" s="1074">
        <v>1</v>
      </c>
      <c r="CB295" s="930" t="s">
        <v>21</v>
      </c>
      <c r="CC295" s="930" t="s">
        <v>21</v>
      </c>
      <c r="CD295" s="925">
        <v>47.743000000000002</v>
      </c>
      <c r="CE295" s="1130">
        <v>140.43</v>
      </c>
      <c r="CF295" s="1129" t="s">
        <v>21</v>
      </c>
      <c r="CG295" s="1130" t="s">
        <v>21</v>
      </c>
      <c r="CH295" s="1130" t="s">
        <v>21</v>
      </c>
      <c r="CI295" s="1131" t="s">
        <v>21</v>
      </c>
      <c r="CJ295" s="1129" t="s">
        <v>21</v>
      </c>
      <c r="CK295" s="1130">
        <v>140.43</v>
      </c>
      <c r="CL295" s="1130" t="s">
        <v>21</v>
      </c>
      <c r="CM295" s="1131" t="s">
        <v>21</v>
      </c>
      <c r="CN295" s="1130" t="s">
        <v>21</v>
      </c>
      <c r="CP295" s="838" t="s">
        <v>21</v>
      </c>
      <c r="CQ295" s="838" t="s">
        <v>21</v>
      </c>
      <c r="CR295" s="836"/>
    </row>
    <row r="296" spans="1:96" x14ac:dyDescent="0.25">
      <c r="A296" s="935"/>
      <c r="B296" s="932" t="s">
        <v>2476</v>
      </c>
      <c r="C296" s="911">
        <v>600</v>
      </c>
      <c r="D296" s="911" t="s">
        <v>2116</v>
      </c>
      <c r="E296" s="912">
        <v>1176.9000000000001</v>
      </c>
      <c r="F296" s="912">
        <v>1174.95</v>
      </c>
      <c r="G296" s="932" t="s">
        <v>2477</v>
      </c>
      <c r="H296" s="912">
        <v>1176</v>
      </c>
      <c r="I296" s="912">
        <v>1174.0999999999999</v>
      </c>
      <c r="J296" s="914">
        <v>38.96</v>
      </c>
      <c r="K296" s="915"/>
      <c r="L296" s="916">
        <v>0.1</v>
      </c>
      <c r="M296" s="916">
        <v>0.06</v>
      </c>
      <c r="N296" s="916">
        <v>0.2</v>
      </c>
      <c r="O296" s="916">
        <v>4.8570000000000002</v>
      </c>
      <c r="P296" s="915"/>
      <c r="Q296" s="916">
        <v>2.1850000000000001</v>
      </c>
      <c r="R296" s="917">
        <v>0.33333333333333331</v>
      </c>
      <c r="S296" s="918">
        <v>1.4</v>
      </c>
      <c r="T296" s="918">
        <v>2.8570000000000002</v>
      </c>
      <c r="U296" s="916">
        <v>4.6059999999999999</v>
      </c>
      <c r="V296" s="916">
        <v>0.92</v>
      </c>
      <c r="W296" s="915"/>
      <c r="X296" s="916">
        <v>0.28299999999999997</v>
      </c>
      <c r="Y296" s="916">
        <v>0.40699999999999997</v>
      </c>
      <c r="Z296" s="916">
        <v>4.6509999999999998</v>
      </c>
      <c r="AA296" s="916">
        <v>1.0229999999999999</v>
      </c>
      <c r="AB296" s="916">
        <v>3.081</v>
      </c>
      <c r="AC296" s="915"/>
      <c r="AD296" s="919">
        <v>189.22900000000001</v>
      </c>
      <c r="AE296" s="920">
        <v>181.203</v>
      </c>
      <c r="AF296" s="920" t="s">
        <v>21</v>
      </c>
      <c r="AG296" s="920" t="s">
        <v>21</v>
      </c>
      <c r="AH296" s="921">
        <v>181.203</v>
      </c>
      <c r="AI296" s="921" t="s">
        <v>21</v>
      </c>
      <c r="AJ296" s="920" t="s">
        <v>21</v>
      </c>
      <c r="AK296" s="920" t="s">
        <v>21</v>
      </c>
      <c r="AL296" s="921" t="s">
        <v>21</v>
      </c>
      <c r="AM296" s="921" t="s">
        <v>21</v>
      </c>
      <c r="AN296" s="920"/>
      <c r="AO296" s="920" t="s">
        <v>21</v>
      </c>
      <c r="AP296" s="919">
        <v>54.543999999999997</v>
      </c>
      <c r="AQ296" s="933">
        <v>179.44976</v>
      </c>
      <c r="AR296" s="925" t="s">
        <v>21</v>
      </c>
      <c r="AS296" s="925">
        <v>179.44976</v>
      </c>
      <c r="AT296" s="925" t="s">
        <v>21</v>
      </c>
      <c r="AU296" s="925" t="s">
        <v>21</v>
      </c>
      <c r="AV296" s="926" t="s">
        <v>21</v>
      </c>
      <c r="AW296" s="926" t="s">
        <v>21</v>
      </c>
      <c r="AX296" s="926" t="s">
        <v>21</v>
      </c>
      <c r="AY296" s="926" t="s">
        <v>21</v>
      </c>
      <c r="AZ296" s="925" t="s">
        <v>21</v>
      </c>
      <c r="BA296" s="925"/>
      <c r="BB296" s="919">
        <v>5.4539999999999997</v>
      </c>
      <c r="BC296" s="919" t="s">
        <v>21</v>
      </c>
      <c r="BD296" s="919" t="s">
        <v>2142</v>
      </c>
      <c r="BE296" s="925" t="s">
        <v>21</v>
      </c>
      <c r="BF296" s="926" t="s">
        <v>21</v>
      </c>
      <c r="BG296" s="925">
        <v>38.96</v>
      </c>
      <c r="BH296" s="926" t="s">
        <v>21</v>
      </c>
      <c r="BI296" s="925" t="s">
        <v>21</v>
      </c>
      <c r="BJ296" s="926" t="s">
        <v>21</v>
      </c>
      <c r="BK296" s="925" t="s">
        <v>21</v>
      </c>
      <c r="BL296" s="926" t="s">
        <v>21</v>
      </c>
      <c r="BM296" s="925" t="s">
        <v>21</v>
      </c>
      <c r="BN296" s="927"/>
      <c r="BO296" s="927"/>
      <c r="BP296" s="928">
        <v>1</v>
      </c>
      <c r="BQ296" s="928" t="s">
        <v>21</v>
      </c>
      <c r="BR296" s="928" t="s">
        <v>21</v>
      </c>
      <c r="BS296" s="928" t="s">
        <v>21</v>
      </c>
      <c r="BT296" s="928" t="s">
        <v>21</v>
      </c>
      <c r="BU296" s="928" t="s">
        <v>21</v>
      </c>
      <c r="BV296" s="934">
        <v>0.55000000000004556</v>
      </c>
      <c r="BW296" s="934">
        <v>1</v>
      </c>
      <c r="BX296" s="1104">
        <v>2</v>
      </c>
      <c r="BY296" s="931">
        <v>4</v>
      </c>
      <c r="BZ296" s="930">
        <v>1</v>
      </c>
      <c r="CA296" s="1074" t="s">
        <v>21</v>
      </c>
      <c r="CB296" s="930" t="s">
        <v>21</v>
      </c>
      <c r="CC296" s="930" t="s">
        <v>21</v>
      </c>
      <c r="CD296" s="925">
        <v>39.856000000000002</v>
      </c>
      <c r="CE296" s="1130">
        <v>120.036</v>
      </c>
      <c r="CF296" s="1129" t="s">
        <v>21</v>
      </c>
      <c r="CG296" s="1130" t="s">
        <v>21</v>
      </c>
      <c r="CH296" s="1130" t="s">
        <v>21</v>
      </c>
      <c r="CI296" s="1131" t="s">
        <v>21</v>
      </c>
      <c r="CJ296" s="1129" t="s">
        <v>21</v>
      </c>
      <c r="CK296" s="1130">
        <v>120.036</v>
      </c>
      <c r="CL296" s="1130" t="s">
        <v>21</v>
      </c>
      <c r="CM296" s="1131" t="s">
        <v>21</v>
      </c>
      <c r="CN296" s="1130" t="s">
        <v>21</v>
      </c>
      <c r="CP296" s="838" t="s">
        <v>21</v>
      </c>
      <c r="CQ296" s="838" t="s">
        <v>21</v>
      </c>
      <c r="CR296" s="836"/>
    </row>
    <row r="297" spans="1:96" x14ac:dyDescent="0.25">
      <c r="A297" s="935"/>
      <c r="B297" s="932" t="s">
        <v>2477</v>
      </c>
      <c r="C297" s="911">
        <v>600</v>
      </c>
      <c r="D297" s="911" t="s">
        <v>2116</v>
      </c>
      <c r="E297" s="912">
        <v>1176</v>
      </c>
      <c r="F297" s="912">
        <v>1174.0999999999999</v>
      </c>
      <c r="G297" s="910" t="s">
        <v>2472</v>
      </c>
      <c r="H297" s="912">
        <v>1175</v>
      </c>
      <c r="I297" s="912">
        <v>1173.0999999999999</v>
      </c>
      <c r="J297" s="914">
        <v>38.96</v>
      </c>
      <c r="K297" s="915"/>
      <c r="L297" s="916">
        <v>0.1</v>
      </c>
      <c r="M297" s="916">
        <v>0.06</v>
      </c>
      <c r="N297" s="916">
        <v>0.2</v>
      </c>
      <c r="O297" s="916">
        <v>4.84</v>
      </c>
      <c r="P297" s="915"/>
      <c r="Q297" s="916">
        <v>2.16</v>
      </c>
      <c r="R297" s="917">
        <v>0.33333333333333331</v>
      </c>
      <c r="S297" s="918">
        <v>1.4</v>
      </c>
      <c r="T297" s="918">
        <v>2.84</v>
      </c>
      <c r="U297" s="916">
        <v>4.5540000000000003</v>
      </c>
      <c r="V297" s="916">
        <v>0.92</v>
      </c>
      <c r="W297" s="915"/>
      <c r="X297" s="916">
        <v>0.28299999999999997</v>
      </c>
      <c r="Y297" s="916">
        <v>0.40699999999999997</v>
      </c>
      <c r="Z297" s="916">
        <v>4.5789999999999997</v>
      </c>
      <c r="AA297" s="916">
        <v>1.0229999999999999</v>
      </c>
      <c r="AB297" s="916">
        <v>3.0089999999999999</v>
      </c>
      <c r="AC297" s="915"/>
      <c r="AD297" s="919">
        <v>188.566</v>
      </c>
      <c r="AE297" s="920">
        <v>178.398</v>
      </c>
      <c r="AF297" s="920" t="s">
        <v>21</v>
      </c>
      <c r="AG297" s="920" t="s">
        <v>21</v>
      </c>
      <c r="AH297" s="921">
        <v>178.398</v>
      </c>
      <c r="AI297" s="921" t="s">
        <v>21</v>
      </c>
      <c r="AJ297" s="920" t="s">
        <v>21</v>
      </c>
      <c r="AK297" s="920" t="s">
        <v>21</v>
      </c>
      <c r="AL297" s="921" t="s">
        <v>21</v>
      </c>
      <c r="AM297" s="921" t="s">
        <v>21</v>
      </c>
      <c r="AN297" s="920"/>
      <c r="AO297" s="920" t="s">
        <v>21</v>
      </c>
      <c r="AP297" s="919">
        <v>54.543999999999997</v>
      </c>
      <c r="AQ297" s="933">
        <v>177.42384000000001</v>
      </c>
      <c r="AR297" s="925" t="s">
        <v>21</v>
      </c>
      <c r="AS297" s="925">
        <v>177.42384000000001</v>
      </c>
      <c r="AT297" s="925" t="s">
        <v>21</v>
      </c>
      <c r="AU297" s="925" t="s">
        <v>21</v>
      </c>
      <c r="AV297" s="926" t="s">
        <v>21</v>
      </c>
      <c r="AW297" s="926" t="s">
        <v>21</v>
      </c>
      <c r="AX297" s="926" t="s">
        <v>21</v>
      </c>
      <c r="AY297" s="926" t="s">
        <v>21</v>
      </c>
      <c r="AZ297" s="925" t="s">
        <v>21</v>
      </c>
      <c r="BA297" s="925"/>
      <c r="BB297" s="919">
        <v>5.4539999999999997</v>
      </c>
      <c r="BC297" s="919" t="s">
        <v>21</v>
      </c>
      <c r="BD297" s="919" t="s">
        <v>2142</v>
      </c>
      <c r="BE297" s="925" t="s">
        <v>21</v>
      </c>
      <c r="BF297" s="926" t="s">
        <v>21</v>
      </c>
      <c r="BG297" s="925">
        <v>38.96</v>
      </c>
      <c r="BH297" s="926" t="s">
        <v>21</v>
      </c>
      <c r="BI297" s="925" t="s">
        <v>21</v>
      </c>
      <c r="BJ297" s="926" t="s">
        <v>21</v>
      </c>
      <c r="BK297" s="925" t="s">
        <v>21</v>
      </c>
      <c r="BL297" s="926" t="s">
        <v>21</v>
      </c>
      <c r="BM297" s="925" t="s">
        <v>21</v>
      </c>
      <c r="BN297" s="927"/>
      <c r="BO297" s="927"/>
      <c r="BP297" s="928">
        <v>1</v>
      </c>
      <c r="BQ297" s="928" t="s">
        <v>21</v>
      </c>
      <c r="BR297" s="928" t="s">
        <v>21</v>
      </c>
      <c r="BS297" s="928" t="s">
        <v>21</v>
      </c>
      <c r="BT297" s="928" t="s">
        <v>21</v>
      </c>
      <c r="BU297" s="928" t="s">
        <v>21</v>
      </c>
      <c r="BV297" s="934">
        <v>0.50000000000009104</v>
      </c>
      <c r="BW297" s="934">
        <v>1</v>
      </c>
      <c r="BX297" s="1104">
        <v>2</v>
      </c>
      <c r="BY297" s="931">
        <v>4</v>
      </c>
      <c r="BZ297" s="930" t="s">
        <v>21</v>
      </c>
      <c r="CA297" s="1074" t="s">
        <v>21</v>
      </c>
      <c r="CB297" s="930" t="s">
        <v>21</v>
      </c>
      <c r="CC297" s="930" t="s">
        <v>21</v>
      </c>
      <c r="CD297" s="925">
        <v>39.856000000000002</v>
      </c>
      <c r="CE297" s="1130">
        <v>117.23099999999999</v>
      </c>
      <c r="CF297" s="1129" t="s">
        <v>21</v>
      </c>
      <c r="CG297" s="1130" t="s">
        <v>21</v>
      </c>
      <c r="CH297" s="1130" t="s">
        <v>21</v>
      </c>
      <c r="CI297" s="1131" t="s">
        <v>21</v>
      </c>
      <c r="CJ297" s="1129" t="s">
        <v>21</v>
      </c>
      <c r="CK297" s="1130">
        <v>117.23099999999999</v>
      </c>
      <c r="CL297" s="1130" t="s">
        <v>21</v>
      </c>
      <c r="CM297" s="1131" t="s">
        <v>21</v>
      </c>
      <c r="CN297" s="1130" t="s">
        <v>21</v>
      </c>
      <c r="CP297" s="838" t="s">
        <v>21</v>
      </c>
      <c r="CQ297" s="838" t="s">
        <v>21</v>
      </c>
      <c r="CR297" s="836"/>
    </row>
    <row r="298" spans="1:96" x14ac:dyDescent="0.25">
      <c r="A298" s="935"/>
      <c r="B298" s="932"/>
      <c r="C298" s="911"/>
      <c r="D298" s="911"/>
      <c r="E298" s="912"/>
      <c r="F298" s="912"/>
      <c r="G298" s="910"/>
      <c r="H298" s="912"/>
      <c r="I298" s="912"/>
      <c r="J298" s="914"/>
      <c r="K298" s="915"/>
      <c r="L298" s="916" t="s">
        <v>21</v>
      </c>
      <c r="M298" s="916" t="s">
        <v>21</v>
      </c>
      <c r="N298" s="916" t="s">
        <v>21</v>
      </c>
      <c r="O298" s="916" t="s">
        <v>21</v>
      </c>
      <c r="P298" s="915"/>
      <c r="Q298" s="916" t="s">
        <v>21</v>
      </c>
      <c r="R298" s="917" t="s">
        <v>21</v>
      </c>
      <c r="S298" s="918" t="s">
        <v>21</v>
      </c>
      <c r="T298" s="918" t="s">
        <v>21</v>
      </c>
      <c r="U298" s="916" t="s">
        <v>21</v>
      </c>
      <c r="V298" s="916" t="s">
        <v>21</v>
      </c>
      <c r="W298" s="915"/>
      <c r="X298" s="916" t="s">
        <v>21</v>
      </c>
      <c r="Y298" s="916" t="s">
        <v>21</v>
      </c>
      <c r="Z298" s="916" t="s">
        <v>21</v>
      </c>
      <c r="AA298" s="916" t="s">
        <v>21</v>
      </c>
      <c r="AB298" s="916" t="s">
        <v>21</v>
      </c>
      <c r="AC298" s="915"/>
      <c r="AD298" s="919" t="s">
        <v>21</v>
      </c>
      <c r="AE298" s="920" t="s">
        <v>21</v>
      </c>
      <c r="AF298" s="920" t="s">
        <v>21</v>
      </c>
      <c r="AG298" s="920" t="s">
        <v>21</v>
      </c>
      <c r="AH298" s="921" t="s">
        <v>21</v>
      </c>
      <c r="AI298" s="921" t="s">
        <v>21</v>
      </c>
      <c r="AJ298" s="920" t="s">
        <v>21</v>
      </c>
      <c r="AK298" s="920" t="s">
        <v>21</v>
      </c>
      <c r="AL298" s="921" t="s">
        <v>21</v>
      </c>
      <c r="AM298" s="921" t="s">
        <v>21</v>
      </c>
      <c r="AN298" s="920"/>
      <c r="AO298" s="920" t="s">
        <v>21</v>
      </c>
      <c r="AP298" s="919" t="s">
        <v>21</v>
      </c>
      <c r="AQ298" s="933" t="s">
        <v>21</v>
      </c>
      <c r="AR298" s="925" t="s">
        <v>21</v>
      </c>
      <c r="AS298" s="925" t="s">
        <v>21</v>
      </c>
      <c r="AT298" s="925" t="s">
        <v>21</v>
      </c>
      <c r="AU298" s="925" t="s">
        <v>21</v>
      </c>
      <c r="AV298" s="926" t="s">
        <v>21</v>
      </c>
      <c r="AW298" s="926" t="s">
        <v>21</v>
      </c>
      <c r="AX298" s="926" t="s">
        <v>21</v>
      </c>
      <c r="AY298" s="926" t="s">
        <v>21</v>
      </c>
      <c r="AZ298" s="925" t="s">
        <v>21</v>
      </c>
      <c r="BA298" s="925"/>
      <c r="BB298" s="919" t="s">
        <v>21</v>
      </c>
      <c r="BC298" s="919" t="s">
        <v>21</v>
      </c>
      <c r="BD298" s="919" t="s">
        <v>21</v>
      </c>
      <c r="BE298" s="925" t="s">
        <v>21</v>
      </c>
      <c r="BF298" s="926" t="s">
        <v>21</v>
      </c>
      <c r="BG298" s="925" t="s">
        <v>21</v>
      </c>
      <c r="BH298" s="926" t="s">
        <v>21</v>
      </c>
      <c r="BI298" s="925" t="s">
        <v>21</v>
      </c>
      <c r="BJ298" s="926" t="s">
        <v>21</v>
      </c>
      <c r="BK298" s="925" t="s">
        <v>21</v>
      </c>
      <c r="BL298" s="926" t="s">
        <v>21</v>
      </c>
      <c r="BM298" s="925" t="s">
        <v>21</v>
      </c>
      <c r="BN298" s="927"/>
      <c r="BO298" s="927"/>
      <c r="BP298" s="928" t="s">
        <v>21</v>
      </c>
      <c r="BQ298" s="928" t="s">
        <v>21</v>
      </c>
      <c r="BR298" s="928" t="s">
        <v>21</v>
      </c>
      <c r="BS298" s="928" t="s">
        <v>21</v>
      </c>
      <c r="BT298" s="928" t="s">
        <v>21</v>
      </c>
      <c r="BU298" s="928" t="s">
        <v>21</v>
      </c>
      <c r="BV298" s="934" t="s">
        <v>21</v>
      </c>
      <c r="BW298" s="934" t="s">
        <v>21</v>
      </c>
      <c r="BX298" s="1104" t="s">
        <v>21</v>
      </c>
      <c r="BY298" s="931" t="s">
        <v>21</v>
      </c>
      <c r="BZ298" s="930" t="s">
        <v>21</v>
      </c>
      <c r="CA298" s="1074" t="s">
        <v>21</v>
      </c>
      <c r="CB298" s="930" t="s">
        <v>21</v>
      </c>
      <c r="CC298" s="930" t="s">
        <v>21</v>
      </c>
      <c r="CD298" s="925" t="s">
        <v>21</v>
      </c>
      <c r="CE298" s="1130" t="s">
        <v>21</v>
      </c>
      <c r="CF298" s="1129" t="s">
        <v>21</v>
      </c>
      <c r="CG298" s="1130" t="s">
        <v>21</v>
      </c>
      <c r="CH298" s="1130" t="s">
        <v>21</v>
      </c>
      <c r="CI298" s="1131" t="s">
        <v>21</v>
      </c>
      <c r="CJ298" s="1129" t="s">
        <v>21</v>
      </c>
      <c r="CK298" s="1130" t="s">
        <v>21</v>
      </c>
      <c r="CL298" s="1130" t="s">
        <v>21</v>
      </c>
      <c r="CM298" s="1131" t="s">
        <v>21</v>
      </c>
      <c r="CN298" s="1130" t="s">
        <v>21</v>
      </c>
      <c r="CP298" s="838" t="s">
        <v>21</v>
      </c>
      <c r="CQ298" s="838" t="s">
        <v>21</v>
      </c>
      <c r="CR298" s="836"/>
    </row>
    <row r="299" spans="1:96" x14ac:dyDescent="0.25">
      <c r="A299" s="935" t="s">
        <v>3463</v>
      </c>
      <c r="B299" s="932" t="s">
        <v>3457</v>
      </c>
      <c r="C299" s="911">
        <v>600</v>
      </c>
      <c r="D299" s="911" t="s">
        <v>2116</v>
      </c>
      <c r="E299" s="912">
        <v>1171.21</v>
      </c>
      <c r="F299" s="912">
        <v>1169.31</v>
      </c>
      <c r="G299" s="910" t="s">
        <v>3458</v>
      </c>
      <c r="H299" s="912">
        <v>1171</v>
      </c>
      <c r="I299" s="912">
        <v>1169.0889999999999</v>
      </c>
      <c r="J299" s="914">
        <v>44.17</v>
      </c>
      <c r="K299" s="915"/>
      <c r="L299" s="916">
        <v>0.1</v>
      </c>
      <c r="M299" s="916">
        <v>0.06</v>
      </c>
      <c r="N299" s="916">
        <v>0.2</v>
      </c>
      <c r="O299" s="916">
        <v>4.8439999999999994</v>
      </c>
      <c r="P299" s="915"/>
      <c r="Q299" s="916">
        <v>2.1659999999999999</v>
      </c>
      <c r="R299" s="917">
        <v>0.33333333333333331</v>
      </c>
      <c r="S299" s="918">
        <v>1.4</v>
      </c>
      <c r="T299" s="918">
        <v>2.8439999999999999</v>
      </c>
      <c r="U299" s="916">
        <v>4.5659999999999998</v>
      </c>
      <c r="V299" s="916">
        <v>0.92</v>
      </c>
      <c r="W299" s="915"/>
      <c r="X299" s="916">
        <v>0.28299999999999997</v>
      </c>
      <c r="Y299" s="916">
        <v>0.40699999999999997</v>
      </c>
      <c r="Z299" s="916">
        <v>4.5960000000000001</v>
      </c>
      <c r="AA299" s="916">
        <v>1.0229999999999999</v>
      </c>
      <c r="AB299" s="916">
        <v>3.0259999999999998</v>
      </c>
      <c r="AC299" s="915"/>
      <c r="AD299" s="919">
        <v>213.959</v>
      </c>
      <c r="AE299" s="920">
        <v>203.005</v>
      </c>
      <c r="AF299" s="920" t="s">
        <v>21</v>
      </c>
      <c r="AG299" s="920" t="s">
        <v>21</v>
      </c>
      <c r="AH299" s="921">
        <v>203.005</v>
      </c>
      <c r="AI299" s="921" t="s">
        <v>21</v>
      </c>
      <c r="AJ299" s="920" t="s">
        <v>21</v>
      </c>
      <c r="AK299" s="920" t="s">
        <v>21</v>
      </c>
      <c r="AL299" s="921" t="s">
        <v>21</v>
      </c>
      <c r="AM299" s="921" t="s">
        <v>21</v>
      </c>
      <c r="AN299" s="920"/>
      <c r="AO299" s="920" t="s">
        <v>21</v>
      </c>
      <c r="AP299" s="919">
        <v>61.838000000000001</v>
      </c>
      <c r="AQ299" s="933">
        <v>201.68021999999999</v>
      </c>
      <c r="AR299" s="925" t="s">
        <v>21</v>
      </c>
      <c r="AS299" s="925">
        <v>201.68021999999999</v>
      </c>
      <c r="AT299" s="925" t="s">
        <v>21</v>
      </c>
      <c r="AU299" s="925" t="s">
        <v>21</v>
      </c>
      <c r="AV299" s="926" t="s">
        <v>21</v>
      </c>
      <c r="AW299" s="926" t="s">
        <v>21</v>
      </c>
      <c r="AX299" s="926" t="s">
        <v>21</v>
      </c>
      <c r="AY299" s="926" t="s">
        <v>21</v>
      </c>
      <c r="AZ299" s="925" t="s">
        <v>21</v>
      </c>
      <c r="BA299" s="925"/>
      <c r="BB299" s="919">
        <v>6.1840000000000002</v>
      </c>
      <c r="BC299" s="919" t="s">
        <v>21</v>
      </c>
      <c r="BD299" s="919" t="s">
        <v>2142</v>
      </c>
      <c r="BE299" s="925" t="s">
        <v>21</v>
      </c>
      <c r="BF299" s="926" t="s">
        <v>21</v>
      </c>
      <c r="BG299" s="925">
        <v>44.17</v>
      </c>
      <c r="BH299" s="926" t="s">
        <v>21</v>
      </c>
      <c r="BI299" s="925" t="s">
        <v>21</v>
      </c>
      <c r="BJ299" s="926" t="s">
        <v>21</v>
      </c>
      <c r="BK299" s="925" t="s">
        <v>21</v>
      </c>
      <c r="BL299" s="926" t="s">
        <v>21</v>
      </c>
      <c r="BM299" s="925" t="s">
        <v>21</v>
      </c>
      <c r="BN299" s="927"/>
      <c r="BO299" s="927"/>
      <c r="BP299" s="928">
        <v>1</v>
      </c>
      <c r="BQ299" s="928" t="s">
        <v>21</v>
      </c>
      <c r="BR299" s="928" t="s">
        <v>21</v>
      </c>
      <c r="BS299" s="928" t="s">
        <v>21</v>
      </c>
      <c r="BT299" s="928" t="s">
        <v>21</v>
      </c>
      <c r="BU299" s="928" t="s">
        <v>21</v>
      </c>
      <c r="BV299" s="934">
        <v>0.50000000000009104</v>
      </c>
      <c r="BW299" s="934">
        <v>1</v>
      </c>
      <c r="BX299" s="1104">
        <v>2</v>
      </c>
      <c r="BY299" s="931">
        <v>4</v>
      </c>
      <c r="BZ299" s="930" t="s">
        <v>21</v>
      </c>
      <c r="CA299" s="1074" t="s">
        <v>21</v>
      </c>
      <c r="CB299" s="930" t="s">
        <v>21</v>
      </c>
      <c r="CC299" s="930" t="s">
        <v>21</v>
      </c>
      <c r="CD299" s="925">
        <v>45.186</v>
      </c>
      <c r="CE299" s="1130">
        <v>133.65799999999999</v>
      </c>
      <c r="CF299" s="1129" t="s">
        <v>21</v>
      </c>
      <c r="CG299" s="1130" t="s">
        <v>21</v>
      </c>
      <c r="CH299" s="1130" t="s">
        <v>21</v>
      </c>
      <c r="CI299" s="1131" t="s">
        <v>21</v>
      </c>
      <c r="CJ299" s="1129" t="s">
        <v>21</v>
      </c>
      <c r="CK299" s="1130">
        <v>133.65799999999999</v>
      </c>
      <c r="CL299" s="1130" t="s">
        <v>21</v>
      </c>
      <c r="CM299" s="1131" t="s">
        <v>21</v>
      </c>
      <c r="CN299" s="1130" t="s">
        <v>21</v>
      </c>
      <c r="CP299" s="838" t="s">
        <v>21</v>
      </c>
      <c r="CQ299" s="838" t="s">
        <v>21</v>
      </c>
      <c r="CR299" s="836"/>
    </row>
    <row r="300" spans="1:96" x14ac:dyDescent="0.25">
      <c r="A300" s="935"/>
      <c r="B300" s="932" t="s">
        <v>3458</v>
      </c>
      <c r="C300" s="911">
        <v>600</v>
      </c>
      <c r="D300" s="911" t="s">
        <v>2116</v>
      </c>
      <c r="E300" s="912">
        <v>1171</v>
      </c>
      <c r="F300" s="912">
        <v>1169.0889999999999</v>
      </c>
      <c r="G300" s="910" t="s">
        <v>3459</v>
      </c>
      <c r="H300" s="912">
        <v>1170</v>
      </c>
      <c r="I300" s="912">
        <v>1168.0999999999999</v>
      </c>
      <c r="J300" s="914">
        <v>38.659999999999997</v>
      </c>
      <c r="K300" s="915"/>
      <c r="L300" s="916">
        <v>0.1</v>
      </c>
      <c r="M300" s="916">
        <v>0.06</v>
      </c>
      <c r="N300" s="916">
        <v>0.2</v>
      </c>
      <c r="O300" s="916">
        <v>4.8439999999999994</v>
      </c>
      <c r="P300" s="915"/>
      <c r="Q300" s="916">
        <v>2.1659999999999999</v>
      </c>
      <c r="R300" s="917">
        <v>0.33333333333333331</v>
      </c>
      <c r="S300" s="918">
        <v>1.4</v>
      </c>
      <c r="T300" s="918">
        <v>2.8439999999999999</v>
      </c>
      <c r="U300" s="916">
        <v>4.5659999999999998</v>
      </c>
      <c r="V300" s="916">
        <v>0.92</v>
      </c>
      <c r="W300" s="915"/>
      <c r="X300" s="916">
        <v>0.28299999999999997</v>
      </c>
      <c r="Y300" s="916">
        <v>0.40699999999999997</v>
      </c>
      <c r="Z300" s="916">
        <v>4.5960000000000001</v>
      </c>
      <c r="AA300" s="916">
        <v>1.0229999999999999</v>
      </c>
      <c r="AB300" s="916">
        <v>3.0259999999999998</v>
      </c>
      <c r="AC300" s="915"/>
      <c r="AD300" s="919">
        <v>187.26900000000001</v>
      </c>
      <c r="AE300" s="920">
        <v>177.68100000000001</v>
      </c>
      <c r="AF300" s="920" t="s">
        <v>21</v>
      </c>
      <c r="AG300" s="920" t="s">
        <v>21</v>
      </c>
      <c r="AH300" s="921">
        <v>177.68100000000001</v>
      </c>
      <c r="AI300" s="921" t="s">
        <v>21</v>
      </c>
      <c r="AJ300" s="920" t="s">
        <v>21</v>
      </c>
      <c r="AK300" s="920" t="s">
        <v>21</v>
      </c>
      <c r="AL300" s="921" t="s">
        <v>21</v>
      </c>
      <c r="AM300" s="921" t="s">
        <v>21</v>
      </c>
      <c r="AN300" s="920"/>
      <c r="AO300" s="920" t="s">
        <v>21</v>
      </c>
      <c r="AP300" s="919">
        <v>54.124000000000002</v>
      </c>
      <c r="AQ300" s="933">
        <v>176.52155999999997</v>
      </c>
      <c r="AR300" s="925" t="s">
        <v>21</v>
      </c>
      <c r="AS300" s="925">
        <v>176.52155999999997</v>
      </c>
      <c r="AT300" s="925" t="s">
        <v>21</v>
      </c>
      <c r="AU300" s="925" t="s">
        <v>21</v>
      </c>
      <c r="AV300" s="926" t="s">
        <v>21</v>
      </c>
      <c r="AW300" s="926" t="s">
        <v>21</v>
      </c>
      <c r="AX300" s="926" t="s">
        <v>21</v>
      </c>
      <c r="AY300" s="926" t="s">
        <v>21</v>
      </c>
      <c r="AZ300" s="925" t="s">
        <v>21</v>
      </c>
      <c r="BA300" s="925"/>
      <c r="BB300" s="919">
        <v>5.4119999999999999</v>
      </c>
      <c r="BC300" s="919" t="s">
        <v>21</v>
      </c>
      <c r="BD300" s="919" t="s">
        <v>2142</v>
      </c>
      <c r="BE300" s="925" t="s">
        <v>21</v>
      </c>
      <c r="BF300" s="926" t="s">
        <v>21</v>
      </c>
      <c r="BG300" s="925">
        <v>38.659999999999997</v>
      </c>
      <c r="BH300" s="926" t="s">
        <v>21</v>
      </c>
      <c r="BI300" s="925" t="s">
        <v>21</v>
      </c>
      <c r="BJ300" s="926" t="s">
        <v>21</v>
      </c>
      <c r="BK300" s="925" t="s">
        <v>21</v>
      </c>
      <c r="BL300" s="926" t="s">
        <v>21</v>
      </c>
      <c r="BM300" s="925" t="s">
        <v>21</v>
      </c>
      <c r="BN300" s="927"/>
      <c r="BO300" s="927"/>
      <c r="BP300" s="928">
        <v>1</v>
      </c>
      <c r="BQ300" s="928" t="s">
        <v>21</v>
      </c>
      <c r="BR300" s="928" t="s">
        <v>21</v>
      </c>
      <c r="BS300" s="928" t="s">
        <v>21</v>
      </c>
      <c r="BT300" s="928" t="s">
        <v>21</v>
      </c>
      <c r="BU300" s="928" t="s">
        <v>21</v>
      </c>
      <c r="BV300" s="934">
        <v>0.5110000000000583</v>
      </c>
      <c r="BW300" s="934">
        <v>1</v>
      </c>
      <c r="BX300" s="1104">
        <v>2</v>
      </c>
      <c r="BY300" s="931">
        <v>4</v>
      </c>
      <c r="BZ300" s="930" t="s">
        <v>21</v>
      </c>
      <c r="CA300" s="1074" t="s">
        <v>21</v>
      </c>
      <c r="CB300" s="930" t="s">
        <v>21</v>
      </c>
      <c r="CC300" s="930" t="s">
        <v>21</v>
      </c>
      <c r="CD300" s="925">
        <v>39.548999999999999</v>
      </c>
      <c r="CE300" s="1130">
        <v>116.985</v>
      </c>
      <c r="CF300" s="1129" t="s">
        <v>21</v>
      </c>
      <c r="CG300" s="1130" t="s">
        <v>21</v>
      </c>
      <c r="CH300" s="1130" t="s">
        <v>21</v>
      </c>
      <c r="CI300" s="1131" t="s">
        <v>21</v>
      </c>
      <c r="CJ300" s="1129" t="s">
        <v>21</v>
      </c>
      <c r="CK300" s="1130">
        <v>116.985</v>
      </c>
      <c r="CL300" s="1130" t="s">
        <v>21</v>
      </c>
      <c r="CM300" s="1131" t="s">
        <v>21</v>
      </c>
      <c r="CN300" s="1130" t="s">
        <v>21</v>
      </c>
      <c r="CP300" s="838" t="s">
        <v>21</v>
      </c>
      <c r="CQ300" s="838" t="s">
        <v>21</v>
      </c>
      <c r="CR300" s="836"/>
    </row>
    <row r="301" spans="1:96" x14ac:dyDescent="0.25">
      <c r="A301" s="935"/>
      <c r="B301" s="932" t="s">
        <v>3459</v>
      </c>
      <c r="C301" s="911">
        <v>600</v>
      </c>
      <c r="D301" s="911" t="s">
        <v>2116</v>
      </c>
      <c r="E301" s="912">
        <v>1170</v>
      </c>
      <c r="F301" s="912">
        <v>1168.05</v>
      </c>
      <c r="G301" s="910" t="s">
        <v>3460</v>
      </c>
      <c r="H301" s="912">
        <v>1168.5050000000001</v>
      </c>
      <c r="I301" s="912">
        <v>1166.6099999999999</v>
      </c>
      <c r="J301" s="914">
        <v>40.29</v>
      </c>
      <c r="K301" s="915"/>
      <c r="L301" s="916">
        <v>0.1</v>
      </c>
      <c r="M301" s="916">
        <v>0.06</v>
      </c>
      <c r="N301" s="916">
        <v>0.2</v>
      </c>
      <c r="O301" s="916">
        <v>4.8550000000000004</v>
      </c>
      <c r="P301" s="915"/>
      <c r="Q301" s="916">
        <v>2.1829999999999998</v>
      </c>
      <c r="R301" s="917">
        <v>0.33333333333333331</v>
      </c>
      <c r="S301" s="918">
        <v>1.4</v>
      </c>
      <c r="T301" s="918">
        <v>2.855</v>
      </c>
      <c r="U301" s="916">
        <v>4.6020000000000003</v>
      </c>
      <c r="V301" s="916">
        <v>0.92</v>
      </c>
      <c r="W301" s="915"/>
      <c r="X301" s="916">
        <v>0.28299999999999997</v>
      </c>
      <c r="Y301" s="916">
        <v>0.40699999999999997</v>
      </c>
      <c r="Z301" s="916">
        <v>4.6440000000000001</v>
      </c>
      <c r="AA301" s="916">
        <v>1.0229999999999999</v>
      </c>
      <c r="AB301" s="916">
        <v>3.0739999999999998</v>
      </c>
      <c r="AC301" s="915"/>
      <c r="AD301" s="919">
        <v>195.608</v>
      </c>
      <c r="AE301" s="920">
        <v>187.107</v>
      </c>
      <c r="AF301" s="920" t="s">
        <v>21</v>
      </c>
      <c r="AG301" s="920" t="s">
        <v>21</v>
      </c>
      <c r="AH301" s="921">
        <v>187.107</v>
      </c>
      <c r="AI301" s="921" t="s">
        <v>21</v>
      </c>
      <c r="AJ301" s="920" t="s">
        <v>21</v>
      </c>
      <c r="AK301" s="920" t="s">
        <v>21</v>
      </c>
      <c r="AL301" s="921" t="s">
        <v>21</v>
      </c>
      <c r="AM301" s="921" t="s">
        <v>21</v>
      </c>
      <c r="AN301" s="920"/>
      <c r="AO301" s="920" t="s">
        <v>21</v>
      </c>
      <c r="AP301" s="919">
        <v>56.405999999999999</v>
      </c>
      <c r="AQ301" s="933">
        <v>185.41458</v>
      </c>
      <c r="AR301" s="925" t="s">
        <v>21</v>
      </c>
      <c r="AS301" s="925">
        <v>185.41458</v>
      </c>
      <c r="AT301" s="925" t="s">
        <v>21</v>
      </c>
      <c r="AU301" s="925" t="s">
        <v>21</v>
      </c>
      <c r="AV301" s="926" t="s">
        <v>21</v>
      </c>
      <c r="AW301" s="926" t="s">
        <v>21</v>
      </c>
      <c r="AX301" s="926" t="s">
        <v>21</v>
      </c>
      <c r="AY301" s="926" t="s">
        <v>21</v>
      </c>
      <c r="AZ301" s="925" t="s">
        <v>21</v>
      </c>
      <c r="BA301" s="925"/>
      <c r="BB301" s="919">
        <v>5.641</v>
      </c>
      <c r="BC301" s="919" t="s">
        <v>21</v>
      </c>
      <c r="BD301" s="919" t="s">
        <v>2142</v>
      </c>
      <c r="BE301" s="925" t="s">
        <v>21</v>
      </c>
      <c r="BF301" s="926" t="s">
        <v>21</v>
      </c>
      <c r="BG301" s="925">
        <v>40.29</v>
      </c>
      <c r="BH301" s="926" t="s">
        <v>21</v>
      </c>
      <c r="BI301" s="925" t="s">
        <v>21</v>
      </c>
      <c r="BJ301" s="926" t="s">
        <v>21</v>
      </c>
      <c r="BK301" s="925" t="s">
        <v>21</v>
      </c>
      <c r="BL301" s="926" t="s">
        <v>21</v>
      </c>
      <c r="BM301" s="925" t="s">
        <v>21</v>
      </c>
      <c r="BN301" s="927"/>
      <c r="BO301" s="927"/>
      <c r="BP301" s="928">
        <v>1</v>
      </c>
      <c r="BQ301" s="928" t="s">
        <v>21</v>
      </c>
      <c r="BR301" s="928" t="s">
        <v>21</v>
      </c>
      <c r="BS301" s="928" t="s">
        <v>21</v>
      </c>
      <c r="BT301" s="928" t="s">
        <v>21</v>
      </c>
      <c r="BU301" s="928" t="s">
        <v>21</v>
      </c>
      <c r="BV301" s="934">
        <v>0.55000000000004556</v>
      </c>
      <c r="BW301" s="934">
        <v>1</v>
      </c>
      <c r="BX301" s="1104">
        <v>2</v>
      </c>
      <c r="BY301" s="931">
        <v>4</v>
      </c>
      <c r="BZ301" s="930" t="s">
        <v>21</v>
      </c>
      <c r="CA301" s="1074" t="s">
        <v>21</v>
      </c>
      <c r="CB301" s="930" t="s">
        <v>21</v>
      </c>
      <c r="CC301" s="930" t="s">
        <v>21</v>
      </c>
      <c r="CD301" s="925">
        <v>41.216999999999999</v>
      </c>
      <c r="CE301" s="1130">
        <v>123.851</v>
      </c>
      <c r="CF301" s="1129" t="s">
        <v>21</v>
      </c>
      <c r="CG301" s="1130" t="s">
        <v>21</v>
      </c>
      <c r="CH301" s="1130" t="s">
        <v>21</v>
      </c>
      <c r="CI301" s="1131" t="s">
        <v>21</v>
      </c>
      <c r="CJ301" s="1129" t="s">
        <v>21</v>
      </c>
      <c r="CK301" s="1130">
        <v>123.851</v>
      </c>
      <c r="CL301" s="1130" t="s">
        <v>21</v>
      </c>
      <c r="CM301" s="1131" t="s">
        <v>21</v>
      </c>
      <c r="CN301" s="1130" t="s">
        <v>21</v>
      </c>
      <c r="CP301" s="838" t="s">
        <v>21</v>
      </c>
      <c r="CQ301" s="838" t="s">
        <v>21</v>
      </c>
      <c r="CR301" s="836"/>
    </row>
    <row r="302" spans="1:96" x14ac:dyDescent="0.25">
      <c r="A302" s="935"/>
      <c r="B302" s="932" t="s">
        <v>3460</v>
      </c>
      <c r="C302" s="911">
        <v>600</v>
      </c>
      <c r="D302" s="911" t="s">
        <v>2116</v>
      </c>
      <c r="E302" s="912">
        <v>1168.5050000000001</v>
      </c>
      <c r="F302" s="912">
        <v>1166.364</v>
      </c>
      <c r="G302" s="910" t="s">
        <v>2233</v>
      </c>
      <c r="H302" s="912">
        <v>1167.2349999999999</v>
      </c>
      <c r="I302" s="912">
        <v>1166.079</v>
      </c>
      <c r="J302" s="914">
        <v>27.46</v>
      </c>
      <c r="K302" s="915"/>
      <c r="L302" s="916">
        <v>0.1</v>
      </c>
      <c r="M302" s="916">
        <v>0.06</v>
      </c>
      <c r="N302" s="916">
        <v>0.2</v>
      </c>
      <c r="O302" s="916">
        <v>4.673</v>
      </c>
      <c r="P302" s="915"/>
      <c r="Q302" s="916">
        <v>1.909</v>
      </c>
      <c r="R302" s="917">
        <v>0.33333333333333331</v>
      </c>
      <c r="S302" s="918">
        <v>1.4</v>
      </c>
      <c r="T302" s="918">
        <v>2.673</v>
      </c>
      <c r="U302" s="916">
        <v>4.0250000000000004</v>
      </c>
      <c r="V302" s="916">
        <v>0.92</v>
      </c>
      <c r="W302" s="915"/>
      <c r="X302" s="916">
        <v>0.28299999999999997</v>
      </c>
      <c r="Y302" s="916">
        <v>0.40699999999999997</v>
      </c>
      <c r="Z302" s="916">
        <v>3.8879999999999999</v>
      </c>
      <c r="AA302" s="916">
        <v>1.0229999999999999</v>
      </c>
      <c r="AB302" s="916">
        <v>2.3180000000000001</v>
      </c>
      <c r="AC302" s="915"/>
      <c r="AD302" s="919">
        <v>128.321</v>
      </c>
      <c r="AE302" s="920">
        <v>106.764</v>
      </c>
      <c r="AF302" s="920" t="s">
        <v>21</v>
      </c>
      <c r="AG302" s="920" t="s">
        <v>21</v>
      </c>
      <c r="AH302" s="921">
        <v>106.764</v>
      </c>
      <c r="AI302" s="921" t="s">
        <v>21</v>
      </c>
      <c r="AJ302" s="920" t="s">
        <v>21</v>
      </c>
      <c r="AK302" s="920" t="s">
        <v>21</v>
      </c>
      <c r="AL302" s="921" t="s">
        <v>21</v>
      </c>
      <c r="AM302" s="921" t="s">
        <v>21</v>
      </c>
      <c r="AN302" s="920"/>
      <c r="AO302" s="920" t="s">
        <v>21</v>
      </c>
      <c r="AP302" s="919">
        <v>38.444000000000003</v>
      </c>
      <c r="AQ302" s="933">
        <v>110.52650000000001</v>
      </c>
      <c r="AR302" s="925" t="s">
        <v>21</v>
      </c>
      <c r="AS302" s="925">
        <v>110.52650000000001</v>
      </c>
      <c r="AT302" s="925" t="s">
        <v>21</v>
      </c>
      <c r="AU302" s="925" t="s">
        <v>21</v>
      </c>
      <c r="AV302" s="926" t="s">
        <v>21</v>
      </c>
      <c r="AW302" s="926" t="s">
        <v>21</v>
      </c>
      <c r="AX302" s="926" t="s">
        <v>21</v>
      </c>
      <c r="AY302" s="926" t="s">
        <v>21</v>
      </c>
      <c r="AZ302" s="925" t="s">
        <v>21</v>
      </c>
      <c r="BA302" s="925"/>
      <c r="BB302" s="919">
        <v>3.8439999999999999</v>
      </c>
      <c r="BC302" s="919" t="s">
        <v>21</v>
      </c>
      <c r="BD302" s="919" t="s">
        <v>2142</v>
      </c>
      <c r="BE302" s="925" t="s">
        <v>21</v>
      </c>
      <c r="BF302" s="926" t="s">
        <v>21</v>
      </c>
      <c r="BG302" s="925">
        <v>27.46</v>
      </c>
      <c r="BH302" s="926" t="s">
        <v>21</v>
      </c>
      <c r="BI302" s="925" t="s">
        <v>21</v>
      </c>
      <c r="BJ302" s="926" t="s">
        <v>21</v>
      </c>
      <c r="BK302" s="925" t="s">
        <v>21</v>
      </c>
      <c r="BL302" s="926" t="s">
        <v>21</v>
      </c>
      <c r="BM302" s="925" t="s">
        <v>21</v>
      </c>
      <c r="BN302" s="927"/>
      <c r="BO302" s="927"/>
      <c r="BP302" s="928">
        <v>1</v>
      </c>
      <c r="BQ302" s="928" t="s">
        <v>21</v>
      </c>
      <c r="BR302" s="928" t="s">
        <v>21</v>
      </c>
      <c r="BS302" s="928" t="s">
        <v>21</v>
      </c>
      <c r="BT302" s="928" t="s">
        <v>21</v>
      </c>
      <c r="BU302" s="928" t="s">
        <v>21</v>
      </c>
      <c r="BV302" s="934">
        <v>0.74100000000007649</v>
      </c>
      <c r="BW302" s="934">
        <v>1</v>
      </c>
      <c r="BX302" s="1104">
        <v>2</v>
      </c>
      <c r="BY302" s="931">
        <v>4</v>
      </c>
      <c r="BZ302" s="930" t="s">
        <v>21</v>
      </c>
      <c r="CA302" s="1074" t="s">
        <v>21</v>
      </c>
      <c r="CB302" s="930" t="s">
        <v>21</v>
      </c>
      <c r="CC302" s="930" t="s">
        <v>21</v>
      </c>
      <c r="CD302" s="925">
        <v>28.091999999999999</v>
      </c>
      <c r="CE302" s="1130">
        <v>63.652000000000001</v>
      </c>
      <c r="CF302" s="1129" t="s">
        <v>21</v>
      </c>
      <c r="CG302" s="1130" t="s">
        <v>21</v>
      </c>
      <c r="CH302" s="1130" t="s">
        <v>21</v>
      </c>
      <c r="CI302" s="1131" t="s">
        <v>21</v>
      </c>
      <c r="CJ302" s="1129" t="s">
        <v>21</v>
      </c>
      <c r="CK302" s="1130">
        <v>63.652000000000001</v>
      </c>
      <c r="CL302" s="1130" t="s">
        <v>21</v>
      </c>
      <c r="CM302" s="1131" t="s">
        <v>21</v>
      </c>
      <c r="CN302" s="1130" t="s">
        <v>21</v>
      </c>
      <c r="CP302" s="838" t="s">
        <v>21</v>
      </c>
      <c r="CQ302" s="838" t="s">
        <v>21</v>
      </c>
      <c r="CR302" s="836"/>
    </row>
    <row r="303" spans="1:96" x14ac:dyDescent="0.25">
      <c r="A303" s="935"/>
      <c r="B303" s="932"/>
      <c r="C303" s="911"/>
      <c r="D303" s="911"/>
      <c r="E303" s="912"/>
      <c r="F303" s="912"/>
      <c r="G303" s="910"/>
      <c r="H303" s="912"/>
      <c r="I303" s="912"/>
      <c r="J303" s="914"/>
      <c r="K303" s="915"/>
      <c r="L303" s="916" t="s">
        <v>21</v>
      </c>
      <c r="M303" s="916" t="s">
        <v>21</v>
      </c>
      <c r="N303" s="916" t="s">
        <v>21</v>
      </c>
      <c r="O303" s="916" t="s">
        <v>21</v>
      </c>
      <c r="P303" s="915"/>
      <c r="Q303" s="916" t="s">
        <v>21</v>
      </c>
      <c r="R303" s="917" t="s">
        <v>21</v>
      </c>
      <c r="S303" s="918" t="s">
        <v>21</v>
      </c>
      <c r="T303" s="918" t="s">
        <v>21</v>
      </c>
      <c r="U303" s="916" t="s">
        <v>21</v>
      </c>
      <c r="V303" s="916" t="s">
        <v>21</v>
      </c>
      <c r="W303" s="915"/>
      <c r="X303" s="916" t="s">
        <v>21</v>
      </c>
      <c r="Y303" s="916" t="s">
        <v>21</v>
      </c>
      <c r="Z303" s="916" t="s">
        <v>21</v>
      </c>
      <c r="AA303" s="916" t="s">
        <v>21</v>
      </c>
      <c r="AB303" s="916" t="s">
        <v>21</v>
      </c>
      <c r="AC303" s="915"/>
      <c r="AD303" s="919" t="s">
        <v>21</v>
      </c>
      <c r="AE303" s="920" t="s">
        <v>21</v>
      </c>
      <c r="AF303" s="920" t="s">
        <v>21</v>
      </c>
      <c r="AG303" s="920" t="s">
        <v>21</v>
      </c>
      <c r="AH303" s="921" t="s">
        <v>21</v>
      </c>
      <c r="AI303" s="921" t="s">
        <v>21</v>
      </c>
      <c r="AJ303" s="920" t="s">
        <v>21</v>
      </c>
      <c r="AK303" s="920" t="s">
        <v>21</v>
      </c>
      <c r="AL303" s="921" t="s">
        <v>21</v>
      </c>
      <c r="AM303" s="921" t="s">
        <v>21</v>
      </c>
      <c r="AN303" s="920"/>
      <c r="AO303" s="920" t="s">
        <v>21</v>
      </c>
      <c r="AP303" s="919" t="s">
        <v>21</v>
      </c>
      <c r="AQ303" s="933" t="s">
        <v>21</v>
      </c>
      <c r="AR303" s="925" t="s">
        <v>21</v>
      </c>
      <c r="AS303" s="925" t="s">
        <v>21</v>
      </c>
      <c r="AT303" s="925" t="s">
        <v>21</v>
      </c>
      <c r="AU303" s="925" t="s">
        <v>21</v>
      </c>
      <c r="AV303" s="926" t="s">
        <v>21</v>
      </c>
      <c r="AW303" s="926" t="s">
        <v>21</v>
      </c>
      <c r="AX303" s="926" t="s">
        <v>21</v>
      </c>
      <c r="AY303" s="926" t="s">
        <v>21</v>
      </c>
      <c r="AZ303" s="925" t="s">
        <v>21</v>
      </c>
      <c r="BA303" s="925"/>
      <c r="BB303" s="919" t="s">
        <v>21</v>
      </c>
      <c r="BC303" s="919" t="s">
        <v>21</v>
      </c>
      <c r="BD303" s="919" t="s">
        <v>21</v>
      </c>
      <c r="BE303" s="925" t="s">
        <v>21</v>
      </c>
      <c r="BF303" s="926" t="s">
        <v>21</v>
      </c>
      <c r="BG303" s="925" t="s">
        <v>21</v>
      </c>
      <c r="BH303" s="926" t="s">
        <v>21</v>
      </c>
      <c r="BI303" s="925" t="s">
        <v>21</v>
      </c>
      <c r="BJ303" s="926" t="s">
        <v>21</v>
      </c>
      <c r="BK303" s="925" t="s">
        <v>21</v>
      </c>
      <c r="BL303" s="926" t="s">
        <v>21</v>
      </c>
      <c r="BM303" s="925" t="s">
        <v>21</v>
      </c>
      <c r="BN303" s="927"/>
      <c r="BO303" s="927"/>
      <c r="BP303" s="928" t="s">
        <v>21</v>
      </c>
      <c r="BQ303" s="928" t="s">
        <v>21</v>
      </c>
      <c r="BR303" s="928" t="s">
        <v>21</v>
      </c>
      <c r="BS303" s="928" t="s">
        <v>21</v>
      </c>
      <c r="BT303" s="928" t="s">
        <v>21</v>
      </c>
      <c r="BU303" s="928" t="s">
        <v>21</v>
      </c>
      <c r="BV303" s="934" t="s">
        <v>21</v>
      </c>
      <c r="BW303" s="934" t="s">
        <v>21</v>
      </c>
      <c r="BX303" s="1104" t="s">
        <v>21</v>
      </c>
      <c r="BY303" s="931" t="s">
        <v>21</v>
      </c>
      <c r="BZ303" s="930" t="s">
        <v>21</v>
      </c>
      <c r="CA303" s="1074" t="s">
        <v>21</v>
      </c>
      <c r="CB303" s="930" t="s">
        <v>21</v>
      </c>
      <c r="CC303" s="930" t="s">
        <v>21</v>
      </c>
      <c r="CD303" s="925" t="s">
        <v>21</v>
      </c>
      <c r="CE303" s="1130" t="s">
        <v>21</v>
      </c>
      <c r="CF303" s="1129" t="s">
        <v>21</v>
      </c>
      <c r="CG303" s="1130" t="s">
        <v>21</v>
      </c>
      <c r="CH303" s="1130" t="s">
        <v>21</v>
      </c>
      <c r="CI303" s="1131" t="s">
        <v>21</v>
      </c>
      <c r="CJ303" s="1129" t="s">
        <v>21</v>
      </c>
      <c r="CK303" s="1130" t="s">
        <v>21</v>
      </c>
      <c r="CL303" s="1130" t="s">
        <v>21</v>
      </c>
      <c r="CM303" s="1131" t="s">
        <v>21</v>
      </c>
      <c r="CN303" s="1130" t="s">
        <v>21</v>
      </c>
      <c r="CP303" s="838" t="s">
        <v>21</v>
      </c>
      <c r="CQ303" s="838" t="s">
        <v>21</v>
      </c>
      <c r="CR303" s="836"/>
    </row>
    <row r="304" spans="1:96" x14ac:dyDescent="0.25">
      <c r="A304" s="935" t="s">
        <v>2542</v>
      </c>
      <c r="B304" s="932" t="s">
        <v>2269</v>
      </c>
      <c r="C304" s="911">
        <v>600</v>
      </c>
      <c r="D304" s="911" t="s">
        <v>2116</v>
      </c>
      <c r="E304" s="912">
        <v>1162.83</v>
      </c>
      <c r="F304" s="912">
        <v>1160.93</v>
      </c>
      <c r="G304" s="932" t="s">
        <v>2270</v>
      </c>
      <c r="H304" s="912">
        <v>1162.6400000000001</v>
      </c>
      <c r="I304" s="912">
        <v>1160.74</v>
      </c>
      <c r="J304" s="914">
        <v>37.31</v>
      </c>
      <c r="K304" s="915"/>
      <c r="L304" s="916">
        <v>0.1</v>
      </c>
      <c r="M304" s="916">
        <v>0.06</v>
      </c>
      <c r="N304" s="916">
        <v>0.2</v>
      </c>
      <c r="O304" s="916">
        <v>4.84</v>
      </c>
      <c r="P304" s="915"/>
      <c r="Q304" s="916">
        <v>2.16</v>
      </c>
      <c r="R304" s="917">
        <v>0.33333333333333331</v>
      </c>
      <c r="S304" s="918">
        <v>1.4</v>
      </c>
      <c r="T304" s="918">
        <v>2.84</v>
      </c>
      <c r="U304" s="916">
        <v>4.5540000000000003</v>
      </c>
      <c r="V304" s="916">
        <v>0.92</v>
      </c>
      <c r="W304" s="915"/>
      <c r="X304" s="916">
        <v>0.28299999999999997</v>
      </c>
      <c r="Y304" s="916">
        <v>0.40699999999999997</v>
      </c>
      <c r="Z304" s="916">
        <v>4.5789999999999997</v>
      </c>
      <c r="AA304" s="916">
        <v>1.0229999999999999</v>
      </c>
      <c r="AB304" s="916">
        <v>3.0089999999999999</v>
      </c>
      <c r="AC304" s="915"/>
      <c r="AD304" s="919">
        <v>180.58</v>
      </c>
      <c r="AE304" s="920">
        <v>170.84200000000001</v>
      </c>
      <c r="AF304" s="920" t="s">
        <v>21</v>
      </c>
      <c r="AG304" s="920" t="s">
        <v>21</v>
      </c>
      <c r="AH304" s="921">
        <v>170.84200000000001</v>
      </c>
      <c r="AI304" s="921" t="s">
        <v>21</v>
      </c>
      <c r="AJ304" s="920" t="s">
        <v>21</v>
      </c>
      <c r="AK304" s="920" t="s">
        <v>21</v>
      </c>
      <c r="AL304" s="921" t="s">
        <v>21</v>
      </c>
      <c r="AM304" s="921" t="s">
        <v>21</v>
      </c>
      <c r="AN304" s="920"/>
      <c r="AO304" s="920" t="s">
        <v>21</v>
      </c>
      <c r="AP304" s="919">
        <v>52.234000000000002</v>
      </c>
      <c r="AQ304" s="933">
        <v>169.90974000000003</v>
      </c>
      <c r="AR304" s="925" t="s">
        <v>21</v>
      </c>
      <c r="AS304" s="925">
        <v>169.90974000000003</v>
      </c>
      <c r="AT304" s="925" t="s">
        <v>21</v>
      </c>
      <c r="AU304" s="925" t="s">
        <v>21</v>
      </c>
      <c r="AV304" s="926" t="s">
        <v>21</v>
      </c>
      <c r="AW304" s="926" t="s">
        <v>21</v>
      </c>
      <c r="AX304" s="926" t="s">
        <v>21</v>
      </c>
      <c r="AY304" s="926" t="s">
        <v>21</v>
      </c>
      <c r="AZ304" s="925" t="s">
        <v>21</v>
      </c>
      <c r="BA304" s="925"/>
      <c r="BB304" s="919">
        <v>5.2229999999999999</v>
      </c>
      <c r="BC304" s="919" t="s">
        <v>21</v>
      </c>
      <c r="BD304" s="919" t="s">
        <v>2142</v>
      </c>
      <c r="BE304" s="925" t="s">
        <v>21</v>
      </c>
      <c r="BF304" s="926" t="s">
        <v>21</v>
      </c>
      <c r="BG304" s="925">
        <v>37.31</v>
      </c>
      <c r="BH304" s="926" t="s">
        <v>21</v>
      </c>
      <c r="BI304" s="925" t="s">
        <v>21</v>
      </c>
      <c r="BJ304" s="926" t="s">
        <v>21</v>
      </c>
      <c r="BK304" s="925" t="s">
        <v>21</v>
      </c>
      <c r="BL304" s="926" t="s">
        <v>21</v>
      </c>
      <c r="BM304" s="925" t="s">
        <v>21</v>
      </c>
      <c r="BN304" s="927"/>
      <c r="BO304" s="927"/>
      <c r="BP304" s="928">
        <v>1</v>
      </c>
      <c r="BQ304" s="928" t="s">
        <v>21</v>
      </c>
      <c r="BR304" s="928" t="s">
        <v>21</v>
      </c>
      <c r="BS304" s="928" t="s">
        <v>21</v>
      </c>
      <c r="BT304" s="928" t="s">
        <v>21</v>
      </c>
      <c r="BU304" s="928" t="s">
        <v>21</v>
      </c>
      <c r="BV304" s="934">
        <v>0.49999999999986366</v>
      </c>
      <c r="BW304" s="934">
        <v>0.5</v>
      </c>
      <c r="BX304" s="1104">
        <v>1</v>
      </c>
      <c r="BY304" s="931">
        <v>3</v>
      </c>
      <c r="BZ304" s="930" t="s">
        <v>21</v>
      </c>
      <c r="CA304" s="1074" t="s">
        <v>21</v>
      </c>
      <c r="CB304" s="930">
        <v>1</v>
      </c>
      <c r="CC304" s="930" t="s">
        <v>21</v>
      </c>
      <c r="CD304" s="925">
        <v>38.167999999999999</v>
      </c>
      <c r="CE304" s="1130">
        <v>112.26600000000001</v>
      </c>
      <c r="CF304" s="1129" t="s">
        <v>21</v>
      </c>
      <c r="CG304" s="1130" t="s">
        <v>21</v>
      </c>
      <c r="CH304" s="1130" t="s">
        <v>21</v>
      </c>
      <c r="CI304" s="1131" t="s">
        <v>21</v>
      </c>
      <c r="CJ304" s="1129" t="s">
        <v>21</v>
      </c>
      <c r="CK304" s="1130">
        <v>112.26600000000001</v>
      </c>
      <c r="CL304" s="1130" t="s">
        <v>21</v>
      </c>
      <c r="CM304" s="1131" t="s">
        <v>21</v>
      </c>
      <c r="CN304" s="1130" t="s">
        <v>21</v>
      </c>
      <c r="CP304" s="838" t="s">
        <v>21</v>
      </c>
      <c r="CQ304" s="838" t="s">
        <v>21</v>
      </c>
      <c r="CR304" s="836"/>
    </row>
    <row r="305" spans="1:96" x14ac:dyDescent="0.25">
      <c r="A305" s="935"/>
      <c r="B305" s="932" t="s">
        <v>2270</v>
      </c>
      <c r="C305" s="911">
        <v>600</v>
      </c>
      <c r="D305" s="911" t="s">
        <v>2116</v>
      </c>
      <c r="E305" s="912">
        <v>1162.6400000000001</v>
      </c>
      <c r="F305" s="912">
        <v>1160.74</v>
      </c>
      <c r="G305" s="932" t="s">
        <v>2292</v>
      </c>
      <c r="H305" s="912">
        <v>1161.51</v>
      </c>
      <c r="I305" s="912">
        <v>1159.6099999999999</v>
      </c>
      <c r="J305" s="914">
        <v>36.770000000000003</v>
      </c>
      <c r="K305" s="915"/>
      <c r="L305" s="916">
        <v>0.1</v>
      </c>
      <c r="M305" s="916">
        <v>0.06</v>
      </c>
      <c r="N305" s="916">
        <v>0.2</v>
      </c>
      <c r="O305" s="916">
        <v>4.84</v>
      </c>
      <c r="P305" s="915"/>
      <c r="Q305" s="916">
        <v>2.16</v>
      </c>
      <c r="R305" s="917">
        <v>0.33333333333333331</v>
      </c>
      <c r="S305" s="918">
        <v>1.4</v>
      </c>
      <c r="T305" s="918">
        <v>2.84</v>
      </c>
      <c r="U305" s="916">
        <v>4.5540000000000003</v>
      </c>
      <c r="V305" s="916">
        <v>0.92</v>
      </c>
      <c r="W305" s="915"/>
      <c r="X305" s="916">
        <v>0.28299999999999997</v>
      </c>
      <c r="Y305" s="916">
        <v>0.40699999999999997</v>
      </c>
      <c r="Z305" s="916">
        <v>4.5789999999999997</v>
      </c>
      <c r="AA305" s="916">
        <v>1.0229999999999999</v>
      </c>
      <c r="AB305" s="916">
        <v>3.0089999999999999</v>
      </c>
      <c r="AC305" s="915"/>
      <c r="AD305" s="919">
        <v>177.96700000000001</v>
      </c>
      <c r="AE305" s="920">
        <v>168.37</v>
      </c>
      <c r="AF305" s="920" t="s">
        <v>21</v>
      </c>
      <c r="AG305" s="920" t="s">
        <v>21</v>
      </c>
      <c r="AH305" s="921">
        <v>168.37</v>
      </c>
      <c r="AI305" s="921" t="s">
        <v>21</v>
      </c>
      <c r="AJ305" s="920" t="s">
        <v>21</v>
      </c>
      <c r="AK305" s="920" t="s">
        <v>21</v>
      </c>
      <c r="AL305" s="921" t="s">
        <v>21</v>
      </c>
      <c r="AM305" s="921" t="s">
        <v>21</v>
      </c>
      <c r="AN305" s="920"/>
      <c r="AO305" s="920" t="s">
        <v>21</v>
      </c>
      <c r="AP305" s="919">
        <v>51.478000000000002</v>
      </c>
      <c r="AQ305" s="933">
        <v>167.45058000000003</v>
      </c>
      <c r="AR305" s="925" t="s">
        <v>21</v>
      </c>
      <c r="AS305" s="925">
        <v>167.45058000000003</v>
      </c>
      <c r="AT305" s="925" t="s">
        <v>21</v>
      </c>
      <c r="AU305" s="925" t="s">
        <v>21</v>
      </c>
      <c r="AV305" s="926" t="s">
        <v>21</v>
      </c>
      <c r="AW305" s="926" t="s">
        <v>21</v>
      </c>
      <c r="AX305" s="926" t="s">
        <v>21</v>
      </c>
      <c r="AY305" s="926" t="s">
        <v>21</v>
      </c>
      <c r="AZ305" s="925" t="s">
        <v>21</v>
      </c>
      <c r="BA305" s="925"/>
      <c r="BB305" s="919">
        <v>5.1479999999999997</v>
      </c>
      <c r="BC305" s="919" t="s">
        <v>21</v>
      </c>
      <c r="BD305" s="919" t="s">
        <v>2142</v>
      </c>
      <c r="BE305" s="925" t="s">
        <v>21</v>
      </c>
      <c r="BF305" s="926" t="s">
        <v>21</v>
      </c>
      <c r="BG305" s="925">
        <v>36.770000000000003</v>
      </c>
      <c r="BH305" s="926" t="s">
        <v>21</v>
      </c>
      <c r="BI305" s="925" t="s">
        <v>21</v>
      </c>
      <c r="BJ305" s="926" t="s">
        <v>21</v>
      </c>
      <c r="BK305" s="925" t="s">
        <v>21</v>
      </c>
      <c r="BL305" s="926" t="s">
        <v>21</v>
      </c>
      <c r="BM305" s="925" t="s">
        <v>21</v>
      </c>
      <c r="BN305" s="927"/>
      <c r="BO305" s="927"/>
      <c r="BP305" s="928">
        <v>1</v>
      </c>
      <c r="BQ305" s="928" t="s">
        <v>21</v>
      </c>
      <c r="BR305" s="928" t="s">
        <v>21</v>
      </c>
      <c r="BS305" s="928" t="s">
        <v>21</v>
      </c>
      <c r="BT305" s="928" t="s">
        <v>21</v>
      </c>
      <c r="BU305" s="928" t="s">
        <v>21</v>
      </c>
      <c r="BV305" s="934">
        <v>0.50000000000009104</v>
      </c>
      <c r="BW305" s="934">
        <v>1</v>
      </c>
      <c r="BX305" s="1104">
        <v>2</v>
      </c>
      <c r="BY305" s="931">
        <v>4</v>
      </c>
      <c r="BZ305" s="930" t="s">
        <v>21</v>
      </c>
      <c r="CA305" s="1074">
        <v>1</v>
      </c>
      <c r="CB305" s="930" t="s">
        <v>21</v>
      </c>
      <c r="CC305" s="930" t="s">
        <v>21</v>
      </c>
      <c r="CD305" s="925">
        <v>37.616</v>
      </c>
      <c r="CE305" s="1130">
        <v>110.64100000000001</v>
      </c>
      <c r="CF305" s="1129" t="s">
        <v>21</v>
      </c>
      <c r="CG305" s="1130" t="s">
        <v>21</v>
      </c>
      <c r="CH305" s="1130" t="s">
        <v>21</v>
      </c>
      <c r="CI305" s="1131" t="s">
        <v>21</v>
      </c>
      <c r="CJ305" s="1129" t="s">
        <v>21</v>
      </c>
      <c r="CK305" s="1130">
        <v>110.64100000000001</v>
      </c>
      <c r="CL305" s="1130" t="s">
        <v>21</v>
      </c>
      <c r="CM305" s="1131" t="s">
        <v>21</v>
      </c>
      <c r="CN305" s="1130" t="s">
        <v>21</v>
      </c>
      <c r="CP305" s="838" t="s">
        <v>21</v>
      </c>
      <c r="CQ305" s="838" t="s">
        <v>21</v>
      </c>
      <c r="CR305" s="836"/>
    </row>
    <row r="306" spans="1:96" x14ac:dyDescent="0.25">
      <c r="A306" s="935"/>
      <c r="B306" s="932" t="s">
        <v>2292</v>
      </c>
      <c r="C306" s="911">
        <v>600</v>
      </c>
      <c r="D306" s="911" t="s">
        <v>2116</v>
      </c>
      <c r="E306" s="912">
        <v>1161.51</v>
      </c>
      <c r="F306" s="912">
        <v>1159.56</v>
      </c>
      <c r="G306" s="932" t="s">
        <v>2293</v>
      </c>
      <c r="H306" s="912">
        <v>1161.08</v>
      </c>
      <c r="I306" s="912">
        <v>1159.18</v>
      </c>
      <c r="J306" s="914">
        <v>16.21</v>
      </c>
      <c r="K306" s="915"/>
      <c r="L306" s="916">
        <v>0.1</v>
      </c>
      <c r="M306" s="916">
        <v>0.06</v>
      </c>
      <c r="N306" s="916">
        <v>0.2</v>
      </c>
      <c r="O306" s="916">
        <v>4.8570000000000002</v>
      </c>
      <c r="P306" s="915"/>
      <c r="Q306" s="916">
        <v>2.1850000000000001</v>
      </c>
      <c r="R306" s="917">
        <v>0.33333333333333331</v>
      </c>
      <c r="S306" s="918">
        <v>1.4</v>
      </c>
      <c r="T306" s="918">
        <v>2.8570000000000002</v>
      </c>
      <c r="U306" s="916">
        <v>4.6059999999999999</v>
      </c>
      <c r="V306" s="916">
        <v>0.92</v>
      </c>
      <c r="W306" s="915"/>
      <c r="X306" s="916">
        <v>0.28299999999999997</v>
      </c>
      <c r="Y306" s="916">
        <v>0.40699999999999997</v>
      </c>
      <c r="Z306" s="916">
        <v>4.6509999999999998</v>
      </c>
      <c r="AA306" s="916">
        <v>1.0229999999999999</v>
      </c>
      <c r="AB306" s="916">
        <v>3.081</v>
      </c>
      <c r="AC306" s="915"/>
      <c r="AD306" s="919">
        <v>78.731999999999999</v>
      </c>
      <c r="AE306" s="920">
        <v>75.393000000000001</v>
      </c>
      <c r="AF306" s="920" t="s">
        <v>21</v>
      </c>
      <c r="AG306" s="920" t="s">
        <v>21</v>
      </c>
      <c r="AH306" s="921">
        <v>75.393000000000001</v>
      </c>
      <c r="AI306" s="921" t="s">
        <v>21</v>
      </c>
      <c r="AJ306" s="920" t="s">
        <v>21</v>
      </c>
      <c r="AK306" s="920" t="s">
        <v>21</v>
      </c>
      <c r="AL306" s="921" t="s">
        <v>21</v>
      </c>
      <c r="AM306" s="921" t="s">
        <v>21</v>
      </c>
      <c r="AN306" s="920"/>
      <c r="AO306" s="920" t="s">
        <v>21</v>
      </c>
      <c r="AP306" s="919">
        <v>22.693999999999999</v>
      </c>
      <c r="AQ306" s="933">
        <v>74.663260000000008</v>
      </c>
      <c r="AR306" s="925" t="s">
        <v>21</v>
      </c>
      <c r="AS306" s="925">
        <v>74.663260000000008</v>
      </c>
      <c r="AT306" s="925" t="s">
        <v>21</v>
      </c>
      <c r="AU306" s="925" t="s">
        <v>21</v>
      </c>
      <c r="AV306" s="926" t="s">
        <v>21</v>
      </c>
      <c r="AW306" s="926" t="s">
        <v>21</v>
      </c>
      <c r="AX306" s="926" t="s">
        <v>21</v>
      </c>
      <c r="AY306" s="926" t="s">
        <v>21</v>
      </c>
      <c r="AZ306" s="925" t="s">
        <v>21</v>
      </c>
      <c r="BA306" s="925"/>
      <c r="BB306" s="919">
        <v>2.2690000000000001</v>
      </c>
      <c r="BC306" s="919" t="s">
        <v>21</v>
      </c>
      <c r="BD306" s="919" t="s">
        <v>2142</v>
      </c>
      <c r="BE306" s="925" t="s">
        <v>21</v>
      </c>
      <c r="BF306" s="926" t="s">
        <v>21</v>
      </c>
      <c r="BG306" s="925">
        <v>16.21</v>
      </c>
      <c r="BH306" s="926" t="s">
        <v>21</v>
      </c>
      <c r="BI306" s="925" t="s">
        <v>21</v>
      </c>
      <c r="BJ306" s="926" t="s">
        <v>21</v>
      </c>
      <c r="BK306" s="925" t="s">
        <v>21</v>
      </c>
      <c r="BL306" s="926" t="s">
        <v>21</v>
      </c>
      <c r="BM306" s="925" t="s">
        <v>21</v>
      </c>
      <c r="BN306" s="927"/>
      <c r="BO306" s="927"/>
      <c r="BP306" s="928">
        <v>1</v>
      </c>
      <c r="BQ306" s="928" t="s">
        <v>21</v>
      </c>
      <c r="BR306" s="928" t="s">
        <v>21</v>
      </c>
      <c r="BS306" s="928" t="s">
        <v>21</v>
      </c>
      <c r="BT306" s="928" t="s">
        <v>21</v>
      </c>
      <c r="BU306" s="928" t="s">
        <v>21</v>
      </c>
      <c r="BV306" s="934">
        <v>0.55000000000004556</v>
      </c>
      <c r="BW306" s="934">
        <v>1</v>
      </c>
      <c r="BX306" s="1104">
        <v>2</v>
      </c>
      <c r="BY306" s="931">
        <v>4</v>
      </c>
      <c r="BZ306" s="930" t="s">
        <v>21</v>
      </c>
      <c r="CA306" s="1074" t="s">
        <v>21</v>
      </c>
      <c r="CB306" s="930" t="s">
        <v>21</v>
      </c>
      <c r="CC306" s="930" t="s">
        <v>21</v>
      </c>
      <c r="CD306" s="925">
        <v>16.582999999999998</v>
      </c>
      <c r="CE306" s="1130">
        <v>49.942999999999998</v>
      </c>
      <c r="CF306" s="1129" t="s">
        <v>21</v>
      </c>
      <c r="CG306" s="1130" t="s">
        <v>21</v>
      </c>
      <c r="CH306" s="1130" t="s">
        <v>21</v>
      </c>
      <c r="CI306" s="1131" t="s">
        <v>21</v>
      </c>
      <c r="CJ306" s="1129" t="s">
        <v>21</v>
      </c>
      <c r="CK306" s="1130">
        <v>49.942999999999998</v>
      </c>
      <c r="CL306" s="1130" t="s">
        <v>21</v>
      </c>
      <c r="CM306" s="1131" t="s">
        <v>21</v>
      </c>
      <c r="CN306" s="1130" t="s">
        <v>21</v>
      </c>
      <c r="CP306" s="838" t="s">
        <v>21</v>
      </c>
      <c r="CQ306" s="838" t="s">
        <v>21</v>
      </c>
      <c r="CR306" s="836"/>
    </row>
    <row r="307" spans="1:96" x14ac:dyDescent="0.25">
      <c r="A307" s="935"/>
      <c r="B307" s="932" t="s">
        <v>2293</v>
      </c>
      <c r="C307" s="911">
        <v>600</v>
      </c>
      <c r="D307" s="911" t="s">
        <v>2116</v>
      </c>
      <c r="E307" s="912">
        <v>1161.08</v>
      </c>
      <c r="F307" s="912">
        <v>1158.98</v>
      </c>
      <c r="G307" s="910" t="s">
        <v>2422</v>
      </c>
      <c r="H307" s="912">
        <v>1160.5</v>
      </c>
      <c r="I307" s="912">
        <v>1158.5999999999999</v>
      </c>
      <c r="J307" s="914">
        <v>11.7</v>
      </c>
      <c r="K307" s="915"/>
      <c r="L307" s="916">
        <v>0.1</v>
      </c>
      <c r="M307" s="916">
        <v>0.06</v>
      </c>
      <c r="N307" s="916">
        <v>0.2</v>
      </c>
      <c r="O307" s="916">
        <v>4.907</v>
      </c>
      <c r="P307" s="915"/>
      <c r="Q307" s="916">
        <v>2.2599999999999998</v>
      </c>
      <c r="R307" s="917">
        <v>0.33333333333333331</v>
      </c>
      <c r="S307" s="918">
        <v>1.4</v>
      </c>
      <c r="T307" s="918">
        <v>2.907</v>
      </c>
      <c r="U307" s="916">
        <v>4.7640000000000002</v>
      </c>
      <c r="V307" s="916">
        <v>0.92</v>
      </c>
      <c r="W307" s="915"/>
      <c r="X307" s="916">
        <v>0.28299999999999997</v>
      </c>
      <c r="Y307" s="916">
        <v>0.40699999999999997</v>
      </c>
      <c r="Z307" s="916">
        <v>4.867</v>
      </c>
      <c r="AA307" s="916">
        <v>1.0229999999999999</v>
      </c>
      <c r="AB307" s="916">
        <v>3.2970000000000002</v>
      </c>
      <c r="AC307" s="915"/>
      <c r="AD307" s="919">
        <v>57.411999999999999</v>
      </c>
      <c r="AE307" s="920">
        <v>56.944000000000003</v>
      </c>
      <c r="AF307" s="920" t="s">
        <v>21</v>
      </c>
      <c r="AG307" s="920" t="s">
        <v>21</v>
      </c>
      <c r="AH307" s="921">
        <v>56.944000000000003</v>
      </c>
      <c r="AI307" s="921" t="s">
        <v>21</v>
      </c>
      <c r="AJ307" s="920" t="s">
        <v>21</v>
      </c>
      <c r="AK307" s="920" t="s">
        <v>21</v>
      </c>
      <c r="AL307" s="921" t="s">
        <v>21</v>
      </c>
      <c r="AM307" s="921" t="s">
        <v>21</v>
      </c>
      <c r="AN307" s="920"/>
      <c r="AO307" s="920" t="s">
        <v>21</v>
      </c>
      <c r="AP307" s="919">
        <v>16.38</v>
      </c>
      <c r="AQ307" s="933">
        <v>55.738799999999998</v>
      </c>
      <c r="AR307" s="925" t="s">
        <v>21</v>
      </c>
      <c r="AS307" s="925">
        <v>55.738799999999998</v>
      </c>
      <c r="AT307" s="925" t="s">
        <v>21</v>
      </c>
      <c r="AU307" s="925" t="s">
        <v>21</v>
      </c>
      <c r="AV307" s="926" t="s">
        <v>21</v>
      </c>
      <c r="AW307" s="926" t="s">
        <v>21</v>
      </c>
      <c r="AX307" s="926" t="s">
        <v>21</v>
      </c>
      <c r="AY307" s="926" t="s">
        <v>21</v>
      </c>
      <c r="AZ307" s="925" t="s">
        <v>21</v>
      </c>
      <c r="BA307" s="925"/>
      <c r="BB307" s="919">
        <v>1.6379999999999999</v>
      </c>
      <c r="BC307" s="919" t="s">
        <v>21</v>
      </c>
      <c r="BD307" s="919" t="s">
        <v>2142</v>
      </c>
      <c r="BE307" s="925" t="s">
        <v>21</v>
      </c>
      <c r="BF307" s="926" t="s">
        <v>21</v>
      </c>
      <c r="BG307" s="925">
        <v>11.7</v>
      </c>
      <c r="BH307" s="926" t="s">
        <v>21</v>
      </c>
      <c r="BI307" s="925" t="s">
        <v>21</v>
      </c>
      <c r="BJ307" s="926" t="s">
        <v>21</v>
      </c>
      <c r="BK307" s="925" t="s">
        <v>21</v>
      </c>
      <c r="BL307" s="926" t="s">
        <v>21</v>
      </c>
      <c r="BM307" s="925" t="s">
        <v>21</v>
      </c>
      <c r="BN307" s="927"/>
      <c r="BO307" s="927"/>
      <c r="BP307" s="928">
        <v>1</v>
      </c>
      <c r="BQ307" s="928" t="s">
        <v>21</v>
      </c>
      <c r="BR307" s="928" t="s">
        <v>21</v>
      </c>
      <c r="BS307" s="928" t="s">
        <v>21</v>
      </c>
      <c r="BT307" s="928" t="s">
        <v>21</v>
      </c>
      <c r="BU307" s="928" t="s">
        <v>21</v>
      </c>
      <c r="BV307" s="934">
        <v>0.69999999999990914</v>
      </c>
      <c r="BW307" s="934">
        <v>1</v>
      </c>
      <c r="BX307" s="1104">
        <v>2</v>
      </c>
      <c r="BY307" s="931">
        <v>4</v>
      </c>
      <c r="BZ307" s="930" t="s">
        <v>21</v>
      </c>
      <c r="CA307" s="1074">
        <v>1</v>
      </c>
      <c r="CB307" s="930" t="s">
        <v>21</v>
      </c>
      <c r="CC307" s="930" t="s">
        <v>21</v>
      </c>
      <c r="CD307" s="925">
        <v>11.968999999999999</v>
      </c>
      <c r="CE307" s="1130">
        <v>38.575000000000003</v>
      </c>
      <c r="CF307" s="1129" t="s">
        <v>21</v>
      </c>
      <c r="CG307" s="1130" t="s">
        <v>21</v>
      </c>
      <c r="CH307" s="1130" t="s">
        <v>21</v>
      </c>
      <c r="CI307" s="1131" t="s">
        <v>21</v>
      </c>
      <c r="CJ307" s="1129" t="s">
        <v>21</v>
      </c>
      <c r="CK307" s="1130">
        <v>38.575000000000003</v>
      </c>
      <c r="CL307" s="1130" t="s">
        <v>21</v>
      </c>
      <c r="CM307" s="1131" t="s">
        <v>21</v>
      </c>
      <c r="CN307" s="1130" t="s">
        <v>21</v>
      </c>
      <c r="CP307" s="838" t="s">
        <v>21</v>
      </c>
      <c r="CQ307" s="838" t="s">
        <v>21</v>
      </c>
      <c r="CR307" s="836"/>
    </row>
    <row r="308" spans="1:96" x14ac:dyDescent="0.25">
      <c r="A308" s="935"/>
      <c r="B308" s="932"/>
      <c r="C308" s="911"/>
      <c r="D308" s="911"/>
      <c r="E308" s="912"/>
      <c r="F308" s="912"/>
      <c r="G308" s="910"/>
      <c r="H308" s="912"/>
      <c r="I308" s="912"/>
      <c r="J308" s="914"/>
      <c r="K308" s="915"/>
      <c r="L308" s="916" t="s">
        <v>21</v>
      </c>
      <c r="M308" s="916" t="s">
        <v>21</v>
      </c>
      <c r="N308" s="916" t="s">
        <v>21</v>
      </c>
      <c r="O308" s="916" t="s">
        <v>21</v>
      </c>
      <c r="P308" s="915"/>
      <c r="Q308" s="916" t="s">
        <v>21</v>
      </c>
      <c r="R308" s="917" t="s">
        <v>21</v>
      </c>
      <c r="S308" s="918" t="s">
        <v>21</v>
      </c>
      <c r="T308" s="918" t="s">
        <v>21</v>
      </c>
      <c r="U308" s="916" t="s">
        <v>21</v>
      </c>
      <c r="V308" s="916" t="s">
        <v>21</v>
      </c>
      <c r="W308" s="915"/>
      <c r="X308" s="916" t="s">
        <v>21</v>
      </c>
      <c r="Y308" s="916" t="s">
        <v>21</v>
      </c>
      <c r="Z308" s="916" t="s">
        <v>21</v>
      </c>
      <c r="AA308" s="916" t="s">
        <v>21</v>
      </c>
      <c r="AB308" s="916" t="s">
        <v>21</v>
      </c>
      <c r="AC308" s="915"/>
      <c r="AD308" s="919" t="s">
        <v>21</v>
      </c>
      <c r="AE308" s="920" t="s">
        <v>21</v>
      </c>
      <c r="AF308" s="920" t="s">
        <v>21</v>
      </c>
      <c r="AG308" s="920" t="s">
        <v>21</v>
      </c>
      <c r="AH308" s="921" t="s">
        <v>21</v>
      </c>
      <c r="AI308" s="921" t="s">
        <v>21</v>
      </c>
      <c r="AJ308" s="920" t="s">
        <v>21</v>
      </c>
      <c r="AK308" s="920" t="s">
        <v>21</v>
      </c>
      <c r="AL308" s="921" t="s">
        <v>21</v>
      </c>
      <c r="AM308" s="921" t="s">
        <v>21</v>
      </c>
      <c r="AN308" s="920"/>
      <c r="AO308" s="920" t="s">
        <v>21</v>
      </c>
      <c r="AP308" s="919" t="s">
        <v>21</v>
      </c>
      <c r="AQ308" s="933" t="s">
        <v>21</v>
      </c>
      <c r="AR308" s="925" t="s">
        <v>21</v>
      </c>
      <c r="AS308" s="925" t="s">
        <v>21</v>
      </c>
      <c r="AT308" s="925" t="s">
        <v>21</v>
      </c>
      <c r="AU308" s="925" t="s">
        <v>21</v>
      </c>
      <c r="AV308" s="926" t="s">
        <v>21</v>
      </c>
      <c r="AW308" s="926" t="s">
        <v>21</v>
      </c>
      <c r="AX308" s="926" t="s">
        <v>21</v>
      </c>
      <c r="AY308" s="926" t="s">
        <v>21</v>
      </c>
      <c r="AZ308" s="925" t="s">
        <v>21</v>
      </c>
      <c r="BA308" s="925"/>
      <c r="BB308" s="919" t="s">
        <v>21</v>
      </c>
      <c r="BC308" s="919" t="s">
        <v>21</v>
      </c>
      <c r="BD308" s="919" t="s">
        <v>21</v>
      </c>
      <c r="BE308" s="925" t="s">
        <v>21</v>
      </c>
      <c r="BF308" s="926" t="s">
        <v>21</v>
      </c>
      <c r="BG308" s="925" t="s">
        <v>21</v>
      </c>
      <c r="BH308" s="926" t="s">
        <v>21</v>
      </c>
      <c r="BI308" s="925" t="s">
        <v>21</v>
      </c>
      <c r="BJ308" s="926" t="s">
        <v>21</v>
      </c>
      <c r="BK308" s="925" t="s">
        <v>21</v>
      </c>
      <c r="BL308" s="926" t="s">
        <v>21</v>
      </c>
      <c r="BM308" s="925" t="s">
        <v>21</v>
      </c>
      <c r="BN308" s="927"/>
      <c r="BO308" s="927"/>
      <c r="BP308" s="928" t="s">
        <v>21</v>
      </c>
      <c r="BQ308" s="928" t="s">
        <v>21</v>
      </c>
      <c r="BR308" s="928" t="s">
        <v>21</v>
      </c>
      <c r="BS308" s="928" t="s">
        <v>21</v>
      </c>
      <c r="BT308" s="928" t="s">
        <v>21</v>
      </c>
      <c r="BU308" s="928" t="s">
        <v>21</v>
      </c>
      <c r="BV308" s="934" t="s">
        <v>21</v>
      </c>
      <c r="BW308" s="934" t="s">
        <v>21</v>
      </c>
      <c r="BX308" s="1104" t="s">
        <v>21</v>
      </c>
      <c r="BY308" s="931" t="s">
        <v>21</v>
      </c>
      <c r="BZ308" s="930" t="s">
        <v>21</v>
      </c>
      <c r="CA308" s="1074" t="s">
        <v>21</v>
      </c>
      <c r="CB308" s="930" t="s">
        <v>21</v>
      </c>
      <c r="CC308" s="930" t="s">
        <v>21</v>
      </c>
      <c r="CD308" s="925" t="s">
        <v>21</v>
      </c>
      <c r="CE308" s="1130" t="s">
        <v>21</v>
      </c>
      <c r="CF308" s="1129" t="s">
        <v>21</v>
      </c>
      <c r="CG308" s="1130" t="s">
        <v>21</v>
      </c>
      <c r="CH308" s="1130" t="s">
        <v>21</v>
      </c>
      <c r="CI308" s="1131" t="s">
        <v>21</v>
      </c>
      <c r="CJ308" s="1129" t="s">
        <v>21</v>
      </c>
      <c r="CK308" s="1130" t="s">
        <v>21</v>
      </c>
      <c r="CL308" s="1130" t="s">
        <v>21</v>
      </c>
      <c r="CM308" s="1131" t="s">
        <v>21</v>
      </c>
      <c r="CN308" s="1130" t="s">
        <v>21</v>
      </c>
      <c r="CP308" s="838" t="s">
        <v>21</v>
      </c>
      <c r="CQ308" s="838" t="s">
        <v>21</v>
      </c>
      <c r="CR308" s="836"/>
    </row>
    <row r="309" spans="1:96" x14ac:dyDescent="0.25">
      <c r="A309" s="935" t="s">
        <v>2543</v>
      </c>
      <c r="B309" s="932" t="s">
        <v>2240</v>
      </c>
      <c r="C309" s="911">
        <v>600</v>
      </c>
      <c r="D309" s="911" t="s">
        <v>2116</v>
      </c>
      <c r="E309" s="912">
        <v>1161.46</v>
      </c>
      <c r="F309" s="912">
        <v>1159.56</v>
      </c>
      <c r="G309" s="910" t="s">
        <v>2293</v>
      </c>
      <c r="H309" s="912">
        <v>1161.08</v>
      </c>
      <c r="I309" s="912">
        <v>1159.18</v>
      </c>
      <c r="J309" s="914">
        <v>39.04</v>
      </c>
      <c r="K309" s="915"/>
      <c r="L309" s="916">
        <v>0.1</v>
      </c>
      <c r="M309" s="916">
        <v>0.06</v>
      </c>
      <c r="N309" s="916">
        <v>0.2</v>
      </c>
      <c r="O309" s="916">
        <v>4.84</v>
      </c>
      <c r="P309" s="915"/>
      <c r="Q309" s="916">
        <v>2.16</v>
      </c>
      <c r="R309" s="917">
        <v>0.33333333333333331</v>
      </c>
      <c r="S309" s="918">
        <v>1.4</v>
      </c>
      <c r="T309" s="918">
        <v>2.84</v>
      </c>
      <c r="U309" s="916">
        <v>4.5540000000000003</v>
      </c>
      <c r="V309" s="916">
        <v>0.92</v>
      </c>
      <c r="W309" s="915"/>
      <c r="X309" s="916">
        <v>0.28299999999999997</v>
      </c>
      <c r="Y309" s="916">
        <v>0.40699999999999997</v>
      </c>
      <c r="Z309" s="916">
        <v>4.5789999999999997</v>
      </c>
      <c r="AA309" s="916">
        <v>1.0229999999999999</v>
      </c>
      <c r="AB309" s="916">
        <v>3.0089999999999999</v>
      </c>
      <c r="AC309" s="915"/>
      <c r="AD309" s="919">
        <v>188.95400000000001</v>
      </c>
      <c r="AE309" s="920">
        <v>178.76400000000001</v>
      </c>
      <c r="AF309" s="920" t="s">
        <v>21</v>
      </c>
      <c r="AG309" s="920" t="s">
        <v>21</v>
      </c>
      <c r="AH309" s="921">
        <v>178.76400000000001</v>
      </c>
      <c r="AI309" s="921" t="s">
        <v>21</v>
      </c>
      <c r="AJ309" s="920" t="s">
        <v>21</v>
      </c>
      <c r="AK309" s="920" t="s">
        <v>21</v>
      </c>
      <c r="AL309" s="921" t="s">
        <v>21</v>
      </c>
      <c r="AM309" s="921" t="s">
        <v>21</v>
      </c>
      <c r="AN309" s="920"/>
      <c r="AO309" s="920" t="s">
        <v>21</v>
      </c>
      <c r="AP309" s="919">
        <v>54.655999999999999</v>
      </c>
      <c r="AQ309" s="933">
        <v>177.78816</v>
      </c>
      <c r="AR309" s="925" t="s">
        <v>21</v>
      </c>
      <c r="AS309" s="925">
        <v>177.78816</v>
      </c>
      <c r="AT309" s="925" t="s">
        <v>21</v>
      </c>
      <c r="AU309" s="925" t="s">
        <v>21</v>
      </c>
      <c r="AV309" s="926" t="s">
        <v>21</v>
      </c>
      <c r="AW309" s="926" t="s">
        <v>21</v>
      </c>
      <c r="AX309" s="926" t="s">
        <v>21</v>
      </c>
      <c r="AY309" s="926" t="s">
        <v>21</v>
      </c>
      <c r="AZ309" s="925" t="s">
        <v>21</v>
      </c>
      <c r="BA309" s="925"/>
      <c r="BB309" s="919">
        <v>5.4660000000000002</v>
      </c>
      <c r="BC309" s="919" t="s">
        <v>21</v>
      </c>
      <c r="BD309" s="919" t="s">
        <v>2142</v>
      </c>
      <c r="BE309" s="925" t="s">
        <v>21</v>
      </c>
      <c r="BF309" s="926" t="s">
        <v>21</v>
      </c>
      <c r="BG309" s="925">
        <v>39.04</v>
      </c>
      <c r="BH309" s="926" t="s">
        <v>21</v>
      </c>
      <c r="BI309" s="925" t="s">
        <v>21</v>
      </c>
      <c r="BJ309" s="926" t="s">
        <v>21</v>
      </c>
      <c r="BK309" s="925" t="s">
        <v>21</v>
      </c>
      <c r="BL309" s="926" t="s">
        <v>21</v>
      </c>
      <c r="BM309" s="925" t="s">
        <v>21</v>
      </c>
      <c r="BN309" s="927"/>
      <c r="BO309" s="927"/>
      <c r="BP309" s="928">
        <v>1</v>
      </c>
      <c r="BQ309" s="928" t="s">
        <v>21</v>
      </c>
      <c r="BR309" s="928" t="s">
        <v>21</v>
      </c>
      <c r="BS309" s="928" t="s">
        <v>21</v>
      </c>
      <c r="BT309" s="928" t="s">
        <v>21</v>
      </c>
      <c r="BU309" s="928" t="s">
        <v>21</v>
      </c>
      <c r="BV309" s="934">
        <v>0.50000000000009104</v>
      </c>
      <c r="BW309" s="934">
        <v>1</v>
      </c>
      <c r="BX309" s="1104">
        <v>2</v>
      </c>
      <c r="BY309" s="931">
        <v>4</v>
      </c>
      <c r="BZ309" s="930" t="s">
        <v>21</v>
      </c>
      <c r="CA309" s="1074" t="s">
        <v>21</v>
      </c>
      <c r="CB309" s="930">
        <v>1</v>
      </c>
      <c r="CC309" s="930" t="s">
        <v>21</v>
      </c>
      <c r="CD309" s="925">
        <v>39.938000000000002</v>
      </c>
      <c r="CE309" s="1130">
        <v>117.471</v>
      </c>
      <c r="CF309" s="1129" t="s">
        <v>21</v>
      </c>
      <c r="CG309" s="1130" t="s">
        <v>21</v>
      </c>
      <c r="CH309" s="1130" t="s">
        <v>21</v>
      </c>
      <c r="CI309" s="1131" t="s">
        <v>21</v>
      </c>
      <c r="CJ309" s="1129" t="s">
        <v>21</v>
      </c>
      <c r="CK309" s="1130">
        <v>117.471</v>
      </c>
      <c r="CL309" s="1130" t="s">
        <v>21</v>
      </c>
      <c r="CM309" s="1131" t="s">
        <v>21</v>
      </c>
      <c r="CN309" s="1130" t="s">
        <v>21</v>
      </c>
      <c r="CP309" s="838" t="s">
        <v>21</v>
      </c>
      <c r="CQ309" s="838" t="s">
        <v>21</v>
      </c>
      <c r="CR309" s="836"/>
    </row>
    <row r="310" spans="1:96" x14ac:dyDescent="0.25">
      <c r="A310" s="935"/>
      <c r="B310" s="932"/>
      <c r="C310" s="911"/>
      <c r="D310" s="911"/>
      <c r="E310" s="912"/>
      <c r="F310" s="912"/>
      <c r="G310" s="910"/>
      <c r="H310" s="912"/>
      <c r="I310" s="912"/>
      <c r="J310" s="914"/>
      <c r="K310" s="915"/>
      <c r="L310" s="916" t="s">
        <v>21</v>
      </c>
      <c r="M310" s="916" t="s">
        <v>21</v>
      </c>
      <c r="N310" s="916" t="s">
        <v>21</v>
      </c>
      <c r="O310" s="916" t="s">
        <v>21</v>
      </c>
      <c r="P310" s="915"/>
      <c r="Q310" s="916" t="s">
        <v>21</v>
      </c>
      <c r="R310" s="917" t="s">
        <v>21</v>
      </c>
      <c r="S310" s="918" t="s">
        <v>21</v>
      </c>
      <c r="T310" s="918" t="s">
        <v>21</v>
      </c>
      <c r="U310" s="916" t="s">
        <v>21</v>
      </c>
      <c r="V310" s="916" t="s">
        <v>21</v>
      </c>
      <c r="W310" s="915"/>
      <c r="X310" s="916" t="s">
        <v>21</v>
      </c>
      <c r="Y310" s="916" t="s">
        <v>21</v>
      </c>
      <c r="Z310" s="916" t="s">
        <v>21</v>
      </c>
      <c r="AA310" s="916" t="s">
        <v>21</v>
      </c>
      <c r="AB310" s="916" t="s">
        <v>21</v>
      </c>
      <c r="AC310" s="915"/>
      <c r="AD310" s="919" t="s">
        <v>21</v>
      </c>
      <c r="AE310" s="920" t="s">
        <v>21</v>
      </c>
      <c r="AF310" s="920" t="s">
        <v>21</v>
      </c>
      <c r="AG310" s="920" t="s">
        <v>21</v>
      </c>
      <c r="AH310" s="921" t="s">
        <v>21</v>
      </c>
      <c r="AI310" s="921" t="s">
        <v>21</v>
      </c>
      <c r="AJ310" s="920" t="s">
        <v>21</v>
      </c>
      <c r="AK310" s="920" t="s">
        <v>21</v>
      </c>
      <c r="AL310" s="921" t="s">
        <v>21</v>
      </c>
      <c r="AM310" s="921" t="s">
        <v>21</v>
      </c>
      <c r="AN310" s="920"/>
      <c r="AO310" s="920" t="s">
        <v>21</v>
      </c>
      <c r="AP310" s="919" t="s">
        <v>21</v>
      </c>
      <c r="AQ310" s="933" t="s">
        <v>21</v>
      </c>
      <c r="AR310" s="925" t="s">
        <v>21</v>
      </c>
      <c r="AS310" s="925" t="s">
        <v>21</v>
      </c>
      <c r="AT310" s="925" t="s">
        <v>21</v>
      </c>
      <c r="AU310" s="925" t="s">
        <v>21</v>
      </c>
      <c r="AV310" s="926" t="s">
        <v>21</v>
      </c>
      <c r="AW310" s="926" t="s">
        <v>21</v>
      </c>
      <c r="AX310" s="926" t="s">
        <v>21</v>
      </c>
      <c r="AY310" s="926" t="s">
        <v>21</v>
      </c>
      <c r="AZ310" s="925" t="s">
        <v>21</v>
      </c>
      <c r="BA310" s="925"/>
      <c r="BB310" s="919" t="s">
        <v>21</v>
      </c>
      <c r="BC310" s="919" t="s">
        <v>21</v>
      </c>
      <c r="BD310" s="919" t="s">
        <v>21</v>
      </c>
      <c r="BE310" s="925" t="s">
        <v>21</v>
      </c>
      <c r="BF310" s="926" t="s">
        <v>21</v>
      </c>
      <c r="BG310" s="925" t="s">
        <v>21</v>
      </c>
      <c r="BH310" s="926" t="s">
        <v>21</v>
      </c>
      <c r="BI310" s="925" t="s">
        <v>21</v>
      </c>
      <c r="BJ310" s="926" t="s">
        <v>21</v>
      </c>
      <c r="BK310" s="925" t="s">
        <v>21</v>
      </c>
      <c r="BL310" s="926" t="s">
        <v>21</v>
      </c>
      <c r="BM310" s="925" t="s">
        <v>21</v>
      </c>
      <c r="BN310" s="927"/>
      <c r="BO310" s="927"/>
      <c r="BP310" s="928" t="s">
        <v>21</v>
      </c>
      <c r="BQ310" s="928" t="s">
        <v>21</v>
      </c>
      <c r="BR310" s="928" t="s">
        <v>21</v>
      </c>
      <c r="BS310" s="928" t="s">
        <v>21</v>
      </c>
      <c r="BT310" s="928" t="s">
        <v>21</v>
      </c>
      <c r="BU310" s="928" t="s">
        <v>21</v>
      </c>
      <c r="BV310" s="934" t="s">
        <v>21</v>
      </c>
      <c r="BW310" s="934" t="s">
        <v>21</v>
      </c>
      <c r="BX310" s="1104" t="s">
        <v>21</v>
      </c>
      <c r="BY310" s="931" t="s">
        <v>21</v>
      </c>
      <c r="BZ310" s="930" t="s">
        <v>21</v>
      </c>
      <c r="CA310" s="1074" t="s">
        <v>21</v>
      </c>
      <c r="CB310" s="930" t="s">
        <v>21</v>
      </c>
      <c r="CC310" s="930" t="s">
        <v>21</v>
      </c>
      <c r="CD310" s="925" t="s">
        <v>21</v>
      </c>
      <c r="CE310" s="1130" t="s">
        <v>21</v>
      </c>
      <c r="CF310" s="1129" t="s">
        <v>21</v>
      </c>
      <c r="CG310" s="1130" t="s">
        <v>21</v>
      </c>
      <c r="CH310" s="1130" t="s">
        <v>21</v>
      </c>
      <c r="CI310" s="1131" t="s">
        <v>21</v>
      </c>
      <c r="CJ310" s="1129" t="s">
        <v>21</v>
      </c>
      <c r="CK310" s="1130" t="s">
        <v>21</v>
      </c>
      <c r="CL310" s="1130" t="s">
        <v>21</v>
      </c>
      <c r="CM310" s="1131" t="s">
        <v>21</v>
      </c>
      <c r="CN310" s="1130" t="s">
        <v>21</v>
      </c>
      <c r="CP310" s="838" t="s">
        <v>21</v>
      </c>
      <c r="CQ310" s="838" t="s">
        <v>21</v>
      </c>
      <c r="CR310" s="836"/>
    </row>
    <row r="311" spans="1:96" x14ac:dyDescent="0.25">
      <c r="A311" s="935" t="s">
        <v>2544</v>
      </c>
      <c r="B311" s="932" t="s">
        <v>2243</v>
      </c>
      <c r="C311" s="911">
        <v>600</v>
      </c>
      <c r="D311" s="911" t="s">
        <v>2116</v>
      </c>
      <c r="E311" s="912">
        <v>1159.5999999999999</v>
      </c>
      <c r="F311" s="912">
        <v>1157.5999999999999</v>
      </c>
      <c r="G311" s="910" t="s">
        <v>2271</v>
      </c>
      <c r="H311" s="912">
        <v>1159.75</v>
      </c>
      <c r="I311" s="912">
        <v>1157.55</v>
      </c>
      <c r="J311" s="914">
        <v>10</v>
      </c>
      <c r="K311" s="915"/>
      <c r="L311" s="916">
        <v>0.1</v>
      </c>
      <c r="M311" s="916">
        <v>0.06</v>
      </c>
      <c r="N311" s="916">
        <v>0.2</v>
      </c>
      <c r="O311" s="916">
        <v>4.9729999999999999</v>
      </c>
      <c r="P311" s="915"/>
      <c r="Q311" s="916">
        <v>2.36</v>
      </c>
      <c r="R311" s="917">
        <v>0.33333333333333331</v>
      </c>
      <c r="S311" s="918">
        <v>1.4</v>
      </c>
      <c r="T311" s="918">
        <v>2.9729999999999999</v>
      </c>
      <c r="U311" s="916">
        <v>4.9749999999999996</v>
      </c>
      <c r="V311" s="916">
        <v>0.92</v>
      </c>
      <c r="W311" s="915"/>
      <c r="X311" s="916">
        <v>0.28299999999999997</v>
      </c>
      <c r="Y311" s="916">
        <v>0.40699999999999997</v>
      </c>
      <c r="Z311" s="916">
        <v>5.16</v>
      </c>
      <c r="AA311" s="916">
        <v>1.0229999999999999</v>
      </c>
      <c r="AB311" s="916">
        <v>3.59</v>
      </c>
      <c r="AC311" s="915"/>
      <c r="AD311" s="919">
        <v>49.73</v>
      </c>
      <c r="AE311" s="920">
        <v>51.6</v>
      </c>
      <c r="AF311" s="920" t="s">
        <v>21</v>
      </c>
      <c r="AG311" s="920" t="s">
        <v>21</v>
      </c>
      <c r="AH311" s="921">
        <v>51.6</v>
      </c>
      <c r="AI311" s="921" t="s">
        <v>21</v>
      </c>
      <c r="AJ311" s="920" t="s">
        <v>21</v>
      </c>
      <c r="AK311" s="920" t="s">
        <v>21</v>
      </c>
      <c r="AL311" s="921" t="s">
        <v>21</v>
      </c>
      <c r="AM311" s="921" t="s">
        <v>21</v>
      </c>
      <c r="AN311" s="920"/>
      <c r="AO311" s="920" t="s">
        <v>21</v>
      </c>
      <c r="AP311" s="919">
        <v>14</v>
      </c>
      <c r="AQ311" s="933">
        <v>49.75</v>
      </c>
      <c r="AR311" s="925" t="s">
        <v>21</v>
      </c>
      <c r="AS311" s="925">
        <v>49.75</v>
      </c>
      <c r="AT311" s="925" t="s">
        <v>21</v>
      </c>
      <c r="AU311" s="925" t="s">
        <v>21</v>
      </c>
      <c r="AV311" s="926" t="s">
        <v>21</v>
      </c>
      <c r="AW311" s="926" t="s">
        <v>21</v>
      </c>
      <c r="AX311" s="926" t="s">
        <v>21</v>
      </c>
      <c r="AY311" s="926" t="s">
        <v>21</v>
      </c>
      <c r="AZ311" s="925" t="s">
        <v>21</v>
      </c>
      <c r="BA311" s="925"/>
      <c r="BB311" s="919">
        <v>1.4</v>
      </c>
      <c r="BC311" s="919" t="s">
        <v>21</v>
      </c>
      <c r="BD311" s="919" t="s">
        <v>2142</v>
      </c>
      <c r="BE311" s="925" t="s">
        <v>21</v>
      </c>
      <c r="BF311" s="926" t="s">
        <v>21</v>
      </c>
      <c r="BG311" s="925">
        <v>10</v>
      </c>
      <c r="BH311" s="926" t="s">
        <v>21</v>
      </c>
      <c r="BI311" s="925" t="s">
        <v>21</v>
      </c>
      <c r="BJ311" s="926" t="s">
        <v>21</v>
      </c>
      <c r="BK311" s="925" t="s">
        <v>21</v>
      </c>
      <c r="BL311" s="926" t="s">
        <v>21</v>
      </c>
      <c r="BM311" s="925" t="s">
        <v>21</v>
      </c>
      <c r="BN311" s="927"/>
      <c r="BO311" s="927"/>
      <c r="BP311" s="928">
        <v>1</v>
      </c>
      <c r="BQ311" s="928" t="s">
        <v>21</v>
      </c>
      <c r="BR311" s="928" t="s">
        <v>21</v>
      </c>
      <c r="BS311" s="928" t="s">
        <v>21</v>
      </c>
      <c r="BT311" s="928" t="s">
        <v>21</v>
      </c>
      <c r="BU311" s="928" t="s">
        <v>21</v>
      </c>
      <c r="BV311" s="934">
        <v>0.60000000000000009</v>
      </c>
      <c r="BW311" s="934">
        <v>1</v>
      </c>
      <c r="BX311" s="1104">
        <v>2</v>
      </c>
      <c r="BY311" s="931">
        <v>4</v>
      </c>
      <c r="BZ311" s="930">
        <v>1</v>
      </c>
      <c r="CA311" s="1074" t="s">
        <v>21</v>
      </c>
      <c r="CB311" s="930" t="s">
        <v>21</v>
      </c>
      <c r="CC311" s="930" t="s">
        <v>21</v>
      </c>
      <c r="CD311" s="925">
        <v>10.23</v>
      </c>
      <c r="CE311" s="1130">
        <v>35.9</v>
      </c>
      <c r="CF311" s="1129" t="s">
        <v>21</v>
      </c>
      <c r="CG311" s="1130" t="s">
        <v>21</v>
      </c>
      <c r="CH311" s="1130" t="s">
        <v>21</v>
      </c>
      <c r="CI311" s="1131" t="s">
        <v>21</v>
      </c>
      <c r="CJ311" s="1129" t="s">
        <v>21</v>
      </c>
      <c r="CK311" s="1130">
        <v>35.9</v>
      </c>
      <c r="CL311" s="1130" t="s">
        <v>21</v>
      </c>
      <c r="CM311" s="1131" t="s">
        <v>21</v>
      </c>
      <c r="CN311" s="1130" t="s">
        <v>21</v>
      </c>
      <c r="CP311" s="838" t="s">
        <v>21</v>
      </c>
      <c r="CQ311" s="838" t="s">
        <v>21</v>
      </c>
      <c r="CR311" s="836"/>
    </row>
    <row r="312" spans="1:96" x14ac:dyDescent="0.25">
      <c r="A312" s="935"/>
      <c r="B312" s="932" t="s">
        <v>2271</v>
      </c>
      <c r="C312" s="911">
        <v>600</v>
      </c>
      <c r="D312" s="911" t="s">
        <v>2116</v>
      </c>
      <c r="E312" s="912">
        <v>1159.75</v>
      </c>
      <c r="F312" s="912">
        <v>1157.55</v>
      </c>
      <c r="G312" s="910" t="s">
        <v>2422</v>
      </c>
      <c r="H312" s="912">
        <v>1160.5999999999999</v>
      </c>
      <c r="I312" s="912">
        <v>1157.43</v>
      </c>
      <c r="J312" s="914">
        <v>9.6199999999999992</v>
      </c>
      <c r="K312" s="915"/>
      <c r="L312" s="916">
        <v>0.1</v>
      </c>
      <c r="M312" s="916">
        <v>0.06</v>
      </c>
      <c r="N312" s="916">
        <v>0.2</v>
      </c>
      <c r="O312" s="916">
        <v>5.3629999999999995</v>
      </c>
      <c r="P312" s="915"/>
      <c r="Q312" s="916">
        <v>2.9449999999999998</v>
      </c>
      <c r="R312" s="917">
        <v>0.33333333333333331</v>
      </c>
      <c r="S312" s="918">
        <v>1.4</v>
      </c>
      <c r="T312" s="918">
        <v>3.363</v>
      </c>
      <c r="U312" s="916">
        <v>6.2089999999999996</v>
      </c>
      <c r="V312" s="916">
        <v>0.92</v>
      </c>
      <c r="W312" s="915"/>
      <c r="X312" s="916">
        <v>0.28299999999999997</v>
      </c>
      <c r="Y312" s="916">
        <v>0.40699999999999997</v>
      </c>
      <c r="Z312" s="916">
        <v>7.0140000000000002</v>
      </c>
      <c r="AA312" s="916">
        <v>1.0229999999999999</v>
      </c>
      <c r="AB312" s="916">
        <v>5.444</v>
      </c>
      <c r="AC312" s="915"/>
      <c r="AD312" s="919">
        <v>51.591999999999999</v>
      </c>
      <c r="AE312" s="920">
        <v>67.474999999999994</v>
      </c>
      <c r="AF312" s="920" t="s">
        <v>21</v>
      </c>
      <c r="AG312" s="920" t="s">
        <v>21</v>
      </c>
      <c r="AH312" s="921">
        <v>67.474999999999994</v>
      </c>
      <c r="AI312" s="921" t="s">
        <v>21</v>
      </c>
      <c r="AJ312" s="920" t="s">
        <v>21</v>
      </c>
      <c r="AK312" s="920" t="s">
        <v>21</v>
      </c>
      <c r="AL312" s="921" t="s">
        <v>21</v>
      </c>
      <c r="AM312" s="921" t="s">
        <v>21</v>
      </c>
      <c r="AN312" s="920"/>
      <c r="AO312" s="920" t="s">
        <v>21</v>
      </c>
      <c r="AP312" s="919">
        <v>13.468</v>
      </c>
      <c r="AQ312" s="933">
        <v>59.730579999999989</v>
      </c>
      <c r="AR312" s="925" t="s">
        <v>21</v>
      </c>
      <c r="AS312" s="925">
        <v>59.730579999999989</v>
      </c>
      <c r="AT312" s="925" t="s">
        <v>21</v>
      </c>
      <c r="AU312" s="925" t="s">
        <v>21</v>
      </c>
      <c r="AV312" s="926" t="s">
        <v>21</v>
      </c>
      <c r="AW312" s="926" t="s">
        <v>21</v>
      </c>
      <c r="AX312" s="926" t="s">
        <v>21</v>
      </c>
      <c r="AY312" s="926" t="s">
        <v>21</v>
      </c>
      <c r="AZ312" s="925" t="s">
        <v>21</v>
      </c>
      <c r="BA312" s="925"/>
      <c r="BB312" s="919">
        <v>1.347</v>
      </c>
      <c r="BC312" s="919" t="s">
        <v>21</v>
      </c>
      <c r="BD312" s="919" t="s">
        <v>2142</v>
      </c>
      <c r="BE312" s="925" t="s">
        <v>21</v>
      </c>
      <c r="BF312" s="926" t="s">
        <v>21</v>
      </c>
      <c r="BG312" s="925">
        <v>9.6199999999999992</v>
      </c>
      <c r="BH312" s="926" t="s">
        <v>21</v>
      </c>
      <c r="BI312" s="925" t="s">
        <v>21</v>
      </c>
      <c r="BJ312" s="926" t="s">
        <v>21</v>
      </c>
      <c r="BK312" s="925" t="s">
        <v>21</v>
      </c>
      <c r="BL312" s="926" t="s">
        <v>21</v>
      </c>
      <c r="BM312" s="925" t="s">
        <v>21</v>
      </c>
      <c r="BN312" s="927"/>
      <c r="BO312" s="927"/>
      <c r="BP312" s="928">
        <v>1</v>
      </c>
      <c r="BQ312" s="928" t="s">
        <v>21</v>
      </c>
      <c r="BR312" s="928" t="s">
        <v>21</v>
      </c>
      <c r="BS312" s="928" t="s">
        <v>21</v>
      </c>
      <c r="BT312" s="928" t="s">
        <v>21</v>
      </c>
      <c r="BU312" s="928" t="s">
        <v>21</v>
      </c>
      <c r="BV312" s="934">
        <v>0.80000000000004556</v>
      </c>
      <c r="BW312" s="934">
        <v>1</v>
      </c>
      <c r="BX312" s="1104">
        <v>2</v>
      </c>
      <c r="BY312" s="931">
        <v>4</v>
      </c>
      <c r="BZ312" s="930" t="s">
        <v>21</v>
      </c>
      <c r="CA312" s="1074" t="s">
        <v>21</v>
      </c>
      <c r="CB312" s="930" t="s">
        <v>21</v>
      </c>
      <c r="CC312" s="930" t="s">
        <v>21</v>
      </c>
      <c r="CD312" s="925">
        <v>9.8409999999999993</v>
      </c>
      <c r="CE312" s="1130">
        <v>52.371000000000002</v>
      </c>
      <c r="CF312" s="1129" t="s">
        <v>21</v>
      </c>
      <c r="CG312" s="1130" t="s">
        <v>21</v>
      </c>
      <c r="CH312" s="1130" t="s">
        <v>21</v>
      </c>
      <c r="CI312" s="1131" t="s">
        <v>21</v>
      </c>
      <c r="CJ312" s="1129" t="s">
        <v>21</v>
      </c>
      <c r="CK312" s="1130">
        <v>52.371000000000002</v>
      </c>
      <c r="CL312" s="1130" t="s">
        <v>21</v>
      </c>
      <c r="CM312" s="1131" t="s">
        <v>21</v>
      </c>
      <c r="CN312" s="1130" t="s">
        <v>21</v>
      </c>
      <c r="CP312" s="838" t="s">
        <v>21</v>
      </c>
      <c r="CQ312" s="838" t="s">
        <v>21</v>
      </c>
      <c r="CR312" s="836"/>
    </row>
    <row r="313" spans="1:96" x14ac:dyDescent="0.25">
      <c r="A313" s="935"/>
      <c r="B313" s="932"/>
      <c r="C313" s="911"/>
      <c r="D313" s="911"/>
      <c r="E313" s="912"/>
      <c r="F313" s="912"/>
      <c r="G313" s="910"/>
      <c r="H313" s="912"/>
      <c r="I313" s="912"/>
      <c r="J313" s="914"/>
      <c r="K313" s="915"/>
      <c r="L313" s="916" t="s">
        <v>21</v>
      </c>
      <c r="M313" s="916" t="s">
        <v>21</v>
      </c>
      <c r="N313" s="916" t="s">
        <v>21</v>
      </c>
      <c r="O313" s="916" t="s">
        <v>21</v>
      </c>
      <c r="P313" s="915"/>
      <c r="Q313" s="916" t="s">
        <v>21</v>
      </c>
      <c r="R313" s="917" t="s">
        <v>21</v>
      </c>
      <c r="S313" s="918" t="s">
        <v>21</v>
      </c>
      <c r="T313" s="918" t="s">
        <v>21</v>
      </c>
      <c r="U313" s="916" t="s">
        <v>21</v>
      </c>
      <c r="V313" s="916" t="s">
        <v>21</v>
      </c>
      <c r="W313" s="915"/>
      <c r="X313" s="916" t="s">
        <v>21</v>
      </c>
      <c r="Y313" s="916" t="s">
        <v>21</v>
      </c>
      <c r="Z313" s="916" t="s">
        <v>21</v>
      </c>
      <c r="AA313" s="916" t="s">
        <v>21</v>
      </c>
      <c r="AB313" s="916" t="s">
        <v>21</v>
      </c>
      <c r="AC313" s="915"/>
      <c r="AD313" s="919" t="s">
        <v>21</v>
      </c>
      <c r="AE313" s="920" t="s">
        <v>21</v>
      </c>
      <c r="AF313" s="920" t="s">
        <v>21</v>
      </c>
      <c r="AG313" s="920" t="s">
        <v>21</v>
      </c>
      <c r="AH313" s="921" t="s">
        <v>21</v>
      </c>
      <c r="AI313" s="921" t="s">
        <v>21</v>
      </c>
      <c r="AJ313" s="920" t="s">
        <v>21</v>
      </c>
      <c r="AK313" s="920" t="s">
        <v>21</v>
      </c>
      <c r="AL313" s="921" t="s">
        <v>21</v>
      </c>
      <c r="AM313" s="921" t="s">
        <v>21</v>
      </c>
      <c r="AN313" s="920"/>
      <c r="AO313" s="920" t="s">
        <v>21</v>
      </c>
      <c r="AP313" s="919" t="s">
        <v>21</v>
      </c>
      <c r="AQ313" s="933" t="s">
        <v>21</v>
      </c>
      <c r="AR313" s="925" t="s">
        <v>21</v>
      </c>
      <c r="AS313" s="925" t="s">
        <v>21</v>
      </c>
      <c r="AT313" s="925" t="s">
        <v>21</v>
      </c>
      <c r="AU313" s="925" t="s">
        <v>21</v>
      </c>
      <c r="AV313" s="926" t="s">
        <v>21</v>
      </c>
      <c r="AW313" s="926" t="s">
        <v>21</v>
      </c>
      <c r="AX313" s="926" t="s">
        <v>21</v>
      </c>
      <c r="AY313" s="926" t="s">
        <v>21</v>
      </c>
      <c r="AZ313" s="925" t="s">
        <v>21</v>
      </c>
      <c r="BA313" s="925"/>
      <c r="BB313" s="919" t="s">
        <v>21</v>
      </c>
      <c r="BC313" s="919" t="s">
        <v>21</v>
      </c>
      <c r="BD313" s="919" t="s">
        <v>21</v>
      </c>
      <c r="BE313" s="925" t="s">
        <v>21</v>
      </c>
      <c r="BF313" s="926" t="s">
        <v>21</v>
      </c>
      <c r="BG313" s="925" t="s">
        <v>21</v>
      </c>
      <c r="BH313" s="926" t="s">
        <v>21</v>
      </c>
      <c r="BI313" s="925" t="s">
        <v>21</v>
      </c>
      <c r="BJ313" s="926" t="s">
        <v>21</v>
      </c>
      <c r="BK313" s="925" t="s">
        <v>21</v>
      </c>
      <c r="BL313" s="926" t="s">
        <v>21</v>
      </c>
      <c r="BM313" s="925" t="s">
        <v>21</v>
      </c>
      <c r="BN313" s="927"/>
      <c r="BO313" s="927"/>
      <c r="BP313" s="928" t="s">
        <v>21</v>
      </c>
      <c r="BQ313" s="928" t="s">
        <v>21</v>
      </c>
      <c r="BR313" s="928" t="s">
        <v>21</v>
      </c>
      <c r="BS313" s="928" t="s">
        <v>21</v>
      </c>
      <c r="BT313" s="928" t="s">
        <v>21</v>
      </c>
      <c r="BU313" s="928" t="s">
        <v>21</v>
      </c>
      <c r="BV313" s="934" t="s">
        <v>21</v>
      </c>
      <c r="BW313" s="934" t="s">
        <v>21</v>
      </c>
      <c r="BX313" s="1104" t="s">
        <v>21</v>
      </c>
      <c r="BY313" s="931" t="s">
        <v>21</v>
      </c>
      <c r="BZ313" s="930" t="s">
        <v>21</v>
      </c>
      <c r="CA313" s="1074" t="s">
        <v>21</v>
      </c>
      <c r="CB313" s="930" t="s">
        <v>21</v>
      </c>
      <c r="CC313" s="930" t="s">
        <v>21</v>
      </c>
      <c r="CD313" s="925" t="s">
        <v>21</v>
      </c>
      <c r="CE313" s="1130" t="s">
        <v>21</v>
      </c>
      <c r="CF313" s="1129" t="s">
        <v>21</v>
      </c>
      <c r="CG313" s="1130" t="s">
        <v>21</v>
      </c>
      <c r="CH313" s="1130" t="s">
        <v>21</v>
      </c>
      <c r="CI313" s="1131" t="s">
        <v>21</v>
      </c>
      <c r="CJ313" s="1129" t="s">
        <v>21</v>
      </c>
      <c r="CK313" s="1130" t="s">
        <v>21</v>
      </c>
      <c r="CL313" s="1130" t="s">
        <v>21</v>
      </c>
      <c r="CM313" s="1131" t="s">
        <v>21</v>
      </c>
      <c r="CN313" s="1130" t="s">
        <v>21</v>
      </c>
      <c r="CP313" s="838" t="s">
        <v>21</v>
      </c>
      <c r="CQ313" s="838" t="s">
        <v>21</v>
      </c>
      <c r="CR313" s="836"/>
    </row>
    <row r="314" spans="1:96" x14ac:dyDescent="0.25">
      <c r="A314" s="935" t="s">
        <v>2545</v>
      </c>
      <c r="B314" s="932" t="s">
        <v>2245</v>
      </c>
      <c r="C314" s="911">
        <v>600</v>
      </c>
      <c r="D314" s="911" t="s">
        <v>2116</v>
      </c>
      <c r="E314" s="912">
        <v>1158.8699999999999</v>
      </c>
      <c r="F314" s="912">
        <v>1156.97</v>
      </c>
      <c r="G314" s="910" t="s">
        <v>2298</v>
      </c>
      <c r="H314" s="912">
        <v>1158.46</v>
      </c>
      <c r="I314" s="912">
        <v>1156.56</v>
      </c>
      <c r="J314" s="914">
        <v>28.11</v>
      </c>
      <c r="K314" s="915"/>
      <c r="L314" s="916">
        <v>0.1</v>
      </c>
      <c r="M314" s="916">
        <v>0.06</v>
      </c>
      <c r="N314" s="916">
        <v>0.2</v>
      </c>
      <c r="O314" s="916">
        <v>4.84</v>
      </c>
      <c r="P314" s="915"/>
      <c r="Q314" s="916">
        <v>2.16</v>
      </c>
      <c r="R314" s="917">
        <v>0.33333333333333331</v>
      </c>
      <c r="S314" s="918">
        <v>1.4</v>
      </c>
      <c r="T314" s="918">
        <v>2.84</v>
      </c>
      <c r="U314" s="916">
        <v>4.5540000000000003</v>
      </c>
      <c r="V314" s="916">
        <v>0.92</v>
      </c>
      <c r="W314" s="915"/>
      <c r="X314" s="916">
        <v>0.28299999999999997</v>
      </c>
      <c r="Y314" s="916">
        <v>0.40699999999999997</v>
      </c>
      <c r="Z314" s="916">
        <v>4.5789999999999997</v>
      </c>
      <c r="AA314" s="916">
        <v>1.0229999999999999</v>
      </c>
      <c r="AB314" s="916">
        <v>3.0089999999999999</v>
      </c>
      <c r="AC314" s="915"/>
      <c r="AD314" s="919">
        <v>136.05199999999999</v>
      </c>
      <c r="AE314" s="920">
        <v>128.71600000000001</v>
      </c>
      <c r="AF314" s="920" t="s">
        <v>21</v>
      </c>
      <c r="AG314" s="920" t="s">
        <v>21</v>
      </c>
      <c r="AH314" s="921">
        <v>128.71600000000001</v>
      </c>
      <c r="AI314" s="921" t="s">
        <v>21</v>
      </c>
      <c r="AJ314" s="920" t="s">
        <v>21</v>
      </c>
      <c r="AK314" s="920" t="s">
        <v>21</v>
      </c>
      <c r="AL314" s="921" t="s">
        <v>21</v>
      </c>
      <c r="AM314" s="921" t="s">
        <v>21</v>
      </c>
      <c r="AN314" s="920"/>
      <c r="AO314" s="920" t="s">
        <v>21</v>
      </c>
      <c r="AP314" s="919">
        <v>39.353999999999999</v>
      </c>
      <c r="AQ314" s="933">
        <v>128.01294000000001</v>
      </c>
      <c r="AR314" s="925" t="s">
        <v>21</v>
      </c>
      <c r="AS314" s="925">
        <v>128.01294000000001</v>
      </c>
      <c r="AT314" s="925" t="s">
        <v>21</v>
      </c>
      <c r="AU314" s="925" t="s">
        <v>21</v>
      </c>
      <c r="AV314" s="926" t="s">
        <v>21</v>
      </c>
      <c r="AW314" s="926" t="s">
        <v>21</v>
      </c>
      <c r="AX314" s="926" t="s">
        <v>21</v>
      </c>
      <c r="AY314" s="926" t="s">
        <v>21</v>
      </c>
      <c r="AZ314" s="925" t="s">
        <v>21</v>
      </c>
      <c r="BA314" s="925"/>
      <c r="BB314" s="919">
        <v>3.9350000000000001</v>
      </c>
      <c r="BC314" s="919" t="s">
        <v>21</v>
      </c>
      <c r="BD314" s="919" t="s">
        <v>2142</v>
      </c>
      <c r="BE314" s="925" t="s">
        <v>21</v>
      </c>
      <c r="BF314" s="926" t="s">
        <v>21</v>
      </c>
      <c r="BG314" s="925">
        <v>28.11</v>
      </c>
      <c r="BH314" s="926" t="s">
        <v>21</v>
      </c>
      <c r="BI314" s="925" t="s">
        <v>21</v>
      </c>
      <c r="BJ314" s="926" t="s">
        <v>21</v>
      </c>
      <c r="BK314" s="925" t="s">
        <v>21</v>
      </c>
      <c r="BL314" s="926" t="s">
        <v>21</v>
      </c>
      <c r="BM314" s="925" t="s">
        <v>21</v>
      </c>
      <c r="BN314" s="927"/>
      <c r="BO314" s="927"/>
      <c r="BP314" s="928">
        <v>1</v>
      </c>
      <c r="BQ314" s="928" t="s">
        <v>21</v>
      </c>
      <c r="BR314" s="928" t="s">
        <v>21</v>
      </c>
      <c r="BS314" s="928" t="s">
        <v>21</v>
      </c>
      <c r="BT314" s="928" t="s">
        <v>21</v>
      </c>
      <c r="BU314" s="928" t="s">
        <v>21</v>
      </c>
      <c r="BV314" s="934">
        <v>0.49999999999986366</v>
      </c>
      <c r="BW314" s="934">
        <v>0.5</v>
      </c>
      <c r="BX314" s="1104">
        <v>1</v>
      </c>
      <c r="BY314" s="931">
        <v>3</v>
      </c>
      <c r="BZ314" s="930">
        <v>3</v>
      </c>
      <c r="CA314" s="1074" t="s">
        <v>21</v>
      </c>
      <c r="CB314" s="930" t="s">
        <v>21</v>
      </c>
      <c r="CC314" s="930" t="s">
        <v>21</v>
      </c>
      <c r="CD314" s="925">
        <v>28.757000000000001</v>
      </c>
      <c r="CE314" s="1130">
        <v>84.582999999999998</v>
      </c>
      <c r="CF314" s="1129" t="s">
        <v>21</v>
      </c>
      <c r="CG314" s="1130" t="s">
        <v>21</v>
      </c>
      <c r="CH314" s="1130" t="s">
        <v>21</v>
      </c>
      <c r="CI314" s="1131" t="s">
        <v>21</v>
      </c>
      <c r="CJ314" s="1129" t="s">
        <v>21</v>
      </c>
      <c r="CK314" s="1130">
        <v>84.582999999999998</v>
      </c>
      <c r="CL314" s="1130" t="s">
        <v>21</v>
      </c>
      <c r="CM314" s="1131" t="s">
        <v>21</v>
      </c>
      <c r="CN314" s="1130" t="s">
        <v>21</v>
      </c>
      <c r="CP314" s="838" t="s">
        <v>21</v>
      </c>
      <c r="CQ314" s="838" t="s">
        <v>21</v>
      </c>
      <c r="CR314" s="836"/>
    </row>
    <row r="315" spans="1:96" x14ac:dyDescent="0.25">
      <c r="A315" s="935"/>
      <c r="B315" s="932"/>
      <c r="C315" s="911"/>
      <c r="D315" s="911"/>
      <c r="E315" s="912"/>
      <c r="F315" s="912"/>
      <c r="G315" s="910"/>
      <c r="H315" s="912"/>
      <c r="I315" s="912"/>
      <c r="J315" s="914"/>
      <c r="K315" s="915"/>
      <c r="L315" s="916" t="s">
        <v>21</v>
      </c>
      <c r="M315" s="916" t="s">
        <v>21</v>
      </c>
      <c r="N315" s="916" t="s">
        <v>21</v>
      </c>
      <c r="O315" s="916" t="s">
        <v>21</v>
      </c>
      <c r="P315" s="915"/>
      <c r="Q315" s="916" t="s">
        <v>21</v>
      </c>
      <c r="R315" s="917" t="s">
        <v>21</v>
      </c>
      <c r="S315" s="918" t="s">
        <v>21</v>
      </c>
      <c r="T315" s="918" t="s">
        <v>21</v>
      </c>
      <c r="U315" s="916" t="s">
        <v>21</v>
      </c>
      <c r="V315" s="916" t="s">
        <v>21</v>
      </c>
      <c r="W315" s="915"/>
      <c r="X315" s="916" t="s">
        <v>21</v>
      </c>
      <c r="Y315" s="916" t="s">
        <v>21</v>
      </c>
      <c r="Z315" s="916" t="s">
        <v>21</v>
      </c>
      <c r="AA315" s="916" t="s">
        <v>21</v>
      </c>
      <c r="AB315" s="916" t="s">
        <v>21</v>
      </c>
      <c r="AC315" s="915"/>
      <c r="AD315" s="919" t="s">
        <v>21</v>
      </c>
      <c r="AE315" s="920" t="s">
        <v>21</v>
      </c>
      <c r="AF315" s="920" t="s">
        <v>21</v>
      </c>
      <c r="AG315" s="920" t="s">
        <v>21</v>
      </c>
      <c r="AH315" s="921" t="s">
        <v>21</v>
      </c>
      <c r="AI315" s="921" t="s">
        <v>21</v>
      </c>
      <c r="AJ315" s="920" t="s">
        <v>21</v>
      </c>
      <c r="AK315" s="920" t="s">
        <v>21</v>
      </c>
      <c r="AL315" s="921" t="s">
        <v>21</v>
      </c>
      <c r="AM315" s="921" t="s">
        <v>21</v>
      </c>
      <c r="AN315" s="920"/>
      <c r="AO315" s="920" t="s">
        <v>21</v>
      </c>
      <c r="AP315" s="919" t="s">
        <v>21</v>
      </c>
      <c r="AQ315" s="933" t="s">
        <v>21</v>
      </c>
      <c r="AR315" s="925" t="s">
        <v>21</v>
      </c>
      <c r="AS315" s="925" t="s">
        <v>21</v>
      </c>
      <c r="AT315" s="925" t="s">
        <v>21</v>
      </c>
      <c r="AU315" s="925" t="s">
        <v>21</v>
      </c>
      <c r="AV315" s="926" t="s">
        <v>21</v>
      </c>
      <c r="AW315" s="926" t="s">
        <v>21</v>
      </c>
      <c r="AX315" s="926" t="s">
        <v>21</v>
      </c>
      <c r="AY315" s="926" t="s">
        <v>21</v>
      </c>
      <c r="AZ315" s="925" t="s">
        <v>21</v>
      </c>
      <c r="BA315" s="925"/>
      <c r="BB315" s="919" t="s">
        <v>21</v>
      </c>
      <c r="BC315" s="919" t="s">
        <v>21</v>
      </c>
      <c r="BD315" s="919" t="s">
        <v>21</v>
      </c>
      <c r="BE315" s="925" t="s">
        <v>21</v>
      </c>
      <c r="BF315" s="926" t="s">
        <v>21</v>
      </c>
      <c r="BG315" s="925" t="s">
        <v>21</v>
      </c>
      <c r="BH315" s="926" t="s">
        <v>21</v>
      </c>
      <c r="BI315" s="925" t="s">
        <v>21</v>
      </c>
      <c r="BJ315" s="926" t="s">
        <v>21</v>
      </c>
      <c r="BK315" s="925" t="s">
        <v>21</v>
      </c>
      <c r="BL315" s="926" t="s">
        <v>21</v>
      </c>
      <c r="BM315" s="925" t="s">
        <v>21</v>
      </c>
      <c r="BN315" s="927"/>
      <c r="BO315" s="927"/>
      <c r="BP315" s="928" t="s">
        <v>21</v>
      </c>
      <c r="BQ315" s="928" t="s">
        <v>21</v>
      </c>
      <c r="BR315" s="928" t="s">
        <v>21</v>
      </c>
      <c r="BS315" s="928" t="s">
        <v>21</v>
      </c>
      <c r="BT315" s="928" t="s">
        <v>21</v>
      </c>
      <c r="BU315" s="928" t="s">
        <v>21</v>
      </c>
      <c r="BV315" s="934" t="s">
        <v>21</v>
      </c>
      <c r="BW315" s="934" t="s">
        <v>21</v>
      </c>
      <c r="BX315" s="1104" t="s">
        <v>21</v>
      </c>
      <c r="BY315" s="931" t="s">
        <v>21</v>
      </c>
      <c r="BZ315" s="930" t="s">
        <v>21</v>
      </c>
      <c r="CA315" s="1074" t="s">
        <v>21</v>
      </c>
      <c r="CB315" s="930" t="s">
        <v>21</v>
      </c>
      <c r="CC315" s="930" t="s">
        <v>21</v>
      </c>
      <c r="CD315" s="925" t="s">
        <v>21</v>
      </c>
      <c r="CE315" s="1130" t="s">
        <v>21</v>
      </c>
      <c r="CF315" s="1129" t="s">
        <v>21</v>
      </c>
      <c r="CG315" s="1130" t="s">
        <v>21</v>
      </c>
      <c r="CH315" s="1130" t="s">
        <v>21</v>
      </c>
      <c r="CI315" s="1131" t="s">
        <v>21</v>
      </c>
      <c r="CJ315" s="1129" t="s">
        <v>21</v>
      </c>
      <c r="CK315" s="1130" t="s">
        <v>21</v>
      </c>
      <c r="CL315" s="1130" t="s">
        <v>21</v>
      </c>
      <c r="CM315" s="1131" t="s">
        <v>21</v>
      </c>
      <c r="CN315" s="1130" t="s">
        <v>21</v>
      </c>
      <c r="CP315" s="838" t="s">
        <v>21</v>
      </c>
      <c r="CQ315" s="838" t="s">
        <v>21</v>
      </c>
      <c r="CR315" s="836"/>
    </row>
    <row r="316" spans="1:96" x14ac:dyDescent="0.25">
      <c r="A316" s="935" t="s">
        <v>2546</v>
      </c>
      <c r="B316" s="932" t="s">
        <v>2247</v>
      </c>
      <c r="C316" s="911">
        <v>600</v>
      </c>
      <c r="D316" s="911" t="s">
        <v>2116</v>
      </c>
      <c r="E316" s="912">
        <v>1209.8499999999999</v>
      </c>
      <c r="F316" s="912">
        <v>1207.95</v>
      </c>
      <c r="G316" s="910" t="s">
        <v>2248</v>
      </c>
      <c r="H316" s="912">
        <v>1209.55</v>
      </c>
      <c r="I316" s="912">
        <v>1207.6500000000001</v>
      </c>
      <c r="J316" s="914">
        <v>24.24</v>
      </c>
      <c r="K316" s="915"/>
      <c r="L316" s="916">
        <v>0.1</v>
      </c>
      <c r="M316" s="916">
        <v>0.06</v>
      </c>
      <c r="N316" s="916">
        <v>0.2</v>
      </c>
      <c r="O316" s="916">
        <v>4.84</v>
      </c>
      <c r="P316" s="915"/>
      <c r="Q316" s="916">
        <v>2.16</v>
      </c>
      <c r="R316" s="917">
        <v>0.33333333333333331</v>
      </c>
      <c r="S316" s="918">
        <v>1.4</v>
      </c>
      <c r="T316" s="918">
        <v>2.84</v>
      </c>
      <c r="U316" s="916">
        <v>4.5540000000000003</v>
      </c>
      <c r="V316" s="916">
        <v>0.92</v>
      </c>
      <c r="W316" s="915"/>
      <c r="X316" s="916">
        <v>0.28299999999999997</v>
      </c>
      <c r="Y316" s="916">
        <v>0.40699999999999997</v>
      </c>
      <c r="Z316" s="916">
        <v>4.5789999999999997</v>
      </c>
      <c r="AA316" s="916">
        <v>1.0229999999999999</v>
      </c>
      <c r="AB316" s="916">
        <v>3.0089999999999999</v>
      </c>
      <c r="AC316" s="915"/>
      <c r="AD316" s="919">
        <v>117.322</v>
      </c>
      <c r="AE316" s="920">
        <v>110.995</v>
      </c>
      <c r="AF316" s="920" t="s">
        <v>21</v>
      </c>
      <c r="AG316" s="920" t="s">
        <v>21</v>
      </c>
      <c r="AH316" s="921">
        <v>110.995</v>
      </c>
      <c r="AI316" s="921" t="s">
        <v>21</v>
      </c>
      <c r="AJ316" s="920" t="s">
        <v>21</v>
      </c>
      <c r="AK316" s="920" t="s">
        <v>21</v>
      </c>
      <c r="AL316" s="921" t="s">
        <v>21</v>
      </c>
      <c r="AM316" s="921" t="s">
        <v>21</v>
      </c>
      <c r="AN316" s="920"/>
      <c r="AO316" s="920" t="s">
        <v>21</v>
      </c>
      <c r="AP316" s="919">
        <v>33.936</v>
      </c>
      <c r="AQ316" s="933">
        <v>110.38896</v>
      </c>
      <c r="AR316" s="925" t="s">
        <v>21</v>
      </c>
      <c r="AS316" s="925">
        <v>110.38896</v>
      </c>
      <c r="AT316" s="925" t="s">
        <v>21</v>
      </c>
      <c r="AU316" s="925" t="s">
        <v>21</v>
      </c>
      <c r="AV316" s="926" t="s">
        <v>21</v>
      </c>
      <c r="AW316" s="926" t="s">
        <v>21</v>
      </c>
      <c r="AX316" s="926" t="s">
        <v>21</v>
      </c>
      <c r="AY316" s="926" t="s">
        <v>21</v>
      </c>
      <c r="AZ316" s="925" t="s">
        <v>21</v>
      </c>
      <c r="BA316" s="925"/>
      <c r="BB316" s="919">
        <v>3.3940000000000001</v>
      </c>
      <c r="BC316" s="919" t="s">
        <v>21</v>
      </c>
      <c r="BD316" s="919" t="s">
        <v>2142</v>
      </c>
      <c r="BE316" s="925" t="s">
        <v>21</v>
      </c>
      <c r="BF316" s="926" t="s">
        <v>21</v>
      </c>
      <c r="BG316" s="925">
        <v>24.24</v>
      </c>
      <c r="BH316" s="926" t="s">
        <v>21</v>
      </c>
      <c r="BI316" s="925" t="s">
        <v>21</v>
      </c>
      <c r="BJ316" s="926" t="s">
        <v>21</v>
      </c>
      <c r="BK316" s="925" t="s">
        <v>21</v>
      </c>
      <c r="BL316" s="926" t="s">
        <v>21</v>
      </c>
      <c r="BM316" s="925" t="s">
        <v>21</v>
      </c>
      <c r="BN316" s="927"/>
      <c r="BO316" s="927"/>
      <c r="BP316" s="928">
        <v>1</v>
      </c>
      <c r="BQ316" s="928" t="s">
        <v>21</v>
      </c>
      <c r="BR316" s="928" t="s">
        <v>21</v>
      </c>
      <c r="BS316" s="928" t="s">
        <v>21</v>
      </c>
      <c r="BT316" s="928" t="s">
        <v>21</v>
      </c>
      <c r="BU316" s="928" t="s">
        <v>21</v>
      </c>
      <c r="BV316" s="934">
        <v>0.49999999999986366</v>
      </c>
      <c r="BW316" s="934">
        <v>0.5</v>
      </c>
      <c r="BX316" s="1104">
        <v>1</v>
      </c>
      <c r="BY316" s="931">
        <v>3</v>
      </c>
      <c r="BZ316" s="930">
        <v>2</v>
      </c>
      <c r="CA316" s="1074" t="s">
        <v>21</v>
      </c>
      <c r="CB316" s="930" t="s">
        <v>21</v>
      </c>
      <c r="CC316" s="930" t="s">
        <v>21</v>
      </c>
      <c r="CD316" s="925">
        <v>24.797999999999998</v>
      </c>
      <c r="CE316" s="1130">
        <v>72.938000000000002</v>
      </c>
      <c r="CF316" s="1129" t="s">
        <v>21</v>
      </c>
      <c r="CG316" s="1130" t="s">
        <v>21</v>
      </c>
      <c r="CH316" s="1130" t="s">
        <v>21</v>
      </c>
      <c r="CI316" s="1131" t="s">
        <v>21</v>
      </c>
      <c r="CJ316" s="1129" t="s">
        <v>21</v>
      </c>
      <c r="CK316" s="1130">
        <v>72.938000000000002</v>
      </c>
      <c r="CL316" s="1130" t="s">
        <v>21</v>
      </c>
      <c r="CM316" s="1131" t="s">
        <v>21</v>
      </c>
      <c r="CN316" s="1130" t="s">
        <v>21</v>
      </c>
      <c r="CP316" s="838" t="s">
        <v>21</v>
      </c>
      <c r="CQ316" s="838" t="s">
        <v>21</v>
      </c>
      <c r="CR316" s="836"/>
    </row>
    <row r="317" spans="1:96" x14ac:dyDescent="0.25">
      <c r="A317" s="935"/>
      <c r="B317" s="932" t="s">
        <v>2248</v>
      </c>
      <c r="C317" s="911">
        <v>600</v>
      </c>
      <c r="D317" s="911" t="s">
        <v>2116</v>
      </c>
      <c r="E317" s="912">
        <v>1209.55</v>
      </c>
      <c r="F317" s="912">
        <v>1207.5999999999999</v>
      </c>
      <c r="G317" s="910" t="s">
        <v>2298</v>
      </c>
      <c r="H317" s="912">
        <v>1208.95</v>
      </c>
      <c r="I317" s="912">
        <v>1207.05</v>
      </c>
      <c r="J317" s="914">
        <v>13.37</v>
      </c>
      <c r="K317" s="915"/>
      <c r="L317" s="916">
        <v>0.1</v>
      </c>
      <c r="M317" s="916">
        <v>0.06</v>
      </c>
      <c r="N317" s="916">
        <v>0.2</v>
      </c>
      <c r="O317" s="916">
        <v>4.8570000000000002</v>
      </c>
      <c r="P317" s="915"/>
      <c r="Q317" s="916">
        <v>2.1850000000000001</v>
      </c>
      <c r="R317" s="917">
        <v>0.33333333333333331</v>
      </c>
      <c r="S317" s="918">
        <v>1.4</v>
      </c>
      <c r="T317" s="918">
        <v>2.8570000000000002</v>
      </c>
      <c r="U317" s="916">
        <v>4.6059999999999999</v>
      </c>
      <c r="V317" s="916">
        <v>0.92</v>
      </c>
      <c r="W317" s="915"/>
      <c r="X317" s="916">
        <v>0.28299999999999997</v>
      </c>
      <c r="Y317" s="916">
        <v>0.40699999999999997</v>
      </c>
      <c r="Z317" s="916">
        <v>4.6509999999999998</v>
      </c>
      <c r="AA317" s="916">
        <v>1.0229999999999999</v>
      </c>
      <c r="AB317" s="916">
        <v>3.081</v>
      </c>
      <c r="AC317" s="915"/>
      <c r="AD317" s="919">
        <v>64.938000000000002</v>
      </c>
      <c r="AE317" s="920">
        <v>62.183999999999997</v>
      </c>
      <c r="AF317" s="920" t="s">
        <v>21</v>
      </c>
      <c r="AG317" s="920" t="s">
        <v>21</v>
      </c>
      <c r="AH317" s="921">
        <v>62.183999999999997</v>
      </c>
      <c r="AI317" s="921" t="s">
        <v>21</v>
      </c>
      <c r="AJ317" s="920" t="s">
        <v>21</v>
      </c>
      <c r="AK317" s="920" t="s">
        <v>21</v>
      </c>
      <c r="AL317" s="921" t="s">
        <v>21</v>
      </c>
      <c r="AM317" s="921" t="s">
        <v>21</v>
      </c>
      <c r="AN317" s="920"/>
      <c r="AO317" s="920" t="s">
        <v>21</v>
      </c>
      <c r="AP317" s="919">
        <v>18.718</v>
      </c>
      <c r="AQ317" s="933">
        <v>61.582219999999992</v>
      </c>
      <c r="AR317" s="925" t="s">
        <v>21</v>
      </c>
      <c r="AS317" s="925">
        <v>61.582219999999992</v>
      </c>
      <c r="AT317" s="925" t="s">
        <v>21</v>
      </c>
      <c r="AU317" s="925" t="s">
        <v>21</v>
      </c>
      <c r="AV317" s="926" t="s">
        <v>21</v>
      </c>
      <c r="AW317" s="926" t="s">
        <v>21</v>
      </c>
      <c r="AX317" s="926" t="s">
        <v>21</v>
      </c>
      <c r="AY317" s="926" t="s">
        <v>21</v>
      </c>
      <c r="AZ317" s="925" t="s">
        <v>21</v>
      </c>
      <c r="BA317" s="925"/>
      <c r="BB317" s="919">
        <v>1.8720000000000001</v>
      </c>
      <c r="BC317" s="919" t="s">
        <v>21</v>
      </c>
      <c r="BD317" s="919" t="s">
        <v>2142</v>
      </c>
      <c r="BE317" s="925" t="s">
        <v>21</v>
      </c>
      <c r="BF317" s="926" t="s">
        <v>21</v>
      </c>
      <c r="BG317" s="925">
        <v>13.37</v>
      </c>
      <c r="BH317" s="926" t="s">
        <v>21</v>
      </c>
      <c r="BI317" s="925" t="s">
        <v>21</v>
      </c>
      <c r="BJ317" s="926" t="s">
        <v>21</v>
      </c>
      <c r="BK317" s="925" t="s">
        <v>21</v>
      </c>
      <c r="BL317" s="926" t="s">
        <v>21</v>
      </c>
      <c r="BM317" s="925" t="s">
        <v>21</v>
      </c>
      <c r="BN317" s="927"/>
      <c r="BO317" s="927"/>
      <c r="BP317" s="928">
        <v>1</v>
      </c>
      <c r="BQ317" s="928" t="s">
        <v>21</v>
      </c>
      <c r="BR317" s="928" t="s">
        <v>21</v>
      </c>
      <c r="BS317" s="928" t="s">
        <v>21</v>
      </c>
      <c r="BT317" s="928" t="s">
        <v>21</v>
      </c>
      <c r="BU317" s="928" t="s">
        <v>21</v>
      </c>
      <c r="BV317" s="934">
        <v>0.55000000000004556</v>
      </c>
      <c r="BW317" s="934">
        <v>1</v>
      </c>
      <c r="BX317" s="1104">
        <v>2</v>
      </c>
      <c r="BY317" s="931">
        <v>4</v>
      </c>
      <c r="BZ317" s="930">
        <v>1</v>
      </c>
      <c r="CA317" s="1074" t="s">
        <v>21</v>
      </c>
      <c r="CB317" s="930" t="s">
        <v>21</v>
      </c>
      <c r="CC317" s="930" t="s">
        <v>21</v>
      </c>
      <c r="CD317" s="925">
        <v>13.678000000000001</v>
      </c>
      <c r="CE317" s="1130">
        <v>41.192999999999998</v>
      </c>
      <c r="CF317" s="1129" t="s">
        <v>21</v>
      </c>
      <c r="CG317" s="1130" t="s">
        <v>21</v>
      </c>
      <c r="CH317" s="1130" t="s">
        <v>21</v>
      </c>
      <c r="CI317" s="1131" t="s">
        <v>21</v>
      </c>
      <c r="CJ317" s="1129" t="s">
        <v>21</v>
      </c>
      <c r="CK317" s="1130">
        <v>41.192999999999998</v>
      </c>
      <c r="CL317" s="1130" t="s">
        <v>21</v>
      </c>
      <c r="CM317" s="1131" t="s">
        <v>21</v>
      </c>
      <c r="CN317" s="1130" t="s">
        <v>21</v>
      </c>
      <c r="CP317" s="838" t="s">
        <v>21</v>
      </c>
      <c r="CQ317" s="838" t="s">
        <v>21</v>
      </c>
      <c r="CR317" s="836"/>
    </row>
    <row r="318" spans="1:96" x14ac:dyDescent="0.25">
      <c r="A318" s="935"/>
      <c r="B318" s="932"/>
      <c r="C318" s="911"/>
      <c r="D318" s="911"/>
      <c r="E318" s="912"/>
      <c r="F318" s="912"/>
      <c r="G318" s="910"/>
      <c r="H318" s="912"/>
      <c r="I318" s="912"/>
      <c r="J318" s="914"/>
      <c r="K318" s="915"/>
      <c r="L318" s="916" t="s">
        <v>21</v>
      </c>
      <c r="M318" s="916" t="s">
        <v>21</v>
      </c>
      <c r="N318" s="916" t="s">
        <v>21</v>
      </c>
      <c r="O318" s="916" t="s">
        <v>21</v>
      </c>
      <c r="P318" s="915"/>
      <c r="Q318" s="916" t="s">
        <v>21</v>
      </c>
      <c r="R318" s="917" t="s">
        <v>21</v>
      </c>
      <c r="S318" s="918" t="s">
        <v>21</v>
      </c>
      <c r="T318" s="918" t="s">
        <v>21</v>
      </c>
      <c r="U318" s="916" t="s">
        <v>21</v>
      </c>
      <c r="V318" s="916" t="s">
        <v>21</v>
      </c>
      <c r="W318" s="915"/>
      <c r="X318" s="916" t="s">
        <v>21</v>
      </c>
      <c r="Y318" s="916" t="s">
        <v>21</v>
      </c>
      <c r="Z318" s="916" t="s">
        <v>21</v>
      </c>
      <c r="AA318" s="916" t="s">
        <v>21</v>
      </c>
      <c r="AB318" s="916" t="s">
        <v>21</v>
      </c>
      <c r="AC318" s="915"/>
      <c r="AD318" s="919" t="s">
        <v>21</v>
      </c>
      <c r="AE318" s="920" t="s">
        <v>21</v>
      </c>
      <c r="AF318" s="920" t="s">
        <v>21</v>
      </c>
      <c r="AG318" s="920" t="s">
        <v>21</v>
      </c>
      <c r="AH318" s="921" t="s">
        <v>21</v>
      </c>
      <c r="AI318" s="921" t="s">
        <v>21</v>
      </c>
      <c r="AJ318" s="920" t="s">
        <v>21</v>
      </c>
      <c r="AK318" s="920" t="s">
        <v>21</v>
      </c>
      <c r="AL318" s="921" t="s">
        <v>21</v>
      </c>
      <c r="AM318" s="921" t="s">
        <v>21</v>
      </c>
      <c r="AN318" s="920"/>
      <c r="AO318" s="920" t="s">
        <v>21</v>
      </c>
      <c r="AP318" s="919" t="s">
        <v>21</v>
      </c>
      <c r="AQ318" s="933" t="s">
        <v>21</v>
      </c>
      <c r="AR318" s="925" t="s">
        <v>21</v>
      </c>
      <c r="AS318" s="925" t="s">
        <v>21</v>
      </c>
      <c r="AT318" s="925" t="s">
        <v>21</v>
      </c>
      <c r="AU318" s="925" t="s">
        <v>21</v>
      </c>
      <c r="AV318" s="926" t="s">
        <v>21</v>
      </c>
      <c r="AW318" s="926" t="s">
        <v>21</v>
      </c>
      <c r="AX318" s="926" t="s">
        <v>21</v>
      </c>
      <c r="AY318" s="926" t="s">
        <v>21</v>
      </c>
      <c r="AZ318" s="925" t="s">
        <v>21</v>
      </c>
      <c r="BA318" s="925"/>
      <c r="BB318" s="919" t="s">
        <v>21</v>
      </c>
      <c r="BC318" s="919" t="s">
        <v>21</v>
      </c>
      <c r="BD318" s="919" t="s">
        <v>21</v>
      </c>
      <c r="BE318" s="925" t="s">
        <v>21</v>
      </c>
      <c r="BF318" s="926" t="s">
        <v>21</v>
      </c>
      <c r="BG318" s="925" t="s">
        <v>21</v>
      </c>
      <c r="BH318" s="926" t="s">
        <v>21</v>
      </c>
      <c r="BI318" s="925" t="s">
        <v>21</v>
      </c>
      <c r="BJ318" s="926" t="s">
        <v>21</v>
      </c>
      <c r="BK318" s="925" t="s">
        <v>21</v>
      </c>
      <c r="BL318" s="926" t="s">
        <v>21</v>
      </c>
      <c r="BM318" s="925" t="s">
        <v>21</v>
      </c>
      <c r="BN318" s="927"/>
      <c r="BO318" s="927"/>
      <c r="BP318" s="928" t="s">
        <v>21</v>
      </c>
      <c r="BQ318" s="928" t="s">
        <v>21</v>
      </c>
      <c r="BR318" s="928" t="s">
        <v>21</v>
      </c>
      <c r="BS318" s="928" t="s">
        <v>21</v>
      </c>
      <c r="BT318" s="928" t="s">
        <v>21</v>
      </c>
      <c r="BU318" s="928" t="s">
        <v>21</v>
      </c>
      <c r="BV318" s="934" t="s">
        <v>21</v>
      </c>
      <c r="BW318" s="934" t="s">
        <v>21</v>
      </c>
      <c r="BX318" s="1104" t="s">
        <v>21</v>
      </c>
      <c r="BY318" s="931" t="s">
        <v>21</v>
      </c>
      <c r="BZ318" s="930" t="s">
        <v>21</v>
      </c>
      <c r="CA318" s="1074" t="s">
        <v>21</v>
      </c>
      <c r="CB318" s="930" t="s">
        <v>21</v>
      </c>
      <c r="CC318" s="930" t="s">
        <v>21</v>
      </c>
      <c r="CD318" s="925" t="s">
        <v>21</v>
      </c>
      <c r="CE318" s="1130" t="s">
        <v>21</v>
      </c>
      <c r="CF318" s="1129" t="s">
        <v>21</v>
      </c>
      <c r="CG318" s="1130" t="s">
        <v>21</v>
      </c>
      <c r="CH318" s="1130" t="s">
        <v>21</v>
      </c>
      <c r="CI318" s="1131" t="s">
        <v>21</v>
      </c>
      <c r="CJ318" s="1129" t="s">
        <v>21</v>
      </c>
      <c r="CK318" s="1130" t="s">
        <v>21</v>
      </c>
      <c r="CL318" s="1130" t="s">
        <v>21</v>
      </c>
      <c r="CM318" s="1131" t="s">
        <v>21</v>
      </c>
      <c r="CN318" s="1130" t="s">
        <v>21</v>
      </c>
      <c r="CP318" s="838" t="s">
        <v>21</v>
      </c>
      <c r="CQ318" s="838" t="s">
        <v>21</v>
      </c>
      <c r="CR318" s="836"/>
    </row>
    <row r="319" spans="1:96" x14ac:dyDescent="0.25">
      <c r="A319" s="935" t="s">
        <v>2547</v>
      </c>
      <c r="B319" s="932" t="s">
        <v>2251</v>
      </c>
      <c r="C319" s="911">
        <v>600</v>
      </c>
      <c r="D319" s="911" t="s">
        <v>2116</v>
      </c>
      <c r="E319" s="912">
        <v>1197</v>
      </c>
      <c r="F319" s="912">
        <v>1195.0999999999999</v>
      </c>
      <c r="G319" s="910" t="s">
        <v>2252</v>
      </c>
      <c r="H319" s="912">
        <v>1195.8499999999999</v>
      </c>
      <c r="I319" s="912">
        <v>1193.95</v>
      </c>
      <c r="J319" s="914">
        <v>35.83</v>
      </c>
      <c r="K319" s="915"/>
      <c r="L319" s="916">
        <v>0.1</v>
      </c>
      <c r="M319" s="916">
        <v>0.06</v>
      </c>
      <c r="N319" s="916">
        <v>0.2</v>
      </c>
      <c r="O319" s="916">
        <v>4.84</v>
      </c>
      <c r="P319" s="915"/>
      <c r="Q319" s="916">
        <v>2.16</v>
      </c>
      <c r="R319" s="917">
        <v>0.33333333333333331</v>
      </c>
      <c r="S319" s="918">
        <v>1.4</v>
      </c>
      <c r="T319" s="918">
        <v>2.84</v>
      </c>
      <c r="U319" s="916">
        <v>4.5540000000000003</v>
      </c>
      <c r="V319" s="916">
        <v>0.92</v>
      </c>
      <c r="W319" s="915"/>
      <c r="X319" s="916">
        <v>0.28299999999999997</v>
      </c>
      <c r="Y319" s="916">
        <v>0.40699999999999997</v>
      </c>
      <c r="Z319" s="916">
        <v>4.5789999999999997</v>
      </c>
      <c r="AA319" s="916">
        <v>1.0229999999999999</v>
      </c>
      <c r="AB319" s="916">
        <v>3.0089999999999999</v>
      </c>
      <c r="AC319" s="915"/>
      <c r="AD319" s="919">
        <v>173.417</v>
      </c>
      <c r="AE319" s="920">
        <v>164.066</v>
      </c>
      <c r="AF319" s="920" t="s">
        <v>21</v>
      </c>
      <c r="AG319" s="920" t="s">
        <v>21</v>
      </c>
      <c r="AH319" s="921">
        <v>164.066</v>
      </c>
      <c r="AI319" s="921" t="s">
        <v>21</v>
      </c>
      <c r="AJ319" s="920" t="s">
        <v>21</v>
      </c>
      <c r="AK319" s="920" t="s">
        <v>21</v>
      </c>
      <c r="AL319" s="921" t="s">
        <v>21</v>
      </c>
      <c r="AM319" s="921" t="s">
        <v>21</v>
      </c>
      <c r="AN319" s="920"/>
      <c r="AO319" s="920" t="s">
        <v>21</v>
      </c>
      <c r="AP319" s="919">
        <v>50.161999999999999</v>
      </c>
      <c r="AQ319" s="933">
        <v>163.16982000000002</v>
      </c>
      <c r="AR319" s="925" t="s">
        <v>21</v>
      </c>
      <c r="AS319" s="925">
        <v>163.16982000000002</v>
      </c>
      <c r="AT319" s="925" t="s">
        <v>21</v>
      </c>
      <c r="AU319" s="925" t="s">
        <v>21</v>
      </c>
      <c r="AV319" s="926" t="s">
        <v>21</v>
      </c>
      <c r="AW319" s="926" t="s">
        <v>21</v>
      </c>
      <c r="AX319" s="926" t="s">
        <v>21</v>
      </c>
      <c r="AY319" s="926" t="s">
        <v>21</v>
      </c>
      <c r="AZ319" s="925" t="s">
        <v>21</v>
      </c>
      <c r="BA319" s="925"/>
      <c r="BB319" s="919">
        <v>5.016</v>
      </c>
      <c r="BC319" s="919" t="s">
        <v>21</v>
      </c>
      <c r="BD319" s="919" t="s">
        <v>2142</v>
      </c>
      <c r="BE319" s="925" t="s">
        <v>21</v>
      </c>
      <c r="BF319" s="926" t="s">
        <v>21</v>
      </c>
      <c r="BG319" s="925">
        <v>35.83</v>
      </c>
      <c r="BH319" s="926" t="s">
        <v>21</v>
      </c>
      <c r="BI319" s="925" t="s">
        <v>21</v>
      </c>
      <c r="BJ319" s="926" t="s">
        <v>21</v>
      </c>
      <c r="BK319" s="925" t="s">
        <v>21</v>
      </c>
      <c r="BL319" s="926" t="s">
        <v>21</v>
      </c>
      <c r="BM319" s="925" t="s">
        <v>21</v>
      </c>
      <c r="BN319" s="927"/>
      <c r="BO319" s="927"/>
      <c r="BP319" s="928">
        <v>1</v>
      </c>
      <c r="BQ319" s="928" t="s">
        <v>21</v>
      </c>
      <c r="BR319" s="928" t="s">
        <v>21</v>
      </c>
      <c r="BS319" s="928" t="s">
        <v>21</v>
      </c>
      <c r="BT319" s="928" t="s">
        <v>21</v>
      </c>
      <c r="BU319" s="928" t="s">
        <v>21</v>
      </c>
      <c r="BV319" s="934">
        <v>0.50000000000009104</v>
      </c>
      <c r="BW319" s="934">
        <v>1</v>
      </c>
      <c r="BX319" s="1104">
        <v>2</v>
      </c>
      <c r="BY319" s="931">
        <v>4</v>
      </c>
      <c r="BZ319" s="930" t="s">
        <v>21</v>
      </c>
      <c r="CA319" s="1074" t="s">
        <v>21</v>
      </c>
      <c r="CB319" s="930" t="s">
        <v>21</v>
      </c>
      <c r="CC319" s="930" t="s">
        <v>21</v>
      </c>
      <c r="CD319" s="925">
        <v>36.654000000000003</v>
      </c>
      <c r="CE319" s="1130">
        <v>107.812</v>
      </c>
      <c r="CF319" s="1129" t="s">
        <v>21</v>
      </c>
      <c r="CG319" s="1130" t="s">
        <v>21</v>
      </c>
      <c r="CH319" s="1130" t="s">
        <v>21</v>
      </c>
      <c r="CI319" s="1131" t="s">
        <v>21</v>
      </c>
      <c r="CJ319" s="1129" t="s">
        <v>21</v>
      </c>
      <c r="CK319" s="1130">
        <v>107.812</v>
      </c>
      <c r="CL319" s="1130" t="s">
        <v>21</v>
      </c>
      <c r="CM319" s="1131" t="s">
        <v>21</v>
      </c>
      <c r="CN319" s="1130" t="s">
        <v>21</v>
      </c>
      <c r="CP319" s="838" t="s">
        <v>21</v>
      </c>
      <c r="CQ319" s="838" t="s">
        <v>21</v>
      </c>
      <c r="CR319" s="836"/>
    </row>
    <row r="320" spans="1:96" x14ac:dyDescent="0.25">
      <c r="A320" s="935"/>
      <c r="B320" s="932" t="s">
        <v>2252</v>
      </c>
      <c r="C320" s="911">
        <v>600</v>
      </c>
      <c r="D320" s="911" t="s">
        <v>2116</v>
      </c>
      <c r="E320" s="912">
        <v>1195.8499999999999</v>
      </c>
      <c r="F320" s="912">
        <v>1193.9000000000001</v>
      </c>
      <c r="G320" s="910" t="s">
        <v>2298</v>
      </c>
      <c r="H320" s="912">
        <v>1195</v>
      </c>
      <c r="I320" s="912">
        <v>1193.0999999999999</v>
      </c>
      <c r="J320" s="914">
        <v>33.93</v>
      </c>
      <c r="K320" s="915"/>
      <c r="L320" s="916">
        <v>0.1</v>
      </c>
      <c r="M320" s="916">
        <v>0.06</v>
      </c>
      <c r="N320" s="916">
        <v>0.2</v>
      </c>
      <c r="O320" s="916">
        <v>4.8570000000000002</v>
      </c>
      <c r="P320" s="915"/>
      <c r="Q320" s="916">
        <v>2.1850000000000001</v>
      </c>
      <c r="R320" s="917">
        <v>0.33333333333333331</v>
      </c>
      <c r="S320" s="918">
        <v>1.4</v>
      </c>
      <c r="T320" s="918">
        <v>2.8570000000000002</v>
      </c>
      <c r="U320" s="916">
        <v>4.6059999999999999</v>
      </c>
      <c r="V320" s="916">
        <v>0.92</v>
      </c>
      <c r="W320" s="915"/>
      <c r="X320" s="916">
        <v>0.28299999999999997</v>
      </c>
      <c r="Y320" s="916">
        <v>0.40699999999999997</v>
      </c>
      <c r="Z320" s="916">
        <v>4.6509999999999998</v>
      </c>
      <c r="AA320" s="916">
        <v>1.0229999999999999</v>
      </c>
      <c r="AB320" s="916">
        <v>3.081</v>
      </c>
      <c r="AC320" s="915"/>
      <c r="AD320" s="919">
        <v>164.798</v>
      </c>
      <c r="AE320" s="920">
        <v>157.80799999999999</v>
      </c>
      <c r="AF320" s="920" t="s">
        <v>21</v>
      </c>
      <c r="AG320" s="920" t="s">
        <v>21</v>
      </c>
      <c r="AH320" s="921">
        <v>157.80799999999999</v>
      </c>
      <c r="AI320" s="921" t="s">
        <v>21</v>
      </c>
      <c r="AJ320" s="920" t="s">
        <v>21</v>
      </c>
      <c r="AK320" s="920" t="s">
        <v>21</v>
      </c>
      <c r="AL320" s="921" t="s">
        <v>21</v>
      </c>
      <c r="AM320" s="921" t="s">
        <v>21</v>
      </c>
      <c r="AN320" s="920"/>
      <c r="AO320" s="920" t="s">
        <v>21</v>
      </c>
      <c r="AP320" s="919">
        <v>47.502000000000002</v>
      </c>
      <c r="AQ320" s="933">
        <v>156.28157999999999</v>
      </c>
      <c r="AR320" s="925" t="s">
        <v>21</v>
      </c>
      <c r="AS320" s="925">
        <v>156.28157999999999</v>
      </c>
      <c r="AT320" s="925" t="s">
        <v>21</v>
      </c>
      <c r="AU320" s="925" t="s">
        <v>21</v>
      </c>
      <c r="AV320" s="926" t="s">
        <v>21</v>
      </c>
      <c r="AW320" s="926" t="s">
        <v>21</v>
      </c>
      <c r="AX320" s="926" t="s">
        <v>21</v>
      </c>
      <c r="AY320" s="926" t="s">
        <v>21</v>
      </c>
      <c r="AZ320" s="925" t="s">
        <v>21</v>
      </c>
      <c r="BA320" s="925"/>
      <c r="BB320" s="919">
        <v>4.75</v>
      </c>
      <c r="BC320" s="919" t="s">
        <v>21</v>
      </c>
      <c r="BD320" s="919" t="s">
        <v>2142</v>
      </c>
      <c r="BE320" s="925" t="s">
        <v>21</v>
      </c>
      <c r="BF320" s="926" t="s">
        <v>21</v>
      </c>
      <c r="BG320" s="925">
        <v>33.93</v>
      </c>
      <c r="BH320" s="926" t="s">
        <v>21</v>
      </c>
      <c r="BI320" s="925" t="s">
        <v>21</v>
      </c>
      <c r="BJ320" s="926" t="s">
        <v>21</v>
      </c>
      <c r="BK320" s="925" t="s">
        <v>21</v>
      </c>
      <c r="BL320" s="926" t="s">
        <v>21</v>
      </c>
      <c r="BM320" s="925" t="s">
        <v>21</v>
      </c>
      <c r="BN320" s="927"/>
      <c r="BO320" s="927"/>
      <c r="BP320" s="928">
        <v>1</v>
      </c>
      <c r="BQ320" s="928" t="s">
        <v>21</v>
      </c>
      <c r="BR320" s="928" t="s">
        <v>21</v>
      </c>
      <c r="BS320" s="928" t="s">
        <v>21</v>
      </c>
      <c r="BT320" s="928" t="s">
        <v>21</v>
      </c>
      <c r="BU320" s="928" t="s">
        <v>21</v>
      </c>
      <c r="BV320" s="934">
        <v>0.54999999999981819</v>
      </c>
      <c r="BW320" s="934">
        <v>1</v>
      </c>
      <c r="BX320" s="1104">
        <v>2</v>
      </c>
      <c r="BY320" s="931">
        <v>4</v>
      </c>
      <c r="BZ320" s="930" t="s">
        <v>21</v>
      </c>
      <c r="CA320" s="1074" t="s">
        <v>21</v>
      </c>
      <c r="CB320" s="930" t="s">
        <v>21</v>
      </c>
      <c r="CC320" s="930" t="s">
        <v>21</v>
      </c>
      <c r="CD320" s="925">
        <v>34.71</v>
      </c>
      <c r="CE320" s="1130">
        <v>104.538</v>
      </c>
      <c r="CF320" s="1129" t="s">
        <v>21</v>
      </c>
      <c r="CG320" s="1130" t="s">
        <v>21</v>
      </c>
      <c r="CH320" s="1130" t="s">
        <v>21</v>
      </c>
      <c r="CI320" s="1131" t="s">
        <v>21</v>
      </c>
      <c r="CJ320" s="1129" t="s">
        <v>21</v>
      </c>
      <c r="CK320" s="1130">
        <v>104.538</v>
      </c>
      <c r="CL320" s="1130" t="s">
        <v>21</v>
      </c>
      <c r="CM320" s="1131" t="s">
        <v>21</v>
      </c>
      <c r="CN320" s="1130" t="s">
        <v>21</v>
      </c>
      <c r="CP320" s="838" t="s">
        <v>21</v>
      </c>
      <c r="CQ320" s="838" t="s">
        <v>21</v>
      </c>
      <c r="CR320" s="836"/>
    </row>
    <row r="321" spans="1:99" x14ac:dyDescent="0.25">
      <c r="A321" s="935"/>
      <c r="B321" s="932"/>
      <c r="C321" s="911"/>
      <c r="D321" s="911"/>
      <c r="E321" s="912"/>
      <c r="F321" s="912"/>
      <c r="G321" s="910"/>
      <c r="H321" s="912"/>
      <c r="I321" s="912"/>
      <c r="J321" s="914"/>
      <c r="K321" s="915"/>
      <c r="L321" s="916" t="s">
        <v>21</v>
      </c>
      <c r="M321" s="916" t="s">
        <v>21</v>
      </c>
      <c r="N321" s="916" t="s">
        <v>21</v>
      </c>
      <c r="O321" s="916" t="s">
        <v>21</v>
      </c>
      <c r="P321" s="915"/>
      <c r="Q321" s="916" t="s">
        <v>21</v>
      </c>
      <c r="R321" s="917" t="s">
        <v>21</v>
      </c>
      <c r="S321" s="918" t="s">
        <v>21</v>
      </c>
      <c r="T321" s="918" t="s">
        <v>21</v>
      </c>
      <c r="U321" s="916" t="s">
        <v>21</v>
      </c>
      <c r="V321" s="916" t="s">
        <v>21</v>
      </c>
      <c r="W321" s="915"/>
      <c r="X321" s="916" t="s">
        <v>21</v>
      </c>
      <c r="Y321" s="916" t="s">
        <v>21</v>
      </c>
      <c r="Z321" s="916" t="s">
        <v>21</v>
      </c>
      <c r="AA321" s="916" t="s">
        <v>21</v>
      </c>
      <c r="AB321" s="916" t="s">
        <v>21</v>
      </c>
      <c r="AC321" s="915"/>
      <c r="AD321" s="919" t="s">
        <v>21</v>
      </c>
      <c r="AE321" s="920" t="s">
        <v>21</v>
      </c>
      <c r="AF321" s="920" t="s">
        <v>21</v>
      </c>
      <c r="AG321" s="920" t="s">
        <v>21</v>
      </c>
      <c r="AH321" s="921" t="s">
        <v>21</v>
      </c>
      <c r="AI321" s="921" t="s">
        <v>21</v>
      </c>
      <c r="AJ321" s="920" t="s">
        <v>21</v>
      </c>
      <c r="AK321" s="920" t="s">
        <v>21</v>
      </c>
      <c r="AL321" s="921" t="s">
        <v>21</v>
      </c>
      <c r="AM321" s="921" t="s">
        <v>21</v>
      </c>
      <c r="AN321" s="920"/>
      <c r="AO321" s="920" t="s">
        <v>21</v>
      </c>
      <c r="AP321" s="919" t="s">
        <v>21</v>
      </c>
      <c r="AQ321" s="933" t="s">
        <v>21</v>
      </c>
      <c r="AR321" s="925" t="s">
        <v>21</v>
      </c>
      <c r="AS321" s="925" t="s">
        <v>21</v>
      </c>
      <c r="AT321" s="925" t="s">
        <v>21</v>
      </c>
      <c r="AU321" s="925" t="s">
        <v>21</v>
      </c>
      <c r="AV321" s="926" t="s">
        <v>21</v>
      </c>
      <c r="AW321" s="926" t="s">
        <v>21</v>
      </c>
      <c r="AX321" s="926" t="s">
        <v>21</v>
      </c>
      <c r="AY321" s="926" t="s">
        <v>21</v>
      </c>
      <c r="AZ321" s="925" t="s">
        <v>21</v>
      </c>
      <c r="BA321" s="925"/>
      <c r="BB321" s="919" t="s">
        <v>21</v>
      </c>
      <c r="BC321" s="919" t="s">
        <v>21</v>
      </c>
      <c r="BD321" s="919" t="s">
        <v>21</v>
      </c>
      <c r="BE321" s="925" t="s">
        <v>21</v>
      </c>
      <c r="BF321" s="926" t="s">
        <v>21</v>
      </c>
      <c r="BG321" s="925" t="s">
        <v>21</v>
      </c>
      <c r="BH321" s="926" t="s">
        <v>21</v>
      </c>
      <c r="BI321" s="925" t="s">
        <v>21</v>
      </c>
      <c r="BJ321" s="926" t="s">
        <v>21</v>
      </c>
      <c r="BK321" s="925" t="s">
        <v>21</v>
      </c>
      <c r="BL321" s="926" t="s">
        <v>21</v>
      </c>
      <c r="BM321" s="925" t="s">
        <v>21</v>
      </c>
      <c r="BN321" s="927"/>
      <c r="BO321" s="927"/>
      <c r="BP321" s="928" t="s">
        <v>21</v>
      </c>
      <c r="BQ321" s="928" t="s">
        <v>21</v>
      </c>
      <c r="BR321" s="928" t="s">
        <v>21</v>
      </c>
      <c r="BS321" s="928" t="s">
        <v>21</v>
      </c>
      <c r="BT321" s="928" t="s">
        <v>21</v>
      </c>
      <c r="BU321" s="928" t="s">
        <v>21</v>
      </c>
      <c r="BV321" s="934" t="s">
        <v>21</v>
      </c>
      <c r="BW321" s="934" t="s">
        <v>21</v>
      </c>
      <c r="BX321" s="1104" t="s">
        <v>21</v>
      </c>
      <c r="BY321" s="931" t="s">
        <v>21</v>
      </c>
      <c r="BZ321" s="930" t="s">
        <v>21</v>
      </c>
      <c r="CA321" s="1074" t="s">
        <v>21</v>
      </c>
      <c r="CB321" s="930" t="s">
        <v>21</v>
      </c>
      <c r="CC321" s="930" t="s">
        <v>21</v>
      </c>
      <c r="CD321" s="925" t="s">
        <v>21</v>
      </c>
      <c r="CE321" s="1130" t="s">
        <v>21</v>
      </c>
      <c r="CF321" s="1129" t="s">
        <v>21</v>
      </c>
      <c r="CG321" s="1130" t="s">
        <v>21</v>
      </c>
      <c r="CH321" s="1130" t="s">
        <v>21</v>
      </c>
      <c r="CI321" s="1131" t="s">
        <v>21</v>
      </c>
      <c r="CJ321" s="1129" t="s">
        <v>21</v>
      </c>
      <c r="CK321" s="1130" t="s">
        <v>21</v>
      </c>
      <c r="CL321" s="1130" t="s">
        <v>21</v>
      </c>
      <c r="CM321" s="1131" t="s">
        <v>21</v>
      </c>
      <c r="CN321" s="1130" t="s">
        <v>21</v>
      </c>
      <c r="CP321" s="838" t="s">
        <v>21</v>
      </c>
      <c r="CQ321" s="838" t="s">
        <v>21</v>
      </c>
      <c r="CR321" s="836"/>
    </row>
    <row r="322" spans="1:99" s="1097" customFormat="1" x14ac:dyDescent="0.25">
      <c r="A322" s="1079" t="s">
        <v>2549</v>
      </c>
      <c r="B322" s="1078"/>
      <c r="C322" s="1076"/>
      <c r="D322" s="1076"/>
      <c r="E322" s="1077"/>
      <c r="F322" s="1077"/>
      <c r="G322" s="1078"/>
      <c r="H322" s="1077"/>
      <c r="I322" s="1077"/>
      <c r="J322" s="1080">
        <v>1214.9899999999998</v>
      </c>
      <c r="K322" s="1081"/>
      <c r="L322" s="1082"/>
      <c r="M322" s="1082"/>
      <c r="N322" s="1082"/>
      <c r="O322" s="1082"/>
      <c r="P322" s="1081"/>
      <c r="Q322" s="1082"/>
      <c r="R322" s="1083"/>
      <c r="S322" s="976"/>
      <c r="T322" s="976"/>
      <c r="U322" s="1082"/>
      <c r="V322" s="1082"/>
      <c r="W322" s="1081"/>
      <c r="X322" s="1082"/>
      <c r="Y322" s="1082"/>
      <c r="Z322" s="1082"/>
      <c r="AA322" s="1082"/>
      <c r="AB322" s="1082"/>
      <c r="AC322" s="1081"/>
      <c r="AD322" s="1084">
        <v>5997.342999999998</v>
      </c>
      <c r="AE322" s="1085">
        <v>6042.0410000000002</v>
      </c>
      <c r="AF322" s="1085">
        <v>0</v>
      </c>
      <c r="AG322" s="1085">
        <v>0</v>
      </c>
      <c r="AH322" s="1086">
        <v>5789.1410000000014</v>
      </c>
      <c r="AI322" s="1086">
        <v>252.9</v>
      </c>
      <c r="AJ322" s="1085">
        <v>0</v>
      </c>
      <c r="AK322" s="1085">
        <v>0</v>
      </c>
      <c r="AL322" s="1086">
        <v>0</v>
      </c>
      <c r="AM322" s="1086">
        <v>0</v>
      </c>
      <c r="AN322" s="1085">
        <v>0</v>
      </c>
      <c r="AO322" s="1085">
        <v>0</v>
      </c>
      <c r="AP322" s="1084">
        <v>1718.9860000000001</v>
      </c>
      <c r="AQ322" s="1087">
        <v>5844.9947900000006</v>
      </c>
      <c r="AR322" s="1088">
        <v>0</v>
      </c>
      <c r="AS322" s="1088">
        <v>5613.9947900000016</v>
      </c>
      <c r="AT322" s="1088">
        <v>0</v>
      </c>
      <c r="AU322" s="1088">
        <v>0</v>
      </c>
      <c r="AV322" s="1089">
        <v>0</v>
      </c>
      <c r="AW322" s="1089">
        <v>231</v>
      </c>
      <c r="AX322" s="1089">
        <v>0</v>
      </c>
      <c r="AY322" s="1089">
        <v>0</v>
      </c>
      <c r="AZ322" s="1088">
        <v>0</v>
      </c>
      <c r="BA322" s="1088">
        <v>0</v>
      </c>
      <c r="BB322" s="1084">
        <v>161.69600000000003</v>
      </c>
      <c r="BC322" s="1084">
        <v>15.3</v>
      </c>
      <c r="BD322" s="1090"/>
      <c r="BE322" s="1088">
        <v>0</v>
      </c>
      <c r="BF322" s="1089">
        <v>0</v>
      </c>
      <c r="BG322" s="1088">
        <v>1154.99</v>
      </c>
      <c r="BH322" s="1089">
        <v>60</v>
      </c>
      <c r="BI322" s="1088">
        <v>0</v>
      </c>
      <c r="BJ322" s="1089">
        <v>0</v>
      </c>
      <c r="BK322" s="1088">
        <v>0</v>
      </c>
      <c r="BL322" s="1089">
        <v>0</v>
      </c>
      <c r="BM322" s="1088">
        <v>0</v>
      </c>
      <c r="BN322" s="1091">
        <v>0</v>
      </c>
      <c r="BO322" s="1091">
        <v>0</v>
      </c>
      <c r="BP322" s="1092">
        <v>37</v>
      </c>
      <c r="BQ322" s="1092">
        <v>1</v>
      </c>
      <c r="BR322" s="1092">
        <v>0</v>
      </c>
      <c r="BS322" s="1092">
        <v>0</v>
      </c>
      <c r="BT322" s="1092">
        <v>0</v>
      </c>
      <c r="BU322" s="1092">
        <v>0</v>
      </c>
      <c r="BV322" s="1093">
        <v>26.124000000000226</v>
      </c>
      <c r="BW322" s="1093">
        <v>39.5</v>
      </c>
      <c r="BX322" s="1105">
        <v>79</v>
      </c>
      <c r="BY322" s="1095">
        <v>155</v>
      </c>
      <c r="BZ322" s="1094">
        <v>24</v>
      </c>
      <c r="CA322" s="1094">
        <v>14</v>
      </c>
      <c r="CB322" s="1094">
        <v>3</v>
      </c>
      <c r="CC322" s="1094">
        <v>0</v>
      </c>
      <c r="CD322" s="1088">
        <v>1267.5960000000005</v>
      </c>
      <c r="CE322" s="1133">
        <v>4084.6460000000011</v>
      </c>
      <c r="CF322" s="1132">
        <v>0</v>
      </c>
      <c r="CG322" s="1133">
        <v>0</v>
      </c>
      <c r="CH322" s="1133">
        <v>0</v>
      </c>
      <c r="CI322" s="1134">
        <v>0</v>
      </c>
      <c r="CJ322" s="1132">
        <v>0</v>
      </c>
      <c r="CK322" s="1133">
        <v>4084.6460000000011</v>
      </c>
      <c r="CL322" s="1133">
        <v>0</v>
      </c>
      <c r="CM322" s="1134">
        <v>0</v>
      </c>
      <c r="CN322" s="1133">
        <v>0</v>
      </c>
      <c r="CO322" s="1096"/>
      <c r="CP322" s="1096" t="s">
        <v>21</v>
      </c>
      <c r="CQ322" s="1096" t="s">
        <v>21</v>
      </c>
    </row>
    <row r="323" spans="1:99" x14ac:dyDescent="0.25">
      <c r="A323" s="935"/>
      <c r="B323" s="932"/>
      <c r="C323" s="911"/>
      <c r="D323" s="911"/>
      <c r="E323" s="912"/>
      <c r="F323" s="912"/>
      <c r="G323" s="910"/>
      <c r="H323" s="912"/>
      <c r="I323" s="912"/>
      <c r="J323" s="914"/>
      <c r="K323" s="915"/>
      <c r="L323" s="916" t="s">
        <v>21</v>
      </c>
      <c r="M323" s="916" t="s">
        <v>21</v>
      </c>
      <c r="N323" s="916" t="s">
        <v>21</v>
      </c>
      <c r="O323" s="916" t="s">
        <v>21</v>
      </c>
      <c r="P323" s="915"/>
      <c r="Q323" s="916" t="s">
        <v>21</v>
      </c>
      <c r="R323" s="917" t="s">
        <v>21</v>
      </c>
      <c r="S323" s="918" t="s">
        <v>21</v>
      </c>
      <c r="T323" s="918" t="s">
        <v>21</v>
      </c>
      <c r="U323" s="916" t="s">
        <v>21</v>
      </c>
      <c r="V323" s="916" t="s">
        <v>21</v>
      </c>
      <c r="W323" s="915"/>
      <c r="X323" s="916" t="s">
        <v>21</v>
      </c>
      <c r="Y323" s="916" t="s">
        <v>21</v>
      </c>
      <c r="Z323" s="916" t="s">
        <v>21</v>
      </c>
      <c r="AA323" s="916" t="s">
        <v>21</v>
      </c>
      <c r="AB323" s="916" t="s">
        <v>21</v>
      </c>
      <c r="AC323" s="915"/>
      <c r="AD323" s="919" t="s">
        <v>21</v>
      </c>
      <c r="AE323" s="920" t="s">
        <v>21</v>
      </c>
      <c r="AF323" s="920" t="s">
        <v>21</v>
      </c>
      <c r="AG323" s="920" t="s">
        <v>21</v>
      </c>
      <c r="AH323" s="921" t="s">
        <v>21</v>
      </c>
      <c r="AI323" s="921" t="s">
        <v>21</v>
      </c>
      <c r="AJ323" s="920" t="s">
        <v>21</v>
      </c>
      <c r="AK323" s="920" t="s">
        <v>21</v>
      </c>
      <c r="AL323" s="921" t="s">
        <v>21</v>
      </c>
      <c r="AM323" s="921" t="s">
        <v>21</v>
      </c>
      <c r="AN323" s="920"/>
      <c r="AO323" s="920" t="s">
        <v>21</v>
      </c>
      <c r="AP323" s="919" t="s">
        <v>21</v>
      </c>
      <c r="AQ323" s="933" t="s">
        <v>21</v>
      </c>
      <c r="AR323" s="925" t="s">
        <v>21</v>
      </c>
      <c r="AS323" s="925" t="s">
        <v>21</v>
      </c>
      <c r="AT323" s="925" t="s">
        <v>21</v>
      </c>
      <c r="AU323" s="925" t="s">
        <v>21</v>
      </c>
      <c r="AV323" s="926" t="s">
        <v>21</v>
      </c>
      <c r="AW323" s="926" t="s">
        <v>21</v>
      </c>
      <c r="AX323" s="926" t="s">
        <v>21</v>
      </c>
      <c r="AY323" s="926" t="s">
        <v>21</v>
      </c>
      <c r="AZ323" s="925" t="s">
        <v>21</v>
      </c>
      <c r="BA323" s="925"/>
      <c r="BB323" s="919" t="s">
        <v>21</v>
      </c>
      <c r="BC323" s="919" t="s">
        <v>21</v>
      </c>
      <c r="BD323" s="919" t="s">
        <v>21</v>
      </c>
      <c r="BE323" s="925" t="s">
        <v>21</v>
      </c>
      <c r="BF323" s="926" t="s">
        <v>21</v>
      </c>
      <c r="BG323" s="925" t="s">
        <v>21</v>
      </c>
      <c r="BH323" s="926" t="s">
        <v>21</v>
      </c>
      <c r="BI323" s="925" t="s">
        <v>21</v>
      </c>
      <c r="BJ323" s="926" t="s">
        <v>21</v>
      </c>
      <c r="BK323" s="925" t="s">
        <v>21</v>
      </c>
      <c r="BL323" s="926" t="s">
        <v>21</v>
      </c>
      <c r="BM323" s="925" t="s">
        <v>21</v>
      </c>
      <c r="BN323" s="927"/>
      <c r="BO323" s="927"/>
      <c r="BP323" s="928" t="s">
        <v>21</v>
      </c>
      <c r="BQ323" s="928" t="s">
        <v>21</v>
      </c>
      <c r="BR323" s="928" t="s">
        <v>21</v>
      </c>
      <c r="BS323" s="928" t="s">
        <v>21</v>
      </c>
      <c r="BT323" s="928" t="s">
        <v>21</v>
      </c>
      <c r="BU323" s="928" t="s">
        <v>21</v>
      </c>
      <c r="BV323" s="934" t="s">
        <v>21</v>
      </c>
      <c r="BW323" s="934" t="s">
        <v>21</v>
      </c>
      <c r="BX323" s="1104" t="s">
        <v>21</v>
      </c>
      <c r="BY323" s="931" t="s">
        <v>21</v>
      </c>
      <c r="BZ323" s="930" t="s">
        <v>21</v>
      </c>
      <c r="CA323" s="1074" t="s">
        <v>21</v>
      </c>
      <c r="CB323" s="930" t="s">
        <v>21</v>
      </c>
      <c r="CC323" s="930" t="s">
        <v>21</v>
      </c>
      <c r="CD323" s="925" t="s">
        <v>21</v>
      </c>
      <c r="CE323" s="1130" t="s">
        <v>21</v>
      </c>
      <c r="CF323" s="1129" t="s">
        <v>21</v>
      </c>
      <c r="CG323" s="1130" t="s">
        <v>21</v>
      </c>
      <c r="CH323" s="1130" t="s">
        <v>21</v>
      </c>
      <c r="CI323" s="1131" t="s">
        <v>21</v>
      </c>
      <c r="CJ323" s="1129" t="s">
        <v>21</v>
      </c>
      <c r="CK323" s="1130" t="s">
        <v>21</v>
      </c>
      <c r="CL323" s="1130" t="s">
        <v>21</v>
      </c>
      <c r="CM323" s="1131" t="s">
        <v>21</v>
      </c>
      <c r="CN323" s="1130" t="s">
        <v>21</v>
      </c>
      <c r="CP323" s="838" t="s">
        <v>21</v>
      </c>
      <c r="CQ323" s="838" t="s">
        <v>21</v>
      </c>
      <c r="CR323" s="836"/>
    </row>
    <row r="324" spans="1:99" x14ac:dyDescent="0.25">
      <c r="A324" s="935"/>
      <c r="B324" s="932"/>
      <c r="C324" s="911"/>
      <c r="D324" s="911"/>
      <c r="E324" s="912"/>
      <c r="F324" s="912"/>
      <c r="G324" s="910"/>
      <c r="H324" s="912"/>
      <c r="I324" s="912"/>
      <c r="J324" s="914"/>
      <c r="K324" s="915"/>
      <c r="L324" s="916" t="s">
        <v>21</v>
      </c>
      <c r="M324" s="916" t="s">
        <v>21</v>
      </c>
      <c r="N324" s="916" t="s">
        <v>21</v>
      </c>
      <c r="O324" s="916" t="s">
        <v>21</v>
      </c>
      <c r="P324" s="915"/>
      <c r="Q324" s="916" t="s">
        <v>21</v>
      </c>
      <c r="R324" s="917" t="s">
        <v>21</v>
      </c>
      <c r="S324" s="918" t="s">
        <v>21</v>
      </c>
      <c r="T324" s="918" t="s">
        <v>21</v>
      </c>
      <c r="U324" s="916" t="s">
        <v>21</v>
      </c>
      <c r="V324" s="916" t="s">
        <v>21</v>
      </c>
      <c r="W324" s="915"/>
      <c r="X324" s="916" t="s">
        <v>21</v>
      </c>
      <c r="Y324" s="916" t="s">
        <v>21</v>
      </c>
      <c r="Z324" s="916" t="s">
        <v>21</v>
      </c>
      <c r="AA324" s="916" t="s">
        <v>21</v>
      </c>
      <c r="AB324" s="916" t="s">
        <v>21</v>
      </c>
      <c r="AC324" s="915"/>
      <c r="AD324" s="919" t="s">
        <v>21</v>
      </c>
      <c r="AE324" s="920" t="s">
        <v>21</v>
      </c>
      <c r="AF324" s="920" t="s">
        <v>21</v>
      </c>
      <c r="AG324" s="920" t="s">
        <v>21</v>
      </c>
      <c r="AH324" s="921" t="s">
        <v>21</v>
      </c>
      <c r="AI324" s="921" t="s">
        <v>21</v>
      </c>
      <c r="AJ324" s="920" t="s">
        <v>21</v>
      </c>
      <c r="AK324" s="920" t="s">
        <v>21</v>
      </c>
      <c r="AL324" s="921" t="s">
        <v>21</v>
      </c>
      <c r="AM324" s="921" t="s">
        <v>21</v>
      </c>
      <c r="AN324" s="920"/>
      <c r="AO324" s="920" t="s">
        <v>21</v>
      </c>
      <c r="AP324" s="919" t="s">
        <v>21</v>
      </c>
      <c r="AQ324" s="933" t="s">
        <v>21</v>
      </c>
      <c r="AR324" s="925" t="s">
        <v>21</v>
      </c>
      <c r="AS324" s="925" t="s">
        <v>21</v>
      </c>
      <c r="AT324" s="925" t="s">
        <v>21</v>
      </c>
      <c r="AU324" s="925" t="s">
        <v>21</v>
      </c>
      <c r="AV324" s="926" t="s">
        <v>21</v>
      </c>
      <c r="AW324" s="926" t="s">
        <v>21</v>
      </c>
      <c r="AX324" s="926" t="s">
        <v>21</v>
      </c>
      <c r="AY324" s="926" t="s">
        <v>21</v>
      </c>
      <c r="AZ324" s="925" t="s">
        <v>21</v>
      </c>
      <c r="BA324" s="925"/>
      <c r="BB324" s="919" t="s">
        <v>21</v>
      </c>
      <c r="BC324" s="919" t="s">
        <v>21</v>
      </c>
      <c r="BD324" s="919" t="s">
        <v>21</v>
      </c>
      <c r="BE324" s="925" t="s">
        <v>21</v>
      </c>
      <c r="BF324" s="926" t="s">
        <v>21</v>
      </c>
      <c r="BG324" s="925" t="s">
        <v>21</v>
      </c>
      <c r="BH324" s="926" t="s">
        <v>21</v>
      </c>
      <c r="BI324" s="925" t="s">
        <v>21</v>
      </c>
      <c r="BJ324" s="926" t="s">
        <v>21</v>
      </c>
      <c r="BK324" s="925" t="s">
        <v>21</v>
      </c>
      <c r="BL324" s="926" t="s">
        <v>21</v>
      </c>
      <c r="BM324" s="925" t="s">
        <v>21</v>
      </c>
      <c r="BN324" s="927"/>
      <c r="BO324" s="927"/>
      <c r="BP324" s="928" t="s">
        <v>21</v>
      </c>
      <c r="BQ324" s="928" t="s">
        <v>21</v>
      </c>
      <c r="BR324" s="928" t="s">
        <v>21</v>
      </c>
      <c r="BS324" s="928" t="s">
        <v>21</v>
      </c>
      <c r="BT324" s="928" t="s">
        <v>21</v>
      </c>
      <c r="BU324" s="928" t="s">
        <v>21</v>
      </c>
      <c r="BV324" s="934" t="s">
        <v>21</v>
      </c>
      <c r="BW324" s="934" t="s">
        <v>21</v>
      </c>
      <c r="BX324" s="1104" t="s">
        <v>21</v>
      </c>
      <c r="BY324" s="931" t="s">
        <v>21</v>
      </c>
      <c r="BZ324" s="930" t="s">
        <v>21</v>
      </c>
      <c r="CA324" s="1074" t="s">
        <v>21</v>
      </c>
      <c r="CB324" s="930" t="s">
        <v>21</v>
      </c>
      <c r="CC324" s="930" t="s">
        <v>21</v>
      </c>
      <c r="CD324" s="925" t="s">
        <v>21</v>
      </c>
      <c r="CE324" s="1130" t="s">
        <v>21</v>
      </c>
      <c r="CF324" s="1129" t="s">
        <v>21</v>
      </c>
      <c r="CG324" s="1130" t="s">
        <v>21</v>
      </c>
      <c r="CH324" s="1130" t="s">
        <v>21</v>
      </c>
      <c r="CI324" s="1131" t="s">
        <v>21</v>
      </c>
      <c r="CJ324" s="1129" t="s">
        <v>21</v>
      </c>
      <c r="CK324" s="1130" t="s">
        <v>21</v>
      </c>
      <c r="CL324" s="1130" t="s">
        <v>21</v>
      </c>
      <c r="CM324" s="1131" t="s">
        <v>21</v>
      </c>
      <c r="CN324" s="1130" t="s">
        <v>21</v>
      </c>
      <c r="CP324" s="838" t="s">
        <v>21</v>
      </c>
      <c r="CQ324" s="838" t="s">
        <v>21</v>
      </c>
      <c r="CR324" s="836"/>
    </row>
    <row r="325" spans="1:99" x14ac:dyDescent="0.25">
      <c r="AD325" s="941"/>
      <c r="AE325" s="941"/>
      <c r="AF325" s="940" t="s">
        <v>27</v>
      </c>
      <c r="AG325" s="940" t="s">
        <v>27</v>
      </c>
      <c r="AH325" s="940" t="s">
        <v>27</v>
      </c>
      <c r="AI325" s="940" t="s">
        <v>27</v>
      </c>
      <c r="AJ325" s="940" t="s">
        <v>27</v>
      </c>
      <c r="AK325" s="940" t="s">
        <v>27</v>
      </c>
      <c r="AL325" s="940" t="s">
        <v>27</v>
      </c>
      <c r="AM325" s="940" t="s">
        <v>27</v>
      </c>
      <c r="AN325" s="941"/>
      <c r="AO325" s="941"/>
      <c r="AP325" s="941"/>
      <c r="AQ325" s="941"/>
      <c r="AR325" s="941" t="s">
        <v>27</v>
      </c>
      <c r="AS325" s="941" t="s">
        <v>27</v>
      </c>
      <c r="AT325" s="941" t="s">
        <v>27</v>
      </c>
      <c r="AU325" s="941" t="s">
        <v>2117</v>
      </c>
      <c r="AV325" s="941" t="s">
        <v>27</v>
      </c>
      <c r="AW325" s="941" t="s">
        <v>27</v>
      </c>
      <c r="AX325" s="941" t="s">
        <v>27</v>
      </c>
      <c r="AY325" s="941" t="s">
        <v>2117</v>
      </c>
      <c r="AZ325" s="941" t="s">
        <v>2117</v>
      </c>
      <c r="BA325" s="941" t="s">
        <v>2117</v>
      </c>
      <c r="BB325" s="941" t="s">
        <v>27</v>
      </c>
      <c r="BC325" s="941" t="s">
        <v>27</v>
      </c>
      <c r="BN325" s="942"/>
      <c r="BO325" s="942"/>
      <c r="BP325" s="943"/>
      <c r="BQ325" s="943"/>
      <c r="BR325" s="943"/>
      <c r="BS325" s="943"/>
      <c r="BT325" s="943"/>
      <c r="BU325" s="943"/>
      <c r="BV325" s="943"/>
      <c r="BW325" s="942"/>
      <c r="BX325" s="942"/>
      <c r="BY325" s="942"/>
      <c r="BZ325" s="942"/>
      <c r="CA325" s="942"/>
      <c r="CE325" s="941"/>
      <c r="CF325" s="941"/>
      <c r="CG325" s="941"/>
      <c r="CH325" s="941"/>
      <c r="CI325" s="941"/>
      <c r="CJ325" s="941"/>
      <c r="CK325" s="941"/>
      <c r="CL325" s="941"/>
      <c r="CM325" s="941"/>
      <c r="CN325" s="941"/>
      <c r="CQ325" s="836"/>
      <c r="CR325" s="836"/>
    </row>
    <row r="326" spans="1:99" x14ac:dyDescent="0.25">
      <c r="AD326" s="941"/>
      <c r="AE326" s="941"/>
      <c r="AF326" s="940">
        <v>102276</v>
      </c>
      <c r="AG326" s="940">
        <v>90082</v>
      </c>
      <c r="AH326" s="940">
        <v>90084</v>
      </c>
      <c r="AI326" s="940">
        <v>102278</v>
      </c>
      <c r="AJ326" s="940">
        <v>90094</v>
      </c>
      <c r="AK326" s="940">
        <v>90087</v>
      </c>
      <c r="AL326" s="940">
        <v>102280</v>
      </c>
      <c r="AM326" s="940">
        <v>90090</v>
      </c>
      <c r="AN326" s="941"/>
      <c r="AO326" s="941"/>
      <c r="AP326" s="941"/>
      <c r="AQ326" s="941"/>
      <c r="AR326" s="940">
        <v>101576</v>
      </c>
      <c r="AS326" s="940">
        <v>101578</v>
      </c>
      <c r="AT326" s="940">
        <v>101580</v>
      </c>
      <c r="AU326" s="940" t="s">
        <v>2118</v>
      </c>
      <c r="AV326" s="940">
        <v>101577</v>
      </c>
      <c r="AW326" s="940">
        <v>101579</v>
      </c>
      <c r="AX326" s="940">
        <v>101581</v>
      </c>
      <c r="AY326" s="940" t="s">
        <v>2118</v>
      </c>
      <c r="AZ326" s="941" t="s">
        <v>2118</v>
      </c>
      <c r="BA326" s="941"/>
      <c r="BB326" s="940">
        <v>101623</v>
      </c>
      <c r="BC326" s="940">
        <v>101624</v>
      </c>
      <c r="BN326" s="942"/>
      <c r="BO326" s="942"/>
      <c r="BP326" s="943" t="s">
        <v>2387</v>
      </c>
      <c r="BQ326" s="943" t="s">
        <v>2392</v>
      </c>
      <c r="BR326" s="943" t="s">
        <v>2394</v>
      </c>
      <c r="BS326" s="943" t="s">
        <v>2397</v>
      </c>
      <c r="BT326" s="943" t="s">
        <v>2399</v>
      </c>
      <c r="BU326" s="943"/>
      <c r="BV326" s="943"/>
      <c r="BW326" s="942"/>
      <c r="BX326" s="942"/>
      <c r="BY326" s="942"/>
      <c r="BZ326" s="942"/>
      <c r="CA326" s="942"/>
      <c r="CD326" s="1117">
        <v>93382</v>
      </c>
      <c r="CE326" s="1117"/>
      <c r="CF326" s="1117">
        <v>93368</v>
      </c>
      <c r="CG326" s="1117">
        <v>93368</v>
      </c>
      <c r="CH326" s="1117">
        <v>93370</v>
      </c>
      <c r="CI326" s="1117">
        <v>93372</v>
      </c>
      <c r="CJ326" s="1117">
        <v>93367</v>
      </c>
      <c r="CK326" s="1117">
        <v>93369</v>
      </c>
      <c r="CL326" s="1117">
        <v>93371</v>
      </c>
      <c r="CM326" s="1117">
        <v>93373</v>
      </c>
      <c r="CN326" s="1117">
        <v>96386</v>
      </c>
      <c r="CQ326" s="836"/>
      <c r="CR326" s="836"/>
    </row>
    <row r="327" spans="1:99" s="947" customFormat="1" x14ac:dyDescent="0.25">
      <c r="A327" s="944"/>
      <c r="B327" s="945"/>
      <c r="C327" s="944"/>
      <c r="D327" s="944"/>
      <c r="E327" s="946"/>
      <c r="F327" s="946"/>
      <c r="G327" s="945" t="s">
        <v>2244</v>
      </c>
      <c r="H327" s="946">
        <v>2</v>
      </c>
      <c r="I327" s="946"/>
      <c r="J327" s="946">
        <v>7472.369999999999</v>
      </c>
      <c r="L327" s="838"/>
      <c r="M327" s="838"/>
      <c r="N327" s="948"/>
      <c r="O327" s="949"/>
      <c r="P327" s="836"/>
      <c r="Q327" s="838"/>
      <c r="R327" s="836"/>
      <c r="S327" s="941"/>
      <c r="T327" s="941"/>
      <c r="U327" s="838"/>
      <c r="V327" s="838"/>
      <c r="X327" s="946"/>
      <c r="Y327" s="946"/>
      <c r="Z327" s="946"/>
      <c r="AA327" s="946"/>
      <c r="AB327" s="946"/>
      <c r="AD327" s="950">
        <v>37727.886000000013</v>
      </c>
      <c r="AE327" s="950">
        <v>43363.114000000023</v>
      </c>
      <c r="AF327" s="950">
        <v>338.952</v>
      </c>
      <c r="AG327" s="950">
        <v>0</v>
      </c>
      <c r="AH327" s="950">
        <v>29356.749</v>
      </c>
      <c r="AI327" s="950">
        <v>4727.9110000000001</v>
      </c>
      <c r="AJ327" s="950">
        <v>773.16499999999996</v>
      </c>
      <c r="AK327" s="950">
        <v>2693.5459999999998</v>
      </c>
      <c r="AL327" s="950">
        <v>0</v>
      </c>
      <c r="AM327" s="950">
        <v>2410.509</v>
      </c>
      <c r="AN327" s="950">
        <v>0</v>
      </c>
      <c r="AO327" s="950">
        <v>3062.2820000000002</v>
      </c>
      <c r="AP327" s="950">
        <v>10747.527000000002</v>
      </c>
      <c r="AQ327" s="946">
        <v>38461.558760000007</v>
      </c>
      <c r="AR327" s="946">
        <v>378.20799</v>
      </c>
      <c r="AS327" s="946">
        <v>28689.244539999989</v>
      </c>
      <c r="AT327" s="946">
        <v>652.05433999999991</v>
      </c>
      <c r="AU327" s="946">
        <v>0</v>
      </c>
      <c r="AV327" s="946">
        <v>0</v>
      </c>
      <c r="AW327" s="946">
        <v>3763.3733700000003</v>
      </c>
      <c r="AX327" s="946">
        <v>1941.70183</v>
      </c>
      <c r="AY327" s="946">
        <v>3036.9766900000004</v>
      </c>
      <c r="AZ327" s="946">
        <v>0</v>
      </c>
      <c r="BA327" s="946">
        <v>0</v>
      </c>
      <c r="BB327" s="950">
        <v>875.14400000000023</v>
      </c>
      <c r="BC327" s="950">
        <v>299.41300000000001</v>
      </c>
      <c r="BD327" s="948" t="s">
        <v>2119</v>
      </c>
      <c r="BE327" s="946">
        <v>0</v>
      </c>
      <c r="BF327" s="946">
        <v>0</v>
      </c>
      <c r="BG327" s="946">
        <v>6251.0299999999979</v>
      </c>
      <c r="BH327" s="946">
        <v>1065.6500000000001</v>
      </c>
      <c r="BI327" s="946">
        <v>92.240000000000009</v>
      </c>
      <c r="BJ327" s="946">
        <v>0</v>
      </c>
      <c r="BK327" s="946">
        <v>0</v>
      </c>
      <c r="BL327" s="946">
        <v>0</v>
      </c>
      <c r="BM327" s="946">
        <v>0</v>
      </c>
      <c r="BN327" s="951">
        <v>0</v>
      </c>
      <c r="BO327" s="951">
        <v>0</v>
      </c>
      <c r="BP327" s="952">
        <v>191</v>
      </c>
      <c r="BQ327" s="952">
        <v>30</v>
      </c>
      <c r="BR327" s="952">
        <v>3</v>
      </c>
      <c r="BS327" s="952">
        <v>0</v>
      </c>
      <c r="BT327" s="952">
        <v>0</v>
      </c>
      <c r="BU327" s="952">
        <v>0</v>
      </c>
      <c r="BV327" s="952"/>
      <c r="BW327" s="953">
        <v>278.5</v>
      </c>
      <c r="BX327" s="951">
        <v>557</v>
      </c>
      <c r="BY327" s="951">
        <v>1011</v>
      </c>
      <c r="BZ327" s="951">
        <v>133</v>
      </c>
      <c r="CA327" s="951">
        <v>92</v>
      </c>
      <c r="CB327" s="951">
        <v>7</v>
      </c>
      <c r="CC327" s="951">
        <v>0</v>
      </c>
      <c r="CD327" s="946">
        <v>8107.5210000000061</v>
      </c>
      <c r="CE327" s="950">
        <v>30677.227000000017</v>
      </c>
      <c r="CF327" s="950">
        <v>0</v>
      </c>
      <c r="CG327" s="950">
        <v>0</v>
      </c>
      <c r="CH327" s="950">
        <v>0</v>
      </c>
      <c r="CI327" s="950">
        <v>0</v>
      </c>
      <c r="CJ327" s="950">
        <v>50.763999999999996</v>
      </c>
      <c r="CK327" s="950">
        <v>19758.436000000009</v>
      </c>
      <c r="CL327" s="950">
        <v>680.14700000000005</v>
      </c>
      <c r="CM327" s="950">
        <v>0</v>
      </c>
      <c r="CN327" s="950">
        <v>10187.879999999999</v>
      </c>
      <c r="CO327" s="946"/>
      <c r="CP327" s="946"/>
      <c r="CQ327" s="946"/>
    </row>
    <row r="328" spans="1:99" x14ac:dyDescent="0.25">
      <c r="A328" s="944"/>
      <c r="B328" s="945"/>
      <c r="C328" s="944"/>
      <c r="D328" s="944"/>
      <c r="E328" s="946"/>
      <c r="F328" s="946"/>
      <c r="G328" s="945" t="s">
        <v>2233</v>
      </c>
      <c r="H328" s="946">
        <v>11</v>
      </c>
      <c r="I328" s="946"/>
      <c r="J328" s="946">
        <v>7472.369999999999</v>
      </c>
      <c r="K328" s="947"/>
      <c r="W328" s="941"/>
      <c r="X328" s="941"/>
      <c r="AA328" s="836"/>
      <c r="AC328" s="954" t="s">
        <v>2120</v>
      </c>
      <c r="AD328" s="950"/>
      <c r="AE328" s="941"/>
      <c r="AH328" s="836"/>
      <c r="AI328" s="836"/>
      <c r="AJ328" s="955"/>
      <c r="AK328" s="955"/>
      <c r="BB328" s="946"/>
      <c r="BC328" s="946"/>
      <c r="BD328" s="948">
        <v>6</v>
      </c>
      <c r="BE328" s="946"/>
      <c r="BF328" s="946"/>
      <c r="BG328" s="946"/>
      <c r="BH328" s="946"/>
      <c r="BI328" s="946"/>
      <c r="BJ328" s="946"/>
      <c r="BK328" s="946"/>
      <c r="BL328" s="946"/>
      <c r="BM328" s="946"/>
      <c r="BV328" s="956"/>
      <c r="BW328" s="956"/>
      <c r="BX328" s="956"/>
      <c r="BY328" s="951"/>
    </row>
    <row r="329" spans="1:99" s="838" customFormat="1" x14ac:dyDescent="0.25">
      <c r="A329" s="946"/>
      <c r="B329" s="946"/>
      <c r="C329" s="946"/>
      <c r="D329" s="946"/>
      <c r="E329" s="946"/>
      <c r="F329" s="947"/>
      <c r="G329" s="945" t="s">
        <v>3465</v>
      </c>
      <c r="H329" s="946">
        <v>2</v>
      </c>
      <c r="I329" s="946"/>
      <c r="J329" s="946"/>
      <c r="K329" s="836"/>
      <c r="L329" s="946"/>
      <c r="P329" s="836"/>
      <c r="R329" s="836"/>
      <c r="S329" s="941"/>
      <c r="T329" s="941"/>
      <c r="W329" s="836"/>
      <c r="AC329" s="954" t="s">
        <v>2121</v>
      </c>
      <c r="AD329" s="950">
        <v>37727.886000000013</v>
      </c>
      <c r="AE329" s="941"/>
      <c r="AQ329" s="957"/>
      <c r="AR329" s="957" t="s">
        <v>2122</v>
      </c>
      <c r="AS329" s="958"/>
      <c r="AT329" s="958"/>
      <c r="AU329" s="958"/>
      <c r="AV329" s="959"/>
      <c r="BD329" s="960" t="s">
        <v>2123</v>
      </c>
      <c r="BE329" s="961"/>
      <c r="BF329" s="961"/>
      <c r="BG329" s="961"/>
      <c r="BH329" s="961"/>
      <c r="BI329" s="961"/>
      <c r="BJ329" s="961"/>
      <c r="BK329" s="961"/>
      <c r="BL329" s="961"/>
      <c r="BM329" s="961"/>
      <c r="BN329" s="962"/>
      <c r="BP329" s="963" t="s">
        <v>2124</v>
      </c>
      <c r="BQ329" s="964"/>
      <c r="BR329" s="965"/>
      <c r="BS329" s="965"/>
      <c r="BT329" s="965"/>
      <c r="BU329" s="965"/>
      <c r="BV329" s="965"/>
      <c r="BW329" s="961"/>
      <c r="BX329" s="961"/>
      <c r="BY329" s="961"/>
      <c r="BZ329" s="962"/>
      <c r="CB329" s="960" t="s">
        <v>2125</v>
      </c>
      <c r="CC329" s="966"/>
      <c r="CD329" s="966">
        <v>8107.5210000000061</v>
      </c>
      <c r="CE329" s="967">
        <v>30677.227000000017</v>
      </c>
      <c r="CF329" s="1115"/>
      <c r="CG329" s="1115"/>
      <c r="CH329" s="1115"/>
      <c r="CI329" s="1115"/>
      <c r="CJ329" s="1115"/>
      <c r="CK329" s="1115"/>
      <c r="CL329" s="1115"/>
      <c r="CM329" s="1115"/>
      <c r="CN329" s="1115"/>
      <c r="CR329" s="968" t="s">
        <v>2068</v>
      </c>
      <c r="CS329" s="969">
        <v>1011</v>
      </c>
      <c r="CT329" s="957" t="s">
        <v>1937</v>
      </c>
      <c r="CU329" s="970"/>
    </row>
    <row r="330" spans="1:99" s="838" customFormat="1" x14ac:dyDescent="0.25">
      <c r="B330" s="950"/>
      <c r="C330" s="950"/>
      <c r="D330" s="950"/>
      <c r="E330" s="950"/>
      <c r="F330" s="950"/>
      <c r="G330" s="945" t="s">
        <v>3464</v>
      </c>
      <c r="H330" s="946">
        <v>3</v>
      </c>
      <c r="J330" s="836"/>
      <c r="K330" s="836"/>
      <c r="L330" s="971"/>
      <c r="O330" s="971"/>
      <c r="P330" s="836"/>
      <c r="R330" s="836"/>
      <c r="S330" s="941"/>
      <c r="T330" s="941"/>
      <c r="W330" s="836"/>
      <c r="AC330" s="836"/>
      <c r="AQ330" s="972"/>
      <c r="AR330" s="972"/>
      <c r="AS330" s="973" t="s">
        <v>2126</v>
      </c>
      <c r="AT330" s="973"/>
      <c r="AU330" s="973"/>
      <c r="AV330" s="974"/>
      <c r="BD330" s="975" t="s">
        <v>1739</v>
      </c>
      <c r="BE330" s="976" t="s">
        <v>2127</v>
      </c>
      <c r="BF330" s="977" t="s">
        <v>2128</v>
      </c>
      <c r="BG330" s="976" t="s">
        <v>2129</v>
      </c>
      <c r="BH330" s="976"/>
      <c r="BI330" s="976"/>
      <c r="BJ330" s="976"/>
      <c r="BK330" s="976"/>
      <c r="BL330" s="976"/>
      <c r="BM330" s="976" t="s">
        <v>1025</v>
      </c>
      <c r="BN330" s="978"/>
      <c r="BP330" s="979" t="s">
        <v>2127</v>
      </c>
      <c r="BQ330" s="980" t="s">
        <v>1739</v>
      </c>
      <c r="BR330" s="981" t="s">
        <v>2125</v>
      </c>
      <c r="BS330" s="982" t="s">
        <v>2130</v>
      </c>
      <c r="BT330" s="982"/>
      <c r="BU330" s="982"/>
      <c r="BV330" s="982"/>
      <c r="BW330" s="982"/>
      <c r="BX330" s="980"/>
      <c r="BY330" s="980"/>
      <c r="BZ330" s="983"/>
      <c r="CB330" s="984" t="s">
        <v>2131</v>
      </c>
      <c r="CC330" s="985"/>
      <c r="CD330" s="916">
        <v>8107.5210000000061</v>
      </c>
      <c r="CE330" s="986">
        <v>30677.227000000017</v>
      </c>
      <c r="CF330" s="1116"/>
      <c r="CG330" s="1116"/>
      <c r="CH330" s="1116"/>
      <c r="CI330" s="1116"/>
      <c r="CJ330" s="1116"/>
      <c r="CK330" s="1116"/>
      <c r="CL330" s="1116"/>
      <c r="CM330" s="1116"/>
      <c r="CN330" s="1116"/>
      <c r="CR330" s="987" t="s">
        <v>2129</v>
      </c>
      <c r="CS330" s="838">
        <v>1011</v>
      </c>
      <c r="CT330" s="988" t="s">
        <v>2132</v>
      </c>
      <c r="CU330" s="989">
        <v>133</v>
      </c>
    </row>
    <row r="331" spans="1:99" s="838" customFormat="1" x14ac:dyDescent="0.25">
      <c r="A331" s="942"/>
      <c r="B331" s="942"/>
      <c r="C331" s="990"/>
      <c r="D331" s="991"/>
      <c r="E331" s="991"/>
      <c r="F331" s="991"/>
      <c r="G331" s="945"/>
      <c r="H331" s="946"/>
      <c r="J331" s="836"/>
      <c r="K331" s="836"/>
      <c r="L331" s="971"/>
      <c r="O331" s="971"/>
      <c r="P331" s="836"/>
      <c r="R331" s="836"/>
      <c r="S331" s="941"/>
      <c r="T331" s="941"/>
      <c r="W331" s="836"/>
      <c r="AC331" s="836"/>
      <c r="AQ331" s="972"/>
      <c r="AR331" s="972"/>
      <c r="AS331" s="950" t="s">
        <v>2133</v>
      </c>
      <c r="AT331" s="950" t="s">
        <v>2134</v>
      </c>
      <c r="AU331" s="950" t="s">
        <v>2135</v>
      </c>
      <c r="AV331" s="992" t="s">
        <v>2136</v>
      </c>
      <c r="BD331" s="993" t="s">
        <v>2137</v>
      </c>
      <c r="BE331" s="994">
        <v>400</v>
      </c>
      <c r="BF331" s="995">
        <v>0</v>
      </c>
      <c r="BG331" s="916">
        <v>0</v>
      </c>
      <c r="BH331" s="916"/>
      <c r="BI331" s="916"/>
      <c r="BJ331" s="916"/>
      <c r="BK331" s="916"/>
      <c r="BL331" s="916"/>
      <c r="BM331" s="976" t="s">
        <v>2138</v>
      </c>
      <c r="BN331" s="986"/>
      <c r="BP331" s="996">
        <v>600</v>
      </c>
      <c r="BQ331" s="997" t="s">
        <v>2116</v>
      </c>
      <c r="BR331" s="998">
        <v>191</v>
      </c>
      <c r="BS331" s="999">
        <v>191</v>
      </c>
      <c r="BT331" s="999"/>
      <c r="BU331" s="999"/>
      <c r="BV331" s="999"/>
      <c r="BW331" s="999"/>
      <c r="BX331" s="999"/>
      <c r="BY331" s="999"/>
      <c r="BZ331" s="1000"/>
      <c r="CB331" s="984"/>
      <c r="CC331" s="985"/>
      <c r="CD331" s="916"/>
      <c r="CE331" s="986"/>
      <c r="CF331" s="1116"/>
      <c r="CG331" s="1116"/>
      <c r="CH331" s="1116"/>
      <c r="CI331" s="1116"/>
      <c r="CJ331" s="1116"/>
      <c r="CK331" s="1116"/>
      <c r="CL331" s="1116"/>
      <c r="CM331" s="1116"/>
      <c r="CN331" s="1116"/>
      <c r="CR331" s="987"/>
      <c r="CT331" s="987" t="s">
        <v>2129</v>
      </c>
      <c r="CU331" s="1001">
        <v>133</v>
      </c>
    </row>
    <row r="332" spans="1:99" s="838" customFormat="1" x14ac:dyDescent="0.25">
      <c r="A332" s="942"/>
      <c r="B332" s="942"/>
      <c r="C332" s="990"/>
      <c r="D332" s="991"/>
      <c r="E332" s="991"/>
      <c r="F332" s="991"/>
      <c r="G332" s="836"/>
      <c r="J332" s="836"/>
      <c r="K332" s="836"/>
      <c r="L332" s="971"/>
      <c r="O332" s="971"/>
      <c r="P332" s="836"/>
      <c r="R332" s="836"/>
      <c r="S332" s="941"/>
      <c r="T332" s="941"/>
      <c r="W332" s="836"/>
      <c r="AC332" s="836"/>
      <c r="AQ332" s="1002"/>
      <c r="AR332" s="1002" t="s">
        <v>2139</v>
      </c>
      <c r="AS332" s="950"/>
      <c r="AT332" s="950"/>
      <c r="AU332" s="950"/>
      <c r="AV332" s="992"/>
      <c r="BD332" s="993" t="s">
        <v>2137</v>
      </c>
      <c r="BE332" s="994">
        <v>500</v>
      </c>
      <c r="BF332" s="995">
        <v>0</v>
      </c>
      <c r="BG332" s="916">
        <v>0</v>
      </c>
      <c r="BH332" s="916"/>
      <c r="BI332" s="916"/>
      <c r="BJ332" s="916"/>
      <c r="BK332" s="916"/>
      <c r="BL332" s="916"/>
      <c r="BM332" s="976" t="s">
        <v>2140</v>
      </c>
      <c r="BN332" s="986"/>
      <c r="BP332" s="996">
        <v>800</v>
      </c>
      <c r="BQ332" s="997" t="s">
        <v>2116</v>
      </c>
      <c r="BR332" s="998">
        <v>30</v>
      </c>
      <c r="BS332" s="999">
        <v>30</v>
      </c>
      <c r="BT332" s="999"/>
      <c r="BU332" s="999"/>
      <c r="BV332" s="999"/>
      <c r="BW332" s="999"/>
      <c r="BX332" s="999"/>
      <c r="BY332" s="999"/>
      <c r="BZ332" s="1000"/>
      <c r="CB332" s="984"/>
      <c r="CC332" s="985"/>
      <c r="CD332" s="916"/>
      <c r="CE332" s="986"/>
      <c r="CF332" s="1116"/>
      <c r="CG332" s="1116"/>
      <c r="CH332" s="1116"/>
      <c r="CI332" s="1116"/>
      <c r="CJ332" s="1116"/>
      <c r="CK332" s="1116"/>
      <c r="CL332" s="1116"/>
      <c r="CM332" s="1116"/>
      <c r="CN332" s="1116"/>
      <c r="CR332" s="987"/>
      <c r="CT332" s="987"/>
      <c r="CU332" s="1001"/>
    </row>
    <row r="333" spans="1:99" s="838" customFormat="1" x14ac:dyDescent="0.25">
      <c r="A333" s="942"/>
      <c r="B333" s="942"/>
      <c r="C333" s="990"/>
      <c r="D333" s="991"/>
      <c r="E333" s="991"/>
      <c r="F333" s="991"/>
      <c r="G333" s="836"/>
      <c r="J333" s="836"/>
      <c r="K333" s="836"/>
      <c r="L333" s="971"/>
      <c r="O333" s="971"/>
      <c r="P333" s="836"/>
      <c r="R333" s="836"/>
      <c r="S333" s="941"/>
      <c r="T333" s="941"/>
      <c r="W333" s="836"/>
      <c r="AC333" s="836"/>
      <c r="AQ333" s="1003"/>
      <c r="AR333" s="1003">
        <v>400</v>
      </c>
      <c r="AS333" s="838">
        <v>0</v>
      </c>
      <c r="AT333" s="838">
        <v>0</v>
      </c>
      <c r="AU333" s="838">
        <v>0</v>
      </c>
      <c r="AV333" s="1001">
        <v>0</v>
      </c>
      <c r="BD333" s="993" t="s">
        <v>2137</v>
      </c>
      <c r="BE333" s="994">
        <v>600</v>
      </c>
      <c r="BF333" s="995">
        <v>124.4</v>
      </c>
      <c r="BG333" s="916">
        <v>124.4</v>
      </c>
      <c r="BH333" s="916"/>
      <c r="BI333" s="916"/>
      <c r="BJ333" s="916"/>
      <c r="BK333" s="916"/>
      <c r="BL333" s="916"/>
      <c r="BM333" s="976" t="s">
        <v>2141</v>
      </c>
      <c r="BN333" s="986"/>
      <c r="BP333" s="996">
        <v>1000</v>
      </c>
      <c r="BQ333" s="997" t="s">
        <v>2116</v>
      </c>
      <c r="BR333" s="998">
        <v>3</v>
      </c>
      <c r="BS333" s="999">
        <v>3</v>
      </c>
      <c r="BT333" s="999"/>
      <c r="BU333" s="999"/>
      <c r="BV333" s="999"/>
      <c r="BW333" s="999"/>
      <c r="BX333" s="999"/>
      <c r="BY333" s="999"/>
      <c r="BZ333" s="1000"/>
      <c r="CB333" s="984"/>
      <c r="CC333" s="985"/>
      <c r="CD333" s="916"/>
      <c r="CE333" s="986"/>
      <c r="CF333" s="1116"/>
      <c r="CG333" s="1116"/>
      <c r="CH333" s="1116"/>
      <c r="CI333" s="1116"/>
      <c r="CJ333" s="1116"/>
      <c r="CK333" s="1116"/>
      <c r="CL333" s="1116"/>
      <c r="CM333" s="1116"/>
      <c r="CN333" s="1116"/>
      <c r="CR333" s="987"/>
      <c r="CT333" s="987"/>
      <c r="CU333" s="1001"/>
    </row>
    <row r="334" spans="1:99" s="838" customFormat="1" x14ac:dyDescent="0.25">
      <c r="A334" s="942"/>
      <c r="B334" s="942"/>
      <c r="C334" s="990"/>
      <c r="D334" s="991"/>
      <c r="E334" s="991"/>
      <c r="F334" s="991"/>
      <c r="G334" s="836"/>
      <c r="J334" s="836"/>
      <c r="K334" s="836"/>
      <c r="L334" s="971"/>
      <c r="O334" s="971"/>
      <c r="P334" s="836"/>
      <c r="R334" s="836"/>
      <c r="S334" s="941"/>
      <c r="T334" s="941"/>
      <c r="W334" s="836"/>
      <c r="AC334" s="836"/>
      <c r="AQ334" s="1003"/>
      <c r="AR334" s="1003">
        <v>600</v>
      </c>
      <c r="AS334" s="838">
        <v>378.20799</v>
      </c>
      <c r="AT334" s="838">
        <v>28689.244539999989</v>
      </c>
      <c r="AU334" s="838">
        <v>652.05433999999991</v>
      </c>
      <c r="AV334" s="1001">
        <v>0</v>
      </c>
      <c r="BD334" s="993" t="s">
        <v>2142</v>
      </c>
      <c r="BE334" s="994">
        <v>400</v>
      </c>
      <c r="BF334" s="995">
        <v>0</v>
      </c>
      <c r="BG334" s="916">
        <v>0</v>
      </c>
      <c r="BH334" s="916"/>
      <c r="BI334" s="916"/>
      <c r="BJ334" s="916"/>
      <c r="BK334" s="916"/>
      <c r="BL334" s="916"/>
      <c r="BM334" s="976" t="s">
        <v>2143</v>
      </c>
      <c r="BN334" s="986"/>
      <c r="BP334" s="996">
        <v>1200</v>
      </c>
      <c r="BQ334" s="997" t="s">
        <v>2116</v>
      </c>
      <c r="BR334" s="998">
        <v>0</v>
      </c>
      <c r="BS334" s="999">
        <v>0</v>
      </c>
      <c r="BT334" s="999"/>
      <c r="BU334" s="999"/>
      <c r="BV334" s="999"/>
      <c r="BW334" s="999"/>
      <c r="BX334" s="999"/>
      <c r="BY334" s="999"/>
      <c r="BZ334" s="1000"/>
      <c r="CB334" s="984"/>
      <c r="CC334" s="985"/>
      <c r="CD334" s="916"/>
      <c r="CE334" s="986"/>
      <c r="CF334" s="1116"/>
      <c r="CG334" s="1116"/>
      <c r="CH334" s="1116"/>
      <c r="CI334" s="1116"/>
      <c r="CJ334" s="1116"/>
      <c r="CK334" s="1116"/>
      <c r="CL334" s="1116"/>
      <c r="CM334" s="1116"/>
      <c r="CN334" s="1116"/>
      <c r="CR334" s="987"/>
      <c r="CT334" s="987"/>
      <c r="CU334" s="1001"/>
    </row>
    <row r="335" spans="1:99" s="838" customFormat="1" x14ac:dyDescent="0.25">
      <c r="A335" s="942"/>
      <c r="B335" s="942"/>
      <c r="C335" s="990"/>
      <c r="D335" s="991"/>
      <c r="E335" s="991"/>
      <c r="F335" s="991"/>
      <c r="G335" s="836"/>
      <c r="J335" s="836"/>
      <c r="K335" s="836"/>
      <c r="L335" s="971"/>
      <c r="O335" s="971"/>
      <c r="P335" s="836"/>
      <c r="R335" s="836"/>
      <c r="S335" s="941"/>
      <c r="T335" s="941"/>
      <c r="W335" s="836"/>
      <c r="AC335" s="836"/>
      <c r="AQ335" s="1003"/>
      <c r="AR335" s="1003">
        <v>800</v>
      </c>
      <c r="AS335" s="838">
        <v>0</v>
      </c>
      <c r="AT335" s="838">
        <v>3202.4183500000004</v>
      </c>
      <c r="AU335" s="838">
        <v>1941.70183</v>
      </c>
      <c r="AV335" s="1001">
        <v>3036.9766900000004</v>
      </c>
      <c r="BD335" s="993" t="s">
        <v>2142</v>
      </c>
      <c r="BE335" s="994">
        <v>500</v>
      </c>
      <c r="BF335" s="995">
        <v>0</v>
      </c>
      <c r="BG335" s="916">
        <v>0</v>
      </c>
      <c r="BH335" s="916"/>
      <c r="BI335" s="916"/>
      <c r="BJ335" s="916"/>
      <c r="BK335" s="916"/>
      <c r="BL335" s="916"/>
      <c r="BM335" s="976" t="s">
        <v>2144</v>
      </c>
      <c r="BN335" s="986"/>
      <c r="BP335" s="996">
        <v>1500</v>
      </c>
      <c r="BQ335" s="997" t="s">
        <v>2116</v>
      </c>
      <c r="BR335" s="998">
        <v>0</v>
      </c>
      <c r="BS335" s="999">
        <v>0</v>
      </c>
      <c r="BT335" s="999"/>
      <c r="BU335" s="999"/>
      <c r="BV335" s="999"/>
      <c r="BW335" s="999"/>
      <c r="BX335" s="999"/>
      <c r="BY335" s="999"/>
      <c r="BZ335" s="1000"/>
      <c r="CB335" s="984"/>
      <c r="CC335" s="985"/>
      <c r="CD335" s="916"/>
      <c r="CE335" s="986"/>
      <c r="CF335" s="1116"/>
      <c r="CG335" s="1116"/>
      <c r="CH335" s="1116"/>
      <c r="CI335" s="1116"/>
      <c r="CJ335" s="1116"/>
      <c r="CK335" s="1116"/>
      <c r="CL335" s="1116"/>
      <c r="CM335" s="1116"/>
      <c r="CN335" s="1116"/>
      <c r="CR335" s="987"/>
      <c r="CT335" s="987"/>
      <c r="CU335" s="1001"/>
    </row>
    <row r="336" spans="1:99" s="838" customFormat="1" x14ac:dyDescent="0.25">
      <c r="A336" s="942"/>
      <c r="B336" s="942"/>
      <c r="C336" s="990"/>
      <c r="D336" s="991"/>
      <c r="E336" s="991"/>
      <c r="F336" s="991"/>
      <c r="G336" s="836"/>
      <c r="J336" s="836"/>
      <c r="K336" s="836"/>
      <c r="L336" s="971"/>
      <c r="O336" s="971"/>
      <c r="P336" s="836"/>
      <c r="R336" s="836"/>
      <c r="S336" s="941"/>
      <c r="T336" s="941"/>
      <c r="W336" s="836"/>
      <c r="AC336" s="836"/>
      <c r="AQ336" s="1003"/>
      <c r="AR336" s="1003">
        <v>1000</v>
      </c>
      <c r="AS336" s="838">
        <v>0</v>
      </c>
      <c r="AT336" s="838">
        <v>560.95501999999999</v>
      </c>
      <c r="AU336" s="838">
        <v>0</v>
      </c>
      <c r="AV336" s="1001">
        <v>0</v>
      </c>
      <c r="BD336" s="993" t="s">
        <v>2142</v>
      </c>
      <c r="BE336" s="994">
        <v>600</v>
      </c>
      <c r="BF336" s="995">
        <v>5974.5</v>
      </c>
      <c r="BG336" s="916">
        <v>5974.5</v>
      </c>
      <c r="BH336" s="916"/>
      <c r="BI336" s="916"/>
      <c r="BJ336" s="916"/>
      <c r="BK336" s="916"/>
      <c r="BL336" s="916"/>
      <c r="BM336" s="976" t="s">
        <v>2145</v>
      </c>
      <c r="BN336" s="986"/>
      <c r="BP336" s="996">
        <v>1200</v>
      </c>
      <c r="BQ336" s="997" t="s">
        <v>2146</v>
      </c>
      <c r="BR336" s="1004">
        <v>0</v>
      </c>
      <c r="BS336" s="1005">
        <v>0</v>
      </c>
      <c r="BT336" s="1005"/>
      <c r="BU336" s="1005"/>
      <c r="BV336" s="1005"/>
      <c r="BW336" s="1005"/>
      <c r="BX336" s="1005"/>
      <c r="BY336" s="1005"/>
      <c r="BZ336" s="1006"/>
      <c r="CB336" s="984"/>
      <c r="CC336" s="985"/>
      <c r="CD336" s="916"/>
      <c r="CE336" s="986"/>
      <c r="CF336" s="1116"/>
      <c r="CG336" s="1116"/>
      <c r="CH336" s="1116"/>
      <c r="CI336" s="1116"/>
      <c r="CJ336" s="1116"/>
      <c r="CK336" s="1116"/>
      <c r="CL336" s="1116"/>
      <c r="CM336" s="1116"/>
      <c r="CN336" s="1116"/>
      <c r="CR336" s="987"/>
      <c r="CT336" s="987"/>
      <c r="CU336" s="1001"/>
    </row>
    <row r="337" spans="1:99" s="838" customFormat="1" x14ac:dyDescent="0.25">
      <c r="A337" s="942"/>
      <c r="B337" s="942"/>
      <c r="C337" s="990"/>
      <c r="D337" s="991"/>
      <c r="E337" s="991"/>
      <c r="F337" s="991"/>
      <c r="G337" s="836"/>
      <c r="J337" s="836"/>
      <c r="K337" s="836"/>
      <c r="L337" s="971"/>
      <c r="P337" s="836"/>
      <c r="R337" s="836"/>
      <c r="S337" s="941"/>
      <c r="T337" s="941"/>
      <c r="W337" s="836"/>
      <c r="AC337" s="836"/>
      <c r="AQ337" s="1003"/>
      <c r="AR337" s="1003">
        <v>1200</v>
      </c>
      <c r="AS337" s="838">
        <v>0</v>
      </c>
      <c r="AT337" s="838">
        <v>0</v>
      </c>
      <c r="AU337" s="838">
        <v>0</v>
      </c>
      <c r="AV337" s="1001">
        <v>0</v>
      </c>
      <c r="BD337" s="993" t="s">
        <v>2142</v>
      </c>
      <c r="BE337" s="994">
        <v>800</v>
      </c>
      <c r="BF337" s="995">
        <v>476.61</v>
      </c>
      <c r="BG337" s="916">
        <v>476.61</v>
      </c>
      <c r="BH337" s="916"/>
      <c r="BI337" s="916"/>
      <c r="BJ337" s="916"/>
      <c r="BK337" s="916"/>
      <c r="BL337" s="916"/>
      <c r="BM337" s="976" t="s">
        <v>2147</v>
      </c>
      <c r="BN337" s="986"/>
      <c r="BO337" s="838">
        <v>1.6</v>
      </c>
      <c r="BP337" s="996">
        <v>1400</v>
      </c>
      <c r="BQ337" s="997" t="s">
        <v>2146</v>
      </c>
      <c r="BR337" s="1004">
        <v>0</v>
      </c>
      <c r="BS337" s="1005">
        <v>0</v>
      </c>
      <c r="BT337" s="1005"/>
      <c r="BU337" s="1005"/>
      <c r="BV337" s="1005"/>
      <c r="BW337" s="1005"/>
      <c r="BX337" s="1005"/>
      <c r="BY337" s="1005"/>
      <c r="BZ337" s="1006"/>
      <c r="CB337" s="1007"/>
      <c r="CC337" s="1008"/>
      <c r="CD337" s="1009"/>
      <c r="CE337" s="1010"/>
      <c r="CF337" s="1116"/>
      <c r="CG337" s="1116"/>
      <c r="CH337" s="1116"/>
      <c r="CI337" s="1116"/>
      <c r="CJ337" s="1116"/>
      <c r="CK337" s="1116"/>
      <c r="CL337" s="1116"/>
      <c r="CM337" s="1116"/>
      <c r="CN337" s="1116"/>
      <c r="CR337" s="1011"/>
      <c r="CS337" s="1012"/>
      <c r="CT337" s="987"/>
      <c r="CU337" s="1001"/>
    </row>
    <row r="338" spans="1:99" x14ac:dyDescent="0.25">
      <c r="A338" s="942"/>
      <c r="B338" s="942"/>
      <c r="C338" s="990"/>
      <c r="D338" s="991"/>
      <c r="E338" s="991"/>
      <c r="F338" s="991"/>
      <c r="G338" s="838"/>
      <c r="J338" s="836"/>
      <c r="L338" s="971"/>
      <c r="AQ338" s="1003"/>
      <c r="AR338" s="1003">
        <v>1500</v>
      </c>
      <c r="AS338" s="838">
        <v>0</v>
      </c>
      <c r="AT338" s="838">
        <v>0</v>
      </c>
      <c r="AU338" s="838">
        <v>0</v>
      </c>
      <c r="AV338" s="1001">
        <v>0</v>
      </c>
      <c r="BD338" s="993" t="s">
        <v>2142</v>
      </c>
      <c r="BE338" s="994">
        <v>1000</v>
      </c>
      <c r="BF338" s="995">
        <v>65.180000000000007</v>
      </c>
      <c r="BG338" s="916">
        <v>65.180000000000007</v>
      </c>
      <c r="BH338" s="916"/>
      <c r="BI338" s="916"/>
      <c r="BJ338" s="916"/>
      <c r="BK338" s="916"/>
      <c r="BL338" s="916"/>
      <c r="BM338" s="976" t="s">
        <v>2148</v>
      </c>
      <c r="BN338" s="986"/>
      <c r="BO338" s="838">
        <v>1.8</v>
      </c>
      <c r="BP338" s="996">
        <v>1600</v>
      </c>
      <c r="BQ338" s="997" t="s">
        <v>2146</v>
      </c>
      <c r="BR338" s="1004">
        <v>0</v>
      </c>
      <c r="BS338" s="1005">
        <v>0</v>
      </c>
      <c r="BT338" s="1005"/>
      <c r="BU338" s="1005"/>
      <c r="BV338" s="1005"/>
      <c r="BW338" s="1005"/>
      <c r="BX338" s="1005"/>
      <c r="BY338" s="1005"/>
      <c r="BZ338" s="1006"/>
      <c r="CS338" s="838"/>
      <c r="CT338" s="987"/>
      <c r="CU338" s="1001"/>
    </row>
    <row r="339" spans="1:99" x14ac:dyDescent="0.25">
      <c r="A339" s="942"/>
      <c r="B339" s="942"/>
      <c r="C339" s="990"/>
      <c r="D339" s="991"/>
      <c r="E339" s="991"/>
      <c r="F339" s="991"/>
      <c r="G339" s="836"/>
      <c r="J339" s="836"/>
      <c r="L339" s="971"/>
      <c r="AQ339" s="1002"/>
      <c r="AR339" s="1002" t="s">
        <v>2149</v>
      </c>
      <c r="AV339" s="1001"/>
      <c r="BD339" s="993" t="s">
        <v>2142</v>
      </c>
      <c r="BE339" s="994">
        <v>1200</v>
      </c>
      <c r="BF339" s="995">
        <v>0</v>
      </c>
      <c r="BG339" s="916">
        <v>0</v>
      </c>
      <c r="BH339" s="916"/>
      <c r="BI339" s="916"/>
      <c r="BJ339" s="916"/>
      <c r="BK339" s="916"/>
      <c r="BL339" s="916"/>
      <c r="BM339" s="976" t="s">
        <v>2150</v>
      </c>
      <c r="BN339" s="986"/>
      <c r="BO339" s="838">
        <v>2</v>
      </c>
      <c r="BP339" s="996">
        <v>1800</v>
      </c>
      <c r="BQ339" s="997" t="s">
        <v>2146</v>
      </c>
      <c r="BR339" s="1004">
        <v>0</v>
      </c>
      <c r="BS339" s="1005">
        <v>0</v>
      </c>
      <c r="BT339" s="1005"/>
      <c r="BU339" s="1005"/>
      <c r="BV339" s="1005"/>
      <c r="BW339" s="1005"/>
      <c r="BX339" s="1005"/>
      <c r="BY339" s="1005"/>
      <c r="BZ339" s="1006"/>
      <c r="CS339" s="838"/>
      <c r="CT339" s="988" t="s">
        <v>2151</v>
      </c>
      <c r="CU339" s="989">
        <v>92</v>
      </c>
    </row>
    <row r="340" spans="1:99" x14ac:dyDescent="0.25">
      <c r="A340" s="948"/>
      <c r="B340" s="948"/>
      <c r="C340" s="1013"/>
      <c r="D340" s="951"/>
      <c r="E340" s="951"/>
      <c r="F340" s="946"/>
      <c r="G340" s="836"/>
      <c r="J340" s="836"/>
      <c r="L340" s="971"/>
      <c r="AQ340" s="1003"/>
      <c r="AR340" s="1003">
        <v>1650</v>
      </c>
      <c r="AS340" s="838">
        <v>0</v>
      </c>
      <c r="AT340" s="838">
        <v>0</v>
      </c>
      <c r="AU340" s="838">
        <v>0</v>
      </c>
      <c r="AV340" s="1001">
        <v>0</v>
      </c>
      <c r="BD340" s="993" t="s">
        <v>2142</v>
      </c>
      <c r="BE340" s="994">
        <v>1500</v>
      </c>
      <c r="BF340" s="995">
        <v>0</v>
      </c>
      <c r="BG340" s="916">
        <v>0</v>
      </c>
      <c r="BH340" s="916"/>
      <c r="BI340" s="916"/>
      <c r="BJ340" s="916"/>
      <c r="BK340" s="916"/>
      <c r="BL340" s="916"/>
      <c r="BM340" s="976" t="s">
        <v>949</v>
      </c>
      <c r="BN340" s="986"/>
      <c r="BO340" s="838">
        <v>2.2000000000000002</v>
      </c>
      <c r="BP340" s="996">
        <v>2000</v>
      </c>
      <c r="BQ340" s="997" t="s">
        <v>2146</v>
      </c>
      <c r="BR340" s="1004">
        <v>0</v>
      </c>
      <c r="BS340" s="1005">
        <v>0</v>
      </c>
      <c r="BT340" s="1005"/>
      <c r="BU340" s="1005"/>
      <c r="BV340" s="1005"/>
      <c r="BW340" s="1005"/>
      <c r="BX340" s="1005"/>
      <c r="BY340" s="1005"/>
      <c r="BZ340" s="1006"/>
      <c r="CS340" s="838"/>
      <c r="CT340" s="987" t="s">
        <v>2129</v>
      </c>
      <c r="CU340" s="1001">
        <v>92</v>
      </c>
    </row>
    <row r="341" spans="1:99" x14ac:dyDescent="0.25">
      <c r="AQ341" s="1003"/>
      <c r="AR341" s="1003">
        <v>1800</v>
      </c>
      <c r="AS341" s="838">
        <v>0</v>
      </c>
      <c r="AT341" s="838">
        <v>0</v>
      </c>
      <c r="AU341" s="838">
        <v>0</v>
      </c>
      <c r="AV341" s="1001">
        <v>0</v>
      </c>
      <c r="BD341" s="993" t="s">
        <v>2152</v>
      </c>
      <c r="BE341" s="994">
        <v>400</v>
      </c>
      <c r="BF341" s="995">
        <v>0</v>
      </c>
      <c r="BG341" s="916">
        <v>0</v>
      </c>
      <c r="BH341" s="916"/>
      <c r="BI341" s="916"/>
      <c r="BJ341" s="916"/>
      <c r="BK341" s="916"/>
      <c r="BL341" s="916"/>
      <c r="BM341" s="976" t="s">
        <v>978</v>
      </c>
      <c r="BN341" s="986"/>
      <c r="BO341" s="838">
        <v>2.4</v>
      </c>
      <c r="BP341" s="996">
        <v>2200</v>
      </c>
      <c r="BQ341" s="997" t="s">
        <v>2146</v>
      </c>
      <c r="BR341" s="1004">
        <v>0</v>
      </c>
      <c r="BS341" s="1005">
        <v>0</v>
      </c>
      <c r="BT341" s="1005"/>
      <c r="BU341" s="1005"/>
      <c r="BV341" s="1005"/>
      <c r="BW341" s="1005"/>
      <c r="BX341" s="1005"/>
      <c r="BY341" s="1005"/>
      <c r="BZ341" s="1006"/>
      <c r="CS341" s="838"/>
      <c r="CT341" s="987"/>
      <c r="CU341" s="1001"/>
    </row>
    <row r="342" spans="1:99" x14ac:dyDescent="0.25">
      <c r="D342" s="1014"/>
      <c r="AQ342" s="1003"/>
      <c r="AR342" s="1003">
        <v>2000</v>
      </c>
      <c r="AS342" s="838">
        <v>0</v>
      </c>
      <c r="AT342" s="838">
        <v>0</v>
      </c>
      <c r="AU342" s="838">
        <v>0</v>
      </c>
      <c r="AV342" s="1001">
        <v>0</v>
      </c>
      <c r="BD342" s="993" t="s">
        <v>2152</v>
      </c>
      <c r="BE342" s="994">
        <v>500</v>
      </c>
      <c r="BF342" s="995">
        <v>0</v>
      </c>
      <c r="BG342" s="916">
        <v>0</v>
      </c>
      <c r="BH342" s="916"/>
      <c r="BI342" s="916"/>
      <c r="BJ342" s="916"/>
      <c r="BK342" s="916"/>
      <c r="BL342" s="916"/>
      <c r="BM342" s="976" t="s">
        <v>977</v>
      </c>
      <c r="BN342" s="986"/>
      <c r="BO342" s="838">
        <v>2.6</v>
      </c>
      <c r="BP342" s="996">
        <v>2400</v>
      </c>
      <c r="BQ342" s="997" t="s">
        <v>2146</v>
      </c>
      <c r="BR342" s="1004">
        <v>0</v>
      </c>
      <c r="BS342" s="1005">
        <v>0</v>
      </c>
      <c r="BT342" s="1005"/>
      <c r="BU342" s="1005"/>
      <c r="BV342" s="1005"/>
      <c r="BW342" s="1005"/>
      <c r="BX342" s="1005"/>
      <c r="BY342" s="1005"/>
      <c r="BZ342" s="1006"/>
      <c r="CS342" s="838"/>
      <c r="CT342" s="987"/>
      <c r="CU342" s="1001"/>
    </row>
    <row r="343" spans="1:99" x14ac:dyDescent="0.25">
      <c r="AQ343" s="1003"/>
      <c r="AR343" s="1003">
        <v>2200</v>
      </c>
      <c r="AS343" s="838">
        <v>0</v>
      </c>
      <c r="AT343" s="838">
        <v>0</v>
      </c>
      <c r="AU343" s="838">
        <v>0</v>
      </c>
      <c r="AV343" s="1001">
        <v>0</v>
      </c>
      <c r="BD343" s="993" t="s">
        <v>2152</v>
      </c>
      <c r="BE343" s="994">
        <v>600</v>
      </c>
      <c r="BF343" s="995">
        <v>152.13</v>
      </c>
      <c r="BG343" s="916">
        <v>152.13</v>
      </c>
      <c r="BH343" s="916"/>
      <c r="BI343" s="916"/>
      <c r="BJ343" s="916"/>
      <c r="BK343" s="916"/>
      <c r="BL343" s="916"/>
      <c r="BM343" s="976" t="s">
        <v>988</v>
      </c>
      <c r="BN343" s="986"/>
      <c r="BO343" s="838">
        <v>2.8</v>
      </c>
      <c r="BP343" s="996">
        <v>2600</v>
      </c>
      <c r="BQ343" s="997" t="s">
        <v>2146</v>
      </c>
      <c r="BR343" s="1004">
        <v>0</v>
      </c>
      <c r="BS343" s="1005">
        <v>0</v>
      </c>
      <c r="BT343" s="1005"/>
      <c r="BU343" s="1005"/>
      <c r="BV343" s="1005"/>
      <c r="BW343" s="1005"/>
      <c r="BX343" s="1005"/>
      <c r="BY343" s="1005"/>
      <c r="BZ343" s="1006"/>
      <c r="CS343" s="838"/>
      <c r="CT343" s="987"/>
      <c r="CU343" s="1001"/>
    </row>
    <row r="344" spans="1:99" x14ac:dyDescent="0.25">
      <c r="AQ344" s="1003"/>
      <c r="AR344" s="1003">
        <v>2400</v>
      </c>
      <c r="AS344" s="838">
        <v>0</v>
      </c>
      <c r="AT344" s="838">
        <v>0</v>
      </c>
      <c r="AU344" s="838">
        <v>0</v>
      </c>
      <c r="AV344" s="1001">
        <v>0</v>
      </c>
      <c r="BD344" s="993" t="s">
        <v>2152</v>
      </c>
      <c r="BE344" s="994">
        <v>800</v>
      </c>
      <c r="BF344" s="995">
        <v>444.17</v>
      </c>
      <c r="BG344" s="916">
        <v>444.17</v>
      </c>
      <c r="BH344" s="916"/>
      <c r="BI344" s="916"/>
      <c r="BJ344" s="916"/>
      <c r="BK344" s="916"/>
      <c r="BL344" s="916"/>
      <c r="BM344" s="976" t="s">
        <v>992</v>
      </c>
      <c r="BN344" s="986"/>
      <c r="BO344" s="838">
        <v>3</v>
      </c>
      <c r="BP344" s="996">
        <v>2800</v>
      </c>
      <c r="BQ344" s="997" t="s">
        <v>2146</v>
      </c>
      <c r="BR344" s="1004">
        <v>0</v>
      </c>
      <c r="BS344" s="1005">
        <v>0</v>
      </c>
      <c r="BT344" s="1005"/>
      <c r="BU344" s="1005"/>
      <c r="BV344" s="1005"/>
      <c r="BW344" s="1005"/>
      <c r="BX344" s="1005"/>
      <c r="BY344" s="1005"/>
      <c r="BZ344" s="1006"/>
      <c r="CS344" s="838"/>
      <c r="CT344" s="987"/>
      <c r="CU344" s="1001"/>
    </row>
    <row r="345" spans="1:99" ht="12.75" customHeight="1" x14ac:dyDescent="0.25">
      <c r="AQ345" s="1003"/>
      <c r="AR345" s="1003">
        <v>2600</v>
      </c>
      <c r="AS345" s="838">
        <v>0</v>
      </c>
      <c r="AT345" s="838">
        <v>0</v>
      </c>
      <c r="AU345" s="838">
        <v>0</v>
      </c>
      <c r="AV345" s="1001">
        <v>0</v>
      </c>
      <c r="BD345" s="993" t="s">
        <v>2152</v>
      </c>
      <c r="BE345" s="994">
        <v>1000</v>
      </c>
      <c r="BF345" s="995">
        <v>27.06</v>
      </c>
      <c r="BG345" s="916">
        <v>27.06</v>
      </c>
      <c r="BH345" s="916"/>
      <c r="BI345" s="916"/>
      <c r="BJ345" s="916"/>
      <c r="BK345" s="916"/>
      <c r="BL345" s="916"/>
      <c r="BM345" s="976" t="s">
        <v>1008</v>
      </c>
      <c r="BN345" s="986"/>
      <c r="BO345" s="838">
        <v>3.2</v>
      </c>
      <c r="BP345" s="996">
        <v>3000</v>
      </c>
      <c r="BQ345" s="997" t="s">
        <v>2146</v>
      </c>
      <c r="BR345" s="1004">
        <v>0</v>
      </c>
      <c r="BS345" s="1005">
        <v>0</v>
      </c>
      <c r="BT345" s="1005"/>
      <c r="BU345" s="1005"/>
      <c r="BV345" s="1005"/>
      <c r="BW345" s="1005"/>
      <c r="BX345" s="1005"/>
      <c r="BY345" s="1005"/>
      <c r="BZ345" s="1006"/>
      <c r="CS345" s="838"/>
      <c r="CT345" s="987"/>
      <c r="CU345" s="1001"/>
    </row>
    <row r="346" spans="1:99" x14ac:dyDescent="0.25">
      <c r="AQ346" s="1003"/>
      <c r="AR346" s="1003">
        <v>2800</v>
      </c>
      <c r="AS346" s="838">
        <v>0</v>
      </c>
      <c r="AT346" s="838">
        <v>0</v>
      </c>
      <c r="AU346" s="838">
        <v>0</v>
      </c>
      <c r="AV346" s="1001">
        <v>0</v>
      </c>
      <c r="BD346" s="993" t="s">
        <v>2152</v>
      </c>
      <c r="BE346" s="994">
        <v>1200</v>
      </c>
      <c r="BF346" s="995">
        <v>0</v>
      </c>
      <c r="BG346" s="916">
        <v>0</v>
      </c>
      <c r="BH346" s="916"/>
      <c r="BI346" s="916"/>
      <c r="BJ346" s="916"/>
      <c r="BK346" s="916"/>
      <c r="BL346" s="916"/>
      <c r="BM346" s="976" t="s">
        <v>1009</v>
      </c>
      <c r="BN346" s="986"/>
      <c r="BO346" s="838">
        <v>3.4</v>
      </c>
      <c r="BP346" s="996">
        <v>3200</v>
      </c>
      <c r="BQ346" s="997" t="s">
        <v>2146</v>
      </c>
      <c r="BR346" s="1004">
        <v>0</v>
      </c>
      <c r="BS346" s="1005">
        <v>0</v>
      </c>
      <c r="BT346" s="1005"/>
      <c r="BU346" s="1005"/>
      <c r="BV346" s="1005"/>
      <c r="BW346" s="1005"/>
      <c r="BX346" s="1005"/>
      <c r="BY346" s="1005"/>
      <c r="BZ346" s="1006"/>
      <c r="CS346" s="838"/>
      <c r="CT346" s="987"/>
      <c r="CU346" s="1001"/>
    </row>
    <row r="347" spans="1:99" x14ac:dyDescent="0.25">
      <c r="AQ347" s="1003"/>
      <c r="AR347" s="1003">
        <v>3000</v>
      </c>
      <c r="AS347" s="838">
        <v>0</v>
      </c>
      <c r="AT347" s="838">
        <v>0</v>
      </c>
      <c r="AU347" s="838">
        <v>0</v>
      </c>
      <c r="AV347" s="1001">
        <v>0</v>
      </c>
      <c r="BD347" s="993" t="s">
        <v>2152</v>
      </c>
      <c r="BE347" s="994">
        <v>1500</v>
      </c>
      <c r="BF347" s="995">
        <v>0</v>
      </c>
      <c r="BG347" s="916">
        <v>0</v>
      </c>
      <c r="BH347" s="916"/>
      <c r="BI347" s="916"/>
      <c r="BJ347" s="916"/>
      <c r="BK347" s="916"/>
      <c r="BL347" s="916"/>
      <c r="BM347" s="976" t="s">
        <v>1027</v>
      </c>
      <c r="BN347" s="986"/>
      <c r="BO347" s="838">
        <v>3.8</v>
      </c>
      <c r="BP347" s="996">
        <v>3600</v>
      </c>
      <c r="BQ347" s="997" t="s">
        <v>2146</v>
      </c>
      <c r="BR347" s="1004">
        <v>0</v>
      </c>
      <c r="BS347" s="1005">
        <v>0</v>
      </c>
      <c r="BT347" s="1005"/>
      <c r="BU347" s="1005"/>
      <c r="BV347" s="1005"/>
      <c r="BW347" s="1005"/>
      <c r="BX347" s="1005"/>
      <c r="BY347" s="1005"/>
      <c r="BZ347" s="1006"/>
      <c r="CS347" s="838"/>
      <c r="CT347" s="987"/>
      <c r="CU347" s="1001"/>
    </row>
    <row r="348" spans="1:99" x14ac:dyDescent="0.25">
      <c r="AQ348" s="1003"/>
      <c r="AR348" s="1003">
        <v>3200</v>
      </c>
      <c r="AS348" s="838">
        <v>0</v>
      </c>
      <c r="AT348" s="838">
        <v>0</v>
      </c>
      <c r="AU348" s="838">
        <v>0</v>
      </c>
      <c r="AV348" s="1001">
        <v>0</v>
      </c>
      <c r="BD348" s="993" t="s">
        <v>2153</v>
      </c>
      <c r="BE348" s="994">
        <v>400</v>
      </c>
      <c r="BF348" s="995">
        <v>0</v>
      </c>
      <c r="BG348" s="916">
        <v>0</v>
      </c>
      <c r="BH348" s="916"/>
      <c r="BI348" s="916"/>
      <c r="BJ348" s="916"/>
      <c r="BK348" s="916"/>
      <c r="BL348" s="916"/>
      <c r="BM348" s="976" t="s">
        <v>1068</v>
      </c>
      <c r="BN348" s="986"/>
      <c r="BO348" s="838">
        <v>4</v>
      </c>
      <c r="BP348" s="996">
        <v>3800</v>
      </c>
      <c r="BQ348" s="997" t="s">
        <v>2146</v>
      </c>
      <c r="BR348" s="1004">
        <v>0</v>
      </c>
      <c r="BS348" s="1005">
        <v>0</v>
      </c>
      <c r="BT348" s="1005"/>
      <c r="BU348" s="1005"/>
      <c r="BV348" s="1005"/>
      <c r="BW348" s="1005"/>
      <c r="BX348" s="1005"/>
      <c r="BY348" s="1005"/>
      <c r="BZ348" s="1006"/>
      <c r="CS348" s="838"/>
      <c r="CT348" s="988" t="s">
        <v>2154</v>
      </c>
      <c r="CU348" s="989">
        <v>7</v>
      </c>
    </row>
    <row r="349" spans="1:99" x14ac:dyDescent="0.25">
      <c r="AQ349" s="957"/>
      <c r="AR349" s="957"/>
      <c r="AS349" s="1015" t="s">
        <v>2155</v>
      </c>
      <c r="AT349" s="1015"/>
      <c r="AU349" s="1015"/>
      <c r="AV349" s="1016"/>
      <c r="BD349" s="993" t="s">
        <v>2153</v>
      </c>
      <c r="BE349" s="994">
        <v>500</v>
      </c>
      <c r="BF349" s="995">
        <v>0</v>
      </c>
      <c r="BG349" s="916">
        <v>0</v>
      </c>
      <c r="BH349" s="916"/>
      <c r="BI349" s="916"/>
      <c r="BJ349" s="916"/>
      <c r="BK349" s="916"/>
      <c r="BL349" s="916"/>
      <c r="BM349" s="976" t="s">
        <v>2156</v>
      </c>
      <c r="BN349" s="986"/>
      <c r="BP349" s="996">
        <v>1650</v>
      </c>
      <c r="BQ349" s="997" t="s">
        <v>2157</v>
      </c>
      <c r="BR349" s="1004">
        <v>0</v>
      </c>
      <c r="BS349" s="1005">
        <v>0</v>
      </c>
      <c r="BT349" s="1005"/>
      <c r="BU349" s="1005"/>
      <c r="BV349" s="1005"/>
      <c r="BW349" s="1005"/>
      <c r="BX349" s="1005"/>
      <c r="BY349" s="1005"/>
      <c r="BZ349" s="1006"/>
      <c r="CS349" s="838"/>
      <c r="CT349" s="987" t="s">
        <v>2129</v>
      </c>
      <c r="CU349" s="1001">
        <v>7</v>
      </c>
    </row>
    <row r="350" spans="1:99" x14ac:dyDescent="0.25">
      <c r="AQ350" s="972"/>
      <c r="AR350" s="972"/>
      <c r="AS350" s="2139" t="s">
        <v>2158</v>
      </c>
      <c r="AT350" s="2139"/>
      <c r="AU350" s="2139"/>
      <c r="AV350" s="2140"/>
      <c r="BD350" s="993" t="s">
        <v>2153</v>
      </c>
      <c r="BE350" s="994">
        <v>600</v>
      </c>
      <c r="BF350" s="995">
        <v>0</v>
      </c>
      <c r="BG350" s="916">
        <v>0</v>
      </c>
      <c r="BH350" s="916"/>
      <c r="BI350" s="916"/>
      <c r="BJ350" s="916"/>
      <c r="BK350" s="916"/>
      <c r="BL350" s="916"/>
      <c r="BM350" s="976" t="s">
        <v>2159</v>
      </c>
      <c r="BN350" s="986"/>
      <c r="BP350" s="996">
        <v>1800</v>
      </c>
      <c r="BQ350" s="997" t="s">
        <v>2157</v>
      </c>
      <c r="BR350" s="998">
        <v>0</v>
      </c>
      <c r="BS350" s="999">
        <v>0</v>
      </c>
      <c r="BT350" s="999"/>
      <c r="BU350" s="999"/>
      <c r="BV350" s="999"/>
      <c r="BW350" s="999"/>
      <c r="BX350" s="999"/>
      <c r="BY350" s="999"/>
      <c r="BZ350" s="1000"/>
      <c r="CS350" s="838"/>
      <c r="CT350" s="987"/>
      <c r="CU350" s="1001"/>
    </row>
    <row r="351" spans="1:99" x14ac:dyDescent="0.25">
      <c r="AQ351" s="972"/>
      <c r="AR351" s="972"/>
      <c r="AS351" s="2139"/>
      <c r="AT351" s="2139"/>
      <c r="AU351" s="2139"/>
      <c r="AV351" s="2140"/>
      <c r="BD351" s="993" t="s">
        <v>2153</v>
      </c>
      <c r="BE351" s="994">
        <v>800</v>
      </c>
      <c r="BF351" s="995">
        <v>144.87</v>
      </c>
      <c r="BG351" s="916">
        <v>144.87</v>
      </c>
      <c r="BH351" s="916"/>
      <c r="BI351" s="916"/>
      <c r="BJ351" s="916"/>
      <c r="BK351" s="916"/>
      <c r="BL351" s="916"/>
      <c r="BM351" s="976" t="s">
        <v>2160</v>
      </c>
      <c r="BN351" s="986"/>
      <c r="BP351" s="996">
        <v>2000</v>
      </c>
      <c r="BQ351" s="997" t="s">
        <v>2157</v>
      </c>
      <c r="BR351" s="998">
        <v>0</v>
      </c>
      <c r="BS351" s="999">
        <v>0</v>
      </c>
      <c r="BT351" s="999"/>
      <c r="BU351" s="999"/>
      <c r="BV351" s="999"/>
      <c r="BW351" s="999"/>
      <c r="BX351" s="999"/>
      <c r="BY351" s="999"/>
      <c r="BZ351" s="1000"/>
      <c r="CS351" s="838"/>
      <c r="CT351" s="987"/>
      <c r="CU351" s="1001"/>
    </row>
    <row r="352" spans="1:99" x14ac:dyDescent="0.25">
      <c r="AQ352" s="1002"/>
      <c r="AR352" s="1002"/>
      <c r="AS352" s="950" t="s">
        <v>2161</v>
      </c>
      <c r="AT352" s="950" t="s">
        <v>2162</v>
      </c>
      <c r="AU352" s="950" t="s">
        <v>2163</v>
      </c>
      <c r="AV352" s="992" t="s">
        <v>2164</v>
      </c>
      <c r="BD352" s="993" t="s">
        <v>2153</v>
      </c>
      <c r="BE352" s="994">
        <v>1000</v>
      </c>
      <c r="BF352" s="995">
        <v>0</v>
      </c>
      <c r="BG352" s="916">
        <v>0</v>
      </c>
      <c r="BH352" s="916"/>
      <c r="BI352" s="916"/>
      <c r="BJ352" s="916"/>
      <c r="BK352" s="916"/>
      <c r="BL352" s="916"/>
      <c r="BM352" s="976" t="s">
        <v>2165</v>
      </c>
      <c r="BN352" s="986"/>
      <c r="BP352" s="996">
        <v>2200</v>
      </c>
      <c r="BQ352" s="997" t="s">
        <v>2157</v>
      </c>
      <c r="BR352" s="998">
        <v>0</v>
      </c>
      <c r="BS352" s="999">
        <v>0</v>
      </c>
      <c r="BT352" s="999"/>
      <c r="BU352" s="999"/>
      <c r="BV352" s="999"/>
      <c r="BW352" s="999"/>
      <c r="BX352" s="999"/>
      <c r="BY352" s="999"/>
      <c r="BZ352" s="1000"/>
      <c r="CS352" s="838"/>
      <c r="CT352" s="987"/>
      <c r="CU352" s="1001"/>
    </row>
    <row r="353" spans="1:99" x14ac:dyDescent="0.25">
      <c r="AQ353" s="1002"/>
      <c r="AR353" s="1002" t="s">
        <v>2139</v>
      </c>
      <c r="AS353" s="950"/>
      <c r="AT353" s="950"/>
      <c r="AU353" s="950"/>
      <c r="AV353" s="992"/>
      <c r="BD353" s="993" t="s">
        <v>2153</v>
      </c>
      <c r="BE353" s="994">
        <v>1200</v>
      </c>
      <c r="BF353" s="995">
        <v>0</v>
      </c>
      <c r="BG353" s="916">
        <v>0</v>
      </c>
      <c r="BH353" s="916"/>
      <c r="BI353" s="916"/>
      <c r="BJ353" s="916"/>
      <c r="BK353" s="916"/>
      <c r="BL353" s="916"/>
      <c r="BM353" s="976" t="s">
        <v>2166</v>
      </c>
      <c r="BN353" s="986"/>
      <c r="BP353" s="996">
        <v>2400</v>
      </c>
      <c r="BQ353" s="997" t="s">
        <v>2157</v>
      </c>
      <c r="BR353" s="998">
        <v>0</v>
      </c>
      <c r="BS353" s="999">
        <v>0</v>
      </c>
      <c r="BT353" s="999"/>
      <c r="BU353" s="999"/>
      <c r="BV353" s="999"/>
      <c r="BW353" s="999"/>
      <c r="BX353" s="999"/>
      <c r="BY353" s="999"/>
      <c r="BZ353" s="1000"/>
      <c r="CS353" s="838"/>
      <c r="CT353" s="987"/>
      <c r="CU353" s="1001"/>
    </row>
    <row r="354" spans="1:99" x14ac:dyDescent="0.25">
      <c r="AQ354" s="1003"/>
      <c r="AR354" s="1003">
        <v>400</v>
      </c>
      <c r="AS354" s="838">
        <v>0</v>
      </c>
      <c r="AT354" s="838">
        <v>0</v>
      </c>
      <c r="AU354" s="838" t="e">
        <v>#REF!</v>
      </c>
      <c r="AV354" s="1001" t="e">
        <v>#REF!</v>
      </c>
      <c r="BD354" s="993" t="s">
        <v>2153</v>
      </c>
      <c r="BE354" s="994">
        <v>1500</v>
      </c>
      <c r="BF354" s="995">
        <v>0</v>
      </c>
      <c r="BG354" s="916">
        <v>0</v>
      </c>
      <c r="BH354" s="916"/>
      <c r="BI354" s="916"/>
      <c r="BJ354" s="916"/>
      <c r="BK354" s="916"/>
      <c r="BL354" s="916"/>
      <c r="BM354" s="976" t="s">
        <v>2167</v>
      </c>
      <c r="BN354" s="986"/>
      <c r="BP354" s="1017">
        <v>2600</v>
      </c>
      <c r="BQ354" s="1018" t="s">
        <v>2157</v>
      </c>
      <c r="BR354" s="1019">
        <v>0</v>
      </c>
      <c r="BS354" s="1020">
        <v>0</v>
      </c>
      <c r="BT354" s="1020"/>
      <c r="BU354" s="1020"/>
      <c r="BV354" s="1020"/>
      <c r="BW354" s="1020"/>
      <c r="BX354" s="1020"/>
      <c r="BY354" s="1020"/>
      <c r="BZ354" s="1021"/>
      <c r="CS354" s="838"/>
      <c r="CT354" s="987"/>
      <c r="CU354" s="1001"/>
    </row>
    <row r="355" spans="1:99" x14ac:dyDescent="0.25">
      <c r="AQ355" s="1003"/>
      <c r="AR355" s="1003">
        <v>600</v>
      </c>
      <c r="AS355" s="838">
        <v>0</v>
      </c>
      <c r="AT355" s="838">
        <v>0</v>
      </c>
      <c r="AU355" s="838" t="e">
        <v>#REF!</v>
      </c>
      <c r="AV355" s="1001" t="e">
        <v>#REF!</v>
      </c>
      <c r="BC355" s="1022">
        <v>1000</v>
      </c>
      <c r="BD355" s="993" t="s">
        <v>2146</v>
      </c>
      <c r="BE355" s="994">
        <v>1200</v>
      </c>
      <c r="BF355" s="995">
        <v>0</v>
      </c>
      <c r="BG355" s="916">
        <v>0</v>
      </c>
      <c r="BH355" s="916"/>
      <c r="BI355" s="916"/>
      <c r="BJ355" s="916"/>
      <c r="BK355" s="916"/>
      <c r="BL355" s="916"/>
      <c r="BM355" s="916"/>
      <c r="BN355" s="986"/>
      <c r="BP355" s="1017">
        <v>2800</v>
      </c>
      <c r="BQ355" s="1018" t="s">
        <v>2157</v>
      </c>
      <c r="BR355" s="1019">
        <v>0</v>
      </c>
      <c r="BS355" s="1020">
        <v>0</v>
      </c>
      <c r="BT355" s="1020"/>
      <c r="BU355" s="1020"/>
      <c r="BV355" s="1020"/>
      <c r="BW355" s="1020"/>
      <c r="BX355" s="1020"/>
      <c r="BY355" s="1020"/>
      <c r="BZ355" s="1021"/>
      <c r="CS355" s="838"/>
      <c r="CT355" s="987"/>
      <c r="CU355" s="1001"/>
    </row>
    <row r="356" spans="1:99" x14ac:dyDescent="0.25">
      <c r="AQ356" s="1003"/>
      <c r="AR356" s="1003">
        <v>800</v>
      </c>
      <c r="AS356" s="838">
        <v>0</v>
      </c>
      <c r="AT356" s="838">
        <v>0</v>
      </c>
      <c r="AU356" s="838" t="e">
        <v>#REF!</v>
      </c>
      <c r="AV356" s="1001" t="e">
        <v>#REF!</v>
      </c>
      <c r="BC356" s="1022">
        <v>1200</v>
      </c>
      <c r="BD356" s="993" t="s">
        <v>2146</v>
      </c>
      <c r="BE356" s="994">
        <v>1400</v>
      </c>
      <c r="BF356" s="995">
        <v>0</v>
      </c>
      <c r="BG356" s="916">
        <v>0</v>
      </c>
      <c r="BH356" s="916"/>
      <c r="BI356" s="916"/>
      <c r="BJ356" s="916"/>
      <c r="BK356" s="916"/>
      <c r="BL356" s="916"/>
      <c r="BM356" s="916"/>
      <c r="BN356" s="986"/>
      <c r="BP356" s="1017">
        <v>3000</v>
      </c>
      <c r="BQ356" s="1018" t="s">
        <v>2157</v>
      </c>
      <c r="BR356" s="1019">
        <v>0</v>
      </c>
      <c r="BS356" s="1020">
        <v>0</v>
      </c>
      <c r="BT356" s="1020"/>
      <c r="BU356" s="1020"/>
      <c r="BV356" s="1020"/>
      <c r="BW356" s="1020"/>
      <c r="BX356" s="1020"/>
      <c r="BY356" s="1020"/>
      <c r="BZ356" s="1021"/>
      <c r="CS356" s="838"/>
      <c r="CT356" s="1011"/>
      <c r="CU356" s="1023"/>
    </row>
    <row r="357" spans="1:99" x14ac:dyDescent="0.25">
      <c r="AQ357" s="1003"/>
      <c r="AR357" s="1003">
        <v>1000</v>
      </c>
      <c r="AS357" s="838">
        <v>0</v>
      </c>
      <c r="AT357" s="838">
        <v>0</v>
      </c>
      <c r="AU357" s="838" t="e">
        <v>#REF!</v>
      </c>
      <c r="AV357" s="1001" t="e">
        <v>#REF!</v>
      </c>
      <c r="BC357" s="1022">
        <v>1400</v>
      </c>
      <c r="BD357" s="993" t="s">
        <v>2146</v>
      </c>
      <c r="BE357" s="994">
        <v>1600</v>
      </c>
      <c r="BF357" s="995">
        <v>0</v>
      </c>
      <c r="BG357" s="916">
        <v>0</v>
      </c>
      <c r="BH357" s="916"/>
      <c r="BI357" s="916"/>
      <c r="BJ357" s="916"/>
      <c r="BK357" s="916"/>
      <c r="BL357" s="916"/>
      <c r="BM357" s="916"/>
      <c r="BN357" s="986"/>
      <c r="BP357" s="1024">
        <v>3200</v>
      </c>
      <c r="BQ357" s="1025" t="s">
        <v>2157</v>
      </c>
      <c r="BR357" s="1026">
        <v>0</v>
      </c>
      <c r="BS357" s="1027">
        <v>0</v>
      </c>
      <c r="BT357" s="1027"/>
      <c r="BU357" s="1027"/>
      <c r="BV357" s="1027"/>
      <c r="BW357" s="1027"/>
      <c r="BX357" s="1027"/>
      <c r="BY357" s="1027"/>
      <c r="BZ357" s="1028"/>
    </row>
    <row r="358" spans="1:99" s="838" customFormat="1" x14ac:dyDescent="0.25">
      <c r="A358" s="939"/>
      <c r="B358" s="940"/>
      <c r="C358" s="939"/>
      <c r="D358" s="939"/>
      <c r="G358" s="940"/>
      <c r="K358" s="836"/>
      <c r="P358" s="836"/>
      <c r="R358" s="836"/>
      <c r="S358" s="941"/>
      <c r="T358" s="941"/>
      <c r="W358" s="836"/>
      <c r="AC358" s="836"/>
      <c r="AQ358" s="1003"/>
      <c r="AR358" s="1003">
        <v>1200</v>
      </c>
      <c r="AS358" s="838">
        <v>0</v>
      </c>
      <c r="AT358" s="838">
        <v>0</v>
      </c>
      <c r="AU358" s="838" t="e">
        <v>#REF!</v>
      </c>
      <c r="AV358" s="1001" t="e">
        <v>#REF!</v>
      </c>
      <c r="BC358" s="1022">
        <v>1600</v>
      </c>
      <c r="BD358" s="993" t="s">
        <v>2146</v>
      </c>
      <c r="BE358" s="994">
        <v>1800</v>
      </c>
      <c r="BF358" s="995">
        <v>0</v>
      </c>
      <c r="BG358" s="916">
        <v>0</v>
      </c>
      <c r="BH358" s="916"/>
      <c r="BI358" s="916"/>
      <c r="BJ358" s="916"/>
      <c r="BK358" s="916"/>
      <c r="BL358" s="916"/>
      <c r="BM358" s="916"/>
      <c r="BN358" s="986"/>
      <c r="BP358" s="838" t="s">
        <v>2168</v>
      </c>
      <c r="BQ358" s="832"/>
      <c r="BR358" s="832">
        <v>224</v>
      </c>
      <c r="BS358" s="832"/>
      <c r="BT358" s="832"/>
      <c r="BU358" s="832"/>
      <c r="BV358" s="832"/>
      <c r="CS358" s="836"/>
      <c r="CT358" s="836"/>
      <c r="CU358" s="836"/>
    </row>
    <row r="359" spans="1:99" s="838" customFormat="1" x14ac:dyDescent="0.25">
      <c r="A359" s="939"/>
      <c r="B359" s="940"/>
      <c r="C359" s="939"/>
      <c r="D359" s="939"/>
      <c r="G359" s="940"/>
      <c r="K359" s="836"/>
      <c r="P359" s="836"/>
      <c r="R359" s="836"/>
      <c r="S359" s="941"/>
      <c r="T359" s="941"/>
      <c r="W359" s="836"/>
      <c r="AC359" s="836"/>
      <c r="AQ359" s="1003"/>
      <c r="AR359" s="1003">
        <v>1500</v>
      </c>
      <c r="AS359" s="838">
        <v>0</v>
      </c>
      <c r="AT359" s="838">
        <v>0</v>
      </c>
      <c r="AU359" s="838" t="e">
        <v>#REF!</v>
      </c>
      <c r="AV359" s="1001" t="e">
        <v>#REF!</v>
      </c>
      <c r="BC359" s="1022">
        <v>1800</v>
      </c>
      <c r="BD359" s="993" t="s">
        <v>2146</v>
      </c>
      <c r="BE359" s="994">
        <v>2000</v>
      </c>
      <c r="BF359" s="995">
        <v>0</v>
      </c>
      <c r="BG359" s="916">
        <v>0</v>
      </c>
      <c r="BH359" s="916"/>
      <c r="BI359" s="916"/>
      <c r="BJ359" s="916"/>
      <c r="BK359" s="916"/>
      <c r="BL359" s="916"/>
      <c r="BM359" s="916"/>
      <c r="BN359" s="986"/>
      <c r="BP359" s="838" t="s">
        <v>2169</v>
      </c>
      <c r="BQ359" s="832"/>
      <c r="BR359" s="832">
        <v>224</v>
      </c>
      <c r="BS359" s="832"/>
      <c r="BT359" s="832"/>
      <c r="BU359" s="832"/>
      <c r="BV359" s="832"/>
      <c r="CS359" s="836"/>
      <c r="CT359" s="836"/>
      <c r="CU359" s="836"/>
    </row>
    <row r="360" spans="1:99" s="838" customFormat="1" x14ac:dyDescent="0.25">
      <c r="A360" s="939"/>
      <c r="B360" s="940"/>
      <c r="C360" s="939"/>
      <c r="D360" s="939"/>
      <c r="G360" s="940"/>
      <c r="K360" s="836"/>
      <c r="P360" s="836"/>
      <c r="R360" s="836"/>
      <c r="S360" s="941"/>
      <c r="T360" s="941"/>
      <c r="W360" s="836"/>
      <c r="AC360" s="836"/>
      <c r="AQ360" s="1003"/>
      <c r="AR360" s="1003" t="s">
        <v>2149</v>
      </c>
      <c r="AV360" s="1001"/>
      <c r="BC360" s="1022">
        <v>2000</v>
      </c>
      <c r="BD360" s="993" t="s">
        <v>2146</v>
      </c>
      <c r="BE360" s="994">
        <v>2200</v>
      </c>
      <c r="BF360" s="995">
        <v>0</v>
      </c>
      <c r="BG360" s="916">
        <v>0</v>
      </c>
      <c r="BH360" s="916"/>
      <c r="BI360" s="916"/>
      <c r="BJ360" s="916"/>
      <c r="BK360" s="916"/>
      <c r="BL360" s="916"/>
      <c r="BM360" s="916"/>
      <c r="BN360" s="986"/>
      <c r="BP360" s="960" t="s">
        <v>2170</v>
      </c>
      <c r="BQ360" s="965"/>
      <c r="BR360" s="965"/>
      <c r="BS360" s="965"/>
      <c r="BT360" s="965"/>
      <c r="BU360" s="965"/>
      <c r="BV360" s="965"/>
      <c r="BW360" s="961"/>
      <c r="BX360" s="961"/>
      <c r="BY360" s="961"/>
      <c r="BZ360" s="962"/>
      <c r="CS360" s="836"/>
      <c r="CT360" s="836"/>
      <c r="CU360" s="836"/>
    </row>
    <row r="361" spans="1:99" s="838" customFormat="1" x14ac:dyDescent="0.25">
      <c r="A361" s="939"/>
      <c r="B361" s="940"/>
      <c r="C361" s="939"/>
      <c r="D361" s="939"/>
      <c r="G361" s="940"/>
      <c r="K361" s="836"/>
      <c r="P361" s="836"/>
      <c r="R361" s="836"/>
      <c r="S361" s="941"/>
      <c r="T361" s="941"/>
      <c r="W361" s="836"/>
      <c r="AC361" s="836"/>
      <c r="AQ361" s="1003"/>
      <c r="AR361" s="1003">
        <v>1650</v>
      </c>
      <c r="AS361" s="838">
        <v>0</v>
      </c>
      <c r="AT361" s="838">
        <v>0</v>
      </c>
      <c r="AU361" s="838" t="e">
        <v>#REF!</v>
      </c>
      <c r="AV361" s="1001" t="e">
        <v>#REF!</v>
      </c>
      <c r="BC361" s="1022">
        <v>2200</v>
      </c>
      <c r="BD361" s="993" t="s">
        <v>2146</v>
      </c>
      <c r="BE361" s="994">
        <v>2400</v>
      </c>
      <c r="BF361" s="995">
        <v>0</v>
      </c>
      <c r="BG361" s="916">
        <v>0</v>
      </c>
      <c r="BH361" s="916"/>
      <c r="BI361" s="916"/>
      <c r="BJ361" s="916"/>
      <c r="BK361" s="916"/>
      <c r="BL361" s="916"/>
      <c r="BM361" s="916"/>
      <c r="BN361" s="986"/>
      <c r="BP361" s="979" t="s">
        <v>2127</v>
      </c>
      <c r="BQ361" s="980" t="s">
        <v>1739</v>
      </c>
      <c r="BR361" s="981" t="s">
        <v>2125</v>
      </c>
      <c r="BS361" s="982" t="s">
        <v>2130</v>
      </c>
      <c r="BT361" s="982">
        <v>0</v>
      </c>
      <c r="BU361" s="982">
        <v>0</v>
      </c>
      <c r="BV361" s="982">
        <v>0</v>
      </c>
      <c r="BW361" s="982">
        <v>0</v>
      </c>
      <c r="BX361" s="980">
        <v>0</v>
      </c>
      <c r="BY361" s="980">
        <v>0</v>
      </c>
      <c r="BZ361" s="983">
        <v>0</v>
      </c>
      <c r="CS361" s="836"/>
      <c r="CT361" s="836"/>
      <c r="CU361" s="836"/>
    </row>
    <row r="362" spans="1:99" s="838" customFormat="1" x14ac:dyDescent="0.25">
      <c r="A362" s="939"/>
      <c r="B362" s="940"/>
      <c r="C362" s="939"/>
      <c r="D362" s="939"/>
      <c r="G362" s="940"/>
      <c r="K362" s="836"/>
      <c r="P362" s="836"/>
      <c r="R362" s="836"/>
      <c r="S362" s="941"/>
      <c r="T362" s="941"/>
      <c r="W362" s="836"/>
      <c r="AC362" s="836"/>
      <c r="AQ362" s="1003"/>
      <c r="AR362" s="1003">
        <v>1800</v>
      </c>
      <c r="AS362" s="838">
        <v>0</v>
      </c>
      <c r="AT362" s="838">
        <v>0</v>
      </c>
      <c r="AU362" s="838" t="e">
        <v>#REF!</v>
      </c>
      <c r="AV362" s="1001" t="e">
        <v>#REF!</v>
      </c>
      <c r="BC362" s="1022">
        <v>2400</v>
      </c>
      <c r="BD362" s="993" t="s">
        <v>2146</v>
      </c>
      <c r="BE362" s="994">
        <v>2600</v>
      </c>
      <c r="BF362" s="995">
        <v>0</v>
      </c>
      <c r="BG362" s="916">
        <v>0</v>
      </c>
      <c r="BH362" s="916"/>
      <c r="BI362" s="916"/>
      <c r="BJ362" s="916"/>
      <c r="BK362" s="916"/>
      <c r="BL362" s="916"/>
      <c r="BM362" s="916"/>
      <c r="BN362" s="986"/>
      <c r="BP362" s="996">
        <v>1200</v>
      </c>
      <c r="BQ362" s="997" t="s">
        <v>2146</v>
      </c>
      <c r="BR362" s="998">
        <v>0</v>
      </c>
      <c r="BS362" s="999">
        <v>0</v>
      </c>
      <c r="BT362" s="999"/>
      <c r="BU362" s="999"/>
      <c r="BV362" s="999"/>
      <c r="BW362" s="999"/>
      <c r="BX362" s="999"/>
      <c r="BY362" s="999"/>
      <c r="BZ362" s="1029"/>
      <c r="CS362" s="836"/>
      <c r="CT362" s="836"/>
      <c r="CU362" s="836"/>
    </row>
    <row r="363" spans="1:99" s="838" customFormat="1" x14ac:dyDescent="0.25">
      <c r="A363" s="939"/>
      <c r="B363" s="940"/>
      <c r="C363" s="939"/>
      <c r="D363" s="939"/>
      <c r="G363" s="940"/>
      <c r="K363" s="836"/>
      <c r="P363" s="836"/>
      <c r="R363" s="836"/>
      <c r="S363" s="941"/>
      <c r="T363" s="941"/>
      <c r="W363" s="836"/>
      <c r="AC363" s="836"/>
      <c r="AQ363" s="1003"/>
      <c r="AR363" s="1003">
        <v>2000</v>
      </c>
      <c r="AS363" s="838">
        <v>0</v>
      </c>
      <c r="AT363" s="838">
        <v>0</v>
      </c>
      <c r="AU363" s="838" t="e">
        <v>#REF!</v>
      </c>
      <c r="AV363" s="1001" t="e">
        <v>#REF!</v>
      </c>
      <c r="BC363" s="1022">
        <v>2600</v>
      </c>
      <c r="BD363" s="993" t="s">
        <v>2146</v>
      </c>
      <c r="BE363" s="994">
        <v>2800</v>
      </c>
      <c r="BF363" s="995">
        <v>0</v>
      </c>
      <c r="BG363" s="916">
        <v>0</v>
      </c>
      <c r="BH363" s="916"/>
      <c r="BI363" s="916"/>
      <c r="BJ363" s="916"/>
      <c r="BK363" s="916"/>
      <c r="BL363" s="916"/>
      <c r="BM363" s="916"/>
      <c r="BN363" s="986"/>
      <c r="BP363" s="996">
        <v>1400</v>
      </c>
      <c r="BQ363" s="997" t="s">
        <v>2146</v>
      </c>
      <c r="BR363" s="998">
        <v>0</v>
      </c>
      <c r="BS363" s="999">
        <v>0</v>
      </c>
      <c r="BT363" s="999"/>
      <c r="BU363" s="999"/>
      <c r="BV363" s="999"/>
      <c r="BW363" s="999"/>
      <c r="BX363" s="999"/>
      <c r="BY363" s="999"/>
      <c r="BZ363" s="1029"/>
      <c r="CS363" s="836"/>
      <c r="CT363" s="836"/>
      <c r="CU363" s="836"/>
    </row>
    <row r="364" spans="1:99" s="838" customFormat="1" x14ac:dyDescent="0.25">
      <c r="A364" s="939"/>
      <c r="B364" s="940"/>
      <c r="C364" s="939"/>
      <c r="D364" s="939"/>
      <c r="G364" s="940"/>
      <c r="K364" s="836"/>
      <c r="P364" s="836"/>
      <c r="R364" s="836"/>
      <c r="S364" s="941"/>
      <c r="T364" s="941"/>
      <c r="W364" s="836"/>
      <c r="AC364" s="836"/>
      <c r="AQ364" s="1003"/>
      <c r="AR364" s="1003">
        <v>2200</v>
      </c>
      <c r="AS364" s="838">
        <v>0</v>
      </c>
      <c r="AT364" s="838">
        <v>0</v>
      </c>
      <c r="AU364" s="838" t="e">
        <v>#REF!</v>
      </c>
      <c r="AV364" s="1001" t="e">
        <v>#REF!</v>
      </c>
      <c r="BC364" s="1022">
        <v>2800</v>
      </c>
      <c r="BD364" s="993" t="s">
        <v>2146</v>
      </c>
      <c r="BE364" s="994">
        <v>3000</v>
      </c>
      <c r="BF364" s="995">
        <v>0</v>
      </c>
      <c r="BG364" s="916">
        <v>0</v>
      </c>
      <c r="BH364" s="916"/>
      <c r="BI364" s="916"/>
      <c r="BJ364" s="916"/>
      <c r="BK364" s="916"/>
      <c r="BL364" s="916"/>
      <c r="BM364" s="916"/>
      <c r="BN364" s="986"/>
      <c r="BP364" s="996">
        <v>1600</v>
      </c>
      <c r="BQ364" s="997" t="s">
        <v>2146</v>
      </c>
      <c r="BR364" s="998">
        <v>0</v>
      </c>
      <c r="BS364" s="999">
        <v>0</v>
      </c>
      <c r="BT364" s="999"/>
      <c r="BU364" s="999"/>
      <c r="BV364" s="999"/>
      <c r="BW364" s="999"/>
      <c r="BX364" s="999"/>
      <c r="BY364" s="999"/>
      <c r="BZ364" s="1029"/>
      <c r="CS364" s="836"/>
      <c r="CT364" s="836"/>
      <c r="CU364" s="836"/>
    </row>
    <row r="365" spans="1:99" s="838" customFormat="1" x14ac:dyDescent="0.25">
      <c r="A365" s="939"/>
      <c r="B365" s="940"/>
      <c r="C365" s="939"/>
      <c r="D365" s="939"/>
      <c r="G365" s="940"/>
      <c r="K365" s="836"/>
      <c r="P365" s="836"/>
      <c r="R365" s="836"/>
      <c r="S365" s="941"/>
      <c r="T365" s="941"/>
      <c r="W365" s="836"/>
      <c r="AC365" s="836"/>
      <c r="AQ365" s="1003"/>
      <c r="AR365" s="1003">
        <v>2400</v>
      </c>
      <c r="AS365" s="838">
        <v>0</v>
      </c>
      <c r="AT365" s="838">
        <v>0</v>
      </c>
      <c r="AU365" s="838" t="e">
        <v>#REF!</v>
      </c>
      <c r="AV365" s="1001" t="e">
        <v>#REF!</v>
      </c>
      <c r="BC365" s="1022">
        <v>3000</v>
      </c>
      <c r="BD365" s="993" t="s">
        <v>2146</v>
      </c>
      <c r="BE365" s="994">
        <v>3200</v>
      </c>
      <c r="BF365" s="995">
        <v>0</v>
      </c>
      <c r="BG365" s="916">
        <v>0</v>
      </c>
      <c r="BH365" s="916"/>
      <c r="BI365" s="916"/>
      <c r="BJ365" s="916"/>
      <c r="BK365" s="916"/>
      <c r="BL365" s="916"/>
      <c r="BM365" s="916"/>
      <c r="BN365" s="986"/>
      <c r="BP365" s="1017">
        <v>1800</v>
      </c>
      <c r="BQ365" s="1018" t="s">
        <v>2146</v>
      </c>
      <c r="BR365" s="1019">
        <v>0</v>
      </c>
      <c r="BS365" s="1020">
        <v>0</v>
      </c>
      <c r="BT365" s="1020"/>
      <c r="BU365" s="1020"/>
      <c r="BV365" s="1020"/>
      <c r="BW365" s="1020"/>
      <c r="BX365" s="1020"/>
      <c r="BY365" s="1020"/>
      <c r="BZ365" s="1030"/>
      <c r="CS365" s="836"/>
      <c r="CT365" s="836"/>
      <c r="CU365" s="836"/>
    </row>
    <row r="366" spans="1:99" s="838" customFormat="1" x14ac:dyDescent="0.25">
      <c r="A366" s="939"/>
      <c r="B366" s="940"/>
      <c r="C366" s="939"/>
      <c r="D366" s="939"/>
      <c r="G366" s="940"/>
      <c r="K366" s="836"/>
      <c r="P366" s="836"/>
      <c r="R366" s="836"/>
      <c r="S366" s="941"/>
      <c r="T366" s="941"/>
      <c r="W366" s="836"/>
      <c r="AC366" s="836"/>
      <c r="AQ366" s="1003"/>
      <c r="AR366" s="1003">
        <v>2600</v>
      </c>
      <c r="AS366" s="838">
        <v>0</v>
      </c>
      <c r="AT366" s="838">
        <v>0</v>
      </c>
      <c r="AU366" s="838" t="e">
        <v>#REF!</v>
      </c>
      <c r="AV366" s="1001" t="e">
        <v>#REF!</v>
      </c>
      <c r="BC366" s="1022">
        <v>3200</v>
      </c>
      <c r="BD366" s="993" t="s">
        <v>2146</v>
      </c>
      <c r="BE366" s="994">
        <v>3400</v>
      </c>
      <c r="BF366" s="995">
        <v>0</v>
      </c>
      <c r="BG366" s="916">
        <v>0</v>
      </c>
      <c r="BH366" s="916"/>
      <c r="BI366" s="916"/>
      <c r="BJ366" s="916"/>
      <c r="BK366" s="916"/>
      <c r="BL366" s="916"/>
      <c r="BM366" s="916"/>
      <c r="BN366" s="986"/>
      <c r="BP366" s="1017">
        <v>2000</v>
      </c>
      <c r="BQ366" s="1018" t="s">
        <v>2146</v>
      </c>
      <c r="BR366" s="1019">
        <v>0</v>
      </c>
      <c r="BS366" s="1020">
        <v>0</v>
      </c>
      <c r="BT366" s="1020"/>
      <c r="BU366" s="1020"/>
      <c r="BV366" s="1020"/>
      <c r="BW366" s="1020"/>
      <c r="BX366" s="1020"/>
      <c r="BY366" s="1020"/>
      <c r="BZ366" s="1030"/>
      <c r="CS366" s="836"/>
      <c r="CT366" s="836"/>
      <c r="CU366" s="836"/>
    </row>
    <row r="367" spans="1:99" s="838" customFormat="1" x14ac:dyDescent="0.25">
      <c r="A367" s="939"/>
      <c r="B367" s="940"/>
      <c r="C367" s="939"/>
      <c r="D367" s="939"/>
      <c r="G367" s="940"/>
      <c r="K367" s="836"/>
      <c r="P367" s="836"/>
      <c r="R367" s="836"/>
      <c r="S367" s="941"/>
      <c r="T367" s="941"/>
      <c r="W367" s="836"/>
      <c r="AC367" s="836"/>
      <c r="AQ367" s="1003"/>
      <c r="AR367" s="1003">
        <v>2800</v>
      </c>
      <c r="AS367" s="838">
        <v>0</v>
      </c>
      <c r="AT367" s="838">
        <v>0</v>
      </c>
      <c r="AU367" s="838" t="e">
        <v>#REF!</v>
      </c>
      <c r="AV367" s="1001" t="e">
        <v>#REF!</v>
      </c>
      <c r="BC367" s="1022">
        <v>3400</v>
      </c>
      <c r="BD367" s="993" t="s">
        <v>2146</v>
      </c>
      <c r="BE367" s="994">
        <v>3600</v>
      </c>
      <c r="BF367" s="995">
        <v>0</v>
      </c>
      <c r="BG367" s="916">
        <v>0</v>
      </c>
      <c r="BH367" s="916"/>
      <c r="BI367" s="916"/>
      <c r="BJ367" s="916"/>
      <c r="BK367" s="916"/>
      <c r="BL367" s="916"/>
      <c r="BM367" s="916"/>
      <c r="BN367" s="986"/>
      <c r="BP367" s="1017">
        <v>2200</v>
      </c>
      <c r="BQ367" s="1018" t="s">
        <v>2146</v>
      </c>
      <c r="BR367" s="1019">
        <v>0</v>
      </c>
      <c r="BS367" s="1020">
        <v>0</v>
      </c>
      <c r="BT367" s="1020"/>
      <c r="BU367" s="1020"/>
      <c r="BV367" s="1020"/>
      <c r="BW367" s="1020"/>
      <c r="BX367" s="1020"/>
      <c r="BY367" s="1020"/>
      <c r="BZ367" s="1030"/>
      <c r="CS367" s="836"/>
      <c r="CT367" s="836"/>
      <c r="CU367" s="836"/>
    </row>
    <row r="368" spans="1:99" s="838" customFormat="1" x14ac:dyDescent="0.25">
      <c r="A368" s="939"/>
      <c r="B368" s="940"/>
      <c r="C368" s="939"/>
      <c r="D368" s="939"/>
      <c r="G368" s="940"/>
      <c r="K368" s="836"/>
      <c r="P368" s="836"/>
      <c r="R368" s="836"/>
      <c r="S368" s="941"/>
      <c r="T368" s="941"/>
      <c r="W368" s="836"/>
      <c r="AC368" s="836"/>
      <c r="AQ368" s="1003"/>
      <c r="AR368" s="1003">
        <v>3000</v>
      </c>
      <c r="AS368" s="838">
        <v>0</v>
      </c>
      <c r="AT368" s="838">
        <v>0</v>
      </c>
      <c r="AU368" s="838" t="e">
        <v>#REF!</v>
      </c>
      <c r="AV368" s="1001" t="e">
        <v>#REF!</v>
      </c>
      <c r="BC368" s="1022">
        <v>3600</v>
      </c>
      <c r="BD368" s="993" t="s">
        <v>2146</v>
      </c>
      <c r="BE368" s="994">
        <v>3800</v>
      </c>
      <c r="BF368" s="995">
        <v>0</v>
      </c>
      <c r="BG368" s="916">
        <v>0</v>
      </c>
      <c r="BH368" s="916"/>
      <c r="BI368" s="916"/>
      <c r="BJ368" s="916"/>
      <c r="BK368" s="916"/>
      <c r="BL368" s="916"/>
      <c r="BM368" s="916"/>
      <c r="BN368" s="986"/>
      <c r="BP368" s="1017">
        <v>2400</v>
      </c>
      <c r="BQ368" s="1018" t="s">
        <v>2146</v>
      </c>
      <c r="BR368" s="1019">
        <v>0</v>
      </c>
      <c r="BS368" s="1020">
        <v>0</v>
      </c>
      <c r="BT368" s="1020"/>
      <c r="BU368" s="1020"/>
      <c r="BV368" s="1020"/>
      <c r="BW368" s="1020"/>
      <c r="BX368" s="1020"/>
      <c r="BY368" s="1020"/>
      <c r="BZ368" s="1030"/>
      <c r="CS368" s="836"/>
      <c r="CT368" s="836"/>
      <c r="CU368" s="836"/>
    </row>
    <row r="369" spans="1:99" s="838" customFormat="1" x14ac:dyDescent="0.25">
      <c r="A369" s="939"/>
      <c r="B369" s="940"/>
      <c r="C369" s="939"/>
      <c r="D369" s="939"/>
      <c r="G369" s="940"/>
      <c r="K369" s="836"/>
      <c r="P369" s="836"/>
      <c r="R369" s="836"/>
      <c r="S369" s="941"/>
      <c r="T369" s="941"/>
      <c r="W369" s="836"/>
      <c r="AC369" s="836"/>
      <c r="AQ369" s="1031"/>
      <c r="AR369" s="1031">
        <v>3200</v>
      </c>
      <c r="AS369" s="1012">
        <v>0</v>
      </c>
      <c r="AT369" s="1012">
        <v>0</v>
      </c>
      <c r="AU369" s="1012" t="e">
        <v>#REF!</v>
      </c>
      <c r="AV369" s="1023" t="e">
        <v>#REF!</v>
      </c>
      <c r="BD369" s="993" t="s">
        <v>2157</v>
      </c>
      <c r="BE369" s="994">
        <v>1650</v>
      </c>
      <c r="BF369" s="995">
        <v>0</v>
      </c>
      <c r="BG369" s="916">
        <v>0</v>
      </c>
      <c r="BH369" s="916"/>
      <c r="BI369" s="916"/>
      <c r="BJ369" s="916"/>
      <c r="BK369" s="916"/>
      <c r="BL369" s="916"/>
      <c r="BM369" s="916"/>
      <c r="BN369" s="986"/>
      <c r="BP369" s="1017">
        <v>2600</v>
      </c>
      <c r="BQ369" s="1018" t="s">
        <v>2146</v>
      </c>
      <c r="BR369" s="1019">
        <v>0</v>
      </c>
      <c r="BS369" s="1020">
        <v>0</v>
      </c>
      <c r="BT369" s="1020"/>
      <c r="BU369" s="1020"/>
      <c r="BV369" s="1020"/>
      <c r="BW369" s="1020"/>
      <c r="BX369" s="1020"/>
      <c r="BY369" s="1020"/>
      <c r="BZ369" s="1030"/>
      <c r="CS369" s="836"/>
      <c r="CT369" s="836"/>
      <c r="CU369" s="836"/>
    </row>
    <row r="370" spans="1:99" s="838" customFormat="1" x14ac:dyDescent="0.25">
      <c r="A370" s="939"/>
      <c r="B370" s="940"/>
      <c r="C370" s="939"/>
      <c r="D370" s="939"/>
      <c r="G370" s="940"/>
      <c r="K370" s="836"/>
      <c r="P370" s="836"/>
      <c r="R370" s="836"/>
      <c r="S370" s="941"/>
      <c r="T370" s="941"/>
      <c r="W370" s="836"/>
      <c r="AC370" s="836"/>
      <c r="AQ370" s="958"/>
      <c r="AR370" s="958"/>
      <c r="AS370" s="958"/>
      <c r="AT370" s="958"/>
      <c r="AU370" s="958"/>
      <c r="AV370" s="958"/>
      <c r="BD370" s="993" t="s">
        <v>2157</v>
      </c>
      <c r="BE370" s="994">
        <v>1800</v>
      </c>
      <c r="BF370" s="995">
        <v>0</v>
      </c>
      <c r="BG370" s="916">
        <v>0</v>
      </c>
      <c r="BH370" s="916"/>
      <c r="BI370" s="916"/>
      <c r="BJ370" s="916"/>
      <c r="BK370" s="916"/>
      <c r="BL370" s="916"/>
      <c r="BM370" s="916"/>
      <c r="BN370" s="986"/>
      <c r="BP370" s="1017">
        <v>2800</v>
      </c>
      <c r="BQ370" s="1018" t="s">
        <v>2146</v>
      </c>
      <c r="BR370" s="1019">
        <v>0</v>
      </c>
      <c r="BS370" s="1020">
        <v>0</v>
      </c>
      <c r="BT370" s="1020"/>
      <c r="BU370" s="1020"/>
      <c r="BV370" s="1020"/>
      <c r="BW370" s="1020"/>
      <c r="BX370" s="1020"/>
      <c r="BY370" s="1020"/>
      <c r="BZ370" s="1030"/>
      <c r="CS370" s="836"/>
      <c r="CT370" s="836"/>
      <c r="CU370" s="836"/>
    </row>
    <row r="371" spans="1:99" s="838" customFormat="1" x14ac:dyDescent="0.25">
      <c r="A371" s="939"/>
      <c r="B371" s="940"/>
      <c r="C371" s="939"/>
      <c r="D371" s="939"/>
      <c r="G371" s="940"/>
      <c r="K371" s="836"/>
      <c r="P371" s="836"/>
      <c r="R371" s="836"/>
      <c r="S371" s="941"/>
      <c r="T371" s="941"/>
      <c r="W371" s="836"/>
      <c r="AC371" s="836"/>
      <c r="AQ371" s="951"/>
      <c r="AR371" s="951"/>
      <c r="BD371" s="993" t="s">
        <v>2157</v>
      </c>
      <c r="BE371" s="994">
        <v>2000</v>
      </c>
      <c r="BF371" s="995">
        <v>0</v>
      </c>
      <c r="BG371" s="916">
        <v>0</v>
      </c>
      <c r="BH371" s="916"/>
      <c r="BI371" s="916"/>
      <c r="BJ371" s="916"/>
      <c r="BK371" s="916"/>
      <c r="BL371" s="916"/>
      <c r="BM371" s="916"/>
      <c r="BN371" s="986"/>
      <c r="BP371" s="1017">
        <v>3000</v>
      </c>
      <c r="BQ371" s="1018" t="s">
        <v>2146</v>
      </c>
      <c r="BR371" s="1019">
        <v>0</v>
      </c>
      <c r="BS371" s="1020">
        <v>0</v>
      </c>
      <c r="BT371" s="1020"/>
      <c r="BU371" s="1020"/>
      <c r="BV371" s="1020"/>
      <c r="BW371" s="1020"/>
      <c r="BX371" s="1020"/>
      <c r="BY371" s="1020"/>
      <c r="BZ371" s="1030"/>
      <c r="CS371" s="836"/>
      <c r="CT371" s="836"/>
      <c r="CU371" s="836"/>
    </row>
    <row r="372" spans="1:99" s="838" customFormat="1" x14ac:dyDescent="0.25">
      <c r="A372" s="939"/>
      <c r="B372" s="940"/>
      <c r="C372" s="939"/>
      <c r="D372" s="939"/>
      <c r="G372" s="940"/>
      <c r="K372" s="836"/>
      <c r="P372" s="836"/>
      <c r="R372" s="836"/>
      <c r="S372" s="941"/>
      <c r="T372" s="941"/>
      <c r="W372" s="836"/>
      <c r="AC372" s="836"/>
      <c r="AQ372" s="951"/>
      <c r="AR372" s="951"/>
      <c r="BD372" s="993" t="s">
        <v>2157</v>
      </c>
      <c r="BE372" s="994">
        <v>2200</v>
      </c>
      <c r="BF372" s="995">
        <v>0</v>
      </c>
      <c r="BG372" s="916">
        <v>0</v>
      </c>
      <c r="BH372" s="916"/>
      <c r="BI372" s="916"/>
      <c r="BJ372" s="916"/>
      <c r="BK372" s="916"/>
      <c r="BL372" s="916"/>
      <c r="BM372" s="916"/>
      <c r="BN372" s="986"/>
      <c r="BP372" s="1017">
        <v>3200</v>
      </c>
      <c r="BQ372" s="1018" t="s">
        <v>2146</v>
      </c>
      <c r="BR372" s="1019">
        <v>0</v>
      </c>
      <c r="BS372" s="1020">
        <v>0</v>
      </c>
      <c r="BT372" s="1020"/>
      <c r="BU372" s="1020"/>
      <c r="BV372" s="1020"/>
      <c r="BW372" s="1020"/>
      <c r="BX372" s="1020"/>
      <c r="BY372" s="1020"/>
      <c r="BZ372" s="1030"/>
      <c r="CS372" s="836"/>
      <c r="CT372" s="836"/>
      <c r="CU372" s="836"/>
    </row>
    <row r="373" spans="1:99" s="838" customFormat="1" x14ac:dyDescent="0.25">
      <c r="A373" s="939"/>
      <c r="B373" s="940"/>
      <c r="C373" s="939"/>
      <c r="D373" s="939"/>
      <c r="G373" s="940"/>
      <c r="K373" s="836"/>
      <c r="P373" s="836"/>
      <c r="R373" s="836"/>
      <c r="S373" s="941"/>
      <c r="T373" s="941"/>
      <c r="W373" s="836"/>
      <c r="AC373" s="836"/>
      <c r="AQ373" s="951"/>
      <c r="AR373" s="951"/>
      <c r="BD373" s="993" t="s">
        <v>2157</v>
      </c>
      <c r="BE373" s="994">
        <v>2400</v>
      </c>
      <c r="BF373" s="995">
        <v>0</v>
      </c>
      <c r="BG373" s="916">
        <v>0</v>
      </c>
      <c r="BH373" s="916"/>
      <c r="BI373" s="916"/>
      <c r="BJ373" s="916"/>
      <c r="BK373" s="916"/>
      <c r="BL373" s="916"/>
      <c r="BM373" s="916"/>
      <c r="BN373" s="986"/>
      <c r="BP373" s="1017">
        <v>3600</v>
      </c>
      <c r="BQ373" s="1018" t="s">
        <v>2146</v>
      </c>
      <c r="BR373" s="1019">
        <v>0</v>
      </c>
      <c r="BS373" s="1020">
        <v>0</v>
      </c>
      <c r="BT373" s="1020"/>
      <c r="BU373" s="1020"/>
      <c r="BV373" s="1020"/>
      <c r="BW373" s="1020"/>
      <c r="BX373" s="1020"/>
      <c r="BY373" s="1020"/>
      <c r="BZ373" s="1030"/>
      <c r="CS373" s="836"/>
      <c r="CT373" s="836"/>
      <c r="CU373" s="836"/>
    </row>
    <row r="374" spans="1:99" x14ac:dyDescent="0.25">
      <c r="AQ374" s="951"/>
      <c r="AR374" s="951"/>
      <c r="BD374" s="993" t="s">
        <v>2157</v>
      </c>
      <c r="BE374" s="994">
        <v>2600</v>
      </c>
      <c r="BF374" s="995">
        <v>0</v>
      </c>
      <c r="BG374" s="916">
        <v>0</v>
      </c>
      <c r="BH374" s="916"/>
      <c r="BI374" s="916"/>
      <c r="BJ374" s="916"/>
      <c r="BK374" s="916"/>
      <c r="BL374" s="916"/>
      <c r="BM374" s="916"/>
      <c r="BN374" s="986"/>
      <c r="BP374" s="1024">
        <v>3800</v>
      </c>
      <c r="BQ374" s="1025" t="s">
        <v>2146</v>
      </c>
      <c r="BR374" s="1026">
        <v>0</v>
      </c>
      <c r="BS374" s="1027">
        <v>0</v>
      </c>
      <c r="BT374" s="1027"/>
      <c r="BU374" s="1027"/>
      <c r="BV374" s="1027"/>
      <c r="BW374" s="1027"/>
      <c r="BX374" s="1027"/>
      <c r="BY374" s="1027"/>
      <c r="BZ374" s="1032"/>
    </row>
    <row r="375" spans="1:99" x14ac:dyDescent="0.25">
      <c r="AQ375" s="951"/>
      <c r="AR375" s="951"/>
      <c r="BD375" s="993" t="s">
        <v>2157</v>
      </c>
      <c r="BE375" s="994">
        <v>2800</v>
      </c>
      <c r="BF375" s="995">
        <v>0</v>
      </c>
      <c r="BG375" s="916">
        <v>0</v>
      </c>
      <c r="BH375" s="916"/>
      <c r="BI375" s="916"/>
      <c r="BJ375" s="916"/>
      <c r="BK375" s="916"/>
      <c r="BL375" s="916"/>
      <c r="BM375" s="916"/>
      <c r="BN375" s="986"/>
      <c r="BP375" s="838"/>
      <c r="BV375" s="832"/>
    </row>
    <row r="376" spans="1:99" x14ac:dyDescent="0.25">
      <c r="BD376" s="1033" t="s">
        <v>2157</v>
      </c>
      <c r="BE376" s="1034">
        <v>3000</v>
      </c>
      <c r="BF376" s="1035">
        <v>0</v>
      </c>
      <c r="BG376" s="1036">
        <v>0</v>
      </c>
      <c r="BH376" s="1036"/>
      <c r="BI376" s="1036"/>
      <c r="BJ376" s="1036"/>
      <c r="BK376" s="1036"/>
      <c r="BL376" s="1036"/>
      <c r="BM376" s="1036"/>
      <c r="BN376" s="1037"/>
      <c r="BP376" s="1038" t="s">
        <v>2171</v>
      </c>
      <c r="BQ376" s="965"/>
      <c r="BR376" s="965"/>
      <c r="BS376" s="965"/>
      <c r="BT376" s="965"/>
      <c r="BU376" s="965"/>
      <c r="BV376" s="965"/>
      <c r="BW376" s="961"/>
      <c r="BX376" s="961"/>
      <c r="BY376" s="961"/>
      <c r="BZ376" s="962"/>
    </row>
    <row r="377" spans="1:99" x14ac:dyDescent="0.25">
      <c r="BD377" s="1039" t="s">
        <v>2157</v>
      </c>
      <c r="BE377" s="1040">
        <v>3200</v>
      </c>
      <c r="BF377" s="1041">
        <v>0</v>
      </c>
      <c r="BG377" s="1009">
        <v>0</v>
      </c>
      <c r="BH377" s="1009"/>
      <c r="BI377" s="1009"/>
      <c r="BJ377" s="1009"/>
      <c r="BK377" s="1009"/>
      <c r="BL377" s="1009"/>
      <c r="BM377" s="1009"/>
      <c r="BN377" s="1010"/>
      <c r="BP377" s="979" t="s">
        <v>2127</v>
      </c>
      <c r="BQ377" s="980" t="s">
        <v>1053</v>
      </c>
      <c r="BR377" s="981" t="s">
        <v>2125</v>
      </c>
      <c r="BS377" s="982" t="s">
        <v>2130</v>
      </c>
      <c r="BT377" s="982">
        <v>0</v>
      </c>
      <c r="BU377" s="982">
        <v>0</v>
      </c>
      <c r="BV377" s="982">
        <v>0</v>
      </c>
      <c r="BW377" s="982">
        <v>0</v>
      </c>
      <c r="BX377" s="980">
        <v>0</v>
      </c>
      <c r="BY377" s="980">
        <v>0</v>
      </c>
      <c r="BZ377" s="983">
        <v>0</v>
      </c>
    </row>
    <row r="378" spans="1:99" x14ac:dyDescent="0.25">
      <c r="BP378" s="996" t="s">
        <v>2172</v>
      </c>
      <c r="BQ378" s="1042" t="s">
        <v>2173</v>
      </c>
      <c r="BR378" s="1043">
        <v>278.5</v>
      </c>
      <c r="BS378" s="1044">
        <v>278.5</v>
      </c>
      <c r="BT378" s="1044"/>
      <c r="BU378" s="1044"/>
      <c r="BV378" s="1044"/>
      <c r="BW378" s="1045"/>
      <c r="BX378" s="1045"/>
      <c r="BY378" s="1045"/>
      <c r="BZ378" s="1046"/>
    </row>
    <row r="379" spans="1:99" x14ac:dyDescent="0.25">
      <c r="BD379" s="1038" t="s">
        <v>2174</v>
      </c>
      <c r="BE379" s="1047"/>
      <c r="BF379" s="1047"/>
      <c r="BG379" s="1047"/>
      <c r="BH379" s="1047"/>
      <c r="BI379" s="1047"/>
      <c r="BJ379" s="1047"/>
      <c r="BK379" s="1047"/>
      <c r="BL379" s="1047"/>
      <c r="BM379" s="1047"/>
      <c r="BN379" s="1048"/>
      <c r="BP379" s="996" t="s">
        <v>2175</v>
      </c>
      <c r="BQ379" s="997" t="s">
        <v>1053</v>
      </c>
      <c r="BR379" s="998">
        <v>557</v>
      </c>
      <c r="BS379" s="999">
        <v>557</v>
      </c>
      <c r="BT379" s="999"/>
      <c r="BU379" s="999"/>
      <c r="BV379" s="999"/>
      <c r="BW379" s="999"/>
      <c r="BX379" s="999"/>
      <c r="BY379" s="999"/>
      <c r="BZ379" s="1000"/>
    </row>
    <row r="380" spans="1:99" x14ac:dyDescent="0.25">
      <c r="BD380" s="979" t="s">
        <v>1739</v>
      </c>
      <c r="BE380" s="980" t="s">
        <v>2127</v>
      </c>
      <c r="BF380" s="1049" t="s">
        <v>2176</v>
      </c>
      <c r="BG380" s="985" t="s">
        <v>2177</v>
      </c>
      <c r="BH380" s="985"/>
      <c r="BI380" s="985"/>
      <c r="BJ380" s="985"/>
      <c r="BK380" s="985"/>
      <c r="BL380" s="985"/>
      <c r="BM380" s="985"/>
      <c r="BN380" s="983"/>
      <c r="BP380" s="1050" t="s">
        <v>2175</v>
      </c>
      <c r="BQ380" s="1051" t="s">
        <v>2178</v>
      </c>
      <c r="BR380" s="1052">
        <v>73.524000000000001</v>
      </c>
      <c r="BS380" s="1053">
        <v>73.524000000000001</v>
      </c>
      <c r="BT380" s="1053"/>
      <c r="BU380" s="1053"/>
      <c r="BV380" s="1053"/>
      <c r="BW380" s="1053"/>
      <c r="BX380" s="1053"/>
      <c r="BY380" s="1053"/>
      <c r="BZ380" s="1054"/>
    </row>
    <row r="381" spans="1:99" s="838" customFormat="1" x14ac:dyDescent="0.25">
      <c r="A381" s="939"/>
      <c r="B381" s="940"/>
      <c r="C381" s="939"/>
      <c r="D381" s="939"/>
      <c r="G381" s="940"/>
      <c r="K381" s="836"/>
      <c r="P381" s="836"/>
      <c r="R381" s="836"/>
      <c r="S381" s="941"/>
      <c r="T381" s="941"/>
      <c r="W381" s="836"/>
      <c r="AC381" s="836"/>
      <c r="BD381" s="1055" t="s">
        <v>2137</v>
      </c>
      <c r="BE381" s="1056">
        <v>400</v>
      </c>
      <c r="BF381" s="1057">
        <v>0</v>
      </c>
      <c r="BG381" s="916">
        <v>0</v>
      </c>
      <c r="BH381" s="916"/>
      <c r="BI381" s="916"/>
      <c r="BJ381" s="916"/>
      <c r="BK381" s="916"/>
      <c r="BL381" s="916"/>
      <c r="BM381" s="916"/>
      <c r="BN381" s="986"/>
      <c r="BP381" s="1024" t="s">
        <v>2179</v>
      </c>
      <c r="BQ381" s="1025" t="s">
        <v>1053</v>
      </c>
      <c r="BR381" s="1026">
        <v>224</v>
      </c>
      <c r="BS381" s="1027">
        <v>224</v>
      </c>
      <c r="BT381" s="1027"/>
      <c r="BU381" s="1027"/>
      <c r="BV381" s="1027"/>
      <c r="BW381" s="1027"/>
      <c r="BX381" s="1027"/>
      <c r="BY381" s="1027"/>
      <c r="BZ381" s="1028"/>
      <c r="CS381" s="836"/>
      <c r="CT381" s="836"/>
      <c r="CU381" s="836"/>
    </row>
    <row r="382" spans="1:99" s="838" customFormat="1" x14ac:dyDescent="0.25">
      <c r="A382" s="939"/>
      <c r="B382" s="940"/>
      <c r="C382" s="939"/>
      <c r="D382" s="939"/>
      <c r="G382" s="940"/>
      <c r="K382" s="836"/>
      <c r="P382" s="836"/>
      <c r="R382" s="836"/>
      <c r="S382" s="941"/>
      <c r="T382" s="941"/>
      <c r="W382" s="836"/>
      <c r="AC382" s="836"/>
      <c r="BD382" s="1055" t="s">
        <v>2142</v>
      </c>
      <c r="BE382" s="1056">
        <v>400</v>
      </c>
      <c r="BF382" s="1057">
        <v>0</v>
      </c>
      <c r="BG382" s="916">
        <v>0</v>
      </c>
      <c r="BH382" s="916"/>
      <c r="BI382" s="916"/>
      <c r="BJ382" s="916"/>
      <c r="BK382" s="916"/>
      <c r="BL382" s="916"/>
      <c r="BM382" s="916"/>
      <c r="BN382" s="986"/>
      <c r="BP382" s="951"/>
      <c r="BQ382" s="951"/>
      <c r="BR382" s="1058" t="s">
        <v>21</v>
      </c>
      <c r="BS382" s="832"/>
      <c r="BT382" s="832"/>
      <c r="BU382" s="832"/>
      <c r="BV382" s="832"/>
      <c r="CS382" s="836"/>
      <c r="CT382" s="836"/>
      <c r="CU382" s="836"/>
    </row>
    <row r="383" spans="1:99" s="838" customFormat="1" x14ac:dyDescent="0.25">
      <c r="A383" s="939"/>
      <c r="B383" s="940"/>
      <c r="C383" s="939"/>
      <c r="D383" s="939"/>
      <c r="G383" s="940"/>
      <c r="K383" s="836"/>
      <c r="P383" s="836"/>
      <c r="R383" s="836"/>
      <c r="S383" s="941"/>
      <c r="T383" s="941"/>
      <c r="W383" s="836"/>
      <c r="AC383" s="836"/>
      <c r="BD383" s="1055" t="s">
        <v>2152</v>
      </c>
      <c r="BE383" s="1056">
        <v>400</v>
      </c>
      <c r="BF383" s="1057">
        <v>0</v>
      </c>
      <c r="BG383" s="916">
        <v>0</v>
      </c>
      <c r="BH383" s="916"/>
      <c r="BI383" s="916"/>
      <c r="BJ383" s="916"/>
      <c r="BK383" s="916"/>
      <c r="BL383" s="916"/>
      <c r="BM383" s="916"/>
      <c r="BN383" s="986"/>
      <c r="BP383" s="951"/>
      <c r="BQ383" s="951"/>
      <c r="BR383" s="1058" t="s">
        <v>21</v>
      </c>
      <c r="BS383" s="832"/>
      <c r="BT383" s="832"/>
      <c r="BU383" s="832"/>
      <c r="BV383" s="832"/>
      <c r="CS383" s="836"/>
      <c r="CT383" s="836"/>
      <c r="CU383" s="836"/>
    </row>
    <row r="384" spans="1:99" s="838" customFormat="1" x14ac:dyDescent="0.25">
      <c r="A384" s="939"/>
      <c r="B384" s="940"/>
      <c r="C384" s="939"/>
      <c r="D384" s="939"/>
      <c r="G384" s="940"/>
      <c r="K384" s="836"/>
      <c r="P384" s="836"/>
      <c r="R384" s="836"/>
      <c r="S384" s="941"/>
      <c r="T384" s="941"/>
      <c r="W384" s="836"/>
      <c r="AC384" s="836"/>
      <c r="BD384" s="1055" t="s">
        <v>2153</v>
      </c>
      <c r="BE384" s="1056">
        <v>400</v>
      </c>
      <c r="BF384" s="1057">
        <v>0</v>
      </c>
      <c r="BG384" s="916">
        <v>0</v>
      </c>
      <c r="BH384" s="916"/>
      <c r="BI384" s="916"/>
      <c r="BJ384" s="916"/>
      <c r="BK384" s="916"/>
      <c r="BL384" s="916"/>
      <c r="BM384" s="916"/>
      <c r="BN384" s="986"/>
      <c r="BP384" s="951"/>
      <c r="BQ384" s="951"/>
      <c r="BR384" s="1058" t="s">
        <v>21</v>
      </c>
      <c r="BS384" s="832"/>
      <c r="BT384" s="832"/>
      <c r="BU384" s="832"/>
      <c r="BV384" s="832"/>
      <c r="CS384" s="836"/>
      <c r="CT384" s="836"/>
      <c r="CU384" s="836"/>
    </row>
    <row r="385" spans="1:99" s="838" customFormat="1" x14ac:dyDescent="0.25">
      <c r="A385" s="939"/>
      <c r="B385" s="940"/>
      <c r="C385" s="939"/>
      <c r="D385" s="939"/>
      <c r="G385" s="940"/>
      <c r="K385" s="836"/>
      <c r="P385" s="836"/>
      <c r="R385" s="836"/>
      <c r="S385" s="941"/>
      <c r="T385" s="941"/>
      <c r="W385" s="836"/>
      <c r="AC385" s="836"/>
      <c r="BD385" s="1055" t="s">
        <v>2137</v>
      </c>
      <c r="BE385" s="1056">
        <v>500</v>
      </c>
      <c r="BF385" s="1057">
        <v>0</v>
      </c>
      <c r="BG385" s="916">
        <v>0</v>
      </c>
      <c r="BH385" s="916"/>
      <c r="BI385" s="916"/>
      <c r="BJ385" s="916"/>
      <c r="BK385" s="916"/>
      <c r="BL385" s="916"/>
      <c r="BM385" s="916"/>
      <c r="BN385" s="986"/>
      <c r="BP385" s="951"/>
      <c r="BQ385" s="951"/>
      <c r="BR385" s="1058" t="s">
        <v>21</v>
      </c>
      <c r="BS385" s="832"/>
      <c r="BT385" s="832"/>
      <c r="BU385" s="832"/>
      <c r="BV385" s="832"/>
      <c r="CS385" s="836"/>
      <c r="CT385" s="836"/>
      <c r="CU385" s="836"/>
    </row>
    <row r="386" spans="1:99" s="838" customFormat="1" x14ac:dyDescent="0.25">
      <c r="A386" s="939"/>
      <c r="B386" s="940"/>
      <c r="C386" s="939"/>
      <c r="D386" s="939"/>
      <c r="G386" s="940"/>
      <c r="K386" s="836"/>
      <c r="P386" s="836"/>
      <c r="R386" s="836"/>
      <c r="S386" s="941"/>
      <c r="T386" s="941"/>
      <c r="W386" s="836"/>
      <c r="AC386" s="836"/>
      <c r="BD386" s="1055" t="s">
        <v>2142</v>
      </c>
      <c r="BE386" s="1056">
        <v>500</v>
      </c>
      <c r="BF386" s="1057">
        <v>0</v>
      </c>
      <c r="BG386" s="916">
        <v>0</v>
      </c>
      <c r="BH386" s="916"/>
      <c r="BI386" s="916"/>
      <c r="BJ386" s="916"/>
      <c r="BK386" s="916"/>
      <c r="BL386" s="916"/>
      <c r="BM386" s="916"/>
      <c r="BN386" s="986"/>
      <c r="BP386" s="951"/>
      <c r="BQ386" s="951"/>
      <c r="BR386" s="1058" t="s">
        <v>21</v>
      </c>
      <c r="BS386" s="832"/>
      <c r="BT386" s="832"/>
      <c r="BU386" s="832"/>
      <c r="BV386" s="832"/>
      <c r="CS386" s="836"/>
      <c r="CT386" s="836"/>
      <c r="CU386" s="836"/>
    </row>
    <row r="387" spans="1:99" s="838" customFormat="1" x14ac:dyDescent="0.25">
      <c r="A387" s="939"/>
      <c r="B387" s="940"/>
      <c r="C387" s="939"/>
      <c r="D387" s="939"/>
      <c r="G387" s="940"/>
      <c r="K387" s="836"/>
      <c r="P387" s="836"/>
      <c r="R387" s="836"/>
      <c r="S387" s="941"/>
      <c r="T387" s="941"/>
      <c r="W387" s="836"/>
      <c r="AC387" s="836"/>
      <c r="BD387" s="1055" t="s">
        <v>2152</v>
      </c>
      <c r="BE387" s="1056">
        <v>500</v>
      </c>
      <c r="BF387" s="1057">
        <v>0</v>
      </c>
      <c r="BG387" s="916">
        <v>0</v>
      </c>
      <c r="BH387" s="916"/>
      <c r="BI387" s="916"/>
      <c r="BJ387" s="916"/>
      <c r="BK387" s="916"/>
      <c r="BL387" s="916"/>
      <c r="BM387" s="916"/>
      <c r="BN387" s="986"/>
      <c r="BQ387" s="832"/>
      <c r="BR387" s="832"/>
      <c r="BS387" s="832"/>
      <c r="BT387" s="832"/>
      <c r="BU387" s="832"/>
      <c r="BV387" s="832"/>
      <c r="CS387" s="836"/>
      <c r="CT387" s="836"/>
      <c r="CU387" s="836"/>
    </row>
    <row r="388" spans="1:99" s="838" customFormat="1" x14ac:dyDescent="0.25">
      <c r="A388" s="939"/>
      <c r="B388" s="940"/>
      <c r="C388" s="939"/>
      <c r="D388" s="939"/>
      <c r="G388" s="940"/>
      <c r="K388" s="836"/>
      <c r="P388" s="836"/>
      <c r="R388" s="836"/>
      <c r="S388" s="941"/>
      <c r="T388" s="941"/>
      <c r="W388" s="836"/>
      <c r="AC388" s="836"/>
      <c r="BD388" s="1055" t="s">
        <v>2153</v>
      </c>
      <c r="BE388" s="1056">
        <v>500</v>
      </c>
      <c r="BF388" s="1057">
        <v>0</v>
      </c>
      <c r="BG388" s="916">
        <v>0</v>
      </c>
      <c r="BH388" s="916"/>
      <c r="BI388" s="916"/>
      <c r="BJ388" s="916"/>
      <c r="BK388" s="916"/>
      <c r="BL388" s="916"/>
      <c r="BM388" s="916"/>
      <c r="BN388" s="986"/>
      <c r="BQ388" s="832"/>
      <c r="BR388" s="832"/>
      <c r="BS388" s="832"/>
      <c r="BT388" s="832"/>
      <c r="BU388" s="832"/>
      <c r="BV388" s="832"/>
      <c r="CS388" s="836"/>
      <c r="CT388" s="836"/>
      <c r="CU388" s="836"/>
    </row>
    <row r="389" spans="1:99" s="838" customFormat="1" x14ac:dyDescent="0.25">
      <c r="A389" s="939"/>
      <c r="B389" s="940"/>
      <c r="C389" s="939"/>
      <c r="D389" s="939"/>
      <c r="G389" s="940"/>
      <c r="K389" s="836"/>
      <c r="P389" s="836"/>
      <c r="R389" s="836"/>
      <c r="S389" s="941"/>
      <c r="T389" s="941"/>
      <c r="W389" s="836"/>
      <c r="AC389" s="836"/>
      <c r="BD389" s="1055" t="s">
        <v>2137</v>
      </c>
      <c r="BE389" s="1056">
        <v>600</v>
      </c>
      <c r="BF389" s="1057">
        <v>57.223999999999997</v>
      </c>
      <c r="BG389" s="916">
        <v>124.4</v>
      </c>
      <c r="BH389" s="916"/>
      <c r="BI389" s="916"/>
      <c r="BJ389" s="916"/>
      <c r="BK389" s="916"/>
      <c r="BL389" s="916"/>
      <c r="BM389" s="916"/>
      <c r="BN389" s="986"/>
      <c r="BQ389" s="832"/>
      <c r="BR389" s="832"/>
      <c r="BS389" s="832"/>
      <c r="BT389" s="832"/>
      <c r="BU389" s="832"/>
      <c r="BV389" s="832"/>
      <c r="CS389" s="836"/>
      <c r="CT389" s="836"/>
      <c r="CU389" s="836"/>
    </row>
    <row r="390" spans="1:99" s="838" customFormat="1" x14ac:dyDescent="0.25">
      <c r="A390" s="939"/>
      <c r="B390" s="940"/>
      <c r="C390" s="939"/>
      <c r="D390" s="939"/>
      <c r="G390" s="940"/>
      <c r="K390" s="836"/>
      <c r="P390" s="836"/>
      <c r="R390" s="836"/>
      <c r="S390" s="941"/>
      <c r="T390" s="941"/>
      <c r="W390" s="836"/>
      <c r="AC390" s="836"/>
      <c r="BD390" s="1055" t="s">
        <v>2142</v>
      </c>
      <c r="BE390" s="1056">
        <v>600</v>
      </c>
      <c r="BF390" s="1057">
        <v>2748.27</v>
      </c>
      <c r="BG390" s="916">
        <v>5974.5</v>
      </c>
      <c r="BH390" s="916"/>
      <c r="BI390" s="916"/>
      <c r="BJ390" s="916"/>
      <c r="BK390" s="916"/>
      <c r="BL390" s="916"/>
      <c r="BM390" s="916"/>
      <c r="BN390" s="986"/>
      <c r="BQ390" s="832"/>
      <c r="BR390" s="832"/>
      <c r="BS390" s="832"/>
      <c r="BT390" s="832"/>
      <c r="BU390" s="832"/>
      <c r="BV390" s="832"/>
      <c r="CS390" s="836"/>
      <c r="CT390" s="836"/>
      <c r="CU390" s="836"/>
    </row>
    <row r="391" spans="1:99" s="838" customFormat="1" x14ac:dyDescent="0.25">
      <c r="A391" s="939"/>
      <c r="B391" s="940"/>
      <c r="C391" s="939"/>
      <c r="D391" s="939"/>
      <c r="G391" s="940"/>
      <c r="K391" s="836"/>
      <c r="P391" s="836"/>
      <c r="R391" s="836"/>
      <c r="S391" s="941"/>
      <c r="T391" s="941"/>
      <c r="W391" s="836"/>
      <c r="AC391" s="836"/>
      <c r="BD391" s="1055" t="s">
        <v>2152</v>
      </c>
      <c r="BE391" s="1056">
        <v>600</v>
      </c>
      <c r="BF391" s="1057">
        <v>69.979799999999997</v>
      </c>
      <c r="BG391" s="916">
        <v>152.13</v>
      </c>
      <c r="BH391" s="916"/>
      <c r="BI391" s="916"/>
      <c r="BJ391" s="916"/>
      <c r="BK391" s="916"/>
      <c r="BL391" s="916"/>
      <c r="BM391" s="916"/>
      <c r="BN391" s="986"/>
      <c r="BQ391" s="832"/>
      <c r="BR391" s="832"/>
      <c r="BS391" s="832"/>
      <c r="BT391" s="832"/>
      <c r="BU391" s="832"/>
      <c r="BV391" s="832"/>
      <c r="CS391" s="836"/>
      <c r="CT391" s="836"/>
      <c r="CU391" s="836"/>
    </row>
    <row r="392" spans="1:99" s="838" customFormat="1" x14ac:dyDescent="0.25">
      <c r="A392" s="939"/>
      <c r="B392" s="940"/>
      <c r="C392" s="939"/>
      <c r="D392" s="939"/>
      <c r="G392" s="940"/>
      <c r="K392" s="836"/>
      <c r="P392" s="836"/>
      <c r="R392" s="836"/>
      <c r="S392" s="941"/>
      <c r="T392" s="941"/>
      <c r="W392" s="836"/>
      <c r="AC392" s="836"/>
      <c r="BD392" s="1055" t="s">
        <v>2153</v>
      </c>
      <c r="BE392" s="1056">
        <v>600</v>
      </c>
      <c r="BF392" s="1057">
        <v>0</v>
      </c>
      <c r="BG392" s="916">
        <v>0</v>
      </c>
      <c r="BH392" s="916"/>
      <c r="BI392" s="916"/>
      <c r="BJ392" s="916"/>
      <c r="BK392" s="916"/>
      <c r="BL392" s="916"/>
      <c r="BM392" s="916"/>
      <c r="BN392" s="986"/>
      <c r="BQ392" s="832"/>
      <c r="BR392" s="832"/>
      <c r="BS392" s="832"/>
      <c r="BT392" s="832"/>
      <c r="BU392" s="832"/>
      <c r="BV392" s="832"/>
      <c r="CS392" s="836"/>
      <c r="CT392" s="836"/>
      <c r="CU392" s="836"/>
    </row>
    <row r="393" spans="1:99" s="838" customFormat="1" x14ac:dyDescent="0.25">
      <c r="A393" s="939"/>
      <c r="B393" s="940"/>
      <c r="C393" s="939"/>
      <c r="D393" s="939"/>
      <c r="G393" s="940"/>
      <c r="K393" s="836"/>
      <c r="P393" s="836"/>
      <c r="R393" s="836"/>
      <c r="S393" s="941"/>
      <c r="T393" s="941"/>
      <c r="W393" s="836"/>
      <c r="AC393" s="836"/>
      <c r="BD393" s="1055" t="s">
        <v>2137</v>
      </c>
      <c r="BE393" s="1056">
        <v>800</v>
      </c>
      <c r="BF393" s="1057">
        <v>0</v>
      </c>
      <c r="BG393" s="916">
        <v>0</v>
      </c>
      <c r="BH393" s="916"/>
      <c r="BI393" s="916"/>
      <c r="BJ393" s="916"/>
      <c r="BK393" s="916"/>
      <c r="BL393" s="916"/>
      <c r="BM393" s="916"/>
      <c r="BN393" s="986"/>
      <c r="BQ393" s="832"/>
      <c r="BR393" s="832"/>
      <c r="BS393" s="832"/>
      <c r="BT393" s="832"/>
      <c r="BU393" s="832"/>
      <c r="BV393" s="832"/>
      <c r="CS393" s="836"/>
      <c r="CT393" s="836"/>
      <c r="CU393" s="836"/>
    </row>
    <row r="394" spans="1:99" s="838" customFormat="1" x14ac:dyDescent="0.25">
      <c r="A394" s="939"/>
      <c r="B394" s="940"/>
      <c r="C394" s="939"/>
      <c r="D394" s="939"/>
      <c r="G394" s="940"/>
      <c r="K394" s="836"/>
      <c r="P394" s="836"/>
      <c r="R394" s="836"/>
      <c r="S394" s="941"/>
      <c r="T394" s="941"/>
      <c r="W394" s="836"/>
      <c r="AC394" s="836"/>
      <c r="BD394" s="1055" t="s">
        <v>2142</v>
      </c>
      <c r="BE394" s="1056">
        <v>800</v>
      </c>
      <c r="BF394" s="1057">
        <v>376.52190000000002</v>
      </c>
      <c r="BG394" s="916">
        <v>476.61</v>
      </c>
      <c r="BH394" s="916"/>
      <c r="BI394" s="916"/>
      <c r="BJ394" s="916"/>
      <c r="BK394" s="916"/>
      <c r="BL394" s="916"/>
      <c r="BM394" s="916"/>
      <c r="BN394" s="986"/>
      <c r="BQ394" s="832"/>
      <c r="BR394" s="832"/>
      <c r="BS394" s="832"/>
      <c r="BT394" s="832"/>
      <c r="BU394" s="832"/>
      <c r="BV394" s="832"/>
      <c r="CS394" s="836"/>
      <c r="CT394" s="836"/>
      <c r="CU394" s="836"/>
    </row>
    <row r="395" spans="1:99" s="838" customFormat="1" x14ac:dyDescent="0.25">
      <c r="A395" s="939"/>
      <c r="B395" s="940"/>
      <c r="C395" s="939"/>
      <c r="D395" s="939"/>
      <c r="G395" s="940"/>
      <c r="K395" s="836"/>
      <c r="P395" s="836"/>
      <c r="R395" s="836"/>
      <c r="S395" s="941"/>
      <c r="T395" s="941"/>
      <c r="W395" s="836"/>
      <c r="AC395" s="836"/>
      <c r="BD395" s="1055" t="s">
        <v>2152</v>
      </c>
      <c r="BE395" s="1056">
        <v>800</v>
      </c>
      <c r="BF395" s="1057">
        <v>350.89430000000004</v>
      </c>
      <c r="BG395" s="916">
        <v>444.17</v>
      </c>
      <c r="BH395" s="916"/>
      <c r="BI395" s="916"/>
      <c r="BJ395" s="916"/>
      <c r="BK395" s="916"/>
      <c r="BL395" s="916"/>
      <c r="BM395" s="916"/>
      <c r="BN395" s="986"/>
      <c r="BQ395" s="832"/>
      <c r="BR395" s="832"/>
      <c r="BS395" s="832"/>
      <c r="BT395" s="832"/>
      <c r="BU395" s="832"/>
      <c r="BV395" s="832"/>
      <c r="CS395" s="836"/>
      <c r="CT395" s="836"/>
      <c r="CU395" s="836"/>
    </row>
    <row r="396" spans="1:99" s="838" customFormat="1" x14ac:dyDescent="0.25">
      <c r="A396" s="939"/>
      <c r="B396" s="940"/>
      <c r="C396" s="939"/>
      <c r="D396" s="939"/>
      <c r="G396" s="940"/>
      <c r="K396" s="836"/>
      <c r="P396" s="836"/>
      <c r="R396" s="836"/>
      <c r="S396" s="941"/>
      <c r="T396" s="941"/>
      <c r="W396" s="836"/>
      <c r="AC396" s="836"/>
      <c r="BD396" s="1055" t="s">
        <v>2153</v>
      </c>
      <c r="BE396" s="1056">
        <v>800</v>
      </c>
      <c r="BF396" s="1057">
        <v>114.44730000000001</v>
      </c>
      <c r="BG396" s="916">
        <v>144.87</v>
      </c>
      <c r="BH396" s="916"/>
      <c r="BI396" s="916"/>
      <c r="BJ396" s="916"/>
      <c r="BK396" s="916"/>
      <c r="BL396" s="916"/>
      <c r="BM396" s="916"/>
      <c r="BN396" s="986"/>
      <c r="BQ396" s="832"/>
      <c r="BR396" s="832"/>
      <c r="BS396" s="832"/>
      <c r="BT396" s="832"/>
      <c r="BU396" s="832"/>
      <c r="BV396" s="832"/>
      <c r="CS396" s="836"/>
      <c r="CT396" s="836"/>
      <c r="CU396" s="836"/>
    </row>
    <row r="397" spans="1:99" s="838" customFormat="1" x14ac:dyDescent="0.25">
      <c r="A397" s="939"/>
      <c r="B397" s="940"/>
      <c r="C397" s="939"/>
      <c r="D397" s="939"/>
      <c r="G397" s="940"/>
      <c r="K397" s="836"/>
      <c r="P397" s="836"/>
      <c r="R397" s="836"/>
      <c r="S397" s="941"/>
      <c r="T397" s="941"/>
      <c r="W397" s="836"/>
      <c r="AC397" s="836"/>
      <c r="BD397" s="1055" t="s">
        <v>2137</v>
      </c>
      <c r="BE397" s="1056">
        <v>1000</v>
      </c>
      <c r="BF397" s="1057">
        <v>0</v>
      </c>
      <c r="BG397" s="916">
        <v>0</v>
      </c>
      <c r="BH397" s="916"/>
      <c r="BI397" s="916"/>
      <c r="BJ397" s="916"/>
      <c r="BK397" s="916"/>
      <c r="BL397" s="916"/>
      <c r="BM397" s="916"/>
      <c r="BN397" s="986"/>
      <c r="BQ397" s="832"/>
      <c r="BR397" s="832"/>
      <c r="BS397" s="832"/>
      <c r="BT397" s="832"/>
      <c r="BU397" s="832"/>
      <c r="BV397" s="832"/>
      <c r="CS397" s="836"/>
      <c r="CT397" s="836"/>
      <c r="CU397" s="836"/>
    </row>
    <row r="398" spans="1:99" s="838" customFormat="1" x14ac:dyDescent="0.25">
      <c r="A398" s="939"/>
      <c r="B398" s="940"/>
      <c r="C398" s="939"/>
      <c r="D398" s="939"/>
      <c r="G398" s="940"/>
      <c r="K398" s="836"/>
      <c r="P398" s="836"/>
      <c r="R398" s="836"/>
      <c r="S398" s="941"/>
      <c r="T398" s="941"/>
      <c r="W398" s="836"/>
      <c r="AC398" s="836"/>
      <c r="BD398" s="1055" t="s">
        <v>2142</v>
      </c>
      <c r="BE398" s="1056">
        <v>1000</v>
      </c>
      <c r="BF398" s="1057">
        <v>79.412053000000014</v>
      </c>
      <c r="BG398" s="916">
        <v>65.180000000000007</v>
      </c>
      <c r="BH398" s="916"/>
      <c r="BI398" s="916"/>
      <c r="BJ398" s="916"/>
      <c r="BK398" s="916"/>
      <c r="BL398" s="916"/>
      <c r="BM398" s="916"/>
      <c r="BN398" s="986"/>
      <c r="BQ398" s="832"/>
      <c r="BR398" s="832"/>
      <c r="BS398" s="832"/>
      <c r="BT398" s="832"/>
      <c r="BU398" s="832"/>
      <c r="BV398" s="832"/>
      <c r="CS398" s="836"/>
      <c r="CT398" s="836"/>
      <c r="CU398" s="836"/>
    </row>
    <row r="399" spans="1:99" s="838" customFormat="1" x14ac:dyDescent="0.25">
      <c r="A399" s="939"/>
      <c r="B399" s="940"/>
      <c r="C399" s="939"/>
      <c r="D399" s="939"/>
      <c r="G399" s="940"/>
      <c r="K399" s="836"/>
      <c r="P399" s="836"/>
      <c r="R399" s="836"/>
      <c r="S399" s="941"/>
      <c r="T399" s="941"/>
      <c r="W399" s="836"/>
      <c r="AC399" s="836"/>
      <c r="BD399" s="1055" t="s">
        <v>2152</v>
      </c>
      <c r="BE399" s="1056">
        <v>1000</v>
      </c>
      <c r="BF399" s="1057">
        <v>32.968550999999998</v>
      </c>
      <c r="BG399" s="916">
        <v>27.06</v>
      </c>
      <c r="BH399" s="916"/>
      <c r="BI399" s="916"/>
      <c r="BJ399" s="916"/>
      <c r="BK399" s="916"/>
      <c r="BL399" s="916"/>
      <c r="BM399" s="916"/>
      <c r="BN399" s="986"/>
      <c r="BQ399" s="832"/>
      <c r="BR399" s="832"/>
      <c r="BS399" s="832"/>
      <c r="BT399" s="832"/>
      <c r="BU399" s="832"/>
      <c r="BV399" s="832"/>
      <c r="CS399" s="836"/>
      <c r="CT399" s="836"/>
      <c r="CU399" s="836"/>
    </row>
    <row r="400" spans="1:99" s="838" customFormat="1" x14ac:dyDescent="0.25">
      <c r="A400" s="939"/>
      <c r="B400" s="940"/>
      <c r="C400" s="939"/>
      <c r="D400" s="939"/>
      <c r="G400" s="940"/>
      <c r="K400" s="836"/>
      <c r="P400" s="836"/>
      <c r="R400" s="836"/>
      <c r="S400" s="941"/>
      <c r="T400" s="941"/>
      <c r="W400" s="836"/>
      <c r="AC400" s="836"/>
      <c r="BD400" s="1055" t="s">
        <v>2153</v>
      </c>
      <c r="BE400" s="1056">
        <v>1000</v>
      </c>
      <c r="BF400" s="1057">
        <v>0</v>
      </c>
      <c r="BG400" s="916">
        <v>0</v>
      </c>
      <c r="BH400" s="916"/>
      <c r="BI400" s="916"/>
      <c r="BJ400" s="916"/>
      <c r="BK400" s="916"/>
      <c r="BL400" s="916"/>
      <c r="BM400" s="916"/>
      <c r="BN400" s="986"/>
      <c r="BQ400" s="832"/>
      <c r="BR400" s="832"/>
      <c r="BS400" s="832"/>
      <c r="BT400" s="832"/>
      <c r="BU400" s="832"/>
      <c r="BV400" s="832"/>
      <c r="CS400" s="836"/>
      <c r="CT400" s="836"/>
      <c r="CU400" s="836"/>
    </row>
    <row r="401" spans="1:99" s="838" customFormat="1" x14ac:dyDescent="0.25">
      <c r="A401" s="939"/>
      <c r="B401" s="940"/>
      <c r="C401" s="939"/>
      <c r="D401" s="939"/>
      <c r="G401" s="940"/>
      <c r="K401" s="836"/>
      <c r="P401" s="836"/>
      <c r="R401" s="836"/>
      <c r="S401" s="941"/>
      <c r="T401" s="941"/>
      <c r="W401" s="836"/>
      <c r="AC401" s="836"/>
      <c r="BD401" s="1055" t="s">
        <v>2137</v>
      </c>
      <c r="BE401" s="1056">
        <v>1200</v>
      </c>
      <c r="BF401" s="1057">
        <v>0</v>
      </c>
      <c r="BG401" s="916">
        <v>0</v>
      </c>
      <c r="BH401" s="916"/>
      <c r="BI401" s="916"/>
      <c r="BJ401" s="916"/>
      <c r="BK401" s="916"/>
      <c r="BL401" s="916"/>
      <c r="BM401" s="916"/>
      <c r="BN401" s="986"/>
      <c r="BQ401" s="832"/>
      <c r="BR401" s="832"/>
      <c r="BS401" s="832"/>
      <c r="BT401" s="832"/>
      <c r="BU401" s="832"/>
      <c r="BV401" s="832"/>
      <c r="CS401" s="836"/>
      <c r="CT401" s="836"/>
      <c r="CU401" s="836"/>
    </row>
    <row r="402" spans="1:99" s="838" customFormat="1" x14ac:dyDescent="0.25">
      <c r="A402" s="939"/>
      <c r="B402" s="940"/>
      <c r="C402" s="939"/>
      <c r="D402" s="939"/>
      <c r="G402" s="940"/>
      <c r="K402" s="836"/>
      <c r="P402" s="836"/>
      <c r="R402" s="836"/>
      <c r="S402" s="941"/>
      <c r="T402" s="941"/>
      <c r="W402" s="836"/>
      <c r="AC402" s="836"/>
      <c r="BD402" s="1055" t="s">
        <v>2142</v>
      </c>
      <c r="BE402" s="1056">
        <v>1200</v>
      </c>
      <c r="BF402" s="1057">
        <v>0</v>
      </c>
      <c r="BG402" s="916">
        <v>0</v>
      </c>
      <c r="BH402" s="916"/>
      <c r="BI402" s="916"/>
      <c r="BJ402" s="916"/>
      <c r="BK402" s="916"/>
      <c r="BL402" s="916"/>
      <c r="BM402" s="916"/>
      <c r="BN402" s="986"/>
      <c r="BP402" s="832"/>
      <c r="BQ402" s="832"/>
      <c r="BR402" s="832"/>
      <c r="BS402" s="832"/>
      <c r="BT402" s="832"/>
      <c r="BU402" s="832"/>
      <c r="CS402" s="836"/>
      <c r="CT402" s="836"/>
      <c r="CU402" s="836"/>
    </row>
    <row r="403" spans="1:99" s="838" customFormat="1" x14ac:dyDescent="0.25">
      <c r="A403" s="939"/>
      <c r="B403" s="940"/>
      <c r="C403" s="939"/>
      <c r="D403" s="939"/>
      <c r="G403" s="940"/>
      <c r="K403" s="836"/>
      <c r="P403" s="836"/>
      <c r="R403" s="836"/>
      <c r="S403" s="941"/>
      <c r="T403" s="941"/>
      <c r="W403" s="836"/>
      <c r="AC403" s="836"/>
      <c r="BD403" s="1055" t="s">
        <v>2152</v>
      </c>
      <c r="BE403" s="1056">
        <v>1200</v>
      </c>
      <c r="BF403" s="1057">
        <v>0</v>
      </c>
      <c r="BG403" s="916">
        <v>0</v>
      </c>
      <c r="BH403" s="916"/>
      <c r="BI403" s="916"/>
      <c r="BJ403" s="916"/>
      <c r="BK403" s="916"/>
      <c r="BL403" s="916"/>
      <c r="BM403" s="916"/>
      <c r="BN403" s="986"/>
      <c r="BP403" s="832"/>
      <c r="BQ403" s="832"/>
      <c r="BR403" s="832"/>
      <c r="BS403" s="832"/>
      <c r="BT403" s="832"/>
      <c r="BU403" s="832"/>
      <c r="CS403" s="836"/>
      <c r="CT403" s="836"/>
      <c r="CU403" s="836"/>
    </row>
    <row r="404" spans="1:99" s="838" customFormat="1" x14ac:dyDescent="0.25">
      <c r="A404" s="939"/>
      <c r="B404" s="940"/>
      <c r="C404" s="939"/>
      <c r="D404" s="939"/>
      <c r="G404" s="940"/>
      <c r="K404" s="836"/>
      <c r="P404" s="836"/>
      <c r="R404" s="836"/>
      <c r="S404" s="941"/>
      <c r="T404" s="941"/>
      <c r="W404" s="836"/>
      <c r="AC404" s="836"/>
      <c r="BD404" s="1055" t="s">
        <v>2153</v>
      </c>
      <c r="BE404" s="1056">
        <v>1200</v>
      </c>
      <c r="BF404" s="1057">
        <v>0</v>
      </c>
      <c r="BG404" s="916">
        <v>0</v>
      </c>
      <c r="BH404" s="916"/>
      <c r="BI404" s="916"/>
      <c r="BJ404" s="916"/>
      <c r="BK404" s="916"/>
      <c r="BL404" s="916"/>
      <c r="BM404" s="916"/>
      <c r="BN404" s="986"/>
      <c r="BP404" s="832"/>
      <c r="BQ404" s="832"/>
      <c r="BR404" s="832"/>
      <c r="BS404" s="832"/>
      <c r="BT404" s="832"/>
      <c r="BU404" s="832"/>
      <c r="CS404" s="836"/>
      <c r="CT404" s="836"/>
      <c r="CU404" s="836"/>
    </row>
    <row r="405" spans="1:99" s="838" customFormat="1" x14ac:dyDescent="0.25">
      <c r="A405" s="939"/>
      <c r="B405" s="940"/>
      <c r="C405" s="939"/>
      <c r="D405" s="939"/>
      <c r="G405" s="940"/>
      <c r="K405" s="836"/>
      <c r="P405" s="836"/>
      <c r="R405" s="836"/>
      <c r="S405" s="941"/>
      <c r="T405" s="941"/>
      <c r="W405" s="836"/>
      <c r="AC405" s="836"/>
      <c r="BD405" s="1055" t="s">
        <v>2137</v>
      </c>
      <c r="BE405" s="1056">
        <v>1500</v>
      </c>
      <c r="BF405" s="1057">
        <v>0</v>
      </c>
      <c r="BG405" s="916">
        <v>0</v>
      </c>
      <c r="BH405" s="916"/>
      <c r="BI405" s="916"/>
      <c r="BJ405" s="916"/>
      <c r="BK405" s="916"/>
      <c r="BL405" s="916"/>
      <c r="BM405" s="916"/>
      <c r="BN405" s="986"/>
      <c r="BP405" s="832"/>
      <c r="BQ405" s="832"/>
      <c r="BR405" s="832"/>
      <c r="BS405" s="832"/>
      <c r="BT405" s="832"/>
      <c r="BU405" s="832"/>
      <c r="CS405" s="836"/>
      <c r="CT405" s="836"/>
      <c r="CU405" s="836"/>
    </row>
    <row r="406" spans="1:99" s="838" customFormat="1" x14ac:dyDescent="0.25">
      <c r="A406" s="939"/>
      <c r="B406" s="940"/>
      <c r="C406" s="939"/>
      <c r="D406" s="939"/>
      <c r="G406" s="940"/>
      <c r="K406" s="836"/>
      <c r="P406" s="836"/>
      <c r="R406" s="836"/>
      <c r="S406" s="941"/>
      <c r="T406" s="941"/>
      <c r="W406" s="836"/>
      <c r="AC406" s="836"/>
      <c r="BD406" s="1059" t="s">
        <v>2142</v>
      </c>
      <c r="BE406" s="1060">
        <v>1500</v>
      </c>
      <c r="BF406" s="1057">
        <v>0</v>
      </c>
      <c r="BG406" s="1036">
        <v>0</v>
      </c>
      <c r="BH406" s="1036"/>
      <c r="BI406" s="1036"/>
      <c r="BJ406" s="1036"/>
      <c r="BK406" s="1036"/>
      <c r="BL406" s="1036"/>
      <c r="BM406" s="1036"/>
      <c r="BN406" s="1037"/>
      <c r="BP406" s="832"/>
      <c r="BQ406" s="832"/>
      <c r="BR406" s="832"/>
      <c r="BS406" s="832"/>
      <c r="BT406" s="832"/>
      <c r="BU406" s="832"/>
      <c r="CS406" s="836"/>
      <c r="CT406" s="836"/>
      <c r="CU406" s="836"/>
    </row>
    <row r="407" spans="1:99" s="838" customFormat="1" x14ac:dyDescent="0.25">
      <c r="A407" s="939"/>
      <c r="B407" s="940"/>
      <c r="C407" s="939"/>
      <c r="D407" s="939"/>
      <c r="G407" s="940"/>
      <c r="K407" s="836"/>
      <c r="P407" s="836"/>
      <c r="R407" s="836"/>
      <c r="S407" s="941"/>
      <c r="T407" s="941"/>
      <c r="W407" s="836"/>
      <c r="AC407" s="836"/>
      <c r="BD407" s="1059" t="s">
        <v>2152</v>
      </c>
      <c r="BE407" s="1060">
        <v>1500</v>
      </c>
      <c r="BF407" s="1057">
        <v>0</v>
      </c>
      <c r="BG407" s="1036">
        <v>0</v>
      </c>
      <c r="BH407" s="1036"/>
      <c r="BI407" s="1036"/>
      <c r="BJ407" s="1036"/>
      <c r="BK407" s="1036"/>
      <c r="BL407" s="1036"/>
      <c r="BM407" s="1036"/>
      <c r="BN407" s="1037"/>
      <c r="BP407" s="832"/>
      <c r="BQ407" s="832"/>
      <c r="BR407" s="832"/>
      <c r="BS407" s="832"/>
      <c r="BT407" s="832"/>
      <c r="BU407" s="832"/>
      <c r="CS407" s="836"/>
      <c r="CT407" s="836"/>
      <c r="CU407" s="836"/>
    </row>
    <row r="408" spans="1:99" s="838" customFormat="1" x14ac:dyDescent="0.25">
      <c r="A408" s="939"/>
      <c r="B408" s="940"/>
      <c r="C408" s="939"/>
      <c r="D408" s="939"/>
      <c r="G408" s="940"/>
      <c r="K408" s="836"/>
      <c r="P408" s="836"/>
      <c r="R408" s="836"/>
      <c r="S408" s="941"/>
      <c r="T408" s="941"/>
      <c r="W408" s="836"/>
      <c r="AC408" s="836"/>
      <c r="BD408" s="1059" t="s">
        <v>2153</v>
      </c>
      <c r="BE408" s="1060">
        <v>1500</v>
      </c>
      <c r="BF408" s="1057">
        <v>0</v>
      </c>
      <c r="BG408" s="1036">
        <v>0</v>
      </c>
      <c r="BH408" s="1036"/>
      <c r="BI408" s="1036"/>
      <c r="BJ408" s="1036"/>
      <c r="BK408" s="1036"/>
      <c r="BL408" s="1036"/>
      <c r="BM408" s="1036"/>
      <c r="BN408" s="1037"/>
      <c r="BP408" s="832"/>
      <c r="BQ408" s="832"/>
      <c r="BR408" s="832"/>
      <c r="BS408" s="832"/>
      <c r="BT408" s="832"/>
      <c r="BU408" s="832"/>
      <c r="CS408" s="836"/>
      <c r="CT408" s="836"/>
      <c r="CU408" s="836"/>
    </row>
    <row r="409" spans="1:99" s="838" customFormat="1" x14ac:dyDescent="0.25">
      <c r="A409" s="939"/>
      <c r="B409" s="940"/>
      <c r="C409" s="939"/>
      <c r="D409" s="939"/>
      <c r="G409" s="940"/>
      <c r="K409" s="836"/>
      <c r="P409" s="836"/>
      <c r="R409" s="836"/>
      <c r="S409" s="941"/>
      <c r="T409" s="941"/>
      <c r="W409" s="836"/>
      <c r="AC409" s="836"/>
      <c r="BD409" s="1007" t="s">
        <v>2180</v>
      </c>
      <c r="BE409" s="1008"/>
      <c r="BF409" s="1061">
        <v>3829.7179040000001</v>
      </c>
      <c r="BG409" s="1062">
        <v>7408.92</v>
      </c>
      <c r="BH409" s="1062">
        <v>0</v>
      </c>
      <c r="BI409" s="1062">
        <v>0</v>
      </c>
      <c r="BJ409" s="1062">
        <v>0</v>
      </c>
      <c r="BK409" s="1062">
        <v>0</v>
      </c>
      <c r="BL409" s="1062">
        <v>0</v>
      </c>
      <c r="BM409" s="1062">
        <v>0</v>
      </c>
      <c r="BN409" s="1063">
        <v>0</v>
      </c>
      <c r="BP409" s="832"/>
      <c r="BQ409" s="832"/>
      <c r="BR409" s="832"/>
      <c r="BS409" s="832"/>
      <c r="BT409" s="832"/>
      <c r="BU409" s="832"/>
      <c r="CS409" s="836"/>
      <c r="CT409" s="836"/>
      <c r="CU409" s="836"/>
    </row>
  </sheetData>
  <autoFilter ref="A9:CU324" xr:uid="{00000000-0009-0000-0000-000004000000}"/>
  <mergeCells count="59">
    <mergeCell ref="BR5:BR7"/>
    <mergeCell ref="AS350:AV351"/>
    <mergeCell ref="I6:I7"/>
    <mergeCell ref="S6:S7"/>
    <mergeCell ref="T6:T7"/>
    <mergeCell ref="U6:U7"/>
    <mergeCell ref="X6:X7"/>
    <mergeCell ref="Y6:Y7"/>
    <mergeCell ref="CC4:CC7"/>
    <mergeCell ref="BS5:BS7"/>
    <mergeCell ref="BT5:BT7"/>
    <mergeCell ref="BU5:BU7"/>
    <mergeCell ref="B6:B7"/>
    <mergeCell ref="C6:C7"/>
    <mergeCell ref="D6:D7"/>
    <mergeCell ref="E6:E7"/>
    <mergeCell ref="F6:F7"/>
    <mergeCell ref="G6:G7"/>
    <mergeCell ref="H6:H7"/>
    <mergeCell ref="BJ5:BJ7"/>
    <mergeCell ref="BK5:BK7"/>
    <mergeCell ref="BL5:BL7"/>
    <mergeCell ref="BM5:BM7"/>
    <mergeCell ref="BQ5:BQ7"/>
    <mergeCell ref="BX4:BX7"/>
    <mergeCell ref="BY4:BY7"/>
    <mergeCell ref="BZ4:BZ7"/>
    <mergeCell ref="CA4:CA7"/>
    <mergeCell ref="CB4:CB7"/>
    <mergeCell ref="A5:A7"/>
    <mergeCell ref="J5:J6"/>
    <mergeCell ref="L5:L7"/>
    <mergeCell ref="M5:M7"/>
    <mergeCell ref="N5:N7"/>
    <mergeCell ref="D2:H2"/>
    <mergeCell ref="AD4:AD7"/>
    <mergeCell ref="AE4:AE7"/>
    <mergeCell ref="AP4:AP7"/>
    <mergeCell ref="BB4:BC5"/>
    <mergeCell ref="AQ6:AQ8"/>
    <mergeCell ref="O5:O7"/>
    <mergeCell ref="Q5:Q7"/>
    <mergeCell ref="R5:R7"/>
    <mergeCell ref="CN5:CN7"/>
    <mergeCell ref="CE5:CE7"/>
    <mergeCell ref="BN4:BO5"/>
    <mergeCell ref="V5:V7"/>
    <mergeCell ref="Z5:Z7"/>
    <mergeCell ref="AA5:AA7"/>
    <mergeCell ref="AB5:AB7"/>
    <mergeCell ref="BN6:BN7"/>
    <mergeCell ref="BO6:BO7"/>
    <mergeCell ref="BD5:BD8"/>
    <mergeCell ref="BE5:BE7"/>
    <mergeCell ref="BF5:BF7"/>
    <mergeCell ref="BG5:BG7"/>
    <mergeCell ref="BH5:BH7"/>
    <mergeCell ref="BI5:BI7"/>
    <mergeCell ref="CD4:CD7"/>
  </mergeCells>
  <phoneticPr fontId="45" type="noConversion"/>
  <conditionalFormatting sqref="CD11:CE11 L11:P11 BU11 R11:AE11 AP11:AP16 AR11:BP16 L12:AE16 L18:AE30 AP18:BP30 AP51:BP53 L51:AE53 BU18:CE30 BU12:CE16 BU51:CE53 BU33:CE49 AP33:BP49 L33:AE49 CO11:CQ11 BU324:CE324 L323:AE324 AP323:BP324 BU323:CN323 BU210:CN214 AP210:BP214 L210:AE214 BU234:CN251 AP234:BP251 L234:AE251">
    <cfRule type="expression" dxfId="265" priority="241" stopIfTrue="1">
      <formula>OR($C11="",$C11=0)</formula>
    </cfRule>
  </conditionalFormatting>
  <conditionalFormatting sqref="S10">
    <cfRule type="expression" dxfId="264" priority="240" stopIfTrue="1">
      <formula>OR($C10="",$C10=0)</formula>
    </cfRule>
  </conditionalFormatting>
  <conditionalFormatting sqref="R10">
    <cfRule type="expression" dxfId="263" priority="239" stopIfTrue="1">
      <formula>OR($C10="",$C10=0)</formula>
    </cfRule>
  </conditionalFormatting>
  <conditionalFormatting sqref="BE10">
    <cfRule type="expression" dxfId="262" priority="238" stopIfTrue="1">
      <formula>OR($C10="",$C10=0)</formula>
    </cfRule>
  </conditionalFormatting>
  <conditionalFormatting sqref="CB11:CC11">
    <cfRule type="expression" dxfId="261" priority="237" stopIfTrue="1">
      <formula>OR($C11="",$C11=0)</formula>
    </cfRule>
  </conditionalFormatting>
  <conditionalFormatting sqref="CA11">
    <cfRule type="expression" dxfId="260" priority="235" stopIfTrue="1">
      <formula>OR($C11="",$C11=0)</formula>
    </cfRule>
  </conditionalFormatting>
  <conditionalFormatting sqref="BZ11">
    <cfRule type="expression" dxfId="259" priority="234" stopIfTrue="1">
      <formula>OR($C11="",$C11=0)</formula>
    </cfRule>
  </conditionalFormatting>
  <conditionalFormatting sqref="BV11:BY11">
    <cfRule type="expression" dxfId="258" priority="232" stopIfTrue="1">
      <formula>OR($C11="",$C11=0)</formula>
    </cfRule>
  </conditionalFormatting>
  <conditionalFormatting sqref="Q11">
    <cfRule type="expression" dxfId="257" priority="233" stopIfTrue="1">
      <formula>OR($C11="",$C11=0)</formula>
    </cfRule>
  </conditionalFormatting>
  <conditionalFormatting sqref="AQ11:AQ16">
    <cfRule type="expression" dxfId="256" priority="231" stopIfTrue="1">
      <formula>OR($C11="",$C11=0)</formula>
    </cfRule>
  </conditionalFormatting>
  <conditionalFormatting sqref="AP17 AR17:BP17 L17:AE17 BU17:CE17">
    <cfRule type="expression" dxfId="255" priority="230" stopIfTrue="1">
      <formula>OR($C17="",$C17=0)</formula>
    </cfRule>
  </conditionalFormatting>
  <conditionalFormatting sqref="AQ17">
    <cfRule type="expression" dxfId="254" priority="229" stopIfTrue="1">
      <formula>OR($C17="",$C17=0)</formula>
    </cfRule>
  </conditionalFormatting>
  <conditionalFormatting sqref="AP54:BP92 L54:AE92 L95:AE101 AP95:BP101 BU54:CE92 BU95:CE101">
    <cfRule type="expression" dxfId="253" priority="228" stopIfTrue="1">
      <formula>OR($C54="",$C54=0)</formula>
    </cfRule>
  </conditionalFormatting>
  <conditionalFormatting sqref="AP102:BP102 L102:AE102 BU102:CE102">
    <cfRule type="expression" dxfId="252" priority="227" stopIfTrue="1">
      <formula>OR($C102="",$C102=0)</formula>
    </cfRule>
  </conditionalFormatting>
  <conditionalFormatting sqref="BD50 L50:AC50">
    <cfRule type="expression" dxfId="251" priority="226" stopIfTrue="1">
      <formula>OR($C50="",$C50=0)</formula>
    </cfRule>
  </conditionalFormatting>
  <conditionalFormatting sqref="AP94:BP94 L94:AE94 BU94:CE94">
    <cfRule type="expression" dxfId="250" priority="225" stopIfTrue="1">
      <formula>OR($C94="",$C94=0)</formula>
    </cfRule>
  </conditionalFormatting>
  <conditionalFormatting sqref="BD93 L93:AC93">
    <cfRule type="expression" dxfId="249" priority="224" stopIfTrue="1">
      <formula>OR($C93="",$C93=0)</formula>
    </cfRule>
  </conditionalFormatting>
  <conditionalFormatting sqref="AP103:BP132 L103:AE132 BU103:CE132">
    <cfRule type="expression" dxfId="248" priority="223" stopIfTrue="1">
      <formula>OR($C103="",$C103=0)</formula>
    </cfRule>
  </conditionalFormatting>
  <conditionalFormatting sqref="AP133:BP153 L133:AE153 BU133:CE153">
    <cfRule type="expression" dxfId="247" priority="222" stopIfTrue="1">
      <formula>OR($C133="",$C133=0)</formula>
    </cfRule>
  </conditionalFormatting>
  <conditionalFormatting sqref="AP154:BP161 L154:AE161 L167:AE170 AP167:BP170 BU154:CE161 BU167:CE170 BU173:CE175 AP173:BP175 L173:AE175 L178:AE187 AP178:BP187 BU178:CE187">
    <cfRule type="expression" dxfId="246" priority="221" stopIfTrue="1">
      <formula>OR($C154="",$C154=0)</formula>
    </cfRule>
  </conditionalFormatting>
  <conditionalFormatting sqref="AP166:BP166 L166:AE166 BU166:CE166">
    <cfRule type="expression" dxfId="245" priority="220" stopIfTrue="1">
      <formula>OR($C166="",$C166=0)</formula>
    </cfRule>
  </conditionalFormatting>
  <conditionalFormatting sqref="BD165 L165:AC165">
    <cfRule type="expression" dxfId="244" priority="219" stopIfTrue="1">
      <formula>OR($C165="",$C165=0)</formula>
    </cfRule>
  </conditionalFormatting>
  <conditionalFormatting sqref="L188:AE188 AP188:BP188 BU188:CE188 BU190:CE201 AP190:BP201 L190:AE201">
    <cfRule type="expression" dxfId="243" priority="218" stopIfTrue="1">
      <formula>OR($C188="",$C188=0)</formula>
    </cfRule>
  </conditionalFormatting>
  <conditionalFormatting sqref="L202:AE208 AP202:BP208 BU202:CE208">
    <cfRule type="expression" dxfId="242" priority="217" stopIfTrue="1">
      <formula>OR($C202="",$C202=0)</formula>
    </cfRule>
  </conditionalFormatting>
  <conditionalFormatting sqref="L215:AE228 AP215:BP228 BU215:CE228 BU252:CE252 AP252:BP252 L252:AE252 BU230:CE233 AP230:BP233 L230:AE233">
    <cfRule type="expression" dxfId="241" priority="216" stopIfTrue="1">
      <formula>OR($C215="",$C215=0)</formula>
    </cfRule>
  </conditionalFormatting>
  <conditionalFormatting sqref="L31:AE32 AP31:BP32 BU31:CE32">
    <cfRule type="expression" dxfId="240" priority="215" stopIfTrue="1">
      <formula>OR($C31="",$C31=0)</formula>
    </cfRule>
  </conditionalFormatting>
  <conditionalFormatting sqref="BU253:CE263 AP253:BP263 L253:AE263">
    <cfRule type="expression" dxfId="239" priority="213" stopIfTrue="1">
      <formula>OR($C253="",$C253=0)</formula>
    </cfRule>
  </conditionalFormatting>
  <conditionalFormatting sqref="BU264:CE267 AP264:BP267 L264:AE267 L269:AE286 AP269:BP286 BU269:CE286">
    <cfRule type="expression" dxfId="238" priority="212" stopIfTrue="1">
      <formula>OR($C264="",$C264=0)</formula>
    </cfRule>
  </conditionalFormatting>
  <conditionalFormatting sqref="BD268 L268:AC268">
    <cfRule type="expression" dxfId="237" priority="211" stopIfTrue="1">
      <formula>OR($C268="",$C268=0)</formula>
    </cfRule>
  </conditionalFormatting>
  <conditionalFormatting sqref="L287:AE297 AP287:BP297 BU287:CE297 BU303:CE303 AP303:BP303 L303:AE303">
    <cfRule type="expression" dxfId="236" priority="210" stopIfTrue="1">
      <formula>OR($C287="",$C287=0)</formula>
    </cfRule>
  </conditionalFormatting>
  <conditionalFormatting sqref="BU304:CE321 AP304:BP321 L304:AE321">
    <cfRule type="expression" dxfId="235" priority="209" stopIfTrue="1">
      <formula>OR($C304="",$C304=0)</formula>
    </cfRule>
  </conditionalFormatting>
  <conditionalFormatting sqref="BD322 L322:AC322">
    <cfRule type="expression" dxfId="234" priority="208" stopIfTrue="1">
      <formula>OR($C322="",$C322=0)</formula>
    </cfRule>
  </conditionalFormatting>
  <conditionalFormatting sqref="CF18:CF30 CF11:CF16 CF51:CF53 CF33:CF49 CF324">
    <cfRule type="expression" dxfId="233" priority="207" stopIfTrue="1">
      <formula>OR($C11="",$C11=0)</formula>
    </cfRule>
  </conditionalFormatting>
  <conditionalFormatting sqref="CF17">
    <cfRule type="expression" dxfId="232" priority="206" stopIfTrue="1">
      <formula>OR($C17="",$C17=0)</formula>
    </cfRule>
  </conditionalFormatting>
  <conditionalFormatting sqref="CF54:CF92 CF95:CF101">
    <cfRule type="expression" dxfId="231" priority="205" stopIfTrue="1">
      <formula>OR($C54="",$C54=0)</formula>
    </cfRule>
  </conditionalFormatting>
  <conditionalFormatting sqref="CF102">
    <cfRule type="expression" dxfId="230" priority="204" stopIfTrue="1">
      <formula>OR($C102="",$C102=0)</formula>
    </cfRule>
  </conditionalFormatting>
  <conditionalFormatting sqref="CF94">
    <cfRule type="expression" dxfId="229" priority="203" stopIfTrue="1">
      <formula>OR($C94="",$C94=0)</formula>
    </cfRule>
  </conditionalFormatting>
  <conditionalFormatting sqref="CF103:CF132">
    <cfRule type="expression" dxfId="228" priority="202" stopIfTrue="1">
      <formula>OR($C103="",$C103=0)</formula>
    </cfRule>
  </conditionalFormatting>
  <conditionalFormatting sqref="CF133:CF153">
    <cfRule type="expression" dxfId="227" priority="201" stopIfTrue="1">
      <formula>OR($C133="",$C133=0)</formula>
    </cfRule>
  </conditionalFormatting>
  <conditionalFormatting sqref="CF154:CF161 CF167:CF170 CF173:CF175 CF178:CF187">
    <cfRule type="expression" dxfId="226" priority="200" stopIfTrue="1">
      <formula>OR($C154="",$C154=0)</formula>
    </cfRule>
  </conditionalFormatting>
  <conditionalFormatting sqref="CF166">
    <cfRule type="expression" dxfId="225" priority="199" stopIfTrue="1">
      <formula>OR($C166="",$C166=0)</formula>
    </cfRule>
  </conditionalFormatting>
  <conditionalFormatting sqref="CF188 CF190:CF201">
    <cfRule type="expression" dxfId="224" priority="198" stopIfTrue="1">
      <formula>OR($C188="",$C188=0)</formula>
    </cfRule>
  </conditionalFormatting>
  <conditionalFormatting sqref="CF202:CF208">
    <cfRule type="expression" dxfId="223" priority="197" stopIfTrue="1">
      <formula>OR($C202="",$C202=0)</formula>
    </cfRule>
  </conditionalFormatting>
  <conditionalFormatting sqref="CF215:CF228 CF252 CF230:CF233">
    <cfRule type="expression" dxfId="222" priority="196" stopIfTrue="1">
      <formula>OR($C215="",$C215=0)</formula>
    </cfRule>
  </conditionalFormatting>
  <conditionalFormatting sqref="CF31:CF32">
    <cfRule type="expression" dxfId="221" priority="195" stopIfTrue="1">
      <formula>OR($C31="",$C31=0)</formula>
    </cfRule>
  </conditionalFormatting>
  <conditionalFormatting sqref="CF253:CF263">
    <cfRule type="expression" dxfId="220" priority="193" stopIfTrue="1">
      <formula>OR($C253="",$C253=0)</formula>
    </cfRule>
  </conditionalFormatting>
  <conditionalFormatting sqref="CF264:CF267 CF269:CF286">
    <cfRule type="expression" dxfId="219" priority="192" stopIfTrue="1">
      <formula>OR($C264="",$C264=0)</formula>
    </cfRule>
  </conditionalFormatting>
  <conditionalFormatting sqref="CF287:CF297 CF303">
    <cfRule type="expression" dxfId="218" priority="191" stopIfTrue="1">
      <formula>OR($C287="",$C287=0)</formula>
    </cfRule>
  </conditionalFormatting>
  <conditionalFormatting sqref="CF304:CF321">
    <cfRule type="expression" dxfId="217" priority="190" stopIfTrue="1">
      <formula>OR($C304="",$C304=0)</formula>
    </cfRule>
  </conditionalFormatting>
  <conditionalFormatting sqref="CG18:CG30 CG11:CG16 CG51:CG53 CG33:CG49 CG324">
    <cfRule type="expression" dxfId="216" priority="189" stopIfTrue="1">
      <formula>OR($C11="",$C11=0)</formula>
    </cfRule>
  </conditionalFormatting>
  <conditionalFormatting sqref="CG17">
    <cfRule type="expression" dxfId="215" priority="188" stopIfTrue="1">
      <formula>OR($C17="",$C17=0)</formula>
    </cfRule>
  </conditionalFormatting>
  <conditionalFormatting sqref="CG54:CG92 CG95:CG101">
    <cfRule type="expression" dxfId="214" priority="187" stopIfTrue="1">
      <formula>OR($C54="",$C54=0)</formula>
    </cfRule>
  </conditionalFormatting>
  <conditionalFormatting sqref="CG102">
    <cfRule type="expression" dxfId="213" priority="186" stopIfTrue="1">
      <formula>OR($C102="",$C102=0)</formula>
    </cfRule>
  </conditionalFormatting>
  <conditionalFormatting sqref="CG94">
    <cfRule type="expression" dxfId="212" priority="185" stopIfTrue="1">
      <formula>OR($C94="",$C94=0)</formula>
    </cfRule>
  </conditionalFormatting>
  <conditionalFormatting sqref="CG103:CG132">
    <cfRule type="expression" dxfId="211" priority="184" stopIfTrue="1">
      <formula>OR($C103="",$C103=0)</formula>
    </cfRule>
  </conditionalFormatting>
  <conditionalFormatting sqref="CG133:CG153">
    <cfRule type="expression" dxfId="210" priority="183" stopIfTrue="1">
      <formula>OR($C133="",$C133=0)</formula>
    </cfRule>
  </conditionalFormatting>
  <conditionalFormatting sqref="CG154:CG161 CG167:CG170 CG173:CG175 CG178:CG187">
    <cfRule type="expression" dxfId="209" priority="182" stopIfTrue="1">
      <formula>OR($C154="",$C154=0)</formula>
    </cfRule>
  </conditionalFormatting>
  <conditionalFormatting sqref="CG166">
    <cfRule type="expression" dxfId="208" priority="181" stopIfTrue="1">
      <formula>OR($C166="",$C166=0)</formula>
    </cfRule>
  </conditionalFormatting>
  <conditionalFormatting sqref="CG188 CG190:CG201">
    <cfRule type="expression" dxfId="207" priority="180" stopIfTrue="1">
      <formula>OR($C188="",$C188=0)</formula>
    </cfRule>
  </conditionalFormatting>
  <conditionalFormatting sqref="CG202:CG208">
    <cfRule type="expression" dxfId="206" priority="179" stopIfTrue="1">
      <formula>OR($C202="",$C202=0)</formula>
    </cfRule>
  </conditionalFormatting>
  <conditionalFormatting sqref="CG215:CG228 CG252 CG230:CG233">
    <cfRule type="expression" dxfId="205" priority="178" stopIfTrue="1">
      <formula>OR($C215="",$C215=0)</formula>
    </cfRule>
  </conditionalFormatting>
  <conditionalFormatting sqref="CG31:CG32">
    <cfRule type="expression" dxfId="204" priority="177" stopIfTrue="1">
      <formula>OR($C31="",$C31=0)</formula>
    </cfRule>
  </conditionalFormatting>
  <conditionalFormatting sqref="CG253:CG263">
    <cfRule type="expression" dxfId="203" priority="175" stopIfTrue="1">
      <formula>OR($C253="",$C253=0)</formula>
    </cfRule>
  </conditionalFormatting>
  <conditionalFormatting sqref="CG264:CG267 CG269:CG286">
    <cfRule type="expression" dxfId="202" priority="174" stopIfTrue="1">
      <formula>OR($C264="",$C264=0)</formula>
    </cfRule>
  </conditionalFormatting>
  <conditionalFormatting sqref="CG287:CG297 CG303">
    <cfRule type="expression" dxfId="201" priority="173" stopIfTrue="1">
      <formula>OR($C287="",$C287=0)</formula>
    </cfRule>
  </conditionalFormatting>
  <conditionalFormatting sqref="CG304:CG321">
    <cfRule type="expression" dxfId="200" priority="172" stopIfTrue="1">
      <formula>OR($C304="",$C304=0)</formula>
    </cfRule>
  </conditionalFormatting>
  <conditionalFormatting sqref="CH18:CH30 CH11:CH16 CH51:CH53 CH33:CH49 CH324">
    <cfRule type="expression" dxfId="199" priority="171" stopIfTrue="1">
      <formula>OR($C11="",$C11=0)</formula>
    </cfRule>
  </conditionalFormatting>
  <conditionalFormatting sqref="CH17">
    <cfRule type="expression" dxfId="198" priority="170" stopIfTrue="1">
      <formula>OR($C17="",$C17=0)</formula>
    </cfRule>
  </conditionalFormatting>
  <conditionalFormatting sqref="CH54:CH92 CH95:CH101">
    <cfRule type="expression" dxfId="197" priority="169" stopIfTrue="1">
      <formula>OR($C54="",$C54=0)</formula>
    </cfRule>
  </conditionalFormatting>
  <conditionalFormatting sqref="CH102">
    <cfRule type="expression" dxfId="196" priority="168" stopIfTrue="1">
      <formula>OR($C102="",$C102=0)</formula>
    </cfRule>
  </conditionalFormatting>
  <conditionalFormatting sqref="CH94">
    <cfRule type="expression" dxfId="195" priority="167" stopIfTrue="1">
      <formula>OR($C94="",$C94=0)</formula>
    </cfRule>
  </conditionalFormatting>
  <conditionalFormatting sqref="CH103:CH132">
    <cfRule type="expression" dxfId="194" priority="166" stopIfTrue="1">
      <formula>OR($C103="",$C103=0)</formula>
    </cfRule>
  </conditionalFormatting>
  <conditionalFormatting sqref="CH133:CH153">
    <cfRule type="expression" dxfId="193" priority="165" stopIfTrue="1">
      <formula>OR($C133="",$C133=0)</formula>
    </cfRule>
  </conditionalFormatting>
  <conditionalFormatting sqref="CH154:CH161 CH167:CH170 CH173:CH175 CH178:CH187">
    <cfRule type="expression" dxfId="192" priority="164" stopIfTrue="1">
      <formula>OR($C154="",$C154=0)</formula>
    </cfRule>
  </conditionalFormatting>
  <conditionalFormatting sqref="CH166">
    <cfRule type="expression" dxfId="191" priority="163" stopIfTrue="1">
      <formula>OR($C166="",$C166=0)</formula>
    </cfRule>
  </conditionalFormatting>
  <conditionalFormatting sqref="CH188 CH190:CH201">
    <cfRule type="expression" dxfId="190" priority="162" stopIfTrue="1">
      <formula>OR($C188="",$C188=0)</formula>
    </cfRule>
  </conditionalFormatting>
  <conditionalFormatting sqref="CH202:CH208">
    <cfRule type="expression" dxfId="189" priority="161" stopIfTrue="1">
      <formula>OR($C202="",$C202=0)</formula>
    </cfRule>
  </conditionalFormatting>
  <conditionalFormatting sqref="CH215:CH228 CH252 CH230:CH233">
    <cfRule type="expression" dxfId="188" priority="160" stopIfTrue="1">
      <formula>OR($C215="",$C215=0)</formula>
    </cfRule>
  </conditionalFormatting>
  <conditionalFormatting sqref="CH31:CH32">
    <cfRule type="expression" dxfId="187" priority="159" stopIfTrue="1">
      <formula>OR($C31="",$C31=0)</formula>
    </cfRule>
  </conditionalFormatting>
  <conditionalFormatting sqref="CH253:CH263">
    <cfRule type="expression" dxfId="186" priority="157" stopIfTrue="1">
      <formula>OR($C253="",$C253=0)</formula>
    </cfRule>
  </conditionalFormatting>
  <conditionalFormatting sqref="CH264:CH267 CH269:CH286">
    <cfRule type="expression" dxfId="185" priority="156" stopIfTrue="1">
      <formula>OR($C264="",$C264=0)</formula>
    </cfRule>
  </conditionalFormatting>
  <conditionalFormatting sqref="CH287:CH297 CH303">
    <cfRule type="expression" dxfId="184" priority="155" stopIfTrue="1">
      <formula>OR($C287="",$C287=0)</formula>
    </cfRule>
  </conditionalFormatting>
  <conditionalFormatting sqref="CH304:CH321">
    <cfRule type="expression" dxfId="183" priority="154" stopIfTrue="1">
      <formula>OR($C304="",$C304=0)</formula>
    </cfRule>
  </conditionalFormatting>
  <conditionalFormatting sqref="CI18:CK30 CI11:CK16 CI51:CK53 CI33:CK49 CI324:CK324">
    <cfRule type="expression" dxfId="182" priority="153" stopIfTrue="1">
      <formula>OR($C11="",$C11=0)</formula>
    </cfRule>
  </conditionalFormatting>
  <conditionalFormatting sqref="CI17:CK17">
    <cfRule type="expression" dxfId="181" priority="152" stopIfTrue="1">
      <formula>OR($C17="",$C17=0)</formula>
    </cfRule>
  </conditionalFormatting>
  <conditionalFormatting sqref="CI54:CK92 CI95:CK101">
    <cfRule type="expression" dxfId="180" priority="151" stopIfTrue="1">
      <formula>OR($C54="",$C54=0)</formula>
    </cfRule>
  </conditionalFormatting>
  <conditionalFormatting sqref="CI102:CK102">
    <cfRule type="expression" dxfId="179" priority="150" stopIfTrue="1">
      <formula>OR($C102="",$C102=0)</formula>
    </cfRule>
  </conditionalFormatting>
  <conditionalFormatting sqref="CI94:CK94">
    <cfRule type="expression" dxfId="178" priority="149" stopIfTrue="1">
      <formula>OR($C94="",$C94=0)</formula>
    </cfRule>
  </conditionalFormatting>
  <conditionalFormatting sqref="CI103:CK132">
    <cfRule type="expression" dxfId="177" priority="148" stopIfTrue="1">
      <formula>OR($C103="",$C103=0)</formula>
    </cfRule>
  </conditionalFormatting>
  <conditionalFormatting sqref="CI133:CK153">
    <cfRule type="expression" dxfId="176" priority="147" stopIfTrue="1">
      <formula>OR($C133="",$C133=0)</formula>
    </cfRule>
  </conditionalFormatting>
  <conditionalFormatting sqref="CI154:CK161 CI167:CK170 CI173:CK175 CI178:CK187">
    <cfRule type="expression" dxfId="175" priority="146" stopIfTrue="1">
      <formula>OR($C154="",$C154=0)</formula>
    </cfRule>
  </conditionalFormatting>
  <conditionalFormatting sqref="CI166:CK166">
    <cfRule type="expression" dxfId="174" priority="145" stopIfTrue="1">
      <formula>OR($C166="",$C166=0)</formula>
    </cfRule>
  </conditionalFormatting>
  <conditionalFormatting sqref="CI188:CK188 CI190:CK201">
    <cfRule type="expression" dxfId="173" priority="144" stopIfTrue="1">
      <formula>OR($C188="",$C188=0)</formula>
    </cfRule>
  </conditionalFormatting>
  <conditionalFormatting sqref="CI202:CK208">
    <cfRule type="expression" dxfId="172" priority="143" stopIfTrue="1">
      <formula>OR($C202="",$C202=0)</formula>
    </cfRule>
  </conditionalFormatting>
  <conditionalFormatting sqref="CI215:CK228 CI252:CK252 CI230:CK233">
    <cfRule type="expression" dxfId="171" priority="142" stopIfTrue="1">
      <formula>OR($C215="",$C215=0)</formula>
    </cfRule>
  </conditionalFormatting>
  <conditionalFormatting sqref="CI31:CK32">
    <cfRule type="expression" dxfId="170" priority="141" stopIfTrue="1">
      <formula>OR($C31="",$C31=0)</formula>
    </cfRule>
  </conditionalFormatting>
  <conditionalFormatting sqref="CI253:CK263">
    <cfRule type="expression" dxfId="169" priority="139" stopIfTrue="1">
      <formula>OR($C253="",$C253=0)</formula>
    </cfRule>
  </conditionalFormatting>
  <conditionalFormatting sqref="CI264:CK267 CI269:CK286">
    <cfRule type="expression" dxfId="168" priority="138" stopIfTrue="1">
      <formula>OR($C264="",$C264=0)</formula>
    </cfRule>
  </conditionalFormatting>
  <conditionalFormatting sqref="CI287:CK297 CI303:CK303">
    <cfRule type="expression" dxfId="167" priority="137" stopIfTrue="1">
      <formula>OR($C287="",$C287=0)</formula>
    </cfRule>
  </conditionalFormatting>
  <conditionalFormatting sqref="CI304:CK321">
    <cfRule type="expression" dxfId="166" priority="136" stopIfTrue="1">
      <formula>OR($C304="",$C304=0)</formula>
    </cfRule>
  </conditionalFormatting>
  <conditionalFormatting sqref="CL18:CM30 CL11:CM16 CL51:CM53 CL33:CM49 CL324:CM324">
    <cfRule type="expression" dxfId="165" priority="135" stopIfTrue="1">
      <formula>OR($C11="",$C11=0)</formula>
    </cfRule>
  </conditionalFormatting>
  <conditionalFormatting sqref="CL17:CM17">
    <cfRule type="expression" dxfId="164" priority="134" stopIfTrue="1">
      <formula>OR($C17="",$C17=0)</formula>
    </cfRule>
  </conditionalFormatting>
  <conditionalFormatting sqref="CL54:CM92 CL95:CM101">
    <cfRule type="expression" dxfId="163" priority="133" stopIfTrue="1">
      <formula>OR($C54="",$C54=0)</formula>
    </cfRule>
  </conditionalFormatting>
  <conditionalFormatting sqref="CL102:CM102">
    <cfRule type="expression" dxfId="162" priority="132" stopIfTrue="1">
      <formula>OR($C102="",$C102=0)</formula>
    </cfRule>
  </conditionalFormatting>
  <conditionalFormatting sqref="CL94:CM94">
    <cfRule type="expression" dxfId="161" priority="131" stopIfTrue="1">
      <formula>OR($C94="",$C94=0)</formula>
    </cfRule>
  </conditionalFormatting>
  <conditionalFormatting sqref="CL103:CM132">
    <cfRule type="expression" dxfId="160" priority="130" stopIfTrue="1">
      <formula>OR($C103="",$C103=0)</formula>
    </cfRule>
  </conditionalFormatting>
  <conditionalFormatting sqref="CL133:CM153">
    <cfRule type="expression" dxfId="159" priority="129" stopIfTrue="1">
      <formula>OR($C133="",$C133=0)</formula>
    </cfRule>
  </conditionalFormatting>
  <conditionalFormatting sqref="CL154:CM161 CL167:CM170 CL173:CM175 CL178:CM187">
    <cfRule type="expression" dxfId="158" priority="128" stopIfTrue="1">
      <formula>OR($C154="",$C154=0)</formula>
    </cfRule>
  </conditionalFormatting>
  <conditionalFormatting sqref="CL166:CM166">
    <cfRule type="expression" dxfId="157" priority="127" stopIfTrue="1">
      <formula>OR($C166="",$C166=0)</formula>
    </cfRule>
  </conditionalFormatting>
  <conditionalFormatting sqref="CL188:CM188 CL190:CM201">
    <cfRule type="expression" dxfId="156" priority="126" stopIfTrue="1">
      <formula>OR($C188="",$C188=0)</formula>
    </cfRule>
  </conditionalFormatting>
  <conditionalFormatting sqref="CL202:CM208">
    <cfRule type="expression" dxfId="155" priority="125" stopIfTrue="1">
      <formula>OR($C202="",$C202=0)</formula>
    </cfRule>
  </conditionalFormatting>
  <conditionalFormatting sqref="CL215:CM228 CL252:CM252 CL230:CM233">
    <cfRule type="expression" dxfId="154" priority="124" stopIfTrue="1">
      <formula>OR($C215="",$C215=0)</formula>
    </cfRule>
  </conditionalFormatting>
  <conditionalFormatting sqref="CL31:CM32">
    <cfRule type="expression" dxfId="153" priority="123" stopIfTrue="1">
      <formula>OR($C31="",$C31=0)</formula>
    </cfRule>
  </conditionalFormatting>
  <conditionalFormatting sqref="CL253:CM263">
    <cfRule type="expression" dxfId="152" priority="121" stopIfTrue="1">
      <formula>OR($C253="",$C253=0)</formula>
    </cfRule>
  </conditionalFormatting>
  <conditionalFormatting sqref="CL264:CM267 CL269:CM286">
    <cfRule type="expression" dxfId="151" priority="120" stopIfTrue="1">
      <formula>OR($C264="",$C264=0)</formula>
    </cfRule>
  </conditionalFormatting>
  <conditionalFormatting sqref="CL287:CM297 CL303:CM303">
    <cfRule type="expression" dxfId="150" priority="119" stopIfTrue="1">
      <formula>OR($C287="",$C287=0)</formula>
    </cfRule>
  </conditionalFormatting>
  <conditionalFormatting sqref="CL304:CM321">
    <cfRule type="expression" dxfId="149" priority="118" stopIfTrue="1">
      <formula>OR($C304="",$C304=0)</formula>
    </cfRule>
  </conditionalFormatting>
  <conditionalFormatting sqref="CN18:CN30 CN11:CN16 CN51:CN53 CN33:CN49 CN324">
    <cfRule type="expression" dxfId="148" priority="117" stopIfTrue="1">
      <formula>OR($C11="",$C11=0)</formula>
    </cfRule>
  </conditionalFormatting>
  <conditionalFormatting sqref="CN17">
    <cfRule type="expression" dxfId="147" priority="116" stopIfTrue="1">
      <formula>OR($C17="",$C17=0)</formula>
    </cfRule>
  </conditionalFormatting>
  <conditionalFormatting sqref="CN54:CN92 CN95:CN101">
    <cfRule type="expression" dxfId="146" priority="115" stopIfTrue="1">
      <formula>OR($C54="",$C54=0)</formula>
    </cfRule>
  </conditionalFormatting>
  <conditionalFormatting sqref="CN102">
    <cfRule type="expression" dxfId="145" priority="114" stopIfTrue="1">
      <formula>OR($C102="",$C102=0)</formula>
    </cfRule>
  </conditionalFormatting>
  <conditionalFormatting sqref="CN94">
    <cfRule type="expression" dxfId="144" priority="113" stopIfTrue="1">
      <formula>OR($C94="",$C94=0)</formula>
    </cfRule>
  </conditionalFormatting>
  <conditionalFormatting sqref="CN103:CN132">
    <cfRule type="expression" dxfId="143" priority="112" stopIfTrue="1">
      <formula>OR($C103="",$C103=0)</formula>
    </cfRule>
  </conditionalFormatting>
  <conditionalFormatting sqref="CN133:CN153">
    <cfRule type="expression" dxfId="142" priority="111" stopIfTrue="1">
      <formula>OR($C133="",$C133=0)</formula>
    </cfRule>
  </conditionalFormatting>
  <conditionalFormatting sqref="CN154:CN161 CN167:CN170 CN173:CN175 CN178:CN187">
    <cfRule type="expression" dxfId="141" priority="110" stopIfTrue="1">
      <formula>OR($C154="",$C154=0)</formula>
    </cfRule>
  </conditionalFormatting>
  <conditionalFormatting sqref="CN166">
    <cfRule type="expression" dxfId="140" priority="109" stopIfTrue="1">
      <formula>OR($C166="",$C166=0)</formula>
    </cfRule>
  </conditionalFormatting>
  <conditionalFormatting sqref="CN188 CN190:CN201">
    <cfRule type="expression" dxfId="139" priority="108" stopIfTrue="1">
      <formula>OR($C188="",$C188=0)</formula>
    </cfRule>
  </conditionalFormatting>
  <conditionalFormatting sqref="CN202:CN208">
    <cfRule type="expression" dxfId="138" priority="107" stopIfTrue="1">
      <formula>OR($C202="",$C202=0)</formula>
    </cfRule>
  </conditionalFormatting>
  <conditionalFormatting sqref="CN215:CN228 CN252 CN230:CN233">
    <cfRule type="expression" dxfId="137" priority="106" stopIfTrue="1">
      <formula>OR($C215="",$C215=0)</formula>
    </cfRule>
  </conditionalFormatting>
  <conditionalFormatting sqref="CN31:CN32">
    <cfRule type="expression" dxfId="136" priority="105" stopIfTrue="1">
      <formula>OR($C31="",$C31=0)</formula>
    </cfRule>
  </conditionalFormatting>
  <conditionalFormatting sqref="CN253:CN263">
    <cfRule type="expression" dxfId="135" priority="103" stopIfTrue="1">
      <formula>OR($C253="",$C253=0)</formula>
    </cfRule>
  </conditionalFormatting>
  <conditionalFormatting sqref="CN264:CN267 CN269:CN286">
    <cfRule type="expression" dxfId="134" priority="102" stopIfTrue="1">
      <formula>OR($C264="",$C264=0)</formula>
    </cfRule>
  </conditionalFormatting>
  <conditionalFormatting sqref="CN287:CN297 CN303">
    <cfRule type="expression" dxfId="133" priority="101" stopIfTrue="1">
      <formula>OR($C287="",$C287=0)</formula>
    </cfRule>
  </conditionalFormatting>
  <conditionalFormatting sqref="CN304:CN321">
    <cfRule type="expression" dxfId="132" priority="100" stopIfTrue="1">
      <formula>OR($C304="",$C304=0)</formula>
    </cfRule>
  </conditionalFormatting>
  <conditionalFormatting sqref="BU162:CE164 L162:AE164 AP162:BP164">
    <cfRule type="expression" dxfId="131" priority="99" stopIfTrue="1">
      <formula>OR($C162="",$C162=0)</formula>
    </cfRule>
  </conditionalFormatting>
  <conditionalFormatting sqref="CF162:CF164">
    <cfRule type="expression" dxfId="130" priority="98" stopIfTrue="1">
      <formula>OR($C162="",$C162=0)</formula>
    </cfRule>
  </conditionalFormatting>
  <conditionalFormatting sqref="CG162:CG164">
    <cfRule type="expression" dxfId="129" priority="97" stopIfTrue="1">
      <formula>OR($C162="",$C162=0)</formula>
    </cfRule>
  </conditionalFormatting>
  <conditionalFormatting sqref="CH162:CH164">
    <cfRule type="expression" dxfId="128" priority="96" stopIfTrue="1">
      <formula>OR($C162="",$C162=0)</formula>
    </cfRule>
  </conditionalFormatting>
  <conditionalFormatting sqref="CI162:CK164">
    <cfRule type="expression" dxfId="127" priority="95" stopIfTrue="1">
      <formula>OR($C162="",$C162=0)</formula>
    </cfRule>
  </conditionalFormatting>
  <conditionalFormatting sqref="CL162:CM164">
    <cfRule type="expression" dxfId="126" priority="94" stopIfTrue="1">
      <formula>OR($C162="",$C162=0)</formula>
    </cfRule>
  </conditionalFormatting>
  <conditionalFormatting sqref="CN162:CN164">
    <cfRule type="expression" dxfId="125" priority="93" stopIfTrue="1">
      <formula>OR($C162="",$C162=0)</formula>
    </cfRule>
  </conditionalFormatting>
  <conditionalFormatting sqref="L229:AE229 AP229:BP229 BU229:CE229">
    <cfRule type="expression" dxfId="124" priority="84" stopIfTrue="1">
      <formula>OR($C229="",$C229=0)</formula>
    </cfRule>
  </conditionalFormatting>
  <conditionalFormatting sqref="CF229">
    <cfRule type="expression" dxfId="123" priority="83" stopIfTrue="1">
      <formula>OR($C229="",$C229=0)</formula>
    </cfRule>
  </conditionalFormatting>
  <conditionalFormatting sqref="CG229">
    <cfRule type="expression" dxfId="122" priority="82" stopIfTrue="1">
      <formula>OR($C229="",$C229=0)</formula>
    </cfRule>
  </conditionalFormatting>
  <conditionalFormatting sqref="CH229">
    <cfRule type="expression" dxfId="121" priority="81" stopIfTrue="1">
      <formula>OR($C229="",$C229=0)</formula>
    </cfRule>
  </conditionalFormatting>
  <conditionalFormatting sqref="CI229:CK229">
    <cfRule type="expression" dxfId="120" priority="80" stopIfTrue="1">
      <formula>OR($C229="",$C229=0)</formula>
    </cfRule>
  </conditionalFormatting>
  <conditionalFormatting sqref="CL229:CM229">
    <cfRule type="expression" dxfId="119" priority="79" stopIfTrue="1">
      <formula>OR($C229="",$C229=0)</formula>
    </cfRule>
  </conditionalFormatting>
  <conditionalFormatting sqref="CN229">
    <cfRule type="expression" dxfId="118" priority="78" stopIfTrue="1">
      <formula>OR($C229="",$C229=0)</formula>
    </cfRule>
  </conditionalFormatting>
  <conditionalFormatting sqref="BU298:CE298 AP298:BP298 L298:AE298">
    <cfRule type="expression" dxfId="117" priority="49" stopIfTrue="1">
      <formula>OR($C298="",$C298=0)</formula>
    </cfRule>
  </conditionalFormatting>
  <conditionalFormatting sqref="CF298">
    <cfRule type="expression" dxfId="116" priority="48" stopIfTrue="1">
      <formula>OR($C298="",$C298=0)</formula>
    </cfRule>
  </conditionalFormatting>
  <conditionalFormatting sqref="CG298">
    <cfRule type="expression" dxfId="115" priority="47" stopIfTrue="1">
      <formula>OR($C298="",$C298=0)</formula>
    </cfRule>
  </conditionalFormatting>
  <conditionalFormatting sqref="CH298">
    <cfRule type="expression" dxfId="114" priority="46" stopIfTrue="1">
      <formula>OR($C298="",$C298=0)</formula>
    </cfRule>
  </conditionalFormatting>
  <conditionalFormatting sqref="CI298:CK298">
    <cfRule type="expression" dxfId="113" priority="45" stopIfTrue="1">
      <formula>OR($C298="",$C298=0)</formula>
    </cfRule>
  </conditionalFormatting>
  <conditionalFormatting sqref="CL298:CM298">
    <cfRule type="expression" dxfId="112" priority="44" stopIfTrue="1">
      <formula>OR($C298="",$C298=0)</formula>
    </cfRule>
  </conditionalFormatting>
  <conditionalFormatting sqref="CN298">
    <cfRule type="expression" dxfId="111" priority="43" stopIfTrue="1">
      <formula>OR($C298="",$C298=0)</formula>
    </cfRule>
  </conditionalFormatting>
  <conditionalFormatting sqref="BU299:CE302 AP299:BP302 L299:AE302">
    <cfRule type="expression" dxfId="110" priority="42" stopIfTrue="1">
      <formula>OR($C299="",$C299=0)</formula>
    </cfRule>
  </conditionalFormatting>
  <conditionalFormatting sqref="CF299:CF302">
    <cfRule type="expression" dxfId="109" priority="41" stopIfTrue="1">
      <formula>OR($C299="",$C299=0)</formula>
    </cfRule>
  </conditionalFormatting>
  <conditionalFormatting sqref="CG299:CG302">
    <cfRule type="expression" dxfId="108" priority="40" stopIfTrue="1">
      <formula>OR($C299="",$C299=0)</formula>
    </cfRule>
  </conditionalFormatting>
  <conditionalFormatting sqref="CH299:CH302">
    <cfRule type="expression" dxfId="107" priority="39" stopIfTrue="1">
      <formula>OR($C299="",$C299=0)</formula>
    </cfRule>
  </conditionalFormatting>
  <conditionalFormatting sqref="CI299:CK302">
    <cfRule type="expression" dxfId="106" priority="38" stopIfTrue="1">
      <formula>OR($C299="",$C299=0)</formula>
    </cfRule>
  </conditionalFormatting>
  <conditionalFormatting sqref="CL299:CM302">
    <cfRule type="expression" dxfId="105" priority="37" stopIfTrue="1">
      <formula>OR($C299="",$C299=0)</formula>
    </cfRule>
  </conditionalFormatting>
  <conditionalFormatting sqref="CN299:CN302">
    <cfRule type="expression" dxfId="104" priority="36" stopIfTrue="1">
      <formula>OR($C299="",$C299=0)</formula>
    </cfRule>
  </conditionalFormatting>
  <conditionalFormatting sqref="L189:AE189 AP189:BP189 BU189:CE189">
    <cfRule type="expression" dxfId="103" priority="28" stopIfTrue="1">
      <formula>OR($C189="",$C189=0)</formula>
    </cfRule>
  </conditionalFormatting>
  <conditionalFormatting sqref="CF189">
    <cfRule type="expression" dxfId="102" priority="27" stopIfTrue="1">
      <formula>OR($C189="",$C189=0)</formula>
    </cfRule>
  </conditionalFormatting>
  <conditionalFormatting sqref="CG189">
    <cfRule type="expression" dxfId="101" priority="26" stopIfTrue="1">
      <formula>OR($C189="",$C189=0)</formula>
    </cfRule>
  </conditionalFormatting>
  <conditionalFormatting sqref="CH189">
    <cfRule type="expression" dxfId="100" priority="25" stopIfTrue="1">
      <formula>OR($C189="",$C189=0)</formula>
    </cfRule>
  </conditionalFormatting>
  <conditionalFormatting sqref="CI189:CK189">
    <cfRule type="expression" dxfId="99" priority="24" stopIfTrue="1">
      <formula>OR($C189="",$C189=0)</formula>
    </cfRule>
  </conditionalFormatting>
  <conditionalFormatting sqref="CL189:CM189">
    <cfRule type="expression" dxfId="98" priority="23" stopIfTrue="1">
      <formula>OR($C189="",$C189=0)</formula>
    </cfRule>
  </conditionalFormatting>
  <conditionalFormatting sqref="CN189">
    <cfRule type="expression" dxfId="97" priority="22" stopIfTrue="1">
      <formula>OR($C189="",$C189=0)</formula>
    </cfRule>
  </conditionalFormatting>
  <conditionalFormatting sqref="L209:AE209 AP209:BP209 BU209:CE209">
    <cfRule type="expression" dxfId="96" priority="21" stopIfTrue="1">
      <formula>OR($C209="",$C209=0)</formula>
    </cfRule>
  </conditionalFormatting>
  <conditionalFormatting sqref="CF209">
    <cfRule type="expression" dxfId="95" priority="20" stopIfTrue="1">
      <formula>OR($C209="",$C209=0)</formula>
    </cfRule>
  </conditionalFormatting>
  <conditionalFormatting sqref="CG209">
    <cfRule type="expression" dxfId="94" priority="19" stopIfTrue="1">
      <formula>OR($C209="",$C209=0)</formula>
    </cfRule>
  </conditionalFormatting>
  <conditionalFormatting sqref="CH209">
    <cfRule type="expression" dxfId="93" priority="18" stopIfTrue="1">
      <formula>OR($C209="",$C209=0)</formula>
    </cfRule>
  </conditionalFormatting>
  <conditionalFormatting sqref="CI209:CK209">
    <cfRule type="expression" dxfId="92" priority="17" stopIfTrue="1">
      <formula>OR($C209="",$C209=0)</formula>
    </cfRule>
  </conditionalFormatting>
  <conditionalFormatting sqref="CL209:CM209">
    <cfRule type="expression" dxfId="91" priority="16" stopIfTrue="1">
      <formula>OR($C209="",$C209=0)</formula>
    </cfRule>
  </conditionalFormatting>
  <conditionalFormatting sqref="CN209">
    <cfRule type="expression" dxfId="90" priority="15" stopIfTrue="1">
      <formula>OR($C209="",$C209=0)</formula>
    </cfRule>
  </conditionalFormatting>
  <conditionalFormatting sqref="AP171:BP172 L171:AE172 BU171:CE172">
    <cfRule type="expression" dxfId="89" priority="14" stopIfTrue="1">
      <formula>OR($C171="",$C171=0)</formula>
    </cfRule>
  </conditionalFormatting>
  <conditionalFormatting sqref="CF171:CF172">
    <cfRule type="expression" dxfId="88" priority="13" stopIfTrue="1">
      <formula>OR($C171="",$C171=0)</formula>
    </cfRule>
  </conditionalFormatting>
  <conditionalFormatting sqref="CG171:CG172">
    <cfRule type="expression" dxfId="87" priority="12" stopIfTrue="1">
      <formula>OR($C171="",$C171=0)</formula>
    </cfRule>
  </conditionalFormatting>
  <conditionalFormatting sqref="CH171:CH172">
    <cfRule type="expression" dxfId="86" priority="11" stopIfTrue="1">
      <formula>OR($C171="",$C171=0)</formula>
    </cfRule>
  </conditionalFormatting>
  <conditionalFormatting sqref="CI171:CK172">
    <cfRule type="expression" dxfId="85" priority="10" stopIfTrue="1">
      <formula>OR($C171="",$C171=0)</formula>
    </cfRule>
  </conditionalFormatting>
  <conditionalFormatting sqref="CL171:CM172">
    <cfRule type="expression" dxfId="84" priority="9" stopIfTrue="1">
      <formula>OR($C171="",$C171=0)</formula>
    </cfRule>
  </conditionalFormatting>
  <conditionalFormatting sqref="CN171:CN172">
    <cfRule type="expression" dxfId="83" priority="8" stopIfTrue="1">
      <formula>OR($C171="",$C171=0)</formula>
    </cfRule>
  </conditionalFormatting>
  <conditionalFormatting sqref="AP176:BP177 L176:AE177 BU176:CE177">
    <cfRule type="expression" dxfId="82" priority="7" stopIfTrue="1">
      <formula>OR($C176="",$C176=0)</formula>
    </cfRule>
  </conditionalFormatting>
  <conditionalFormatting sqref="CF176:CF177">
    <cfRule type="expression" dxfId="81" priority="6" stopIfTrue="1">
      <formula>OR($C176="",$C176=0)</formula>
    </cfRule>
  </conditionalFormatting>
  <conditionalFormatting sqref="CG176:CG177">
    <cfRule type="expression" dxfId="80" priority="5" stopIfTrue="1">
      <formula>OR($C176="",$C176=0)</formula>
    </cfRule>
  </conditionalFormatting>
  <conditionalFormatting sqref="CH176:CH177">
    <cfRule type="expression" dxfId="79" priority="4" stopIfTrue="1">
      <formula>OR($C176="",$C176=0)</formula>
    </cfRule>
  </conditionalFormatting>
  <conditionalFormatting sqref="CI176:CK177">
    <cfRule type="expression" dxfId="78" priority="3" stopIfTrue="1">
      <formula>OR($C176="",$C176=0)</formula>
    </cfRule>
  </conditionalFormatting>
  <conditionalFormatting sqref="CL176:CM177">
    <cfRule type="expression" dxfId="77" priority="2" stopIfTrue="1">
      <formula>OR($C176="",$C176=0)</formula>
    </cfRule>
  </conditionalFormatting>
  <conditionalFormatting sqref="CN176:CN177">
    <cfRule type="expression" dxfId="76" priority="1" stopIfTrue="1">
      <formula>OR($C176="",$C176=0)</formula>
    </cfRule>
  </conditionalFormatting>
  <pageMargins left="0.59055118110236227" right="0.59055118110236227" top="0.78740157480314965" bottom="0.78740157480314965" header="0.39370078740157483" footer="0.39370078740157483"/>
  <pageSetup paperSize="8" scale="22" fitToWidth="0" orientation="portrait" r:id="rId1"/>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9DF6B-F1C5-4AF4-90BC-74DCB907AC74}">
  <sheetPr>
    <tabColor theme="2" tint="-0.749992370372631"/>
    <pageSetUpPr fitToPage="1"/>
  </sheetPr>
  <dimension ref="A1:L43"/>
  <sheetViews>
    <sheetView workbookViewId="0">
      <selection sqref="A1:XFD1048576"/>
    </sheetView>
  </sheetViews>
  <sheetFormatPr defaultColWidth="9.140625" defaultRowHeight="12.75" x14ac:dyDescent="0.25"/>
  <cols>
    <col min="1" max="1" width="19.7109375" style="46" customWidth="1"/>
    <col min="2" max="2" width="4.140625" style="393" bestFit="1" customWidth="1"/>
    <col min="3" max="12" width="7.7109375" style="278" customWidth="1"/>
    <col min="13" max="16384" width="9.140625" style="46"/>
  </cols>
  <sheetData>
    <row r="1" spans="1:12" x14ac:dyDescent="0.25">
      <c r="A1" s="1636" t="s">
        <v>3215</v>
      </c>
      <c r="B1" s="1636"/>
      <c r="C1" s="1637"/>
      <c r="D1" s="1637"/>
      <c r="E1" s="1637"/>
      <c r="F1" s="1637"/>
      <c r="G1" s="1637"/>
      <c r="H1" s="1637"/>
      <c r="I1" s="1637"/>
      <c r="J1" s="1637"/>
      <c r="K1" s="1637"/>
      <c r="L1" s="1637"/>
    </row>
    <row r="2" spans="1:12" x14ac:dyDescent="0.25">
      <c r="A2" s="1635" t="s">
        <v>153</v>
      </c>
      <c r="B2" s="1633" t="s">
        <v>3501</v>
      </c>
    </row>
    <row r="3" spans="1:12" x14ac:dyDescent="0.25">
      <c r="A3" s="1635" t="s">
        <v>3632</v>
      </c>
      <c r="B3" s="1633" t="s">
        <v>1527</v>
      </c>
    </row>
    <row r="4" spans="1:12" x14ac:dyDescent="0.25">
      <c r="A4" s="1635" t="s">
        <v>155</v>
      </c>
      <c r="B4" s="1633" t="s">
        <v>1528</v>
      </c>
    </row>
    <row r="5" spans="1:12" s="1638" customFormat="1" ht="18.75" x14ac:dyDescent="0.25">
      <c r="A5" s="94" t="s">
        <v>3631</v>
      </c>
      <c r="B5" s="94"/>
      <c r="C5" s="95"/>
      <c r="D5" s="95"/>
      <c r="E5" s="95"/>
      <c r="F5" s="95"/>
      <c r="G5" s="95"/>
      <c r="H5" s="95"/>
      <c r="I5" s="95"/>
      <c r="J5" s="95"/>
      <c r="K5" s="95"/>
      <c r="L5" s="95"/>
    </row>
    <row r="6" spans="1:12" s="1638" customFormat="1" ht="18.75" x14ac:dyDescent="0.25">
      <c r="A6" s="94" t="s">
        <v>1717</v>
      </c>
      <c r="B6" s="94"/>
      <c r="C6" s="95"/>
      <c r="D6" s="95"/>
      <c r="E6" s="95"/>
      <c r="F6" s="95"/>
      <c r="G6" s="95"/>
      <c r="H6" s="95"/>
      <c r="I6" s="95"/>
      <c r="J6" s="95"/>
      <c r="K6" s="95"/>
      <c r="L6" s="95"/>
    </row>
    <row r="7" spans="1:12" s="1609" customFormat="1" x14ac:dyDescent="0.25">
      <c r="A7" s="1639" t="s">
        <v>3622</v>
      </c>
      <c r="B7" s="1641" t="s">
        <v>3612</v>
      </c>
      <c r="C7" s="1659">
        <v>1</v>
      </c>
      <c r="D7" s="1640">
        <v>1</v>
      </c>
      <c r="E7" s="1640">
        <v>1</v>
      </c>
      <c r="F7" s="1640">
        <v>1</v>
      </c>
      <c r="G7" s="1640">
        <v>1</v>
      </c>
      <c r="H7" s="1640">
        <v>1</v>
      </c>
      <c r="I7" s="1640">
        <v>1</v>
      </c>
      <c r="J7" s="1640">
        <v>1</v>
      </c>
      <c r="K7" s="1640">
        <v>1</v>
      </c>
      <c r="L7" s="1641">
        <v>1</v>
      </c>
    </row>
    <row r="8" spans="1:12" s="1609" customFormat="1" x14ac:dyDescent="0.25">
      <c r="A8" s="1642" t="s">
        <v>3610</v>
      </c>
      <c r="B8" s="1644" t="s">
        <v>3612</v>
      </c>
      <c r="C8" s="1660">
        <v>1</v>
      </c>
      <c r="D8" s="1643">
        <v>3</v>
      </c>
      <c r="E8" s="1643">
        <v>3</v>
      </c>
      <c r="F8" s="1643">
        <v>4</v>
      </c>
      <c r="G8" s="1643">
        <v>4</v>
      </c>
      <c r="H8" s="1643">
        <v>4</v>
      </c>
      <c r="I8" s="1643">
        <v>4</v>
      </c>
      <c r="J8" s="1643">
        <v>4</v>
      </c>
      <c r="K8" s="1643">
        <v>4</v>
      </c>
      <c r="L8" s="1644">
        <v>5</v>
      </c>
    </row>
    <row r="9" spans="1:12" s="1609" customFormat="1" x14ac:dyDescent="0.25">
      <c r="A9" s="1653" t="s">
        <v>3611</v>
      </c>
      <c r="B9" s="1655" t="s">
        <v>3612</v>
      </c>
      <c r="C9" s="1661">
        <v>10</v>
      </c>
      <c r="D9" s="1654">
        <v>1</v>
      </c>
      <c r="E9" s="1654">
        <v>2</v>
      </c>
      <c r="F9" s="1654">
        <v>4</v>
      </c>
      <c r="G9" s="1654">
        <v>5</v>
      </c>
      <c r="H9" s="1654">
        <v>7</v>
      </c>
      <c r="I9" s="1654">
        <v>8</v>
      </c>
      <c r="J9" s="1654">
        <v>12</v>
      </c>
      <c r="K9" s="1654">
        <v>13</v>
      </c>
      <c r="L9" s="1655">
        <v>1</v>
      </c>
    </row>
    <row r="10" spans="1:12" x14ac:dyDescent="0.25">
      <c r="A10" s="1656" t="s">
        <v>2437</v>
      </c>
      <c r="B10" s="1665" t="s">
        <v>3609</v>
      </c>
      <c r="C10" s="1662"/>
      <c r="D10" s="1657" t="s">
        <v>3626</v>
      </c>
      <c r="E10" s="1657" t="s">
        <v>3626</v>
      </c>
      <c r="F10" s="1657"/>
      <c r="G10" s="1657" t="s">
        <v>3626</v>
      </c>
      <c r="H10" s="1657"/>
      <c r="I10" s="1657"/>
      <c r="J10" s="1657"/>
      <c r="K10" s="1657"/>
      <c r="L10" s="1658"/>
    </row>
    <row r="11" spans="1:12" x14ac:dyDescent="0.25">
      <c r="A11" s="1645" t="s">
        <v>2972</v>
      </c>
      <c r="B11" s="1666" t="s">
        <v>20</v>
      </c>
      <c r="C11" s="1663"/>
      <c r="D11" s="1647">
        <v>50.14</v>
      </c>
      <c r="E11" s="1647">
        <v>37.6</v>
      </c>
      <c r="F11" s="1647"/>
      <c r="G11" s="1647">
        <v>58.51</v>
      </c>
      <c r="H11" s="1647"/>
      <c r="I11" s="1647"/>
      <c r="J11" s="1647"/>
      <c r="K11" s="1647"/>
      <c r="L11" s="1648"/>
    </row>
    <row r="12" spans="1:12" x14ac:dyDescent="0.25">
      <c r="A12" s="1645" t="s">
        <v>3623</v>
      </c>
      <c r="B12" s="1666" t="s">
        <v>28</v>
      </c>
      <c r="C12" s="1663"/>
      <c r="D12" s="1647">
        <v>2.5099999999999998</v>
      </c>
      <c r="E12" s="1647">
        <v>1.88</v>
      </c>
      <c r="F12" s="1647"/>
      <c r="G12" s="1647">
        <v>2.58</v>
      </c>
      <c r="H12" s="1647"/>
      <c r="I12" s="1647"/>
      <c r="J12" s="1647"/>
      <c r="K12" s="1647"/>
      <c r="L12" s="1648"/>
    </row>
    <row r="13" spans="1:12" x14ac:dyDescent="0.25">
      <c r="A13" s="1645" t="s">
        <v>1871</v>
      </c>
      <c r="B13" s="1666" t="s">
        <v>20</v>
      </c>
      <c r="C13" s="1663"/>
      <c r="D13" s="1647">
        <v>192.73</v>
      </c>
      <c r="E13" s="1647">
        <v>132.99</v>
      </c>
      <c r="F13" s="1647"/>
      <c r="G13" s="1647">
        <v>182.69</v>
      </c>
      <c r="H13" s="1647"/>
      <c r="I13" s="1647"/>
      <c r="J13" s="1647"/>
      <c r="K13" s="1647"/>
      <c r="L13" s="1648"/>
    </row>
    <row r="14" spans="1:12" x14ac:dyDescent="0.25">
      <c r="A14" s="1649" t="s">
        <v>1865</v>
      </c>
      <c r="B14" s="1667" t="s">
        <v>28</v>
      </c>
      <c r="C14" s="1664"/>
      <c r="D14" s="1651">
        <v>21.59</v>
      </c>
      <c r="E14" s="1651">
        <v>15.32</v>
      </c>
      <c r="F14" s="1651"/>
      <c r="G14" s="1651">
        <v>20.65</v>
      </c>
      <c r="H14" s="1651"/>
      <c r="I14" s="1651"/>
      <c r="J14" s="1651"/>
      <c r="K14" s="1651"/>
      <c r="L14" s="1652"/>
    </row>
    <row r="15" spans="1:12" x14ac:dyDescent="0.25">
      <c r="A15" s="1656" t="s">
        <v>3608</v>
      </c>
      <c r="B15" s="1665" t="s">
        <v>3609</v>
      </c>
      <c r="C15" s="1662" t="s">
        <v>3090</v>
      </c>
      <c r="D15" s="1657" t="s">
        <v>3090</v>
      </c>
      <c r="E15" s="1657" t="s">
        <v>3089</v>
      </c>
      <c r="F15" s="1657" t="s">
        <v>3089</v>
      </c>
      <c r="G15" s="1657" t="s">
        <v>3090</v>
      </c>
      <c r="H15" s="1657" t="s">
        <v>3089</v>
      </c>
      <c r="I15" s="1657" t="s">
        <v>3090</v>
      </c>
      <c r="J15" s="1657" t="s">
        <v>3089</v>
      </c>
      <c r="K15" s="1657" t="s">
        <v>3090</v>
      </c>
      <c r="L15" s="1658" t="s">
        <v>3090</v>
      </c>
    </row>
    <row r="16" spans="1:12" x14ac:dyDescent="0.25">
      <c r="A16" s="1645" t="s">
        <v>2972</v>
      </c>
      <c r="B16" s="1666" t="s">
        <v>20</v>
      </c>
      <c r="C16" s="1663">
        <v>14.45</v>
      </c>
      <c r="D16" s="1647">
        <v>14.45</v>
      </c>
      <c r="E16" s="1647">
        <v>10</v>
      </c>
      <c r="F16" s="1647">
        <v>10</v>
      </c>
      <c r="G16" s="1647">
        <v>14.45</v>
      </c>
      <c r="H16" s="1647">
        <v>10</v>
      </c>
      <c r="I16" s="1647">
        <v>14.45</v>
      </c>
      <c r="J16" s="1647">
        <v>10</v>
      </c>
      <c r="K16" s="1647">
        <v>14.45</v>
      </c>
      <c r="L16" s="1648">
        <v>14.45</v>
      </c>
    </row>
    <row r="17" spans="1:12" x14ac:dyDescent="0.25">
      <c r="A17" s="1645" t="s">
        <v>2888</v>
      </c>
      <c r="B17" s="1666" t="s">
        <v>28</v>
      </c>
      <c r="C17" s="1663">
        <v>0</v>
      </c>
      <c r="D17" s="1647">
        <v>0</v>
      </c>
      <c r="E17" s="1647">
        <v>0.96</v>
      </c>
      <c r="F17" s="1647">
        <v>0.96</v>
      </c>
      <c r="G17" s="1647">
        <v>0</v>
      </c>
      <c r="H17" s="1647">
        <v>0.96</v>
      </c>
      <c r="I17" s="1647">
        <v>0</v>
      </c>
      <c r="J17" s="1647">
        <v>0.96</v>
      </c>
      <c r="K17" s="1647">
        <v>0</v>
      </c>
      <c r="L17" s="1648">
        <v>0</v>
      </c>
    </row>
    <row r="18" spans="1:12" x14ac:dyDescent="0.25">
      <c r="A18" s="1645" t="s">
        <v>3623</v>
      </c>
      <c r="B18" s="1666" t="s">
        <v>28</v>
      </c>
      <c r="C18" s="1663">
        <v>0.4</v>
      </c>
      <c r="D18" s="1647">
        <v>0.4</v>
      </c>
      <c r="E18" s="1647">
        <v>0.45</v>
      </c>
      <c r="F18" s="1647">
        <v>0.45</v>
      </c>
      <c r="G18" s="1647">
        <v>0.4</v>
      </c>
      <c r="H18" s="1647">
        <v>0.45</v>
      </c>
      <c r="I18" s="1647">
        <v>0.4</v>
      </c>
      <c r="J18" s="1647">
        <v>0.45</v>
      </c>
      <c r="K18" s="1647">
        <v>0.4</v>
      </c>
      <c r="L18" s="1648">
        <v>0.4</v>
      </c>
    </row>
    <row r="19" spans="1:12" x14ac:dyDescent="0.25">
      <c r="A19" s="1645" t="s">
        <v>1871</v>
      </c>
      <c r="B19" s="1666" t="s">
        <v>20</v>
      </c>
      <c r="C19" s="1663">
        <v>35.409999999999997</v>
      </c>
      <c r="D19" s="1647">
        <v>35.409999999999997</v>
      </c>
      <c r="E19" s="1647">
        <v>77.13</v>
      </c>
      <c r="F19" s="1647">
        <v>77.13</v>
      </c>
      <c r="G19" s="1647">
        <v>35.409999999999997</v>
      </c>
      <c r="H19" s="1647">
        <v>77.13</v>
      </c>
      <c r="I19" s="1647">
        <v>35.409999999999997</v>
      </c>
      <c r="J19" s="1647">
        <v>77.13</v>
      </c>
      <c r="K19" s="1647">
        <v>35.409999999999997</v>
      </c>
      <c r="L19" s="1648">
        <v>35.409999999999997</v>
      </c>
    </row>
    <row r="20" spans="1:12" x14ac:dyDescent="0.25">
      <c r="A20" s="1649" t="s">
        <v>1865</v>
      </c>
      <c r="B20" s="1667" t="s">
        <v>28</v>
      </c>
      <c r="C20" s="1664">
        <v>4.3899999999999997</v>
      </c>
      <c r="D20" s="1651">
        <v>4.3899999999999997</v>
      </c>
      <c r="E20" s="1651">
        <v>11.15</v>
      </c>
      <c r="F20" s="1651">
        <v>11.15</v>
      </c>
      <c r="G20" s="1651">
        <v>4.3899999999999997</v>
      </c>
      <c r="H20" s="1651">
        <v>11.15</v>
      </c>
      <c r="I20" s="1651">
        <v>4.3899999999999997</v>
      </c>
      <c r="J20" s="1651">
        <v>11.15</v>
      </c>
      <c r="K20" s="1651">
        <v>4.3899999999999997</v>
      </c>
      <c r="L20" s="1652">
        <v>4.3899999999999997</v>
      </c>
    </row>
    <row r="21" spans="1:12" x14ac:dyDescent="0.25">
      <c r="A21" s="1656" t="s">
        <v>3624</v>
      </c>
      <c r="B21" s="1665"/>
      <c r="C21" s="1662"/>
      <c r="D21" s="1657"/>
      <c r="E21" s="1657"/>
      <c r="F21" s="1657"/>
      <c r="G21" s="1657"/>
      <c r="H21" s="1657"/>
      <c r="I21" s="1657"/>
      <c r="J21" s="1657"/>
      <c r="K21" s="1657"/>
      <c r="L21" s="1658"/>
    </row>
    <row r="22" spans="1:12" x14ac:dyDescent="0.25">
      <c r="A22" s="1645" t="s">
        <v>2731</v>
      </c>
      <c r="B22" s="1666" t="s">
        <v>20</v>
      </c>
      <c r="C22" s="1663">
        <v>29.88</v>
      </c>
      <c r="D22" s="1647">
        <v>67.7</v>
      </c>
      <c r="E22" s="1647">
        <v>60.48</v>
      </c>
      <c r="F22" s="1647">
        <v>25.24</v>
      </c>
      <c r="G22" s="1647">
        <v>56.62</v>
      </c>
      <c r="H22" s="1647">
        <v>28.48</v>
      </c>
      <c r="I22" s="1647">
        <v>61.55</v>
      </c>
      <c r="J22" s="1647">
        <v>28.48</v>
      </c>
      <c r="K22" s="1647">
        <v>27.58</v>
      </c>
      <c r="L22" s="1648">
        <v>40.770000000000003</v>
      </c>
    </row>
    <row r="23" spans="1:12" x14ac:dyDescent="0.25">
      <c r="A23" s="1645" t="s">
        <v>2717</v>
      </c>
      <c r="B23" s="1666" t="s">
        <v>28</v>
      </c>
      <c r="C23" s="1663">
        <v>12.87</v>
      </c>
      <c r="D23" s="1647">
        <v>28.21</v>
      </c>
      <c r="E23" s="1647">
        <v>23.81</v>
      </c>
      <c r="F23" s="1647">
        <v>14.73</v>
      </c>
      <c r="G23" s="1647">
        <v>32.99</v>
      </c>
      <c r="H23" s="1647">
        <v>13.38</v>
      </c>
      <c r="I23" s="1647">
        <v>27.52</v>
      </c>
      <c r="J23" s="1647">
        <v>13.38</v>
      </c>
      <c r="K23" s="1647">
        <v>12.34</v>
      </c>
      <c r="L23" s="1648">
        <v>19.420000000000002</v>
      </c>
    </row>
    <row r="24" spans="1:12" x14ac:dyDescent="0.25">
      <c r="A24" s="1649" t="s">
        <v>3625</v>
      </c>
      <c r="B24" s="1667" t="s">
        <v>20</v>
      </c>
      <c r="C24" s="1664">
        <v>7.166666666666667</v>
      </c>
      <c r="D24" s="1651">
        <v>10.766666666666667</v>
      </c>
      <c r="E24" s="1651">
        <v>21.3</v>
      </c>
      <c r="F24" s="1651">
        <v>4.13</v>
      </c>
      <c r="G24" s="1651">
        <v>11.97</v>
      </c>
      <c r="H24" s="1651">
        <v>2.9</v>
      </c>
      <c r="I24" s="1651">
        <v>28.53</v>
      </c>
      <c r="J24" s="1651">
        <v>2.9</v>
      </c>
      <c r="K24" s="1651">
        <v>7.1</v>
      </c>
      <c r="L24" s="1652">
        <v>16.03</v>
      </c>
    </row>
    <row r="26" spans="1:12" s="1633" customFormat="1" x14ac:dyDescent="0.25">
      <c r="A26" s="1674" t="s">
        <v>3627</v>
      </c>
      <c r="B26" s="1675"/>
      <c r="C26" s="1676"/>
      <c r="D26" s="1634"/>
      <c r="E26" s="1634"/>
      <c r="F26" s="1634"/>
      <c r="G26" s="1634"/>
      <c r="H26" s="1634"/>
      <c r="I26" s="1634"/>
      <c r="J26" s="1634"/>
      <c r="K26" s="1634"/>
      <c r="L26" s="1634"/>
    </row>
    <row r="27" spans="1:12" s="1633" customFormat="1" x14ac:dyDescent="0.25">
      <c r="A27" s="1671" t="s">
        <v>3628</v>
      </c>
      <c r="B27" s="1672"/>
      <c r="C27" s="1673"/>
      <c r="D27" s="1634"/>
      <c r="E27" s="1634"/>
      <c r="F27" s="1634"/>
      <c r="G27" s="1634"/>
      <c r="H27" s="1634"/>
      <c r="I27" s="1634"/>
      <c r="J27" s="1634"/>
      <c r="K27" s="1634"/>
      <c r="L27" s="1634"/>
    </row>
    <row r="28" spans="1:12" x14ac:dyDescent="0.25">
      <c r="A28" s="1645" t="s">
        <v>2972</v>
      </c>
      <c r="B28" s="1646" t="s">
        <v>20</v>
      </c>
      <c r="C28" s="1648">
        <v>146.25</v>
      </c>
    </row>
    <row r="29" spans="1:12" x14ac:dyDescent="0.25">
      <c r="A29" s="1645" t="s">
        <v>3623</v>
      </c>
      <c r="B29" s="1646" t="s">
        <v>28</v>
      </c>
      <c r="C29" s="1648">
        <v>6.97</v>
      </c>
    </row>
    <row r="30" spans="1:12" x14ac:dyDescent="0.25">
      <c r="A30" s="1645" t="s">
        <v>1871</v>
      </c>
      <c r="B30" s="1646" t="s">
        <v>20</v>
      </c>
      <c r="C30" s="1648">
        <v>508.41</v>
      </c>
    </row>
    <row r="31" spans="1:12" x14ac:dyDescent="0.25">
      <c r="A31" s="1645" t="s">
        <v>1865</v>
      </c>
      <c r="B31" s="1646" t="s">
        <v>28</v>
      </c>
      <c r="C31" s="1648">
        <v>57.559999999999995</v>
      </c>
    </row>
    <row r="32" spans="1:12" s="1633" customFormat="1" x14ac:dyDescent="0.25">
      <c r="A32" s="1668" t="s">
        <v>3629</v>
      </c>
      <c r="B32" s="1669"/>
      <c r="C32" s="1670"/>
      <c r="D32" s="1634"/>
      <c r="E32" s="1634"/>
      <c r="F32" s="1634"/>
      <c r="G32" s="1634"/>
      <c r="H32" s="1634"/>
      <c r="I32" s="1634"/>
      <c r="J32" s="1634"/>
      <c r="K32" s="1634"/>
      <c r="L32" s="1634"/>
    </row>
    <row r="33" spans="1:12" x14ac:dyDescent="0.25">
      <c r="A33" s="1645" t="s">
        <v>3090</v>
      </c>
      <c r="B33" s="1646" t="s">
        <v>39</v>
      </c>
      <c r="C33" s="1648">
        <v>6</v>
      </c>
    </row>
    <row r="34" spans="1:12" s="1633" customFormat="1" x14ac:dyDescent="0.25">
      <c r="A34" s="1668" t="s">
        <v>3630</v>
      </c>
      <c r="B34" s="1669"/>
      <c r="C34" s="1670"/>
      <c r="D34" s="1634"/>
      <c r="E34" s="1634"/>
      <c r="F34" s="1634"/>
      <c r="G34" s="1634"/>
      <c r="H34" s="1634"/>
      <c r="I34" s="1634"/>
      <c r="J34" s="1634"/>
      <c r="K34" s="1634"/>
      <c r="L34" s="1634"/>
    </row>
    <row r="35" spans="1:12" x14ac:dyDescent="0.25">
      <c r="A35" s="1645" t="s">
        <v>2972</v>
      </c>
      <c r="B35" s="1646" t="s">
        <v>20</v>
      </c>
      <c r="C35" s="1648">
        <v>40</v>
      </c>
    </row>
    <row r="36" spans="1:12" x14ac:dyDescent="0.25">
      <c r="A36" s="1645" t="s">
        <v>2888</v>
      </c>
      <c r="B36" s="1646" t="s">
        <v>28</v>
      </c>
      <c r="C36" s="1648">
        <v>3.84</v>
      </c>
    </row>
    <row r="37" spans="1:12" x14ac:dyDescent="0.25">
      <c r="A37" s="1645" t="s">
        <v>3623</v>
      </c>
      <c r="B37" s="1646" t="s">
        <v>28</v>
      </c>
      <c r="C37" s="1648">
        <v>1.8</v>
      </c>
    </row>
    <row r="38" spans="1:12" x14ac:dyDescent="0.25">
      <c r="A38" s="1645" t="s">
        <v>1871</v>
      </c>
      <c r="B38" s="1646" t="s">
        <v>20</v>
      </c>
      <c r="C38" s="1648">
        <v>308.52</v>
      </c>
    </row>
    <row r="39" spans="1:12" x14ac:dyDescent="0.25">
      <c r="A39" s="1649" t="s">
        <v>1865</v>
      </c>
      <c r="B39" s="1650" t="s">
        <v>28</v>
      </c>
      <c r="C39" s="1652">
        <v>44.6</v>
      </c>
    </row>
    <row r="40" spans="1:12" s="1633" customFormat="1" x14ac:dyDescent="0.25">
      <c r="A40" s="1668" t="s">
        <v>3624</v>
      </c>
      <c r="B40" s="1669"/>
      <c r="C40" s="1670"/>
      <c r="D40" s="1634"/>
      <c r="E40" s="1634"/>
      <c r="F40" s="1634"/>
      <c r="G40" s="1634"/>
      <c r="H40" s="1634"/>
      <c r="I40" s="1634"/>
      <c r="J40" s="1634"/>
      <c r="K40" s="1634"/>
      <c r="L40" s="1634"/>
    </row>
    <row r="41" spans="1:12" x14ac:dyDescent="0.25">
      <c r="A41" s="1645" t="s">
        <v>2731</v>
      </c>
      <c r="B41" s="1646" t="s">
        <v>20</v>
      </c>
      <c r="C41" s="1648">
        <v>426.78000000000003</v>
      </c>
    </row>
    <row r="42" spans="1:12" x14ac:dyDescent="0.25">
      <c r="A42" s="1645" t="s">
        <v>2717</v>
      </c>
      <c r="B42" s="1646" t="s">
        <v>28</v>
      </c>
      <c r="C42" s="1648">
        <v>198.65000000000003</v>
      </c>
    </row>
    <row r="43" spans="1:12" x14ac:dyDescent="0.25">
      <c r="A43" s="1649" t="s">
        <v>3625</v>
      </c>
      <c r="B43" s="1650" t="s">
        <v>20</v>
      </c>
      <c r="C43" s="1652">
        <v>112.79333333333334</v>
      </c>
    </row>
  </sheetData>
  <printOptions horizontalCentered="1"/>
  <pageMargins left="0.78740157480314965" right="0.59055118110236227" top="0.78740157480314965" bottom="0.78740157480314965" header="0.59055118110236227" footer="0.59055118110236227"/>
  <pageSetup paperSize="9" scale="8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EBAC1-2CCE-4409-9900-EC4662D8A758}">
  <sheetPr>
    <tabColor theme="2" tint="-0.749992370372631"/>
    <pageSetUpPr fitToPage="1"/>
  </sheetPr>
  <dimension ref="A1:CU338"/>
  <sheetViews>
    <sheetView workbookViewId="0">
      <pane xSplit="11" ySplit="10" topLeftCell="AS241" activePane="bottomRight" state="frozen"/>
      <selection pane="topRight"/>
      <selection pane="bottomLeft"/>
      <selection pane="bottomRight" sqref="A1:XFD1048576"/>
    </sheetView>
  </sheetViews>
  <sheetFormatPr defaultColWidth="9.140625" defaultRowHeight="12.75" x14ac:dyDescent="0.25"/>
  <cols>
    <col min="1" max="1" width="8.7109375" style="939" customWidth="1"/>
    <col min="2" max="2" width="8.7109375" style="940" customWidth="1"/>
    <col min="3" max="4" width="8.7109375" style="939" customWidth="1"/>
    <col min="5" max="6" width="10.7109375" style="838" customWidth="1"/>
    <col min="7" max="7" width="10.7109375" style="940" customWidth="1"/>
    <col min="8" max="10" width="10.7109375" style="838" customWidth="1"/>
    <col min="11" max="11" width="1.7109375" style="836" customWidth="1"/>
    <col min="12" max="15" width="10.7109375" style="838" customWidth="1"/>
    <col min="16" max="16" width="1.7109375" style="836" customWidth="1"/>
    <col min="17" max="17" width="10.7109375" style="838" customWidth="1"/>
    <col min="18" max="18" width="10.7109375" style="836" customWidth="1"/>
    <col min="19" max="20" width="10.7109375" style="941" customWidth="1"/>
    <col min="21" max="22" width="10.7109375" style="838" customWidth="1"/>
    <col min="23" max="23" width="1.7109375" style="836" customWidth="1"/>
    <col min="24" max="28" width="10.7109375" style="838" customWidth="1"/>
    <col min="29" max="29" width="1.7109375" style="836" customWidth="1"/>
    <col min="30" max="31" width="11.7109375" style="838" customWidth="1"/>
    <col min="32" max="41" width="10.7109375" style="838" customWidth="1"/>
    <col min="42" max="56" width="11.7109375" style="838" customWidth="1"/>
    <col min="57" max="65" width="9.7109375" style="838" customWidth="1"/>
    <col min="66" max="67" width="8.7109375" style="838" customWidth="1"/>
    <col min="68" max="73" width="8.7109375" style="832" customWidth="1"/>
    <col min="74" max="81" width="8.7109375" style="838" customWidth="1"/>
    <col min="82" max="94" width="11.7109375" style="838" customWidth="1"/>
    <col min="95" max="95" width="12.7109375" style="838" customWidth="1"/>
    <col min="96" max="96" width="11.7109375" style="838" customWidth="1"/>
    <col min="97" max="97" width="12.7109375" style="836" customWidth="1"/>
    <col min="98" max="99" width="11.7109375" style="836" customWidth="1"/>
    <col min="100" max="16384" width="9.140625" style="836"/>
  </cols>
  <sheetData>
    <row r="1" spans="1:96" s="826" customFormat="1" ht="30" customHeight="1" x14ac:dyDescent="0.25">
      <c r="A1" s="824"/>
      <c r="B1" s="824"/>
      <c r="C1" s="824" t="s">
        <v>2049</v>
      </c>
      <c r="D1" s="824"/>
      <c r="E1" s="824"/>
      <c r="F1" s="824"/>
      <c r="G1" s="824"/>
      <c r="H1" s="824"/>
      <c r="I1" s="824"/>
      <c r="J1" s="825"/>
      <c r="L1" s="827" t="s">
        <v>2050</v>
      </c>
      <c r="M1" s="827"/>
      <c r="N1" s="827"/>
      <c r="O1" s="827"/>
      <c r="P1" s="828"/>
      <c r="Q1" s="829"/>
      <c r="R1" s="828"/>
      <c r="S1" s="829"/>
      <c r="T1" s="829"/>
      <c r="U1" s="829"/>
      <c r="V1" s="829"/>
      <c r="W1" s="828"/>
      <c r="X1" s="829"/>
      <c r="Y1" s="829"/>
      <c r="Z1" s="829"/>
      <c r="AA1" s="829"/>
      <c r="AB1" s="829"/>
      <c r="AD1" s="830" t="s">
        <v>2051</v>
      </c>
      <c r="AE1" s="830"/>
      <c r="AF1" s="830"/>
      <c r="AG1" s="830"/>
      <c r="AH1" s="831"/>
      <c r="AI1" s="831"/>
      <c r="AJ1" s="831"/>
      <c r="AK1" s="831"/>
      <c r="AL1" s="831"/>
      <c r="AM1" s="831"/>
      <c r="AN1" s="831"/>
      <c r="AO1" s="831"/>
      <c r="AP1" s="831"/>
      <c r="AQ1" s="830"/>
      <c r="AR1" s="830" t="s">
        <v>2051</v>
      </c>
      <c r="AS1" s="831"/>
      <c r="AT1" s="831"/>
      <c r="AU1" s="831"/>
      <c r="AV1" s="831"/>
      <c r="AW1" s="831"/>
      <c r="AX1" s="831"/>
      <c r="AY1" s="831"/>
      <c r="AZ1" s="831"/>
      <c r="BA1" s="831"/>
      <c r="BB1" s="831"/>
      <c r="BC1" s="831"/>
      <c r="BD1" s="831"/>
      <c r="BE1" s="830" t="s">
        <v>2051</v>
      </c>
      <c r="BF1" s="831"/>
      <c r="BG1" s="831"/>
      <c r="BH1" s="831"/>
      <c r="BI1" s="831"/>
      <c r="BJ1" s="831"/>
      <c r="BK1" s="830" t="s">
        <v>2051</v>
      </c>
      <c r="BL1" s="831"/>
      <c r="BM1" s="831"/>
      <c r="BN1" s="831"/>
      <c r="BO1" s="831"/>
      <c r="BP1" s="830" t="s">
        <v>2051</v>
      </c>
      <c r="BQ1" s="832"/>
      <c r="BR1" s="832"/>
      <c r="BS1" s="832"/>
      <c r="BT1" s="832"/>
      <c r="BU1" s="832"/>
      <c r="BV1" s="831"/>
      <c r="BW1" s="831"/>
      <c r="BX1" s="831"/>
      <c r="BY1" s="831"/>
      <c r="BZ1" s="831"/>
      <c r="CA1" s="831"/>
      <c r="CB1" s="831"/>
      <c r="CC1" s="831"/>
      <c r="CD1" s="831"/>
      <c r="CE1" s="831"/>
      <c r="CF1" s="831"/>
      <c r="CG1" s="831"/>
      <c r="CH1" s="831"/>
      <c r="CI1" s="831"/>
      <c r="CJ1" s="831"/>
      <c r="CK1" s="831"/>
      <c r="CL1" s="831"/>
      <c r="CM1" s="831"/>
      <c r="CN1" s="831"/>
      <c r="CO1" s="831"/>
      <c r="CP1" s="831"/>
      <c r="CQ1" s="831"/>
      <c r="CR1" s="831"/>
    </row>
    <row r="2" spans="1:96" ht="15" customHeight="1" x14ac:dyDescent="0.25">
      <c r="A2" s="825"/>
      <c r="B2" s="825"/>
      <c r="C2" s="833" t="s">
        <v>2052</v>
      </c>
      <c r="D2" s="2124" t="s">
        <v>3501</v>
      </c>
      <c r="E2" s="2124"/>
      <c r="F2" s="2124"/>
      <c r="G2" s="2124"/>
      <c r="H2" s="2124"/>
      <c r="I2" s="836"/>
      <c r="J2" s="836"/>
      <c r="L2" s="837"/>
      <c r="M2" s="837"/>
      <c r="N2" s="837"/>
      <c r="O2" s="837"/>
      <c r="S2" s="838"/>
      <c r="T2" s="838"/>
      <c r="AD2" s="830"/>
      <c r="AE2" s="830"/>
      <c r="AF2" s="830"/>
      <c r="AG2" s="830"/>
    </row>
    <row r="3" spans="1:96" ht="15" customHeight="1" x14ac:dyDescent="0.25">
      <c r="A3" s="825"/>
      <c r="B3" s="825"/>
      <c r="C3" s="833" t="s">
        <v>2224</v>
      </c>
      <c r="D3" s="1143" t="s">
        <v>1804</v>
      </c>
      <c r="E3" s="1143"/>
      <c r="F3" s="1143"/>
      <c r="G3" s="1143"/>
      <c r="H3" s="1143"/>
      <c r="I3" s="834" t="s">
        <v>2053</v>
      </c>
      <c r="J3" s="835">
        <v>44361</v>
      </c>
      <c r="L3" s="837"/>
      <c r="M3" s="837"/>
      <c r="N3" s="837"/>
      <c r="O3" s="837"/>
      <c r="S3" s="838"/>
      <c r="T3" s="838"/>
      <c r="AD3" s="830"/>
      <c r="AE3" s="830"/>
      <c r="AF3" s="830"/>
      <c r="AG3" s="830"/>
    </row>
    <row r="4" spans="1:96" s="842" customFormat="1" ht="12.75" customHeight="1" x14ac:dyDescent="0.25">
      <c r="A4" s="839" t="s">
        <v>2054</v>
      </c>
      <c r="B4" s="840"/>
      <c r="C4" s="839"/>
      <c r="D4" s="839"/>
      <c r="E4" s="841"/>
      <c r="F4" s="841"/>
      <c r="G4" s="840"/>
      <c r="H4" s="841"/>
      <c r="I4" s="841"/>
      <c r="J4" s="841"/>
      <c r="L4" s="843" t="s">
        <v>2055</v>
      </c>
      <c r="M4" s="843"/>
      <c r="N4" s="843"/>
      <c r="O4" s="843"/>
      <c r="Q4" s="844" t="s">
        <v>2056</v>
      </c>
      <c r="R4" s="844"/>
      <c r="S4" s="844"/>
      <c r="T4" s="844"/>
      <c r="U4" s="844"/>
      <c r="V4" s="844"/>
      <c r="X4" s="843" t="s">
        <v>2057</v>
      </c>
      <c r="Y4" s="843"/>
      <c r="Z4" s="843"/>
      <c r="AA4" s="843"/>
      <c r="AB4" s="843"/>
      <c r="AD4" s="2117" t="s">
        <v>2058</v>
      </c>
      <c r="AE4" s="2125" t="s">
        <v>2059</v>
      </c>
      <c r="AF4" s="845" t="s">
        <v>2060</v>
      </c>
      <c r="AG4" s="845"/>
      <c r="AH4" s="845"/>
      <c r="AI4" s="845"/>
      <c r="AJ4" s="845"/>
      <c r="AK4" s="845"/>
      <c r="AL4" s="845"/>
      <c r="AM4" s="845"/>
      <c r="AN4" s="845"/>
      <c r="AO4" s="845"/>
      <c r="AP4" s="2117" t="s">
        <v>2061</v>
      </c>
      <c r="AQ4" s="845"/>
      <c r="AR4" s="845" t="s">
        <v>2062</v>
      </c>
      <c r="AS4" s="845"/>
      <c r="AT4" s="845"/>
      <c r="AU4" s="845"/>
      <c r="AV4" s="845"/>
      <c r="AW4" s="845"/>
      <c r="AX4" s="845"/>
      <c r="AY4" s="845"/>
      <c r="AZ4" s="845"/>
      <c r="BA4" s="845"/>
      <c r="BB4" s="2117" t="s">
        <v>2063</v>
      </c>
      <c r="BC4" s="2117"/>
      <c r="BD4" s="845" t="s">
        <v>2064</v>
      </c>
      <c r="BE4" s="845"/>
      <c r="BF4" s="845"/>
      <c r="BG4" s="845"/>
      <c r="BH4" s="845"/>
      <c r="BI4" s="845"/>
      <c r="BJ4" s="845"/>
      <c r="BK4" s="845"/>
      <c r="BL4" s="845"/>
      <c r="BM4" s="845"/>
      <c r="BN4" s="2117" t="s">
        <v>2065</v>
      </c>
      <c r="BO4" s="2117"/>
      <c r="BP4" s="846" t="s">
        <v>1936</v>
      </c>
      <c r="BQ4" s="846"/>
      <c r="BR4" s="846"/>
      <c r="BS4" s="846"/>
      <c r="BT4" s="846"/>
      <c r="BU4" s="846"/>
      <c r="BV4" s="847" t="s">
        <v>2066</v>
      </c>
      <c r="BW4" s="847"/>
      <c r="BX4" s="2131" t="s">
        <v>2067</v>
      </c>
      <c r="BY4" s="2123" t="s">
        <v>2068</v>
      </c>
      <c r="BZ4" s="2132" t="s">
        <v>2069</v>
      </c>
      <c r="CA4" s="2132" t="s">
        <v>2070</v>
      </c>
      <c r="CB4" s="2132" t="s">
        <v>2071</v>
      </c>
      <c r="CC4" s="2132" t="s">
        <v>2072</v>
      </c>
      <c r="CD4" s="2123" t="s">
        <v>2073</v>
      </c>
      <c r="CE4" s="1120" t="s">
        <v>2074</v>
      </c>
      <c r="CF4" s="1120"/>
      <c r="CG4" s="1120"/>
      <c r="CH4" s="1120"/>
      <c r="CI4" s="1120"/>
      <c r="CJ4" s="1120"/>
      <c r="CK4" s="1120"/>
      <c r="CL4" s="1120"/>
      <c r="CM4" s="1120"/>
      <c r="CN4" s="1120"/>
      <c r="CO4" s="848"/>
      <c r="CP4" s="848"/>
      <c r="CQ4" s="848"/>
    </row>
    <row r="5" spans="1:96" s="842" customFormat="1" ht="12.75" customHeight="1" x14ac:dyDescent="0.25">
      <c r="A5" s="2129" t="s">
        <v>2075</v>
      </c>
      <c r="B5" s="849" t="s">
        <v>2076</v>
      </c>
      <c r="C5" s="850"/>
      <c r="D5" s="850"/>
      <c r="E5" s="851"/>
      <c r="F5" s="851"/>
      <c r="G5" s="849" t="s">
        <v>2077</v>
      </c>
      <c r="H5" s="851"/>
      <c r="I5" s="851"/>
      <c r="J5" s="2130" t="s">
        <v>2078</v>
      </c>
      <c r="L5" s="2127" t="s">
        <v>2079</v>
      </c>
      <c r="M5" s="2127" t="s">
        <v>2080</v>
      </c>
      <c r="N5" s="2127" t="s">
        <v>2081</v>
      </c>
      <c r="O5" s="2127" t="s">
        <v>2082</v>
      </c>
      <c r="Q5" s="2117" t="s">
        <v>2083</v>
      </c>
      <c r="R5" s="2128" t="s">
        <v>2084</v>
      </c>
      <c r="S5" s="852" t="s">
        <v>2085</v>
      </c>
      <c r="T5" s="852"/>
      <c r="U5" s="852"/>
      <c r="V5" s="2117" t="s">
        <v>2086</v>
      </c>
      <c r="X5" s="853" t="s">
        <v>2087</v>
      </c>
      <c r="Y5" s="853"/>
      <c r="Z5" s="2118" t="s">
        <v>2088</v>
      </c>
      <c r="AA5" s="2118" t="s">
        <v>2089</v>
      </c>
      <c r="AB5" s="2118" t="s">
        <v>2090</v>
      </c>
      <c r="AD5" s="2117"/>
      <c r="AE5" s="2125"/>
      <c r="AF5" s="854">
        <v>1.5</v>
      </c>
      <c r="AG5" s="854"/>
      <c r="AH5" s="854">
        <v>3</v>
      </c>
      <c r="AI5" s="854"/>
      <c r="AJ5" s="854">
        <v>4.5</v>
      </c>
      <c r="AK5" s="854"/>
      <c r="AL5" s="854">
        <v>6</v>
      </c>
      <c r="AM5" s="854"/>
      <c r="AN5" s="854">
        <v>7.5</v>
      </c>
      <c r="AO5" s="854"/>
      <c r="AP5" s="2117"/>
      <c r="AQ5" s="854"/>
      <c r="AR5" s="854">
        <v>1.5</v>
      </c>
      <c r="AS5" s="854">
        <v>3</v>
      </c>
      <c r="AT5" s="854">
        <v>4.5</v>
      </c>
      <c r="AU5" s="854">
        <v>4.5</v>
      </c>
      <c r="AV5" s="854">
        <v>1.5</v>
      </c>
      <c r="AW5" s="854">
        <v>3</v>
      </c>
      <c r="AX5" s="854">
        <v>4.5</v>
      </c>
      <c r="AY5" s="854">
        <v>4.5</v>
      </c>
      <c r="AZ5" s="854">
        <v>4.5</v>
      </c>
      <c r="BA5" s="854">
        <v>7</v>
      </c>
      <c r="BB5" s="2117"/>
      <c r="BC5" s="2117"/>
      <c r="BD5" s="2120" t="s">
        <v>2091</v>
      </c>
      <c r="BE5" s="2121">
        <v>400</v>
      </c>
      <c r="BF5" s="2122">
        <v>500</v>
      </c>
      <c r="BG5" s="2121">
        <v>600</v>
      </c>
      <c r="BH5" s="2122">
        <v>800</v>
      </c>
      <c r="BI5" s="2121">
        <v>1000</v>
      </c>
      <c r="BJ5" s="2122">
        <v>1200</v>
      </c>
      <c r="BK5" s="2121">
        <v>1500</v>
      </c>
      <c r="BL5" s="2122">
        <v>2000</v>
      </c>
      <c r="BM5" s="2121" t="s">
        <v>2092</v>
      </c>
      <c r="BN5" s="2117"/>
      <c r="BO5" s="2117"/>
      <c r="BP5" s="1141">
        <v>500</v>
      </c>
      <c r="BQ5" s="2133">
        <v>800</v>
      </c>
      <c r="BR5" s="2133">
        <v>1000</v>
      </c>
      <c r="BS5" s="2133">
        <v>1200</v>
      </c>
      <c r="BT5" s="2133">
        <v>1500</v>
      </c>
      <c r="BU5" s="2133" t="s">
        <v>2092</v>
      </c>
      <c r="BV5" s="856"/>
      <c r="BW5" s="856"/>
      <c r="BX5" s="2131"/>
      <c r="BY5" s="2123"/>
      <c r="BZ5" s="2132"/>
      <c r="CA5" s="2132"/>
      <c r="CB5" s="2132"/>
      <c r="CC5" s="2132"/>
      <c r="CD5" s="2123"/>
      <c r="CE5" s="2115" t="s">
        <v>17</v>
      </c>
      <c r="CF5" s="1121">
        <v>1.5</v>
      </c>
      <c r="CG5" s="1118"/>
      <c r="CH5" s="1118"/>
      <c r="CI5" s="1119"/>
      <c r="CJ5" s="1128">
        <v>2.5</v>
      </c>
      <c r="CK5" s="1118"/>
      <c r="CL5" s="1118"/>
      <c r="CM5" s="1119"/>
      <c r="CN5" s="2115" t="s">
        <v>2550</v>
      </c>
      <c r="CO5" s="848"/>
      <c r="CP5" s="848"/>
      <c r="CQ5" s="848"/>
    </row>
    <row r="6" spans="1:96" s="857" customFormat="1" ht="25.5" customHeight="1" x14ac:dyDescent="0.25">
      <c r="A6" s="2129"/>
      <c r="B6" s="2134" t="s">
        <v>2093</v>
      </c>
      <c r="C6" s="2135" t="s">
        <v>2094</v>
      </c>
      <c r="D6" s="2135" t="s">
        <v>1739</v>
      </c>
      <c r="E6" s="2136" t="s">
        <v>2095</v>
      </c>
      <c r="F6" s="2136" t="s">
        <v>2096</v>
      </c>
      <c r="G6" s="2137" t="s">
        <v>2093</v>
      </c>
      <c r="H6" s="2138" t="s">
        <v>2095</v>
      </c>
      <c r="I6" s="2138" t="s">
        <v>2097</v>
      </c>
      <c r="J6" s="2130"/>
      <c r="L6" s="2127"/>
      <c r="M6" s="2127"/>
      <c r="N6" s="2127"/>
      <c r="O6" s="2127"/>
      <c r="Q6" s="2117"/>
      <c r="R6" s="2128"/>
      <c r="S6" s="2141" t="s">
        <v>2098</v>
      </c>
      <c r="T6" s="2141" t="s">
        <v>2099</v>
      </c>
      <c r="U6" s="2141" t="s">
        <v>2100</v>
      </c>
      <c r="V6" s="2117"/>
      <c r="X6" s="2142" t="s">
        <v>2101</v>
      </c>
      <c r="Y6" s="2142" t="s">
        <v>2102</v>
      </c>
      <c r="Z6" s="2118"/>
      <c r="AA6" s="2118"/>
      <c r="AB6" s="2118"/>
      <c r="AD6" s="2117"/>
      <c r="AE6" s="2125"/>
      <c r="AF6" s="858">
        <v>1.5</v>
      </c>
      <c r="AG6" s="858"/>
      <c r="AH6" s="859" t="s">
        <v>4167</v>
      </c>
      <c r="AI6" s="859"/>
      <c r="AJ6" s="860" t="s">
        <v>4168</v>
      </c>
      <c r="AK6" s="860"/>
      <c r="AL6" s="859" t="s">
        <v>4169</v>
      </c>
      <c r="AM6" s="859"/>
      <c r="AN6" s="861" t="s">
        <v>2322</v>
      </c>
      <c r="AO6" s="860"/>
      <c r="AP6" s="2117"/>
      <c r="AQ6" s="2126" t="s">
        <v>2103</v>
      </c>
      <c r="AR6" s="862">
        <v>1.5</v>
      </c>
      <c r="AS6" s="862"/>
      <c r="AT6" s="862"/>
      <c r="AU6" s="862"/>
      <c r="AV6" s="863">
        <v>2.5</v>
      </c>
      <c r="AW6" s="863"/>
      <c r="AX6" s="863"/>
      <c r="AY6" s="863"/>
      <c r="AZ6" s="864" t="s">
        <v>2104</v>
      </c>
      <c r="BA6" s="862"/>
      <c r="BB6" s="865" t="s">
        <v>2105</v>
      </c>
      <c r="BC6" s="865"/>
      <c r="BD6" s="2120"/>
      <c r="BE6" s="2121"/>
      <c r="BF6" s="2122"/>
      <c r="BG6" s="2121"/>
      <c r="BH6" s="2122"/>
      <c r="BI6" s="2121"/>
      <c r="BJ6" s="2122"/>
      <c r="BK6" s="2121"/>
      <c r="BL6" s="2122"/>
      <c r="BM6" s="2121"/>
      <c r="BN6" s="2119" t="s">
        <v>2106</v>
      </c>
      <c r="BO6" s="2119" t="s">
        <v>2107</v>
      </c>
      <c r="BP6" s="1141" t="s">
        <v>2108</v>
      </c>
      <c r="BQ6" s="2133"/>
      <c r="BR6" s="2133"/>
      <c r="BS6" s="2133"/>
      <c r="BT6" s="2133"/>
      <c r="BU6" s="2133"/>
      <c r="BV6" s="866" t="s">
        <v>2109</v>
      </c>
      <c r="BW6" s="866" t="s">
        <v>2110</v>
      </c>
      <c r="BX6" s="2131"/>
      <c r="BY6" s="2123"/>
      <c r="BZ6" s="2132"/>
      <c r="CA6" s="2132"/>
      <c r="CB6" s="2132"/>
      <c r="CC6" s="2132"/>
      <c r="CD6" s="2123"/>
      <c r="CE6" s="2116"/>
      <c r="CF6" s="1125">
        <v>1.5</v>
      </c>
      <c r="CG6" s="1126">
        <v>3</v>
      </c>
      <c r="CH6" s="1126">
        <v>4.5</v>
      </c>
      <c r="CI6" s="1127">
        <v>6</v>
      </c>
      <c r="CJ6" s="1125">
        <v>1.5</v>
      </c>
      <c r="CK6" s="1126">
        <v>3</v>
      </c>
      <c r="CL6" s="1126">
        <v>4.5</v>
      </c>
      <c r="CM6" s="1127">
        <v>6</v>
      </c>
      <c r="CN6" s="2116"/>
      <c r="CO6" s="867"/>
      <c r="CP6" s="867"/>
      <c r="CQ6" s="867"/>
    </row>
    <row r="7" spans="1:96" s="857" customFormat="1" x14ac:dyDescent="0.25">
      <c r="A7" s="2129"/>
      <c r="B7" s="2134"/>
      <c r="C7" s="2135"/>
      <c r="D7" s="2135"/>
      <c r="E7" s="2136"/>
      <c r="F7" s="2136"/>
      <c r="G7" s="2137"/>
      <c r="H7" s="2138"/>
      <c r="I7" s="2138"/>
      <c r="J7" s="1142"/>
      <c r="L7" s="2127"/>
      <c r="M7" s="2127"/>
      <c r="N7" s="2127"/>
      <c r="O7" s="2127"/>
      <c r="Q7" s="2117"/>
      <c r="R7" s="2128"/>
      <c r="S7" s="2141"/>
      <c r="T7" s="2141"/>
      <c r="U7" s="2141"/>
      <c r="V7" s="2117"/>
      <c r="X7" s="2142"/>
      <c r="Y7" s="2142"/>
      <c r="Z7" s="2118"/>
      <c r="AA7" s="2118"/>
      <c r="AB7" s="2118"/>
      <c r="AD7" s="2117"/>
      <c r="AE7" s="2125"/>
      <c r="AF7" s="869">
        <v>1.5</v>
      </c>
      <c r="AG7" s="869" t="s">
        <v>2111</v>
      </c>
      <c r="AH7" s="870">
        <v>1.5</v>
      </c>
      <c r="AI7" s="870" t="s">
        <v>2111</v>
      </c>
      <c r="AJ7" s="869">
        <v>1.5</v>
      </c>
      <c r="AK7" s="869" t="s">
        <v>2111</v>
      </c>
      <c r="AL7" s="870">
        <v>1.5</v>
      </c>
      <c r="AM7" s="870" t="s">
        <v>2111</v>
      </c>
      <c r="AN7" s="1102" t="s">
        <v>2323</v>
      </c>
      <c r="AO7" s="1102"/>
      <c r="AP7" s="2117"/>
      <c r="AQ7" s="2126"/>
      <c r="AR7" s="871">
        <v>1.5</v>
      </c>
      <c r="AS7" s="872" t="s">
        <v>4170</v>
      </c>
      <c r="AT7" s="872" t="s">
        <v>4171</v>
      </c>
      <c r="AU7" s="873">
        <v>4.5</v>
      </c>
      <c r="AV7" s="874">
        <v>1.5</v>
      </c>
      <c r="AW7" s="875" t="s">
        <v>4170</v>
      </c>
      <c r="AX7" s="875" t="s">
        <v>4171</v>
      </c>
      <c r="AY7" s="876">
        <v>4.5</v>
      </c>
      <c r="AZ7" s="877" t="s">
        <v>2112</v>
      </c>
      <c r="BA7" s="872" t="s">
        <v>2112</v>
      </c>
      <c r="BB7" s="878">
        <v>1.5</v>
      </c>
      <c r="BC7" s="879">
        <v>1.5</v>
      </c>
      <c r="BD7" s="2120"/>
      <c r="BE7" s="2121"/>
      <c r="BF7" s="2122"/>
      <c r="BG7" s="2121"/>
      <c r="BH7" s="2122"/>
      <c r="BI7" s="2121"/>
      <c r="BJ7" s="2122"/>
      <c r="BK7" s="2121"/>
      <c r="BL7" s="2122"/>
      <c r="BM7" s="2121"/>
      <c r="BN7" s="2119"/>
      <c r="BO7" s="2119"/>
      <c r="BP7" s="1141">
        <v>600</v>
      </c>
      <c r="BQ7" s="2133"/>
      <c r="BR7" s="2133"/>
      <c r="BS7" s="2133"/>
      <c r="BT7" s="2133"/>
      <c r="BU7" s="2133"/>
      <c r="BV7" s="856"/>
      <c r="BW7" s="856"/>
      <c r="BX7" s="2131"/>
      <c r="BY7" s="2123"/>
      <c r="BZ7" s="2132"/>
      <c r="CA7" s="2132"/>
      <c r="CB7" s="2132"/>
      <c r="CC7" s="2132"/>
      <c r="CD7" s="2123"/>
      <c r="CE7" s="2116"/>
      <c r="CF7" s="1124"/>
      <c r="CG7" s="1144" t="s">
        <v>4172</v>
      </c>
      <c r="CH7" s="1144" t="s">
        <v>4173</v>
      </c>
      <c r="CI7" s="1123" t="s">
        <v>4174</v>
      </c>
      <c r="CJ7" s="1124"/>
      <c r="CK7" s="1144" t="s">
        <v>4172</v>
      </c>
      <c r="CL7" s="1144" t="s">
        <v>4173</v>
      </c>
      <c r="CM7" s="1123" t="s">
        <v>4174</v>
      </c>
      <c r="CN7" s="2116"/>
      <c r="CO7" s="867"/>
      <c r="CP7" s="867"/>
      <c r="CQ7" s="867"/>
    </row>
    <row r="8" spans="1:96" s="887" customFormat="1" x14ac:dyDescent="0.25">
      <c r="A8" s="880" t="s">
        <v>35</v>
      </c>
      <c r="B8" s="881" t="s">
        <v>35</v>
      </c>
      <c r="C8" s="882" t="s">
        <v>2113</v>
      </c>
      <c r="D8" s="882" t="s">
        <v>35</v>
      </c>
      <c r="E8" s="883" t="s">
        <v>26</v>
      </c>
      <c r="F8" s="883" t="s">
        <v>26</v>
      </c>
      <c r="G8" s="884" t="s">
        <v>35</v>
      </c>
      <c r="H8" s="885" t="s">
        <v>26</v>
      </c>
      <c r="I8" s="885" t="s">
        <v>26</v>
      </c>
      <c r="J8" s="886" t="s">
        <v>26</v>
      </c>
      <c r="L8" s="888" t="s">
        <v>26</v>
      </c>
      <c r="M8" s="888" t="s">
        <v>26</v>
      </c>
      <c r="N8" s="888" t="s">
        <v>26</v>
      </c>
      <c r="O8" s="888" t="s">
        <v>26</v>
      </c>
      <c r="Q8" s="889" t="s">
        <v>26</v>
      </c>
      <c r="R8" s="890" t="s">
        <v>35</v>
      </c>
      <c r="S8" s="891" t="s">
        <v>26</v>
      </c>
      <c r="T8" s="891" t="s">
        <v>26</v>
      </c>
      <c r="U8" s="891" t="s">
        <v>26</v>
      </c>
      <c r="V8" s="889" t="s">
        <v>26</v>
      </c>
      <c r="X8" s="892" t="s">
        <v>20</v>
      </c>
      <c r="Y8" s="892" t="s">
        <v>20</v>
      </c>
      <c r="Z8" s="888" t="s">
        <v>20</v>
      </c>
      <c r="AA8" s="888" t="s">
        <v>20</v>
      </c>
      <c r="AB8" s="888" t="s">
        <v>20</v>
      </c>
      <c r="AD8" s="893" t="s">
        <v>20</v>
      </c>
      <c r="AE8" s="894" t="s">
        <v>28</v>
      </c>
      <c r="AF8" s="895" t="s">
        <v>28</v>
      </c>
      <c r="AG8" s="895"/>
      <c r="AH8" s="896" t="s">
        <v>28</v>
      </c>
      <c r="AI8" s="896"/>
      <c r="AJ8" s="895" t="s">
        <v>28</v>
      </c>
      <c r="AK8" s="895"/>
      <c r="AL8" s="896" t="s">
        <v>28</v>
      </c>
      <c r="AM8" s="896"/>
      <c r="AN8" s="895"/>
      <c r="AO8" s="895" t="s">
        <v>28</v>
      </c>
      <c r="AP8" s="893" t="s">
        <v>20</v>
      </c>
      <c r="AQ8" s="2126"/>
      <c r="AR8" s="895" t="s">
        <v>20</v>
      </c>
      <c r="AS8" s="895" t="s">
        <v>20</v>
      </c>
      <c r="AT8" s="895" t="s">
        <v>20</v>
      </c>
      <c r="AU8" s="895" t="s">
        <v>20</v>
      </c>
      <c r="AV8" s="897" t="s">
        <v>20</v>
      </c>
      <c r="AW8" s="897" t="s">
        <v>20</v>
      </c>
      <c r="AX8" s="897" t="s">
        <v>20</v>
      </c>
      <c r="AY8" s="897" t="s">
        <v>20</v>
      </c>
      <c r="AZ8" s="895" t="s">
        <v>20</v>
      </c>
      <c r="BA8" s="895" t="s">
        <v>20</v>
      </c>
      <c r="BB8" s="898" t="s">
        <v>28</v>
      </c>
      <c r="BC8" s="898"/>
      <c r="BD8" s="2120"/>
      <c r="BE8" s="897" t="s">
        <v>26</v>
      </c>
      <c r="BF8" s="899" t="s">
        <v>26</v>
      </c>
      <c r="BG8" s="897" t="s">
        <v>26</v>
      </c>
      <c r="BH8" s="899" t="s">
        <v>26</v>
      </c>
      <c r="BI8" s="897" t="s">
        <v>26</v>
      </c>
      <c r="BJ8" s="899" t="s">
        <v>26</v>
      </c>
      <c r="BK8" s="897" t="s">
        <v>26</v>
      </c>
      <c r="BL8" s="899" t="s">
        <v>26</v>
      </c>
      <c r="BM8" s="897" t="s">
        <v>26</v>
      </c>
      <c r="BN8" s="900" t="s">
        <v>39</v>
      </c>
      <c r="BO8" s="900" t="s">
        <v>39</v>
      </c>
      <c r="BP8" s="901" t="s">
        <v>39</v>
      </c>
      <c r="BQ8" s="901" t="s">
        <v>39</v>
      </c>
      <c r="BR8" s="901" t="s">
        <v>39</v>
      </c>
      <c r="BS8" s="901" t="s">
        <v>39</v>
      </c>
      <c r="BT8" s="901" t="s">
        <v>39</v>
      </c>
      <c r="BU8" s="901" t="s">
        <v>2114</v>
      </c>
      <c r="BV8" s="902" t="s">
        <v>26</v>
      </c>
      <c r="BW8" s="902" t="s">
        <v>26</v>
      </c>
      <c r="BX8" s="1103" t="s">
        <v>39</v>
      </c>
      <c r="BY8" s="901" t="s">
        <v>39</v>
      </c>
      <c r="BZ8" s="903" t="s">
        <v>39</v>
      </c>
      <c r="CA8" s="903" t="s">
        <v>39</v>
      </c>
      <c r="CB8" s="903" t="s">
        <v>39</v>
      </c>
      <c r="CC8" s="903"/>
      <c r="CD8" s="901" t="s">
        <v>28</v>
      </c>
      <c r="CE8" s="903" t="s">
        <v>28</v>
      </c>
      <c r="CF8" s="903"/>
      <c r="CG8" s="903"/>
      <c r="CH8" s="903"/>
      <c r="CI8" s="903"/>
      <c r="CJ8" s="903"/>
      <c r="CK8" s="903"/>
      <c r="CL8" s="903"/>
      <c r="CM8" s="903"/>
      <c r="CN8" s="903"/>
      <c r="CO8" s="904"/>
      <c r="CP8" s="904"/>
      <c r="CQ8" s="904"/>
    </row>
    <row r="9" spans="1:96" s="842" customFormat="1" x14ac:dyDescent="0.25">
      <c r="A9" s="905"/>
      <c r="B9" s="887"/>
      <c r="C9" s="905"/>
      <c r="D9" s="905"/>
      <c r="E9" s="848"/>
      <c r="F9" s="848"/>
      <c r="G9" s="887"/>
      <c r="H9" s="848"/>
      <c r="I9" s="848"/>
      <c r="J9" s="906"/>
      <c r="L9" s="848"/>
      <c r="M9" s="848"/>
      <c r="N9" s="848"/>
      <c r="O9" s="848"/>
      <c r="Q9" s="848"/>
      <c r="R9" s="887"/>
      <c r="S9" s="904"/>
      <c r="T9" s="904"/>
      <c r="U9" s="848"/>
      <c r="V9" s="848"/>
      <c r="X9" s="848"/>
      <c r="Y9" s="848"/>
      <c r="Z9" s="848"/>
      <c r="AA9" s="848"/>
      <c r="AB9" s="848"/>
      <c r="AD9" s="904"/>
      <c r="AE9" s="904"/>
      <c r="AF9" s="904"/>
      <c r="AG9" s="904"/>
      <c r="AH9" s="904"/>
      <c r="AI9" s="904"/>
      <c r="AJ9" s="904"/>
      <c r="AK9" s="904"/>
      <c r="AL9" s="904"/>
      <c r="AM9" s="904"/>
      <c r="AN9" s="904"/>
      <c r="AO9" s="904"/>
      <c r="AP9" s="904"/>
      <c r="AQ9" s="904"/>
      <c r="AR9" s="904"/>
      <c r="AS9" s="904"/>
      <c r="AT9" s="904"/>
      <c r="AU9" s="904"/>
      <c r="AV9" s="904"/>
      <c r="AW9" s="904"/>
      <c r="AX9" s="904"/>
      <c r="AY9" s="904"/>
      <c r="AZ9" s="904"/>
      <c r="BA9" s="904"/>
      <c r="BB9" s="904"/>
      <c r="BC9" s="904"/>
      <c r="BD9" s="904"/>
      <c r="BE9" s="848"/>
      <c r="BF9" s="848"/>
      <c r="BG9" s="848"/>
      <c r="BH9" s="848"/>
      <c r="BI9" s="848"/>
      <c r="BJ9" s="848"/>
      <c r="BK9" s="848"/>
      <c r="BL9" s="848"/>
      <c r="BM9" s="848"/>
      <c r="BN9" s="907"/>
      <c r="BO9" s="907"/>
      <c r="BP9" s="908"/>
      <c r="BQ9" s="908"/>
      <c r="BR9" s="908"/>
      <c r="BS9" s="908"/>
      <c r="BT9" s="908"/>
      <c r="BU9" s="908"/>
      <c r="BV9" s="908"/>
      <c r="BW9" s="908"/>
      <c r="BX9" s="907"/>
      <c r="BY9" s="907"/>
      <c r="BZ9" s="907"/>
      <c r="CA9" s="907"/>
      <c r="CB9" s="907"/>
      <c r="CC9" s="907"/>
      <c r="CD9" s="848"/>
      <c r="CE9" s="904"/>
      <c r="CF9" s="904"/>
      <c r="CG9" s="904"/>
      <c r="CH9" s="904"/>
      <c r="CI9" s="904"/>
      <c r="CJ9" s="904"/>
      <c r="CK9" s="904"/>
      <c r="CL9" s="904"/>
      <c r="CM9" s="904"/>
      <c r="CN9" s="904"/>
      <c r="CO9" s="848"/>
      <c r="CP9" s="848"/>
      <c r="CQ9" s="848"/>
    </row>
    <row r="10" spans="1:96" x14ac:dyDescent="0.25">
      <c r="A10" s="909" t="s">
        <v>2115</v>
      </c>
      <c r="B10" s="910"/>
      <c r="C10" s="911"/>
      <c r="D10" s="911"/>
      <c r="E10" s="912"/>
      <c r="F10" s="913"/>
      <c r="G10" s="910"/>
      <c r="H10" s="912"/>
      <c r="I10" s="913"/>
      <c r="J10" s="914"/>
      <c r="K10" s="915"/>
      <c r="L10" s="916" t="s">
        <v>21</v>
      </c>
      <c r="M10" s="916" t="s">
        <v>21</v>
      </c>
      <c r="N10" s="916" t="s">
        <v>21</v>
      </c>
      <c r="O10" s="916" t="s">
        <v>21</v>
      </c>
      <c r="P10" s="915"/>
      <c r="Q10" s="916" t="s">
        <v>21</v>
      </c>
      <c r="R10" s="917" t="s">
        <v>21</v>
      </c>
      <c r="S10" s="918" t="s">
        <v>21</v>
      </c>
      <c r="T10" s="918" t="s">
        <v>21</v>
      </c>
      <c r="U10" s="916" t="s">
        <v>21</v>
      </c>
      <c r="V10" s="916" t="s">
        <v>21</v>
      </c>
      <c r="W10" s="915"/>
      <c r="X10" s="916" t="s">
        <v>21</v>
      </c>
      <c r="Y10" s="916" t="s">
        <v>21</v>
      </c>
      <c r="Z10" s="916" t="s">
        <v>21</v>
      </c>
      <c r="AA10" s="916" t="s">
        <v>21</v>
      </c>
      <c r="AB10" s="916" t="s">
        <v>21</v>
      </c>
      <c r="AC10" s="915"/>
      <c r="AD10" s="919" t="s">
        <v>21</v>
      </c>
      <c r="AE10" s="920" t="s">
        <v>21</v>
      </c>
      <c r="AF10" s="920" t="s">
        <v>21</v>
      </c>
      <c r="AG10" s="920" t="s">
        <v>21</v>
      </c>
      <c r="AH10" s="921" t="s">
        <v>21</v>
      </c>
      <c r="AI10" s="921" t="s">
        <v>21</v>
      </c>
      <c r="AJ10" s="920" t="s">
        <v>21</v>
      </c>
      <c r="AK10" s="920" t="s">
        <v>21</v>
      </c>
      <c r="AL10" s="921" t="s">
        <v>21</v>
      </c>
      <c r="AM10" s="921" t="s">
        <v>21</v>
      </c>
      <c r="AN10" s="920"/>
      <c r="AO10" s="920" t="s">
        <v>21</v>
      </c>
      <c r="AP10" s="919" t="s">
        <v>21</v>
      </c>
      <c r="AQ10" s="922" t="s">
        <v>21</v>
      </c>
      <c r="AR10" s="923" t="s">
        <v>21</v>
      </c>
      <c r="AS10" s="923" t="s">
        <v>21</v>
      </c>
      <c r="AT10" s="923" t="s">
        <v>21</v>
      </c>
      <c r="AU10" s="923" t="s">
        <v>21</v>
      </c>
      <c r="AV10" s="924" t="s">
        <v>21</v>
      </c>
      <c r="AW10" s="924" t="s">
        <v>21</v>
      </c>
      <c r="AX10" s="924" t="s">
        <v>21</v>
      </c>
      <c r="AY10" s="924" t="s">
        <v>21</v>
      </c>
      <c r="AZ10" s="923" t="s">
        <v>21</v>
      </c>
      <c r="BA10" s="923"/>
      <c r="BB10" s="919" t="s">
        <v>21</v>
      </c>
      <c r="BC10" s="919" t="s">
        <v>21</v>
      </c>
      <c r="BD10" s="919" t="s">
        <v>21</v>
      </c>
      <c r="BE10" s="925" t="s">
        <v>21</v>
      </c>
      <c r="BF10" s="926" t="s">
        <v>21</v>
      </c>
      <c r="BG10" s="925" t="s">
        <v>21</v>
      </c>
      <c r="BH10" s="926" t="s">
        <v>21</v>
      </c>
      <c r="BI10" s="925" t="s">
        <v>21</v>
      </c>
      <c r="BJ10" s="926" t="s">
        <v>21</v>
      </c>
      <c r="BK10" s="925" t="s">
        <v>21</v>
      </c>
      <c r="BL10" s="926" t="s">
        <v>21</v>
      </c>
      <c r="BM10" s="925" t="s">
        <v>21</v>
      </c>
      <c r="BN10" s="927"/>
      <c r="BO10" s="927"/>
      <c r="BP10" s="928" t="s">
        <v>21</v>
      </c>
      <c r="BQ10" s="928" t="s">
        <v>21</v>
      </c>
      <c r="BR10" s="928" t="s">
        <v>21</v>
      </c>
      <c r="BS10" s="928" t="s">
        <v>21</v>
      </c>
      <c r="BT10" s="928" t="s">
        <v>21</v>
      </c>
      <c r="BU10" s="928" t="s">
        <v>21</v>
      </c>
      <c r="BV10" s="929" t="s">
        <v>21</v>
      </c>
      <c r="BW10" s="929" t="s">
        <v>21</v>
      </c>
      <c r="BX10" s="1104" t="s">
        <v>21</v>
      </c>
      <c r="BY10" s="931" t="s">
        <v>21</v>
      </c>
      <c r="BZ10" s="930"/>
      <c r="CA10" s="1074"/>
      <c r="CB10" s="930"/>
      <c r="CC10" s="930"/>
      <c r="CD10" s="925" t="s">
        <v>21</v>
      </c>
      <c r="CE10" s="1130" t="s">
        <v>21</v>
      </c>
      <c r="CF10" s="1129" t="s">
        <v>21</v>
      </c>
      <c r="CG10" s="1130" t="s">
        <v>21</v>
      </c>
      <c r="CH10" s="1130" t="s">
        <v>21</v>
      </c>
      <c r="CI10" s="1131" t="s">
        <v>21</v>
      </c>
      <c r="CJ10" s="1129" t="s">
        <v>21</v>
      </c>
      <c r="CK10" s="1130" t="s">
        <v>21</v>
      </c>
      <c r="CL10" s="1130" t="s">
        <v>21</v>
      </c>
      <c r="CM10" s="1131" t="s">
        <v>21</v>
      </c>
      <c r="CN10" s="1130" t="s">
        <v>21</v>
      </c>
      <c r="CR10" s="836"/>
    </row>
    <row r="11" spans="1:96" x14ac:dyDescent="0.25">
      <c r="A11" s="1075">
        <v>1</v>
      </c>
      <c r="B11" s="932" t="s">
        <v>2225</v>
      </c>
      <c r="C11" s="911">
        <v>600</v>
      </c>
      <c r="D11" s="911" t="s">
        <v>2116</v>
      </c>
      <c r="E11" s="912">
        <v>1204.7</v>
      </c>
      <c r="F11" s="912">
        <v>1202.8</v>
      </c>
      <c r="G11" s="910" t="s">
        <v>2226</v>
      </c>
      <c r="H11" s="912">
        <v>1204.55</v>
      </c>
      <c r="I11" s="912">
        <v>1202.6500000000001</v>
      </c>
      <c r="J11" s="914">
        <v>14.55</v>
      </c>
      <c r="K11" s="915"/>
      <c r="L11" s="916">
        <v>0.1</v>
      </c>
      <c r="M11" s="916">
        <v>0.06</v>
      </c>
      <c r="N11" s="916">
        <v>0.2</v>
      </c>
      <c r="O11" s="916">
        <v>4.84</v>
      </c>
      <c r="P11" s="915"/>
      <c r="Q11" s="916">
        <v>2.16</v>
      </c>
      <c r="R11" s="917">
        <v>0.33333333333333331</v>
      </c>
      <c r="S11" s="918">
        <v>1.4</v>
      </c>
      <c r="T11" s="918">
        <v>2.84</v>
      </c>
      <c r="U11" s="916">
        <v>4.5540000000000003</v>
      </c>
      <c r="V11" s="916">
        <v>0.92</v>
      </c>
      <c r="W11" s="915"/>
      <c r="X11" s="916">
        <v>0.28299999999999997</v>
      </c>
      <c r="Y11" s="916">
        <v>0.40699999999999997</v>
      </c>
      <c r="Z11" s="916">
        <v>4.5789999999999997</v>
      </c>
      <c r="AA11" s="916">
        <v>1.0229999999999999</v>
      </c>
      <c r="AB11" s="916">
        <v>3.0089999999999999</v>
      </c>
      <c r="AC11" s="915"/>
      <c r="AD11" s="919">
        <v>70.421999999999997</v>
      </c>
      <c r="AE11" s="920">
        <v>66.623999999999995</v>
      </c>
      <c r="AF11" s="920" t="s">
        <v>21</v>
      </c>
      <c r="AG11" s="920" t="s">
        <v>21</v>
      </c>
      <c r="AH11" s="921">
        <v>66.623999999999995</v>
      </c>
      <c r="AI11" s="921" t="s">
        <v>21</v>
      </c>
      <c r="AJ11" s="920" t="s">
        <v>21</v>
      </c>
      <c r="AK11" s="920" t="s">
        <v>21</v>
      </c>
      <c r="AL11" s="921" t="s">
        <v>21</v>
      </c>
      <c r="AM11" s="921" t="s">
        <v>21</v>
      </c>
      <c r="AN11" s="920"/>
      <c r="AO11" s="920" t="s">
        <v>21</v>
      </c>
      <c r="AP11" s="919">
        <v>20.37</v>
      </c>
      <c r="AQ11" s="922">
        <v>66.260700000000014</v>
      </c>
      <c r="AR11" s="923" t="s">
        <v>21</v>
      </c>
      <c r="AS11" s="923">
        <v>66.260700000000014</v>
      </c>
      <c r="AT11" s="923" t="s">
        <v>21</v>
      </c>
      <c r="AU11" s="923" t="s">
        <v>21</v>
      </c>
      <c r="AV11" s="924" t="s">
        <v>21</v>
      </c>
      <c r="AW11" s="924" t="s">
        <v>21</v>
      </c>
      <c r="AX11" s="924" t="s">
        <v>21</v>
      </c>
      <c r="AY11" s="924" t="s">
        <v>21</v>
      </c>
      <c r="AZ11" s="923" t="s">
        <v>21</v>
      </c>
      <c r="BA11" s="923"/>
      <c r="BB11" s="919">
        <v>2.0369999999999999</v>
      </c>
      <c r="BC11" s="919" t="s">
        <v>21</v>
      </c>
      <c r="BD11" s="919" t="s">
        <v>2142</v>
      </c>
      <c r="BE11" s="925" t="s">
        <v>21</v>
      </c>
      <c r="BF11" s="926" t="s">
        <v>21</v>
      </c>
      <c r="BG11" s="925">
        <v>14.55</v>
      </c>
      <c r="BH11" s="926" t="s">
        <v>21</v>
      </c>
      <c r="BI11" s="925" t="s">
        <v>21</v>
      </c>
      <c r="BJ11" s="926" t="s">
        <v>21</v>
      </c>
      <c r="BK11" s="925" t="s">
        <v>21</v>
      </c>
      <c r="BL11" s="926" t="s">
        <v>21</v>
      </c>
      <c r="BM11" s="925" t="s">
        <v>21</v>
      </c>
      <c r="BN11" s="927"/>
      <c r="BO11" s="927"/>
      <c r="BP11" s="928">
        <v>1</v>
      </c>
      <c r="BQ11" s="928" t="s">
        <v>21</v>
      </c>
      <c r="BR11" s="928" t="s">
        <v>21</v>
      </c>
      <c r="BS11" s="928" t="s">
        <v>21</v>
      </c>
      <c r="BT11" s="928" t="s">
        <v>21</v>
      </c>
      <c r="BU11" s="928" t="s">
        <v>21</v>
      </c>
      <c r="BV11" s="929">
        <v>0.50000000000009104</v>
      </c>
      <c r="BW11" s="929">
        <v>1</v>
      </c>
      <c r="BX11" s="1104">
        <v>2</v>
      </c>
      <c r="BY11" s="931">
        <v>4</v>
      </c>
      <c r="BZ11" s="930"/>
      <c r="CA11" s="1074">
        <v>1</v>
      </c>
      <c r="CB11" s="930"/>
      <c r="CC11" s="930"/>
      <c r="CD11" s="925">
        <v>14.885</v>
      </c>
      <c r="CE11" s="1130">
        <v>43.780999999999999</v>
      </c>
      <c r="CF11" s="1129" t="s">
        <v>21</v>
      </c>
      <c r="CG11" s="1130" t="s">
        <v>21</v>
      </c>
      <c r="CH11" s="1130" t="s">
        <v>21</v>
      </c>
      <c r="CI11" s="1131" t="s">
        <v>21</v>
      </c>
      <c r="CJ11" s="1129" t="s">
        <v>21</v>
      </c>
      <c r="CK11" s="1130">
        <v>43.780999999999999</v>
      </c>
      <c r="CL11" s="1130" t="s">
        <v>21</v>
      </c>
      <c r="CM11" s="1131" t="s">
        <v>21</v>
      </c>
      <c r="CN11" s="1130" t="s">
        <v>21</v>
      </c>
      <c r="CP11" s="838" t="s">
        <v>21</v>
      </c>
      <c r="CQ11" s="838" t="s">
        <v>21</v>
      </c>
      <c r="CR11" s="836"/>
    </row>
    <row r="12" spans="1:96" x14ac:dyDescent="0.25">
      <c r="A12" s="935" t="s">
        <v>3060</v>
      </c>
      <c r="B12" s="932" t="s">
        <v>2226</v>
      </c>
      <c r="C12" s="911">
        <v>600</v>
      </c>
      <c r="D12" s="911" t="s">
        <v>2116</v>
      </c>
      <c r="E12" s="912">
        <v>1204.55</v>
      </c>
      <c r="F12" s="912">
        <v>1202.6500000000001</v>
      </c>
      <c r="G12" s="910" t="s">
        <v>2227</v>
      </c>
      <c r="H12" s="912">
        <v>1205.06</v>
      </c>
      <c r="I12" s="912">
        <v>1202.4069999999999</v>
      </c>
      <c r="J12" s="914">
        <v>48.53</v>
      </c>
      <c r="K12" s="915"/>
      <c r="L12" s="916">
        <v>0.1</v>
      </c>
      <c r="M12" s="916">
        <v>0.06</v>
      </c>
      <c r="N12" s="916">
        <v>0.2</v>
      </c>
      <c r="O12" s="916">
        <v>5.0910000000000002</v>
      </c>
      <c r="P12" s="915"/>
      <c r="Q12" s="916">
        <v>2.536</v>
      </c>
      <c r="R12" s="917">
        <v>0.33333333333333331</v>
      </c>
      <c r="S12" s="918">
        <v>1.4</v>
      </c>
      <c r="T12" s="918">
        <v>3.0910000000000002</v>
      </c>
      <c r="U12" s="916">
        <v>5.3460000000000001</v>
      </c>
      <c r="V12" s="916">
        <v>0.92</v>
      </c>
      <c r="W12" s="915"/>
      <c r="X12" s="916">
        <v>0.28299999999999997</v>
      </c>
      <c r="Y12" s="916">
        <v>0.40699999999999997</v>
      </c>
      <c r="Z12" s="916">
        <v>5.6950000000000003</v>
      </c>
      <c r="AA12" s="916">
        <v>1.0229999999999999</v>
      </c>
      <c r="AB12" s="916">
        <v>4.125</v>
      </c>
      <c r="AC12" s="915"/>
      <c r="AD12" s="919">
        <v>247.066</v>
      </c>
      <c r="AE12" s="920">
        <v>276.37799999999999</v>
      </c>
      <c r="AF12" s="920" t="s">
        <v>21</v>
      </c>
      <c r="AG12" s="920" t="s">
        <v>21</v>
      </c>
      <c r="AH12" s="921">
        <v>276.37799999999999</v>
      </c>
      <c r="AI12" s="921" t="s">
        <v>21</v>
      </c>
      <c r="AJ12" s="920" t="s">
        <v>21</v>
      </c>
      <c r="AK12" s="920" t="s">
        <v>21</v>
      </c>
      <c r="AL12" s="921" t="s">
        <v>21</v>
      </c>
      <c r="AM12" s="921" t="s">
        <v>21</v>
      </c>
      <c r="AN12" s="920"/>
      <c r="AO12" s="920" t="s">
        <v>21</v>
      </c>
      <c r="AP12" s="919">
        <v>67.941999999999993</v>
      </c>
      <c r="AQ12" s="922">
        <v>259.44138000000004</v>
      </c>
      <c r="AR12" s="923" t="s">
        <v>21</v>
      </c>
      <c r="AS12" s="923">
        <v>259.44138000000004</v>
      </c>
      <c r="AT12" s="923" t="s">
        <v>21</v>
      </c>
      <c r="AU12" s="923" t="s">
        <v>21</v>
      </c>
      <c r="AV12" s="924" t="s">
        <v>21</v>
      </c>
      <c r="AW12" s="924" t="s">
        <v>21</v>
      </c>
      <c r="AX12" s="924" t="s">
        <v>21</v>
      </c>
      <c r="AY12" s="924" t="s">
        <v>21</v>
      </c>
      <c r="AZ12" s="923" t="s">
        <v>21</v>
      </c>
      <c r="BA12" s="923"/>
      <c r="BB12" s="919">
        <v>6.7939999999999996</v>
      </c>
      <c r="BC12" s="919" t="s">
        <v>21</v>
      </c>
      <c r="BD12" s="919" t="s">
        <v>2142</v>
      </c>
      <c r="BE12" s="925" t="s">
        <v>21</v>
      </c>
      <c r="BF12" s="926" t="s">
        <v>21</v>
      </c>
      <c r="BG12" s="925">
        <v>48.53</v>
      </c>
      <c r="BH12" s="926" t="s">
        <v>21</v>
      </c>
      <c r="BI12" s="925" t="s">
        <v>21</v>
      </c>
      <c r="BJ12" s="926" t="s">
        <v>21</v>
      </c>
      <c r="BK12" s="925" t="s">
        <v>21</v>
      </c>
      <c r="BL12" s="926" t="s">
        <v>21</v>
      </c>
      <c r="BM12" s="925" t="s">
        <v>21</v>
      </c>
      <c r="BN12" s="927"/>
      <c r="BO12" s="927"/>
      <c r="BP12" s="928">
        <v>1</v>
      </c>
      <c r="BQ12" s="928" t="s">
        <v>21</v>
      </c>
      <c r="BR12" s="928" t="s">
        <v>21</v>
      </c>
      <c r="BS12" s="928" t="s">
        <v>21</v>
      </c>
      <c r="BT12" s="928" t="s">
        <v>21</v>
      </c>
      <c r="BU12" s="928" t="s">
        <v>21</v>
      </c>
      <c r="BV12" s="929">
        <v>0.49999999999986366</v>
      </c>
      <c r="BW12" s="929">
        <v>0.5</v>
      </c>
      <c r="BX12" s="1104">
        <v>1</v>
      </c>
      <c r="BY12" s="931">
        <v>3</v>
      </c>
      <c r="BZ12" s="930">
        <v>1</v>
      </c>
      <c r="CA12" s="1074">
        <v>1</v>
      </c>
      <c r="CB12" s="930"/>
      <c r="CC12" s="930"/>
      <c r="CD12" s="925">
        <v>49.646000000000001</v>
      </c>
      <c r="CE12" s="1130">
        <v>200.18600000000001</v>
      </c>
      <c r="CF12" s="1129" t="s">
        <v>21</v>
      </c>
      <c r="CG12" s="1130" t="s">
        <v>21</v>
      </c>
      <c r="CH12" s="1130" t="s">
        <v>21</v>
      </c>
      <c r="CI12" s="1131" t="s">
        <v>21</v>
      </c>
      <c r="CJ12" s="1129" t="s">
        <v>21</v>
      </c>
      <c r="CK12" s="1130">
        <v>200.18600000000001</v>
      </c>
      <c r="CL12" s="1130" t="s">
        <v>21</v>
      </c>
      <c r="CM12" s="1131" t="s">
        <v>21</v>
      </c>
      <c r="CN12" s="1130" t="s">
        <v>21</v>
      </c>
      <c r="CP12" s="838" t="s">
        <v>21</v>
      </c>
      <c r="CQ12" s="838" t="s">
        <v>21</v>
      </c>
      <c r="CR12" s="836"/>
    </row>
    <row r="13" spans="1:96" x14ac:dyDescent="0.25">
      <c r="A13" s="935" t="s">
        <v>3061</v>
      </c>
      <c r="B13" s="932" t="s">
        <v>2227</v>
      </c>
      <c r="C13" s="911">
        <v>600</v>
      </c>
      <c r="D13" s="911" t="s">
        <v>2116</v>
      </c>
      <c r="E13" s="912">
        <v>1205.06</v>
      </c>
      <c r="F13" s="912">
        <v>1202.1569999999999</v>
      </c>
      <c r="G13" s="910" t="s">
        <v>2228</v>
      </c>
      <c r="H13" s="912">
        <v>1204.6199999999999</v>
      </c>
      <c r="I13" s="912">
        <v>1202.83</v>
      </c>
      <c r="J13" s="914">
        <v>55.49</v>
      </c>
      <c r="K13" s="915"/>
      <c r="L13" s="916">
        <v>0.1</v>
      </c>
      <c r="M13" s="916">
        <v>0.06</v>
      </c>
      <c r="N13" s="916">
        <v>0.2</v>
      </c>
      <c r="O13" s="916">
        <v>5.1370000000000005</v>
      </c>
      <c r="P13" s="915"/>
      <c r="Q13" s="916">
        <v>2.6059999999999999</v>
      </c>
      <c r="R13" s="917">
        <v>0.33333333333333331</v>
      </c>
      <c r="S13" s="918">
        <v>1.4</v>
      </c>
      <c r="T13" s="918">
        <v>3.137</v>
      </c>
      <c r="U13" s="916">
        <v>5.4939999999999998</v>
      </c>
      <c r="V13" s="916">
        <v>0.92</v>
      </c>
      <c r="W13" s="915"/>
      <c r="X13" s="916">
        <v>0.28299999999999997</v>
      </c>
      <c r="Y13" s="916">
        <v>0.40699999999999997</v>
      </c>
      <c r="Z13" s="916">
        <v>5.9119999999999999</v>
      </c>
      <c r="AA13" s="916">
        <v>1.0229999999999999</v>
      </c>
      <c r="AB13" s="916">
        <v>4.3419999999999996</v>
      </c>
      <c r="AC13" s="915"/>
      <c r="AD13" s="919">
        <v>285.05200000000002</v>
      </c>
      <c r="AE13" s="920">
        <v>328.05700000000002</v>
      </c>
      <c r="AF13" s="920" t="s">
        <v>21</v>
      </c>
      <c r="AG13" s="920" t="s">
        <v>21</v>
      </c>
      <c r="AH13" s="921">
        <v>328.05700000000002</v>
      </c>
      <c r="AI13" s="921" t="s">
        <v>21</v>
      </c>
      <c r="AJ13" s="920" t="s">
        <v>21</v>
      </c>
      <c r="AK13" s="920" t="s">
        <v>21</v>
      </c>
      <c r="AL13" s="921" t="s">
        <v>21</v>
      </c>
      <c r="AM13" s="921" t="s">
        <v>21</v>
      </c>
      <c r="AN13" s="920"/>
      <c r="AO13" s="920" t="s">
        <v>21</v>
      </c>
      <c r="AP13" s="919">
        <v>77.686000000000007</v>
      </c>
      <c r="AQ13" s="922">
        <v>304.86205999999999</v>
      </c>
      <c r="AR13" s="923" t="s">
        <v>21</v>
      </c>
      <c r="AS13" s="923">
        <v>304.86205999999999</v>
      </c>
      <c r="AT13" s="923" t="s">
        <v>21</v>
      </c>
      <c r="AU13" s="923" t="s">
        <v>21</v>
      </c>
      <c r="AV13" s="924" t="s">
        <v>21</v>
      </c>
      <c r="AW13" s="924" t="s">
        <v>21</v>
      </c>
      <c r="AX13" s="924" t="s">
        <v>21</v>
      </c>
      <c r="AY13" s="924" t="s">
        <v>21</v>
      </c>
      <c r="AZ13" s="923" t="s">
        <v>21</v>
      </c>
      <c r="BA13" s="923"/>
      <c r="BB13" s="919">
        <v>7.7690000000000001</v>
      </c>
      <c r="BC13" s="919" t="s">
        <v>21</v>
      </c>
      <c r="BD13" s="919" t="s">
        <v>2142</v>
      </c>
      <c r="BE13" s="925" t="s">
        <v>21</v>
      </c>
      <c r="BF13" s="926" t="s">
        <v>21</v>
      </c>
      <c r="BG13" s="925">
        <v>55.49</v>
      </c>
      <c r="BH13" s="926" t="s">
        <v>21</v>
      </c>
      <c r="BI13" s="925" t="s">
        <v>21</v>
      </c>
      <c r="BJ13" s="926" t="s">
        <v>21</v>
      </c>
      <c r="BK13" s="925" t="s">
        <v>21</v>
      </c>
      <c r="BL13" s="926" t="s">
        <v>21</v>
      </c>
      <c r="BM13" s="925" t="s">
        <v>21</v>
      </c>
      <c r="BN13" s="927"/>
      <c r="BO13" s="927"/>
      <c r="BP13" s="928">
        <v>1</v>
      </c>
      <c r="BQ13" s="928" t="s">
        <v>21</v>
      </c>
      <c r="BR13" s="928" t="s">
        <v>21</v>
      </c>
      <c r="BS13" s="928" t="s">
        <v>21</v>
      </c>
      <c r="BT13" s="928" t="s">
        <v>21</v>
      </c>
      <c r="BU13" s="928" t="s">
        <v>21</v>
      </c>
      <c r="BV13" s="929">
        <v>1.5030000000000201</v>
      </c>
      <c r="BW13" s="929">
        <v>2</v>
      </c>
      <c r="BX13" s="1104">
        <v>4</v>
      </c>
      <c r="BY13" s="931">
        <v>6</v>
      </c>
      <c r="BZ13" s="930">
        <v>1</v>
      </c>
      <c r="CA13" s="1074"/>
      <c r="CB13" s="930"/>
      <c r="CC13" s="930"/>
      <c r="CD13" s="925">
        <v>56.765999999999998</v>
      </c>
      <c r="CE13" s="1130">
        <v>240.93799999999999</v>
      </c>
      <c r="CF13" s="1129" t="s">
        <v>21</v>
      </c>
      <c r="CG13" s="1130" t="s">
        <v>21</v>
      </c>
      <c r="CH13" s="1130" t="s">
        <v>21</v>
      </c>
      <c r="CI13" s="1131" t="s">
        <v>21</v>
      </c>
      <c r="CJ13" s="1129" t="s">
        <v>21</v>
      </c>
      <c r="CK13" s="1130">
        <v>240.93799999999999</v>
      </c>
      <c r="CL13" s="1130" t="s">
        <v>21</v>
      </c>
      <c r="CM13" s="1131" t="s">
        <v>21</v>
      </c>
      <c r="CN13" s="1130" t="s">
        <v>21</v>
      </c>
      <c r="CP13" s="838" t="s">
        <v>21</v>
      </c>
      <c r="CQ13" s="838" t="s">
        <v>21</v>
      </c>
      <c r="CR13" s="836"/>
    </row>
    <row r="14" spans="1:96" x14ac:dyDescent="0.25">
      <c r="A14" s="935"/>
      <c r="B14" s="932" t="s">
        <v>2228</v>
      </c>
      <c r="C14" s="911">
        <v>600</v>
      </c>
      <c r="D14" s="911" t="s">
        <v>2116</v>
      </c>
      <c r="E14" s="936">
        <v>1204.6199999999999</v>
      </c>
      <c r="F14" s="936">
        <v>1201.78</v>
      </c>
      <c r="G14" s="910" t="s">
        <v>2229</v>
      </c>
      <c r="H14" s="936">
        <v>1204.71</v>
      </c>
      <c r="I14" s="936">
        <v>1201.587</v>
      </c>
      <c r="J14" s="914">
        <v>18.54</v>
      </c>
      <c r="K14" s="915"/>
      <c r="L14" s="916">
        <v>0.1</v>
      </c>
      <c r="M14" s="916">
        <v>0.06</v>
      </c>
      <c r="N14" s="916">
        <v>0.2</v>
      </c>
      <c r="O14" s="916">
        <v>5.5609999999999999</v>
      </c>
      <c r="P14" s="915"/>
      <c r="Q14" s="916">
        <v>3.2410000000000001</v>
      </c>
      <c r="R14" s="917">
        <v>0.33333333333333331</v>
      </c>
      <c r="S14" s="918">
        <v>1.4</v>
      </c>
      <c r="T14" s="918">
        <v>3.5609999999999999</v>
      </c>
      <c r="U14" s="916">
        <v>6.8330000000000002</v>
      </c>
      <c r="V14" s="916">
        <v>0.92</v>
      </c>
      <c r="W14" s="915"/>
      <c r="X14" s="916">
        <v>0.28299999999999997</v>
      </c>
      <c r="Y14" s="916">
        <v>0.40699999999999997</v>
      </c>
      <c r="Z14" s="916">
        <v>8.0389999999999997</v>
      </c>
      <c r="AA14" s="916">
        <v>1.0229999999999999</v>
      </c>
      <c r="AB14" s="916">
        <v>6.4690000000000003</v>
      </c>
      <c r="AC14" s="915"/>
      <c r="AD14" s="919">
        <v>103.101</v>
      </c>
      <c r="AE14" s="920">
        <v>149.04300000000001</v>
      </c>
      <c r="AF14" s="920" t="s">
        <v>21</v>
      </c>
      <c r="AG14" s="920" t="s">
        <v>21</v>
      </c>
      <c r="AH14" s="921">
        <v>149.04300000000001</v>
      </c>
      <c r="AI14" s="921" t="s">
        <v>21</v>
      </c>
      <c r="AJ14" s="920" t="s">
        <v>21</v>
      </c>
      <c r="AK14" s="920" t="s">
        <v>21</v>
      </c>
      <c r="AL14" s="921" t="s">
        <v>21</v>
      </c>
      <c r="AM14" s="921" t="s">
        <v>21</v>
      </c>
      <c r="AN14" s="920"/>
      <c r="AO14" s="920" t="s">
        <v>21</v>
      </c>
      <c r="AP14" s="919">
        <v>25.956</v>
      </c>
      <c r="AQ14" s="922">
        <v>126.68382</v>
      </c>
      <c r="AR14" s="923" t="s">
        <v>21</v>
      </c>
      <c r="AS14" s="923">
        <v>126.68382</v>
      </c>
      <c r="AT14" s="923" t="s">
        <v>21</v>
      </c>
      <c r="AU14" s="923" t="s">
        <v>21</v>
      </c>
      <c r="AV14" s="924" t="s">
        <v>21</v>
      </c>
      <c r="AW14" s="924" t="s">
        <v>21</v>
      </c>
      <c r="AX14" s="924" t="s">
        <v>21</v>
      </c>
      <c r="AY14" s="924" t="s">
        <v>21</v>
      </c>
      <c r="AZ14" s="923" t="s">
        <v>21</v>
      </c>
      <c r="BA14" s="923"/>
      <c r="BB14" s="919">
        <v>2.5960000000000001</v>
      </c>
      <c r="BC14" s="919" t="s">
        <v>21</v>
      </c>
      <c r="BD14" s="919" t="s">
        <v>2152</v>
      </c>
      <c r="BE14" s="925" t="s">
        <v>21</v>
      </c>
      <c r="BF14" s="926" t="s">
        <v>21</v>
      </c>
      <c r="BG14" s="925">
        <v>18.54</v>
      </c>
      <c r="BH14" s="926" t="s">
        <v>21</v>
      </c>
      <c r="BI14" s="925" t="s">
        <v>21</v>
      </c>
      <c r="BJ14" s="926" t="s">
        <v>21</v>
      </c>
      <c r="BK14" s="925" t="s">
        <v>21</v>
      </c>
      <c r="BL14" s="926" t="s">
        <v>21</v>
      </c>
      <c r="BM14" s="925" t="s">
        <v>21</v>
      </c>
      <c r="BN14" s="927"/>
      <c r="BO14" s="927"/>
      <c r="BP14" s="928">
        <v>1</v>
      </c>
      <c r="BQ14" s="928" t="s">
        <v>21</v>
      </c>
      <c r="BR14" s="928" t="s">
        <v>21</v>
      </c>
      <c r="BS14" s="928" t="s">
        <v>21</v>
      </c>
      <c r="BT14" s="928" t="s">
        <v>21</v>
      </c>
      <c r="BU14" s="928" t="s">
        <v>21</v>
      </c>
      <c r="BV14" s="929">
        <v>1.4399999999999182</v>
      </c>
      <c r="BW14" s="929">
        <v>1.5</v>
      </c>
      <c r="BX14" s="1104">
        <v>3</v>
      </c>
      <c r="BY14" s="931">
        <v>5</v>
      </c>
      <c r="BZ14" s="930">
        <v>1</v>
      </c>
      <c r="CA14" s="1074"/>
      <c r="CB14" s="930"/>
      <c r="CC14" s="930"/>
      <c r="CD14" s="925">
        <v>18.966000000000001</v>
      </c>
      <c r="CE14" s="1130">
        <v>119.935</v>
      </c>
      <c r="CF14" s="1129" t="s">
        <v>21</v>
      </c>
      <c r="CG14" s="1130" t="s">
        <v>21</v>
      </c>
      <c r="CH14" s="1130" t="s">
        <v>21</v>
      </c>
      <c r="CI14" s="1131" t="s">
        <v>21</v>
      </c>
      <c r="CJ14" s="1129" t="s">
        <v>21</v>
      </c>
      <c r="CK14" s="1130" t="s">
        <v>21</v>
      </c>
      <c r="CL14" s="1130">
        <v>119.935</v>
      </c>
      <c r="CM14" s="1131" t="s">
        <v>21</v>
      </c>
      <c r="CN14" s="1130" t="s">
        <v>21</v>
      </c>
      <c r="CP14" s="838" t="s">
        <v>21</v>
      </c>
      <c r="CQ14" s="838" t="s">
        <v>21</v>
      </c>
      <c r="CR14" s="836"/>
    </row>
    <row r="15" spans="1:96" x14ac:dyDescent="0.25">
      <c r="A15" s="935"/>
      <c r="B15" s="932" t="s">
        <v>2229</v>
      </c>
      <c r="C15" s="911">
        <v>600</v>
      </c>
      <c r="D15" s="911" t="s">
        <v>2116</v>
      </c>
      <c r="E15" s="912">
        <v>1204.71</v>
      </c>
      <c r="F15" s="912">
        <v>1201.537</v>
      </c>
      <c r="G15" s="910" t="s">
        <v>2253</v>
      </c>
      <c r="H15" s="912">
        <v>1203.33</v>
      </c>
      <c r="I15" s="912">
        <v>1200.7750000000001</v>
      </c>
      <c r="J15" s="914">
        <v>52.4</v>
      </c>
      <c r="K15" s="915"/>
      <c r="L15" s="916">
        <v>0.1</v>
      </c>
      <c r="M15" s="916">
        <v>0.06</v>
      </c>
      <c r="N15" s="916">
        <v>0.2</v>
      </c>
      <c r="O15" s="916">
        <v>5.4830000000000005</v>
      </c>
      <c r="P15" s="915"/>
      <c r="Q15" s="916">
        <v>3.1240000000000001</v>
      </c>
      <c r="R15" s="917">
        <v>0.33333333333333331</v>
      </c>
      <c r="S15" s="918">
        <v>1.4</v>
      </c>
      <c r="T15" s="918">
        <v>3.4830000000000001</v>
      </c>
      <c r="U15" s="916">
        <v>6.5860000000000003</v>
      </c>
      <c r="V15" s="916">
        <v>0.92</v>
      </c>
      <c r="W15" s="915"/>
      <c r="X15" s="916">
        <v>0.28299999999999997</v>
      </c>
      <c r="Y15" s="916">
        <v>0.40699999999999997</v>
      </c>
      <c r="Z15" s="916">
        <v>7.6269999999999998</v>
      </c>
      <c r="AA15" s="916">
        <v>1.0229999999999999</v>
      </c>
      <c r="AB15" s="916">
        <v>6.0570000000000004</v>
      </c>
      <c r="AC15" s="915"/>
      <c r="AD15" s="919">
        <v>287.30900000000003</v>
      </c>
      <c r="AE15" s="920">
        <v>399.65499999999997</v>
      </c>
      <c r="AF15" s="920" t="s">
        <v>21</v>
      </c>
      <c r="AG15" s="920" t="s">
        <v>21</v>
      </c>
      <c r="AH15" s="921">
        <v>399.65499999999997</v>
      </c>
      <c r="AI15" s="921" t="s">
        <v>21</v>
      </c>
      <c r="AJ15" s="920" t="s">
        <v>21</v>
      </c>
      <c r="AK15" s="920" t="s">
        <v>21</v>
      </c>
      <c r="AL15" s="921" t="s">
        <v>21</v>
      </c>
      <c r="AM15" s="921" t="s">
        <v>21</v>
      </c>
      <c r="AN15" s="920"/>
      <c r="AO15" s="920" t="s">
        <v>21</v>
      </c>
      <c r="AP15" s="919">
        <v>73.36</v>
      </c>
      <c r="AQ15" s="922">
        <v>345.10640000000001</v>
      </c>
      <c r="AR15" s="923" t="s">
        <v>21</v>
      </c>
      <c r="AS15" s="923">
        <v>345.10640000000001</v>
      </c>
      <c r="AT15" s="923" t="s">
        <v>21</v>
      </c>
      <c r="AU15" s="923" t="s">
        <v>21</v>
      </c>
      <c r="AV15" s="924" t="s">
        <v>21</v>
      </c>
      <c r="AW15" s="924" t="s">
        <v>21</v>
      </c>
      <c r="AX15" s="924" t="s">
        <v>21</v>
      </c>
      <c r="AY15" s="924" t="s">
        <v>21</v>
      </c>
      <c r="AZ15" s="923" t="s">
        <v>21</v>
      </c>
      <c r="BA15" s="923"/>
      <c r="BB15" s="919">
        <v>7.3360000000000003</v>
      </c>
      <c r="BC15" s="919" t="s">
        <v>21</v>
      </c>
      <c r="BD15" s="919" t="s">
        <v>2152</v>
      </c>
      <c r="BE15" s="925" t="s">
        <v>21</v>
      </c>
      <c r="BF15" s="926" t="s">
        <v>21</v>
      </c>
      <c r="BG15" s="925">
        <v>52.4</v>
      </c>
      <c r="BH15" s="926" t="s">
        <v>21</v>
      </c>
      <c r="BI15" s="925" t="s">
        <v>21</v>
      </c>
      <c r="BJ15" s="926" t="s">
        <v>21</v>
      </c>
      <c r="BK15" s="925" t="s">
        <v>21</v>
      </c>
      <c r="BL15" s="926" t="s">
        <v>21</v>
      </c>
      <c r="BM15" s="925" t="s">
        <v>21</v>
      </c>
      <c r="BN15" s="927"/>
      <c r="BO15" s="927"/>
      <c r="BP15" s="928">
        <v>1</v>
      </c>
      <c r="BQ15" s="928" t="s">
        <v>21</v>
      </c>
      <c r="BR15" s="928" t="s">
        <v>21</v>
      </c>
      <c r="BS15" s="928" t="s">
        <v>21</v>
      </c>
      <c r="BT15" s="928" t="s">
        <v>21</v>
      </c>
      <c r="BU15" s="928" t="s">
        <v>21</v>
      </c>
      <c r="BV15" s="929">
        <v>1.7730000000000019</v>
      </c>
      <c r="BW15" s="929">
        <v>2</v>
      </c>
      <c r="BX15" s="1104">
        <v>4</v>
      </c>
      <c r="BY15" s="931">
        <v>6</v>
      </c>
      <c r="BZ15" s="930">
        <v>2</v>
      </c>
      <c r="CA15" s="1074"/>
      <c r="CB15" s="930"/>
      <c r="CC15" s="930"/>
      <c r="CD15" s="925">
        <v>53.604999999999997</v>
      </c>
      <c r="CE15" s="1130">
        <v>317.387</v>
      </c>
      <c r="CF15" s="1129" t="s">
        <v>21</v>
      </c>
      <c r="CG15" s="1130" t="s">
        <v>21</v>
      </c>
      <c r="CH15" s="1130" t="s">
        <v>21</v>
      </c>
      <c r="CI15" s="1131" t="s">
        <v>21</v>
      </c>
      <c r="CJ15" s="1129" t="s">
        <v>21</v>
      </c>
      <c r="CK15" s="1130" t="s">
        <v>21</v>
      </c>
      <c r="CL15" s="1130">
        <v>317.387</v>
      </c>
      <c r="CM15" s="1131" t="s">
        <v>21</v>
      </c>
      <c r="CN15" s="1130" t="s">
        <v>21</v>
      </c>
      <c r="CP15" s="838" t="s">
        <v>21</v>
      </c>
      <c r="CQ15" s="838" t="s">
        <v>21</v>
      </c>
      <c r="CR15" s="836"/>
    </row>
    <row r="16" spans="1:96" x14ac:dyDescent="0.25">
      <c r="A16" s="935"/>
      <c r="B16" s="932" t="s">
        <v>2253</v>
      </c>
      <c r="C16" s="911">
        <v>800</v>
      </c>
      <c r="D16" s="911" t="s">
        <v>2116</v>
      </c>
      <c r="E16" s="912">
        <v>1203.33</v>
      </c>
      <c r="F16" s="912">
        <v>1200.575</v>
      </c>
      <c r="G16" s="910" t="s">
        <v>2254</v>
      </c>
      <c r="H16" s="912">
        <v>1202.95</v>
      </c>
      <c r="I16" s="912">
        <v>1200.364</v>
      </c>
      <c r="J16" s="914">
        <v>22</v>
      </c>
      <c r="K16" s="915"/>
      <c r="L16" s="916">
        <v>0.15</v>
      </c>
      <c r="M16" s="916">
        <v>7.5999999999999998E-2</v>
      </c>
      <c r="N16" s="916">
        <v>0.2</v>
      </c>
      <c r="O16" s="916">
        <v>5.6970000000000001</v>
      </c>
      <c r="P16" s="915"/>
      <c r="Q16" s="916">
        <v>2.996</v>
      </c>
      <c r="R16" s="917">
        <v>0.33333333333333331</v>
      </c>
      <c r="S16" s="918">
        <v>1.7</v>
      </c>
      <c r="T16" s="918">
        <v>3.6970000000000001</v>
      </c>
      <c r="U16" s="916">
        <v>6.3159999999999998</v>
      </c>
      <c r="V16" s="916">
        <v>1.1519999999999999</v>
      </c>
      <c r="W16" s="915"/>
      <c r="X16" s="916">
        <v>0.503</v>
      </c>
      <c r="Y16" s="916">
        <v>0.71199999999999997</v>
      </c>
      <c r="Z16" s="916">
        <v>8.0850000000000009</v>
      </c>
      <c r="AA16" s="916">
        <v>1.4339999999999999</v>
      </c>
      <c r="AB16" s="916">
        <v>5.6840000000000002</v>
      </c>
      <c r="AC16" s="915"/>
      <c r="AD16" s="919">
        <v>125.334</v>
      </c>
      <c r="AE16" s="920">
        <v>177.87</v>
      </c>
      <c r="AF16" s="920" t="s">
        <v>21</v>
      </c>
      <c r="AG16" s="920" t="s">
        <v>21</v>
      </c>
      <c r="AH16" s="921" t="s">
        <v>21</v>
      </c>
      <c r="AI16" s="921">
        <v>177.87</v>
      </c>
      <c r="AJ16" s="920" t="s">
        <v>21</v>
      </c>
      <c r="AK16" s="920" t="s">
        <v>21</v>
      </c>
      <c r="AL16" s="921" t="s">
        <v>21</v>
      </c>
      <c r="AM16" s="921" t="s">
        <v>21</v>
      </c>
      <c r="AN16" s="920"/>
      <c r="AO16" s="920" t="s">
        <v>21</v>
      </c>
      <c r="AP16" s="919">
        <v>37.4</v>
      </c>
      <c r="AQ16" s="922">
        <v>138.952</v>
      </c>
      <c r="AR16" s="923" t="s">
        <v>21</v>
      </c>
      <c r="AS16" s="923" t="s">
        <v>21</v>
      </c>
      <c r="AT16" s="923" t="s">
        <v>21</v>
      </c>
      <c r="AU16" s="923" t="s">
        <v>21</v>
      </c>
      <c r="AV16" s="924" t="s">
        <v>21</v>
      </c>
      <c r="AW16" s="924">
        <v>138.952</v>
      </c>
      <c r="AX16" s="924" t="s">
        <v>21</v>
      </c>
      <c r="AY16" s="924" t="s">
        <v>21</v>
      </c>
      <c r="AZ16" s="923" t="s">
        <v>21</v>
      </c>
      <c r="BA16" s="923"/>
      <c r="BB16" s="919" t="s">
        <v>21</v>
      </c>
      <c r="BC16" s="919">
        <v>5.61</v>
      </c>
      <c r="BD16" s="919" t="s">
        <v>2142</v>
      </c>
      <c r="BE16" s="925" t="s">
        <v>21</v>
      </c>
      <c r="BF16" s="926" t="s">
        <v>21</v>
      </c>
      <c r="BG16" s="925" t="s">
        <v>21</v>
      </c>
      <c r="BH16" s="926">
        <v>22</v>
      </c>
      <c r="BI16" s="925" t="s">
        <v>21</v>
      </c>
      <c r="BJ16" s="926" t="s">
        <v>21</v>
      </c>
      <c r="BK16" s="925" t="s">
        <v>21</v>
      </c>
      <c r="BL16" s="926" t="s">
        <v>21</v>
      </c>
      <c r="BM16" s="925" t="s">
        <v>21</v>
      </c>
      <c r="BN16" s="927"/>
      <c r="BO16" s="927"/>
      <c r="BP16" s="928" t="s">
        <v>21</v>
      </c>
      <c r="BQ16" s="928">
        <v>1</v>
      </c>
      <c r="BR16" s="928" t="s">
        <v>21</v>
      </c>
      <c r="BS16" s="928" t="s">
        <v>21</v>
      </c>
      <c r="BT16" s="928" t="s">
        <v>21</v>
      </c>
      <c r="BU16" s="928" t="s">
        <v>21</v>
      </c>
      <c r="BV16" s="929">
        <v>1.2549999999998818</v>
      </c>
      <c r="BW16" s="929">
        <v>1.5</v>
      </c>
      <c r="BX16" s="1104">
        <v>3</v>
      </c>
      <c r="BY16" s="931">
        <v>5</v>
      </c>
      <c r="BZ16" s="930">
        <v>2</v>
      </c>
      <c r="CA16" s="1074"/>
      <c r="CB16" s="930"/>
      <c r="CC16" s="930"/>
      <c r="CD16" s="925">
        <v>31.547999999999998</v>
      </c>
      <c r="CE16" s="1130">
        <v>125.048</v>
      </c>
      <c r="CF16" s="1129" t="s">
        <v>21</v>
      </c>
      <c r="CG16" s="1130" t="s">
        <v>21</v>
      </c>
      <c r="CH16" s="1130" t="s">
        <v>21</v>
      </c>
      <c r="CI16" s="1131" t="s">
        <v>21</v>
      </c>
      <c r="CJ16" s="1129" t="s">
        <v>21</v>
      </c>
      <c r="CK16" s="1130" t="s">
        <v>21</v>
      </c>
      <c r="CL16" s="1130" t="s">
        <v>21</v>
      </c>
      <c r="CM16" s="1131" t="s">
        <v>21</v>
      </c>
      <c r="CN16" s="1130">
        <v>125.048</v>
      </c>
      <c r="CP16" s="838" t="s">
        <v>21</v>
      </c>
      <c r="CQ16" s="838" t="s">
        <v>21</v>
      </c>
      <c r="CR16" s="836"/>
    </row>
    <row r="17" spans="1:96" x14ac:dyDescent="0.25">
      <c r="A17" s="935"/>
      <c r="B17" s="932" t="s">
        <v>2254</v>
      </c>
      <c r="C17" s="911">
        <v>800</v>
      </c>
      <c r="D17" s="911" t="s">
        <v>2116</v>
      </c>
      <c r="E17" s="912">
        <v>1202.95</v>
      </c>
      <c r="F17" s="912">
        <v>1200.364</v>
      </c>
      <c r="G17" s="910" t="s">
        <v>2255</v>
      </c>
      <c r="H17" s="912">
        <v>1202.25</v>
      </c>
      <c r="I17" s="912">
        <v>1200.1500000000001</v>
      </c>
      <c r="J17" s="914">
        <v>14.8</v>
      </c>
      <c r="K17" s="915"/>
      <c r="L17" s="916">
        <v>0.15</v>
      </c>
      <c r="M17" s="916">
        <v>7.5999999999999998E-2</v>
      </c>
      <c r="N17" s="916">
        <v>0.2</v>
      </c>
      <c r="O17" s="916">
        <v>5.4790000000000001</v>
      </c>
      <c r="P17" s="915"/>
      <c r="Q17" s="916">
        <v>2.669</v>
      </c>
      <c r="R17" s="917">
        <v>0.33333333333333331</v>
      </c>
      <c r="S17" s="918">
        <v>1.7</v>
      </c>
      <c r="T17" s="918">
        <v>3.4790000000000001</v>
      </c>
      <c r="U17" s="916">
        <v>5.6269999999999998</v>
      </c>
      <c r="V17" s="916">
        <v>1.1519999999999999</v>
      </c>
      <c r="W17" s="915"/>
      <c r="X17" s="916">
        <v>0.503</v>
      </c>
      <c r="Y17" s="916">
        <v>0.71199999999999997</v>
      </c>
      <c r="Z17" s="916">
        <v>6.9109999999999996</v>
      </c>
      <c r="AA17" s="916">
        <v>1.4339999999999999</v>
      </c>
      <c r="AB17" s="916">
        <v>4.51</v>
      </c>
      <c r="AC17" s="915"/>
      <c r="AD17" s="919">
        <v>81.088999999999999</v>
      </c>
      <c r="AE17" s="920">
        <v>102.283</v>
      </c>
      <c r="AF17" s="920" t="s">
        <v>21</v>
      </c>
      <c r="AG17" s="920" t="s">
        <v>21</v>
      </c>
      <c r="AH17" s="921" t="s">
        <v>21</v>
      </c>
      <c r="AI17" s="921">
        <v>102.283</v>
      </c>
      <c r="AJ17" s="920" t="s">
        <v>21</v>
      </c>
      <c r="AK17" s="920" t="s">
        <v>21</v>
      </c>
      <c r="AL17" s="921" t="s">
        <v>21</v>
      </c>
      <c r="AM17" s="921" t="s">
        <v>21</v>
      </c>
      <c r="AN17" s="920"/>
      <c r="AO17" s="920" t="s">
        <v>21</v>
      </c>
      <c r="AP17" s="919">
        <v>25.16</v>
      </c>
      <c r="AQ17" s="922">
        <v>83.279600000000002</v>
      </c>
      <c r="AR17" s="923" t="s">
        <v>21</v>
      </c>
      <c r="AS17" s="923" t="s">
        <v>21</v>
      </c>
      <c r="AT17" s="923" t="s">
        <v>21</v>
      </c>
      <c r="AU17" s="923" t="s">
        <v>21</v>
      </c>
      <c r="AV17" s="924" t="s">
        <v>21</v>
      </c>
      <c r="AW17" s="924">
        <v>83.279600000000002</v>
      </c>
      <c r="AX17" s="924" t="s">
        <v>21</v>
      </c>
      <c r="AY17" s="924" t="s">
        <v>21</v>
      </c>
      <c r="AZ17" s="923" t="s">
        <v>21</v>
      </c>
      <c r="BA17" s="923"/>
      <c r="BB17" s="919" t="s">
        <v>21</v>
      </c>
      <c r="BC17" s="919">
        <v>3.774</v>
      </c>
      <c r="BD17" s="919" t="s">
        <v>2142</v>
      </c>
      <c r="BE17" s="925" t="s">
        <v>21</v>
      </c>
      <c r="BF17" s="926" t="s">
        <v>21</v>
      </c>
      <c r="BG17" s="925" t="s">
        <v>21</v>
      </c>
      <c r="BH17" s="926">
        <v>14.8</v>
      </c>
      <c r="BI17" s="925" t="s">
        <v>21</v>
      </c>
      <c r="BJ17" s="926" t="s">
        <v>21</v>
      </c>
      <c r="BK17" s="925" t="s">
        <v>21</v>
      </c>
      <c r="BL17" s="926" t="s">
        <v>21</v>
      </c>
      <c r="BM17" s="925" t="s">
        <v>21</v>
      </c>
      <c r="BN17" s="927"/>
      <c r="BO17" s="927"/>
      <c r="BP17" s="928" t="s">
        <v>21</v>
      </c>
      <c r="BQ17" s="928">
        <v>1</v>
      </c>
      <c r="BR17" s="928" t="s">
        <v>21</v>
      </c>
      <c r="BS17" s="928" t="s">
        <v>21</v>
      </c>
      <c r="BT17" s="928" t="s">
        <v>21</v>
      </c>
      <c r="BU17" s="928" t="s">
        <v>21</v>
      </c>
      <c r="BV17" s="929">
        <v>1.0860000000000127</v>
      </c>
      <c r="BW17" s="929">
        <v>1.5</v>
      </c>
      <c r="BX17" s="1104">
        <v>3</v>
      </c>
      <c r="BY17" s="931">
        <v>5</v>
      </c>
      <c r="BZ17" s="930">
        <v>1</v>
      </c>
      <c r="CA17" s="1074"/>
      <c r="CB17" s="930"/>
      <c r="CC17" s="930"/>
      <c r="CD17" s="925">
        <v>21.222999999999999</v>
      </c>
      <c r="CE17" s="1130">
        <v>66.748000000000005</v>
      </c>
      <c r="CF17" s="1129" t="s">
        <v>21</v>
      </c>
      <c r="CG17" s="1130" t="s">
        <v>21</v>
      </c>
      <c r="CH17" s="1130" t="s">
        <v>21</v>
      </c>
      <c r="CI17" s="1131" t="s">
        <v>21</v>
      </c>
      <c r="CJ17" s="1129" t="s">
        <v>21</v>
      </c>
      <c r="CK17" s="1130" t="s">
        <v>21</v>
      </c>
      <c r="CL17" s="1130" t="s">
        <v>21</v>
      </c>
      <c r="CM17" s="1131" t="s">
        <v>21</v>
      </c>
      <c r="CN17" s="1130">
        <v>66.748000000000005</v>
      </c>
      <c r="CP17" s="838" t="s">
        <v>21</v>
      </c>
      <c r="CQ17" s="838" t="s">
        <v>21</v>
      </c>
      <c r="CR17" s="836"/>
    </row>
    <row r="18" spans="1:96" x14ac:dyDescent="0.25">
      <c r="A18" s="935"/>
      <c r="B18" s="932" t="s">
        <v>2255</v>
      </c>
      <c r="C18" s="911">
        <v>800</v>
      </c>
      <c r="D18" s="911" t="s">
        <v>2116</v>
      </c>
      <c r="E18" s="912">
        <v>1202.25</v>
      </c>
      <c r="F18" s="912">
        <v>1200.1500000000001</v>
      </c>
      <c r="G18" s="910" t="s">
        <v>2256</v>
      </c>
      <c r="H18" s="912">
        <v>1201.93</v>
      </c>
      <c r="I18" s="912">
        <v>1199.83</v>
      </c>
      <c r="J18" s="914">
        <v>20.399999999999999</v>
      </c>
      <c r="K18" s="915"/>
      <c r="L18" s="916">
        <v>0.15</v>
      </c>
      <c r="M18" s="916">
        <v>7.5999999999999998E-2</v>
      </c>
      <c r="N18" s="916">
        <v>0.2</v>
      </c>
      <c r="O18" s="916">
        <v>5.3170000000000002</v>
      </c>
      <c r="P18" s="915"/>
      <c r="Q18" s="916">
        <v>2.4260000000000002</v>
      </c>
      <c r="R18" s="917">
        <v>0.33333333333333331</v>
      </c>
      <c r="S18" s="918">
        <v>1.7</v>
      </c>
      <c r="T18" s="918">
        <v>3.3170000000000002</v>
      </c>
      <c r="U18" s="916">
        <v>5.1139999999999999</v>
      </c>
      <c r="V18" s="916">
        <v>1.1519999999999999</v>
      </c>
      <c r="W18" s="915"/>
      <c r="X18" s="916">
        <v>0.503</v>
      </c>
      <c r="Y18" s="916">
        <v>0.71199999999999997</v>
      </c>
      <c r="Z18" s="916">
        <v>6.0860000000000003</v>
      </c>
      <c r="AA18" s="916">
        <v>1.4339999999999999</v>
      </c>
      <c r="AB18" s="916">
        <v>3.6850000000000001</v>
      </c>
      <c r="AC18" s="915"/>
      <c r="AD18" s="919">
        <v>108.467</v>
      </c>
      <c r="AE18" s="920">
        <v>124.154</v>
      </c>
      <c r="AF18" s="920" t="s">
        <v>21</v>
      </c>
      <c r="AG18" s="920" t="s">
        <v>21</v>
      </c>
      <c r="AH18" s="921" t="s">
        <v>21</v>
      </c>
      <c r="AI18" s="921">
        <v>124.154</v>
      </c>
      <c r="AJ18" s="920" t="s">
        <v>21</v>
      </c>
      <c r="AK18" s="920" t="s">
        <v>21</v>
      </c>
      <c r="AL18" s="921" t="s">
        <v>21</v>
      </c>
      <c r="AM18" s="921" t="s">
        <v>21</v>
      </c>
      <c r="AN18" s="920"/>
      <c r="AO18" s="920" t="s">
        <v>21</v>
      </c>
      <c r="AP18" s="919">
        <v>34.68</v>
      </c>
      <c r="AQ18" s="922">
        <v>104.32559999999999</v>
      </c>
      <c r="AR18" s="923" t="s">
        <v>21</v>
      </c>
      <c r="AS18" s="923" t="s">
        <v>21</v>
      </c>
      <c r="AT18" s="923" t="s">
        <v>21</v>
      </c>
      <c r="AU18" s="923" t="s">
        <v>21</v>
      </c>
      <c r="AV18" s="924" t="s">
        <v>21</v>
      </c>
      <c r="AW18" s="924">
        <v>104.32559999999999</v>
      </c>
      <c r="AX18" s="924" t="s">
        <v>21</v>
      </c>
      <c r="AY18" s="924" t="s">
        <v>21</v>
      </c>
      <c r="AZ18" s="923" t="s">
        <v>21</v>
      </c>
      <c r="BA18" s="923"/>
      <c r="BB18" s="919" t="s">
        <v>21</v>
      </c>
      <c r="BC18" s="919">
        <v>5.202</v>
      </c>
      <c r="BD18" s="919" t="s">
        <v>2142</v>
      </c>
      <c r="BE18" s="925" t="s">
        <v>21</v>
      </c>
      <c r="BF18" s="926" t="s">
        <v>21</v>
      </c>
      <c r="BG18" s="925" t="s">
        <v>21</v>
      </c>
      <c r="BH18" s="926">
        <v>20.399999999999999</v>
      </c>
      <c r="BI18" s="925" t="s">
        <v>21</v>
      </c>
      <c r="BJ18" s="926" t="s">
        <v>21</v>
      </c>
      <c r="BK18" s="925" t="s">
        <v>21</v>
      </c>
      <c r="BL18" s="926" t="s">
        <v>21</v>
      </c>
      <c r="BM18" s="925" t="s">
        <v>21</v>
      </c>
      <c r="BN18" s="927"/>
      <c r="BO18" s="927"/>
      <c r="BP18" s="928" t="s">
        <v>21</v>
      </c>
      <c r="BQ18" s="928">
        <v>1</v>
      </c>
      <c r="BR18" s="928" t="s">
        <v>21</v>
      </c>
      <c r="BS18" s="928" t="s">
        <v>21</v>
      </c>
      <c r="BT18" s="928" t="s">
        <v>21</v>
      </c>
      <c r="BU18" s="928" t="s">
        <v>21</v>
      </c>
      <c r="BV18" s="929">
        <v>0.59999999999990905</v>
      </c>
      <c r="BW18" s="929">
        <v>1</v>
      </c>
      <c r="BX18" s="1104">
        <v>2</v>
      </c>
      <c r="BY18" s="931">
        <v>4</v>
      </c>
      <c r="BZ18" s="930">
        <v>1</v>
      </c>
      <c r="CA18" s="1074"/>
      <c r="CB18" s="930"/>
      <c r="CC18" s="930"/>
      <c r="CD18" s="925">
        <v>29.254000000000001</v>
      </c>
      <c r="CE18" s="1130">
        <v>75.174000000000007</v>
      </c>
      <c r="CF18" s="1129" t="s">
        <v>21</v>
      </c>
      <c r="CG18" s="1130" t="s">
        <v>21</v>
      </c>
      <c r="CH18" s="1130" t="s">
        <v>21</v>
      </c>
      <c r="CI18" s="1131" t="s">
        <v>21</v>
      </c>
      <c r="CJ18" s="1129" t="s">
        <v>21</v>
      </c>
      <c r="CK18" s="1130" t="s">
        <v>21</v>
      </c>
      <c r="CL18" s="1130" t="s">
        <v>21</v>
      </c>
      <c r="CM18" s="1131" t="s">
        <v>21</v>
      </c>
      <c r="CN18" s="1130">
        <v>75.174000000000007</v>
      </c>
      <c r="CP18" s="838" t="s">
        <v>21</v>
      </c>
      <c r="CQ18" s="838" t="s">
        <v>21</v>
      </c>
      <c r="CR18" s="836"/>
    </row>
    <row r="19" spans="1:96" x14ac:dyDescent="0.25">
      <c r="A19" s="935"/>
      <c r="B19" s="932" t="s">
        <v>2256</v>
      </c>
      <c r="C19" s="911">
        <v>800</v>
      </c>
      <c r="D19" s="911" t="s">
        <v>2116</v>
      </c>
      <c r="E19" s="912">
        <v>1201.93</v>
      </c>
      <c r="F19" s="912">
        <v>1199.83</v>
      </c>
      <c r="G19" s="910" t="s">
        <v>2257</v>
      </c>
      <c r="H19" s="912">
        <v>1201.31</v>
      </c>
      <c r="I19" s="912">
        <v>1199.21</v>
      </c>
      <c r="J19" s="914">
        <v>13.79</v>
      </c>
      <c r="K19" s="915"/>
      <c r="L19" s="916">
        <v>0.15</v>
      </c>
      <c r="M19" s="916">
        <v>7.5999999999999998E-2</v>
      </c>
      <c r="N19" s="916">
        <v>0.2</v>
      </c>
      <c r="O19" s="916">
        <v>5.3170000000000002</v>
      </c>
      <c r="P19" s="915"/>
      <c r="Q19" s="916">
        <v>2.4260000000000002</v>
      </c>
      <c r="R19" s="917">
        <v>0.33333333333333331</v>
      </c>
      <c r="S19" s="918">
        <v>1.7</v>
      </c>
      <c r="T19" s="918">
        <v>3.3170000000000002</v>
      </c>
      <c r="U19" s="916">
        <v>5.1139999999999999</v>
      </c>
      <c r="V19" s="916">
        <v>1.1519999999999999</v>
      </c>
      <c r="W19" s="915"/>
      <c r="X19" s="916">
        <v>0.503</v>
      </c>
      <c r="Y19" s="916">
        <v>0.71199999999999997</v>
      </c>
      <c r="Z19" s="916">
        <v>6.0860000000000003</v>
      </c>
      <c r="AA19" s="916">
        <v>1.4339999999999999</v>
      </c>
      <c r="AB19" s="916">
        <v>3.6850000000000001</v>
      </c>
      <c r="AC19" s="915"/>
      <c r="AD19" s="919">
        <v>73.320999999999998</v>
      </c>
      <c r="AE19" s="920">
        <v>83.926000000000002</v>
      </c>
      <c r="AF19" s="920" t="s">
        <v>21</v>
      </c>
      <c r="AG19" s="920" t="s">
        <v>21</v>
      </c>
      <c r="AH19" s="921" t="s">
        <v>21</v>
      </c>
      <c r="AI19" s="921">
        <v>83.926000000000002</v>
      </c>
      <c r="AJ19" s="920" t="s">
        <v>21</v>
      </c>
      <c r="AK19" s="920" t="s">
        <v>21</v>
      </c>
      <c r="AL19" s="921" t="s">
        <v>21</v>
      </c>
      <c r="AM19" s="921" t="s">
        <v>21</v>
      </c>
      <c r="AN19" s="920"/>
      <c r="AO19" s="920" t="s">
        <v>21</v>
      </c>
      <c r="AP19" s="919">
        <v>23.443000000000001</v>
      </c>
      <c r="AQ19" s="922">
        <v>70.522059999999996</v>
      </c>
      <c r="AR19" s="923" t="s">
        <v>21</v>
      </c>
      <c r="AS19" s="923" t="s">
        <v>21</v>
      </c>
      <c r="AT19" s="923" t="s">
        <v>21</v>
      </c>
      <c r="AU19" s="923" t="s">
        <v>21</v>
      </c>
      <c r="AV19" s="924" t="s">
        <v>21</v>
      </c>
      <c r="AW19" s="924">
        <v>70.522059999999996</v>
      </c>
      <c r="AX19" s="924" t="s">
        <v>21</v>
      </c>
      <c r="AY19" s="924" t="s">
        <v>21</v>
      </c>
      <c r="AZ19" s="923" t="s">
        <v>21</v>
      </c>
      <c r="BA19" s="923"/>
      <c r="BB19" s="919" t="s">
        <v>21</v>
      </c>
      <c r="BC19" s="919">
        <v>3.516</v>
      </c>
      <c r="BD19" s="919" t="s">
        <v>2142</v>
      </c>
      <c r="BE19" s="925" t="s">
        <v>21</v>
      </c>
      <c r="BF19" s="926" t="s">
        <v>21</v>
      </c>
      <c r="BG19" s="925" t="s">
        <v>21</v>
      </c>
      <c r="BH19" s="926">
        <v>13.79</v>
      </c>
      <c r="BI19" s="925" t="s">
        <v>21</v>
      </c>
      <c r="BJ19" s="926" t="s">
        <v>21</v>
      </c>
      <c r="BK19" s="925" t="s">
        <v>21</v>
      </c>
      <c r="BL19" s="926" t="s">
        <v>21</v>
      </c>
      <c r="BM19" s="925" t="s">
        <v>21</v>
      </c>
      <c r="BN19" s="927"/>
      <c r="BO19" s="927"/>
      <c r="BP19" s="928" t="s">
        <v>21</v>
      </c>
      <c r="BQ19" s="928">
        <v>1</v>
      </c>
      <c r="BR19" s="928" t="s">
        <v>21</v>
      </c>
      <c r="BS19" s="928" t="s">
        <v>21</v>
      </c>
      <c r="BT19" s="928" t="s">
        <v>21</v>
      </c>
      <c r="BU19" s="928" t="s">
        <v>21</v>
      </c>
      <c r="BV19" s="929">
        <v>0.60000000000013642</v>
      </c>
      <c r="BW19" s="929">
        <v>1</v>
      </c>
      <c r="BX19" s="1104">
        <v>2</v>
      </c>
      <c r="BY19" s="931">
        <v>4</v>
      </c>
      <c r="BZ19" s="930">
        <v>2</v>
      </c>
      <c r="CA19" s="1074"/>
      <c r="CB19" s="930"/>
      <c r="CC19" s="930"/>
      <c r="CD19" s="925">
        <v>19.774999999999999</v>
      </c>
      <c r="CE19" s="1130">
        <v>50.816000000000003</v>
      </c>
      <c r="CF19" s="1129" t="s">
        <v>21</v>
      </c>
      <c r="CG19" s="1130" t="s">
        <v>21</v>
      </c>
      <c r="CH19" s="1130" t="s">
        <v>21</v>
      </c>
      <c r="CI19" s="1131" t="s">
        <v>21</v>
      </c>
      <c r="CJ19" s="1129" t="s">
        <v>21</v>
      </c>
      <c r="CK19" s="1130" t="s">
        <v>21</v>
      </c>
      <c r="CL19" s="1130" t="s">
        <v>21</v>
      </c>
      <c r="CM19" s="1131" t="s">
        <v>21</v>
      </c>
      <c r="CN19" s="1130">
        <v>50.816000000000003</v>
      </c>
      <c r="CP19" s="838" t="s">
        <v>21</v>
      </c>
      <c r="CQ19" s="838" t="s">
        <v>21</v>
      </c>
      <c r="CR19" s="836"/>
    </row>
    <row r="20" spans="1:96" x14ac:dyDescent="0.25">
      <c r="A20" s="935"/>
      <c r="B20" s="932" t="s">
        <v>2257</v>
      </c>
      <c r="C20" s="911">
        <v>800</v>
      </c>
      <c r="D20" s="911" t="s">
        <v>2116</v>
      </c>
      <c r="E20" s="912">
        <v>1201.31</v>
      </c>
      <c r="F20" s="912">
        <v>1199.1600000000001</v>
      </c>
      <c r="G20" s="910" t="s">
        <v>2258</v>
      </c>
      <c r="H20" s="912">
        <v>1201</v>
      </c>
      <c r="I20" s="912">
        <v>1198.9000000000001</v>
      </c>
      <c r="J20" s="914">
        <v>10.24</v>
      </c>
      <c r="K20" s="915"/>
      <c r="L20" s="916">
        <v>0.15</v>
      </c>
      <c r="M20" s="916">
        <v>7.5999999999999998E-2</v>
      </c>
      <c r="N20" s="916">
        <v>0.2</v>
      </c>
      <c r="O20" s="916">
        <v>5.3339999999999996</v>
      </c>
      <c r="P20" s="915"/>
      <c r="Q20" s="916">
        <v>2.4510000000000001</v>
      </c>
      <c r="R20" s="917">
        <v>0.33333333333333331</v>
      </c>
      <c r="S20" s="918">
        <v>1.7</v>
      </c>
      <c r="T20" s="918">
        <v>3.3340000000000001</v>
      </c>
      <c r="U20" s="916">
        <v>5.1669999999999998</v>
      </c>
      <c r="V20" s="916">
        <v>1.1519999999999999</v>
      </c>
      <c r="W20" s="915"/>
      <c r="X20" s="916">
        <v>0.503</v>
      </c>
      <c r="Y20" s="916">
        <v>0.71199999999999997</v>
      </c>
      <c r="Z20" s="916">
        <v>6.1689999999999996</v>
      </c>
      <c r="AA20" s="916">
        <v>1.4339999999999999</v>
      </c>
      <c r="AB20" s="916">
        <v>3.7679999999999998</v>
      </c>
      <c r="AC20" s="915"/>
      <c r="AD20" s="919">
        <v>54.62</v>
      </c>
      <c r="AE20" s="920">
        <v>63.170999999999999</v>
      </c>
      <c r="AF20" s="920" t="s">
        <v>21</v>
      </c>
      <c r="AG20" s="920" t="s">
        <v>21</v>
      </c>
      <c r="AH20" s="921" t="s">
        <v>21</v>
      </c>
      <c r="AI20" s="921">
        <v>63.170999999999999</v>
      </c>
      <c r="AJ20" s="920" t="s">
        <v>21</v>
      </c>
      <c r="AK20" s="920" t="s">
        <v>21</v>
      </c>
      <c r="AL20" s="921" t="s">
        <v>21</v>
      </c>
      <c r="AM20" s="921" t="s">
        <v>21</v>
      </c>
      <c r="AN20" s="920"/>
      <c r="AO20" s="920" t="s">
        <v>21</v>
      </c>
      <c r="AP20" s="919">
        <v>17.408000000000001</v>
      </c>
      <c r="AQ20" s="922">
        <v>52.910080000000001</v>
      </c>
      <c r="AR20" s="923" t="s">
        <v>21</v>
      </c>
      <c r="AS20" s="923" t="s">
        <v>21</v>
      </c>
      <c r="AT20" s="923" t="s">
        <v>21</v>
      </c>
      <c r="AU20" s="923" t="s">
        <v>21</v>
      </c>
      <c r="AV20" s="924" t="s">
        <v>21</v>
      </c>
      <c r="AW20" s="924">
        <v>52.910080000000001</v>
      </c>
      <c r="AX20" s="924" t="s">
        <v>21</v>
      </c>
      <c r="AY20" s="924" t="s">
        <v>21</v>
      </c>
      <c r="AZ20" s="923" t="s">
        <v>21</v>
      </c>
      <c r="BA20" s="923"/>
      <c r="BB20" s="919" t="s">
        <v>21</v>
      </c>
      <c r="BC20" s="919">
        <v>2.6110000000000002</v>
      </c>
      <c r="BD20" s="919" t="s">
        <v>2142</v>
      </c>
      <c r="BE20" s="925" t="s">
        <v>21</v>
      </c>
      <c r="BF20" s="926" t="s">
        <v>21</v>
      </c>
      <c r="BG20" s="925" t="s">
        <v>21</v>
      </c>
      <c r="BH20" s="926">
        <v>10.24</v>
      </c>
      <c r="BI20" s="925" t="s">
        <v>21</v>
      </c>
      <c r="BJ20" s="926" t="s">
        <v>21</v>
      </c>
      <c r="BK20" s="925" t="s">
        <v>21</v>
      </c>
      <c r="BL20" s="926" t="s">
        <v>21</v>
      </c>
      <c r="BM20" s="925" t="s">
        <v>21</v>
      </c>
      <c r="BN20" s="927"/>
      <c r="BO20" s="927"/>
      <c r="BP20" s="928" t="s">
        <v>21</v>
      </c>
      <c r="BQ20" s="928">
        <v>1</v>
      </c>
      <c r="BR20" s="928" t="s">
        <v>21</v>
      </c>
      <c r="BS20" s="928" t="s">
        <v>21</v>
      </c>
      <c r="BT20" s="928" t="s">
        <v>21</v>
      </c>
      <c r="BU20" s="928" t="s">
        <v>21</v>
      </c>
      <c r="BV20" s="929">
        <v>0.64999999999986358</v>
      </c>
      <c r="BW20" s="929">
        <v>1</v>
      </c>
      <c r="BX20" s="1104">
        <v>2</v>
      </c>
      <c r="BY20" s="931">
        <v>4</v>
      </c>
      <c r="BZ20" s="930">
        <v>1</v>
      </c>
      <c r="CA20" s="1074"/>
      <c r="CB20" s="930"/>
      <c r="CC20" s="930"/>
      <c r="CD20" s="925">
        <v>14.683999999999999</v>
      </c>
      <c r="CE20" s="1130">
        <v>38.584000000000003</v>
      </c>
      <c r="CF20" s="1129" t="s">
        <v>21</v>
      </c>
      <c r="CG20" s="1130" t="s">
        <v>21</v>
      </c>
      <c r="CH20" s="1130" t="s">
        <v>21</v>
      </c>
      <c r="CI20" s="1131" t="s">
        <v>21</v>
      </c>
      <c r="CJ20" s="1129" t="s">
        <v>21</v>
      </c>
      <c r="CK20" s="1130" t="s">
        <v>21</v>
      </c>
      <c r="CL20" s="1130" t="s">
        <v>21</v>
      </c>
      <c r="CM20" s="1131" t="s">
        <v>21</v>
      </c>
      <c r="CN20" s="1130">
        <v>38.584000000000003</v>
      </c>
      <c r="CP20" s="838" t="s">
        <v>21</v>
      </c>
      <c r="CQ20" s="838" t="s">
        <v>21</v>
      </c>
      <c r="CR20" s="836"/>
    </row>
    <row r="21" spans="1:96" x14ac:dyDescent="0.25">
      <c r="A21" s="935"/>
      <c r="B21" s="932" t="s">
        <v>2258</v>
      </c>
      <c r="C21" s="911">
        <v>800</v>
      </c>
      <c r="D21" s="911" t="s">
        <v>2116</v>
      </c>
      <c r="E21" s="936">
        <v>1201</v>
      </c>
      <c r="F21" s="936">
        <v>1198.6500000000001</v>
      </c>
      <c r="G21" s="937" t="s">
        <v>2259</v>
      </c>
      <c r="H21" s="936">
        <v>1200.5899999999999</v>
      </c>
      <c r="I21" s="936">
        <v>1198.44</v>
      </c>
      <c r="J21" s="914">
        <v>22.11</v>
      </c>
      <c r="K21" s="915"/>
      <c r="L21" s="916">
        <v>0.15</v>
      </c>
      <c r="M21" s="916">
        <v>7.5999999999999998E-2</v>
      </c>
      <c r="N21" s="916">
        <v>0.2</v>
      </c>
      <c r="O21" s="916">
        <v>5.4169999999999998</v>
      </c>
      <c r="P21" s="915"/>
      <c r="Q21" s="916">
        <v>2.5760000000000001</v>
      </c>
      <c r="R21" s="917">
        <v>0.33333333333333331</v>
      </c>
      <c r="S21" s="918">
        <v>1.7</v>
      </c>
      <c r="T21" s="918">
        <v>3.4169999999999998</v>
      </c>
      <c r="U21" s="916">
        <v>5.431</v>
      </c>
      <c r="V21" s="916">
        <v>1.1519999999999999</v>
      </c>
      <c r="W21" s="915"/>
      <c r="X21" s="916">
        <v>0.503</v>
      </c>
      <c r="Y21" s="916">
        <v>0.71199999999999997</v>
      </c>
      <c r="Z21" s="916">
        <v>6.5910000000000002</v>
      </c>
      <c r="AA21" s="916">
        <v>1.4339999999999999</v>
      </c>
      <c r="AB21" s="916">
        <v>4.1900000000000004</v>
      </c>
      <c r="AC21" s="915"/>
      <c r="AD21" s="919">
        <v>119.77</v>
      </c>
      <c r="AE21" s="920">
        <v>145.727</v>
      </c>
      <c r="AF21" s="920" t="s">
        <v>21</v>
      </c>
      <c r="AG21" s="920" t="s">
        <v>21</v>
      </c>
      <c r="AH21" s="921" t="s">
        <v>21</v>
      </c>
      <c r="AI21" s="921">
        <v>145.727</v>
      </c>
      <c r="AJ21" s="920" t="s">
        <v>21</v>
      </c>
      <c r="AK21" s="920" t="s">
        <v>21</v>
      </c>
      <c r="AL21" s="921" t="s">
        <v>21</v>
      </c>
      <c r="AM21" s="921" t="s">
        <v>21</v>
      </c>
      <c r="AN21" s="920"/>
      <c r="AO21" s="920" t="s">
        <v>21</v>
      </c>
      <c r="AP21" s="919">
        <v>37.587000000000003</v>
      </c>
      <c r="AQ21" s="922">
        <v>120.07941</v>
      </c>
      <c r="AR21" s="923" t="s">
        <v>21</v>
      </c>
      <c r="AS21" s="923" t="s">
        <v>21</v>
      </c>
      <c r="AT21" s="923" t="s">
        <v>21</v>
      </c>
      <c r="AU21" s="923" t="s">
        <v>21</v>
      </c>
      <c r="AV21" s="924" t="s">
        <v>21</v>
      </c>
      <c r="AW21" s="924">
        <v>120.07941</v>
      </c>
      <c r="AX21" s="924" t="s">
        <v>21</v>
      </c>
      <c r="AY21" s="924" t="s">
        <v>21</v>
      </c>
      <c r="AZ21" s="923" t="s">
        <v>21</v>
      </c>
      <c r="BA21" s="923"/>
      <c r="BB21" s="919" t="s">
        <v>21</v>
      </c>
      <c r="BC21" s="919">
        <v>5.6379999999999999</v>
      </c>
      <c r="BD21" s="919" t="s">
        <v>2142</v>
      </c>
      <c r="BE21" s="925" t="s">
        <v>21</v>
      </c>
      <c r="BF21" s="926" t="s">
        <v>21</v>
      </c>
      <c r="BG21" s="925" t="s">
        <v>21</v>
      </c>
      <c r="BH21" s="926">
        <v>22.11</v>
      </c>
      <c r="BI21" s="925" t="s">
        <v>21</v>
      </c>
      <c r="BJ21" s="926" t="s">
        <v>21</v>
      </c>
      <c r="BK21" s="925" t="s">
        <v>21</v>
      </c>
      <c r="BL21" s="926" t="s">
        <v>21</v>
      </c>
      <c r="BM21" s="925" t="s">
        <v>21</v>
      </c>
      <c r="BN21" s="927"/>
      <c r="BO21" s="927"/>
      <c r="BP21" s="928" t="s">
        <v>21</v>
      </c>
      <c r="BQ21" s="928">
        <v>1</v>
      </c>
      <c r="BR21" s="928" t="s">
        <v>21</v>
      </c>
      <c r="BS21" s="928" t="s">
        <v>21</v>
      </c>
      <c r="BT21" s="928" t="s">
        <v>21</v>
      </c>
      <c r="BU21" s="928" t="s">
        <v>21</v>
      </c>
      <c r="BV21" s="929">
        <v>0.84999999999990905</v>
      </c>
      <c r="BW21" s="929">
        <v>1</v>
      </c>
      <c r="BX21" s="1104">
        <v>2</v>
      </c>
      <c r="BY21" s="931">
        <v>4</v>
      </c>
      <c r="BZ21" s="930">
        <v>1</v>
      </c>
      <c r="CA21" s="1074"/>
      <c r="CB21" s="930"/>
      <c r="CC21" s="930"/>
      <c r="CD21" s="925">
        <v>31.706</v>
      </c>
      <c r="CE21" s="1130">
        <v>92.641000000000005</v>
      </c>
      <c r="CF21" s="1129" t="s">
        <v>21</v>
      </c>
      <c r="CG21" s="1130" t="s">
        <v>21</v>
      </c>
      <c r="CH21" s="1130" t="s">
        <v>21</v>
      </c>
      <c r="CI21" s="1131" t="s">
        <v>21</v>
      </c>
      <c r="CJ21" s="1129" t="s">
        <v>21</v>
      </c>
      <c r="CK21" s="1130" t="s">
        <v>21</v>
      </c>
      <c r="CL21" s="1130" t="s">
        <v>21</v>
      </c>
      <c r="CM21" s="1131" t="s">
        <v>21</v>
      </c>
      <c r="CN21" s="1130">
        <v>92.641000000000005</v>
      </c>
      <c r="CP21" s="838" t="s">
        <v>21</v>
      </c>
      <c r="CQ21" s="838" t="s">
        <v>21</v>
      </c>
      <c r="CR21" s="836"/>
    </row>
    <row r="22" spans="1:96" x14ac:dyDescent="0.25">
      <c r="A22" s="935"/>
      <c r="B22" s="932" t="s">
        <v>2259</v>
      </c>
      <c r="C22" s="911">
        <v>800</v>
      </c>
      <c r="D22" s="911" t="s">
        <v>2116</v>
      </c>
      <c r="E22" s="912">
        <v>1200.5899999999999</v>
      </c>
      <c r="F22" s="912">
        <v>1198.44</v>
      </c>
      <c r="G22" s="910" t="s">
        <v>2260</v>
      </c>
      <c r="H22" s="912">
        <v>1198.6400000000001</v>
      </c>
      <c r="I22" s="912">
        <v>1196.54</v>
      </c>
      <c r="J22" s="914">
        <v>41.81</v>
      </c>
      <c r="K22" s="915"/>
      <c r="L22" s="916">
        <v>0.15</v>
      </c>
      <c r="M22" s="916">
        <v>7.5999999999999998E-2</v>
      </c>
      <c r="N22" s="916">
        <v>0.2</v>
      </c>
      <c r="O22" s="916">
        <v>5.3339999999999996</v>
      </c>
      <c r="P22" s="915"/>
      <c r="Q22" s="916">
        <v>2.4510000000000001</v>
      </c>
      <c r="R22" s="917">
        <v>0.33333333333333331</v>
      </c>
      <c r="S22" s="918">
        <v>1.7</v>
      </c>
      <c r="T22" s="918">
        <v>3.3340000000000001</v>
      </c>
      <c r="U22" s="916">
        <v>5.1669999999999998</v>
      </c>
      <c r="V22" s="916">
        <v>1.1519999999999999</v>
      </c>
      <c r="W22" s="915"/>
      <c r="X22" s="916">
        <v>0.503</v>
      </c>
      <c r="Y22" s="916">
        <v>0.71199999999999997</v>
      </c>
      <c r="Z22" s="916">
        <v>6.1689999999999996</v>
      </c>
      <c r="AA22" s="916">
        <v>1.4339999999999999</v>
      </c>
      <c r="AB22" s="916">
        <v>3.7679999999999998</v>
      </c>
      <c r="AC22" s="915"/>
      <c r="AD22" s="919">
        <v>223.01499999999999</v>
      </c>
      <c r="AE22" s="920">
        <v>257.92599999999999</v>
      </c>
      <c r="AF22" s="920" t="s">
        <v>21</v>
      </c>
      <c r="AG22" s="920" t="s">
        <v>21</v>
      </c>
      <c r="AH22" s="921" t="s">
        <v>21</v>
      </c>
      <c r="AI22" s="921">
        <v>257.92599999999999</v>
      </c>
      <c r="AJ22" s="920" t="s">
        <v>21</v>
      </c>
      <c r="AK22" s="920" t="s">
        <v>21</v>
      </c>
      <c r="AL22" s="921" t="s">
        <v>21</v>
      </c>
      <c r="AM22" s="921" t="s">
        <v>21</v>
      </c>
      <c r="AN22" s="920"/>
      <c r="AO22" s="920" t="s">
        <v>21</v>
      </c>
      <c r="AP22" s="919">
        <v>71.076999999999998</v>
      </c>
      <c r="AQ22" s="922">
        <v>216.03227000000001</v>
      </c>
      <c r="AR22" s="923" t="s">
        <v>21</v>
      </c>
      <c r="AS22" s="923" t="s">
        <v>21</v>
      </c>
      <c r="AT22" s="923" t="s">
        <v>21</v>
      </c>
      <c r="AU22" s="923" t="s">
        <v>21</v>
      </c>
      <c r="AV22" s="924" t="s">
        <v>21</v>
      </c>
      <c r="AW22" s="924">
        <v>216.03227000000001</v>
      </c>
      <c r="AX22" s="924" t="s">
        <v>21</v>
      </c>
      <c r="AY22" s="924" t="s">
        <v>21</v>
      </c>
      <c r="AZ22" s="923" t="s">
        <v>21</v>
      </c>
      <c r="BA22" s="923"/>
      <c r="BB22" s="919" t="s">
        <v>21</v>
      </c>
      <c r="BC22" s="919">
        <v>10.662000000000001</v>
      </c>
      <c r="BD22" s="919" t="s">
        <v>2142</v>
      </c>
      <c r="BE22" s="925" t="s">
        <v>21</v>
      </c>
      <c r="BF22" s="926" t="s">
        <v>21</v>
      </c>
      <c r="BG22" s="925" t="s">
        <v>21</v>
      </c>
      <c r="BH22" s="926">
        <v>41.81</v>
      </c>
      <c r="BI22" s="925" t="s">
        <v>21</v>
      </c>
      <c r="BJ22" s="926" t="s">
        <v>21</v>
      </c>
      <c r="BK22" s="925" t="s">
        <v>21</v>
      </c>
      <c r="BL22" s="926" t="s">
        <v>21</v>
      </c>
      <c r="BM22" s="925" t="s">
        <v>21</v>
      </c>
      <c r="BN22" s="927"/>
      <c r="BO22" s="927"/>
      <c r="BP22" s="928" t="s">
        <v>21</v>
      </c>
      <c r="BQ22" s="928">
        <v>1</v>
      </c>
      <c r="BR22" s="928" t="s">
        <v>21</v>
      </c>
      <c r="BS22" s="928" t="s">
        <v>21</v>
      </c>
      <c r="BT22" s="928" t="s">
        <v>21</v>
      </c>
      <c r="BU22" s="928" t="s">
        <v>21</v>
      </c>
      <c r="BV22" s="929">
        <v>0.64999999999986358</v>
      </c>
      <c r="BW22" s="929">
        <v>1</v>
      </c>
      <c r="BX22" s="1104">
        <v>2</v>
      </c>
      <c r="BY22" s="931">
        <v>4</v>
      </c>
      <c r="BZ22" s="930">
        <v>1</v>
      </c>
      <c r="CA22" s="1074"/>
      <c r="CB22" s="930"/>
      <c r="CC22" s="930"/>
      <c r="CD22" s="925">
        <v>59.956000000000003</v>
      </c>
      <c r="CE22" s="1130">
        <v>157.54</v>
      </c>
      <c r="CF22" s="1129" t="s">
        <v>21</v>
      </c>
      <c r="CG22" s="1130" t="s">
        <v>21</v>
      </c>
      <c r="CH22" s="1130" t="s">
        <v>21</v>
      </c>
      <c r="CI22" s="1131" t="s">
        <v>21</v>
      </c>
      <c r="CJ22" s="1129" t="s">
        <v>21</v>
      </c>
      <c r="CK22" s="1130" t="s">
        <v>21</v>
      </c>
      <c r="CL22" s="1130" t="s">
        <v>21</v>
      </c>
      <c r="CM22" s="1131" t="s">
        <v>21</v>
      </c>
      <c r="CN22" s="1130">
        <v>157.54</v>
      </c>
      <c r="CP22" s="838" t="s">
        <v>21</v>
      </c>
      <c r="CQ22" s="838" t="s">
        <v>21</v>
      </c>
      <c r="CR22" s="836"/>
    </row>
    <row r="23" spans="1:96" x14ac:dyDescent="0.25">
      <c r="A23" s="935"/>
      <c r="B23" s="932" t="s">
        <v>2260</v>
      </c>
      <c r="C23" s="911">
        <v>800</v>
      </c>
      <c r="D23" s="911" t="s">
        <v>2116</v>
      </c>
      <c r="E23" s="912">
        <v>1198.6400000000001</v>
      </c>
      <c r="F23" s="912">
        <v>1196.49</v>
      </c>
      <c r="G23" s="910" t="s">
        <v>2261</v>
      </c>
      <c r="H23" s="912">
        <v>1196.98</v>
      </c>
      <c r="I23" s="912">
        <v>1194.8800000000001</v>
      </c>
      <c r="J23" s="914">
        <v>42.27</v>
      </c>
      <c r="K23" s="915"/>
      <c r="L23" s="916">
        <v>0.15</v>
      </c>
      <c r="M23" s="916">
        <v>7.5999999999999998E-2</v>
      </c>
      <c r="N23" s="916">
        <v>0.2</v>
      </c>
      <c r="O23" s="916">
        <v>5.3339999999999996</v>
      </c>
      <c r="P23" s="915"/>
      <c r="Q23" s="916">
        <v>2.4510000000000001</v>
      </c>
      <c r="R23" s="917">
        <v>0.33333333333333331</v>
      </c>
      <c r="S23" s="918">
        <v>1.7</v>
      </c>
      <c r="T23" s="918">
        <v>3.3340000000000001</v>
      </c>
      <c r="U23" s="916">
        <v>5.1669999999999998</v>
      </c>
      <c r="V23" s="916">
        <v>1.1519999999999999</v>
      </c>
      <c r="W23" s="915"/>
      <c r="X23" s="916">
        <v>0.503</v>
      </c>
      <c r="Y23" s="916">
        <v>0.71199999999999997</v>
      </c>
      <c r="Z23" s="916">
        <v>6.1689999999999996</v>
      </c>
      <c r="AA23" s="916">
        <v>1.4339999999999999</v>
      </c>
      <c r="AB23" s="916">
        <v>3.7679999999999998</v>
      </c>
      <c r="AC23" s="915"/>
      <c r="AD23" s="919">
        <v>225.46799999999999</v>
      </c>
      <c r="AE23" s="920">
        <v>260.76400000000001</v>
      </c>
      <c r="AF23" s="920" t="s">
        <v>21</v>
      </c>
      <c r="AG23" s="920" t="s">
        <v>21</v>
      </c>
      <c r="AH23" s="921" t="s">
        <v>21</v>
      </c>
      <c r="AI23" s="921">
        <v>260.76400000000001</v>
      </c>
      <c r="AJ23" s="920" t="s">
        <v>21</v>
      </c>
      <c r="AK23" s="920" t="s">
        <v>21</v>
      </c>
      <c r="AL23" s="921" t="s">
        <v>21</v>
      </c>
      <c r="AM23" s="921" t="s">
        <v>21</v>
      </c>
      <c r="AN23" s="920"/>
      <c r="AO23" s="920" t="s">
        <v>21</v>
      </c>
      <c r="AP23" s="919">
        <v>71.858999999999995</v>
      </c>
      <c r="AQ23" s="922">
        <v>218.40909000000002</v>
      </c>
      <c r="AR23" s="923" t="s">
        <v>21</v>
      </c>
      <c r="AS23" s="923" t="s">
        <v>21</v>
      </c>
      <c r="AT23" s="923" t="s">
        <v>21</v>
      </c>
      <c r="AU23" s="923" t="s">
        <v>21</v>
      </c>
      <c r="AV23" s="924" t="s">
        <v>21</v>
      </c>
      <c r="AW23" s="924">
        <v>218.40909000000002</v>
      </c>
      <c r="AX23" s="924" t="s">
        <v>21</v>
      </c>
      <c r="AY23" s="924" t="s">
        <v>21</v>
      </c>
      <c r="AZ23" s="923" t="s">
        <v>21</v>
      </c>
      <c r="BA23" s="923"/>
      <c r="BB23" s="919" t="s">
        <v>21</v>
      </c>
      <c r="BC23" s="919">
        <v>10.779</v>
      </c>
      <c r="BD23" s="919" t="s">
        <v>2142</v>
      </c>
      <c r="BE23" s="925" t="s">
        <v>21</v>
      </c>
      <c r="BF23" s="926" t="s">
        <v>21</v>
      </c>
      <c r="BG23" s="925" t="s">
        <v>21</v>
      </c>
      <c r="BH23" s="926">
        <v>42.27</v>
      </c>
      <c r="BI23" s="925" t="s">
        <v>21</v>
      </c>
      <c r="BJ23" s="926" t="s">
        <v>21</v>
      </c>
      <c r="BK23" s="925" t="s">
        <v>21</v>
      </c>
      <c r="BL23" s="926" t="s">
        <v>21</v>
      </c>
      <c r="BM23" s="925" t="s">
        <v>21</v>
      </c>
      <c r="BN23" s="927"/>
      <c r="BO23" s="927"/>
      <c r="BP23" s="928" t="s">
        <v>21</v>
      </c>
      <c r="BQ23" s="928">
        <v>1</v>
      </c>
      <c r="BR23" s="928" t="s">
        <v>21</v>
      </c>
      <c r="BS23" s="928" t="s">
        <v>21</v>
      </c>
      <c r="BT23" s="928" t="s">
        <v>21</v>
      </c>
      <c r="BU23" s="928" t="s">
        <v>21</v>
      </c>
      <c r="BV23" s="929">
        <v>0.65000000000009095</v>
      </c>
      <c r="BW23" s="929">
        <v>1</v>
      </c>
      <c r="BX23" s="1104">
        <v>2</v>
      </c>
      <c r="BY23" s="931">
        <v>4</v>
      </c>
      <c r="BZ23" s="930"/>
      <c r="CA23" s="1074">
        <v>1</v>
      </c>
      <c r="CB23" s="930"/>
      <c r="CC23" s="930"/>
      <c r="CD23" s="925">
        <v>60.615000000000002</v>
      </c>
      <c r="CE23" s="1130">
        <v>159.273</v>
      </c>
      <c r="CF23" s="1129" t="s">
        <v>21</v>
      </c>
      <c r="CG23" s="1130" t="s">
        <v>21</v>
      </c>
      <c r="CH23" s="1130" t="s">
        <v>21</v>
      </c>
      <c r="CI23" s="1131" t="s">
        <v>21</v>
      </c>
      <c r="CJ23" s="1129" t="s">
        <v>21</v>
      </c>
      <c r="CK23" s="1130" t="s">
        <v>21</v>
      </c>
      <c r="CL23" s="1130" t="s">
        <v>21</v>
      </c>
      <c r="CM23" s="1131" t="s">
        <v>21</v>
      </c>
      <c r="CN23" s="1130">
        <v>159.273</v>
      </c>
      <c r="CP23" s="838" t="s">
        <v>21</v>
      </c>
      <c r="CQ23" s="838" t="s">
        <v>21</v>
      </c>
      <c r="CR23" s="836"/>
    </row>
    <row r="24" spans="1:96" x14ac:dyDescent="0.25">
      <c r="A24" s="935"/>
      <c r="B24" s="932" t="s">
        <v>2261</v>
      </c>
      <c r="C24" s="911">
        <v>800</v>
      </c>
      <c r="D24" s="911" t="s">
        <v>2116</v>
      </c>
      <c r="E24" s="912">
        <v>1196.98</v>
      </c>
      <c r="F24" s="912">
        <v>1194.251</v>
      </c>
      <c r="G24" s="910" t="s">
        <v>2262</v>
      </c>
      <c r="H24" s="912">
        <v>1195.94</v>
      </c>
      <c r="I24" s="912">
        <v>1193.8399999999999</v>
      </c>
      <c r="J24" s="914">
        <v>24.91</v>
      </c>
      <c r="K24" s="915"/>
      <c r="L24" s="916">
        <v>0.15</v>
      </c>
      <c r="M24" s="916">
        <v>7.5999999999999998E-2</v>
      </c>
      <c r="N24" s="916">
        <v>0.2</v>
      </c>
      <c r="O24" s="916">
        <v>5.5270000000000001</v>
      </c>
      <c r="P24" s="915"/>
      <c r="Q24" s="916">
        <v>2.7410000000000001</v>
      </c>
      <c r="R24" s="917">
        <v>0.33333333333333331</v>
      </c>
      <c r="S24" s="918">
        <v>1.7</v>
      </c>
      <c r="T24" s="918">
        <v>3.5270000000000001</v>
      </c>
      <c r="U24" s="916">
        <v>5.7789999999999999</v>
      </c>
      <c r="V24" s="916">
        <v>1.1519999999999999</v>
      </c>
      <c r="W24" s="915"/>
      <c r="X24" s="916">
        <v>0.503</v>
      </c>
      <c r="Y24" s="916">
        <v>0.71199999999999997</v>
      </c>
      <c r="Z24" s="916">
        <v>7.1639999999999997</v>
      </c>
      <c r="AA24" s="916">
        <v>1.4339999999999999</v>
      </c>
      <c r="AB24" s="916">
        <v>4.7629999999999999</v>
      </c>
      <c r="AC24" s="915"/>
      <c r="AD24" s="919">
        <v>137.678</v>
      </c>
      <c r="AE24" s="920">
        <v>178.45500000000001</v>
      </c>
      <c r="AF24" s="920" t="s">
        <v>21</v>
      </c>
      <c r="AG24" s="920" t="s">
        <v>21</v>
      </c>
      <c r="AH24" s="921" t="s">
        <v>21</v>
      </c>
      <c r="AI24" s="921">
        <v>178.45500000000001</v>
      </c>
      <c r="AJ24" s="920" t="s">
        <v>21</v>
      </c>
      <c r="AK24" s="920" t="s">
        <v>21</v>
      </c>
      <c r="AL24" s="921" t="s">
        <v>21</v>
      </c>
      <c r="AM24" s="921" t="s">
        <v>21</v>
      </c>
      <c r="AN24" s="920"/>
      <c r="AO24" s="920" t="s">
        <v>21</v>
      </c>
      <c r="AP24" s="919">
        <v>42.347000000000001</v>
      </c>
      <c r="AQ24" s="922">
        <v>143.95489000000001</v>
      </c>
      <c r="AR24" s="923" t="s">
        <v>21</v>
      </c>
      <c r="AS24" s="923" t="s">
        <v>21</v>
      </c>
      <c r="AT24" s="923" t="s">
        <v>21</v>
      </c>
      <c r="AU24" s="923" t="s">
        <v>21</v>
      </c>
      <c r="AV24" s="924" t="s">
        <v>21</v>
      </c>
      <c r="AW24" s="924">
        <v>143.95489000000001</v>
      </c>
      <c r="AX24" s="924" t="s">
        <v>21</v>
      </c>
      <c r="AY24" s="924" t="s">
        <v>21</v>
      </c>
      <c r="AZ24" s="923" t="s">
        <v>21</v>
      </c>
      <c r="BA24" s="923"/>
      <c r="BB24" s="919" t="s">
        <v>21</v>
      </c>
      <c r="BC24" s="919">
        <v>6.3520000000000003</v>
      </c>
      <c r="BD24" s="919" t="s">
        <v>2142</v>
      </c>
      <c r="BE24" s="925" t="s">
        <v>21</v>
      </c>
      <c r="BF24" s="926" t="s">
        <v>21</v>
      </c>
      <c r="BG24" s="925" t="s">
        <v>21</v>
      </c>
      <c r="BH24" s="926">
        <v>24.91</v>
      </c>
      <c r="BI24" s="925" t="s">
        <v>21</v>
      </c>
      <c r="BJ24" s="926" t="s">
        <v>21</v>
      </c>
      <c r="BK24" s="925" t="s">
        <v>21</v>
      </c>
      <c r="BL24" s="926" t="s">
        <v>21</v>
      </c>
      <c r="BM24" s="925" t="s">
        <v>21</v>
      </c>
      <c r="BN24" s="927"/>
      <c r="BO24" s="927"/>
      <c r="BP24" s="928" t="s">
        <v>21</v>
      </c>
      <c r="BQ24" s="928">
        <v>1</v>
      </c>
      <c r="BR24" s="928" t="s">
        <v>21</v>
      </c>
      <c r="BS24" s="928" t="s">
        <v>21</v>
      </c>
      <c r="BT24" s="928" t="s">
        <v>21</v>
      </c>
      <c r="BU24" s="928" t="s">
        <v>21</v>
      </c>
      <c r="BV24" s="929">
        <v>1.2290000000000418</v>
      </c>
      <c r="BW24" s="929">
        <v>1.5</v>
      </c>
      <c r="BX24" s="1104">
        <v>3</v>
      </c>
      <c r="BY24" s="931">
        <v>5</v>
      </c>
      <c r="BZ24" s="930">
        <v>2</v>
      </c>
      <c r="CA24" s="1074"/>
      <c r="CB24" s="930"/>
      <c r="CC24" s="930"/>
      <c r="CD24" s="925">
        <v>35.720999999999997</v>
      </c>
      <c r="CE24" s="1130">
        <v>118.646</v>
      </c>
      <c r="CF24" s="1129" t="s">
        <v>21</v>
      </c>
      <c r="CG24" s="1130" t="s">
        <v>21</v>
      </c>
      <c r="CH24" s="1130" t="s">
        <v>21</v>
      </c>
      <c r="CI24" s="1131" t="s">
        <v>21</v>
      </c>
      <c r="CJ24" s="1129" t="s">
        <v>21</v>
      </c>
      <c r="CK24" s="1130" t="s">
        <v>21</v>
      </c>
      <c r="CL24" s="1130" t="s">
        <v>21</v>
      </c>
      <c r="CM24" s="1131" t="s">
        <v>21</v>
      </c>
      <c r="CN24" s="1130">
        <v>118.646</v>
      </c>
      <c r="CP24" s="838" t="s">
        <v>21</v>
      </c>
      <c r="CQ24" s="838" t="s">
        <v>21</v>
      </c>
      <c r="CR24" s="836"/>
    </row>
    <row r="25" spans="1:96" x14ac:dyDescent="0.25">
      <c r="A25" s="935"/>
      <c r="B25" s="932" t="s">
        <v>2262</v>
      </c>
      <c r="C25" s="911">
        <v>800</v>
      </c>
      <c r="D25" s="911" t="s">
        <v>2116</v>
      </c>
      <c r="E25" s="912">
        <v>1195.94</v>
      </c>
      <c r="F25" s="912">
        <v>1193.8399999999999</v>
      </c>
      <c r="G25" s="910" t="s">
        <v>2263</v>
      </c>
      <c r="H25" s="912">
        <v>1194.8800000000001</v>
      </c>
      <c r="I25" s="912">
        <v>1192.78</v>
      </c>
      <c r="J25" s="914">
        <v>26.06</v>
      </c>
      <c r="K25" s="915"/>
      <c r="L25" s="916">
        <v>0.15</v>
      </c>
      <c r="M25" s="916">
        <v>7.5999999999999998E-2</v>
      </c>
      <c r="N25" s="916">
        <v>0.2</v>
      </c>
      <c r="O25" s="916">
        <v>5.3170000000000002</v>
      </c>
      <c r="P25" s="915"/>
      <c r="Q25" s="916">
        <v>2.4260000000000002</v>
      </c>
      <c r="R25" s="917">
        <v>0.33333333333333331</v>
      </c>
      <c r="S25" s="918">
        <v>1.7</v>
      </c>
      <c r="T25" s="918">
        <v>3.3170000000000002</v>
      </c>
      <c r="U25" s="916">
        <v>5.1139999999999999</v>
      </c>
      <c r="V25" s="916">
        <v>1.1519999999999999</v>
      </c>
      <c r="W25" s="915"/>
      <c r="X25" s="916">
        <v>0.503</v>
      </c>
      <c r="Y25" s="916">
        <v>0.71199999999999997</v>
      </c>
      <c r="Z25" s="916">
        <v>6.0860000000000003</v>
      </c>
      <c r="AA25" s="916">
        <v>1.4339999999999999</v>
      </c>
      <c r="AB25" s="916">
        <v>3.6850000000000001</v>
      </c>
      <c r="AC25" s="915"/>
      <c r="AD25" s="919">
        <v>138.56100000000001</v>
      </c>
      <c r="AE25" s="920">
        <v>158.601</v>
      </c>
      <c r="AF25" s="920" t="s">
        <v>21</v>
      </c>
      <c r="AG25" s="920" t="s">
        <v>21</v>
      </c>
      <c r="AH25" s="921" t="s">
        <v>21</v>
      </c>
      <c r="AI25" s="921">
        <v>158.601</v>
      </c>
      <c r="AJ25" s="920" t="s">
        <v>21</v>
      </c>
      <c r="AK25" s="920" t="s">
        <v>21</v>
      </c>
      <c r="AL25" s="921" t="s">
        <v>21</v>
      </c>
      <c r="AM25" s="921" t="s">
        <v>21</v>
      </c>
      <c r="AN25" s="920"/>
      <c r="AO25" s="920" t="s">
        <v>21</v>
      </c>
      <c r="AP25" s="919">
        <v>44.302</v>
      </c>
      <c r="AQ25" s="922">
        <v>133.27083999999999</v>
      </c>
      <c r="AR25" s="923" t="s">
        <v>21</v>
      </c>
      <c r="AS25" s="923" t="s">
        <v>21</v>
      </c>
      <c r="AT25" s="923" t="s">
        <v>21</v>
      </c>
      <c r="AU25" s="923" t="s">
        <v>21</v>
      </c>
      <c r="AV25" s="924" t="s">
        <v>21</v>
      </c>
      <c r="AW25" s="924">
        <v>133.27083999999999</v>
      </c>
      <c r="AX25" s="924" t="s">
        <v>21</v>
      </c>
      <c r="AY25" s="924" t="s">
        <v>21</v>
      </c>
      <c r="AZ25" s="923" t="s">
        <v>21</v>
      </c>
      <c r="BA25" s="923"/>
      <c r="BB25" s="919" t="s">
        <v>21</v>
      </c>
      <c r="BC25" s="919">
        <v>6.6449999999999996</v>
      </c>
      <c r="BD25" s="919" t="s">
        <v>2142</v>
      </c>
      <c r="BE25" s="925" t="s">
        <v>21</v>
      </c>
      <c r="BF25" s="926" t="s">
        <v>21</v>
      </c>
      <c r="BG25" s="925" t="s">
        <v>21</v>
      </c>
      <c r="BH25" s="926">
        <v>26.06</v>
      </c>
      <c r="BI25" s="925" t="s">
        <v>21</v>
      </c>
      <c r="BJ25" s="926" t="s">
        <v>21</v>
      </c>
      <c r="BK25" s="925" t="s">
        <v>21</v>
      </c>
      <c r="BL25" s="926" t="s">
        <v>21</v>
      </c>
      <c r="BM25" s="925" t="s">
        <v>21</v>
      </c>
      <c r="BN25" s="927"/>
      <c r="BO25" s="927"/>
      <c r="BP25" s="928" t="s">
        <v>21</v>
      </c>
      <c r="BQ25" s="928">
        <v>1</v>
      </c>
      <c r="BR25" s="928" t="s">
        <v>21</v>
      </c>
      <c r="BS25" s="928" t="s">
        <v>21</v>
      </c>
      <c r="BT25" s="928" t="s">
        <v>21</v>
      </c>
      <c r="BU25" s="928" t="s">
        <v>21</v>
      </c>
      <c r="BV25" s="929">
        <v>0.60000000000013642</v>
      </c>
      <c r="BW25" s="929">
        <v>1</v>
      </c>
      <c r="BX25" s="1104">
        <v>2</v>
      </c>
      <c r="BY25" s="931">
        <v>4</v>
      </c>
      <c r="BZ25" s="930">
        <v>2</v>
      </c>
      <c r="CA25" s="1074"/>
      <c r="CB25" s="930"/>
      <c r="CC25" s="930"/>
      <c r="CD25" s="925">
        <v>37.369999999999997</v>
      </c>
      <c r="CE25" s="1130">
        <v>96.031000000000006</v>
      </c>
      <c r="CF25" s="1129" t="s">
        <v>21</v>
      </c>
      <c r="CG25" s="1130" t="s">
        <v>21</v>
      </c>
      <c r="CH25" s="1130" t="s">
        <v>21</v>
      </c>
      <c r="CI25" s="1131" t="s">
        <v>21</v>
      </c>
      <c r="CJ25" s="1129" t="s">
        <v>21</v>
      </c>
      <c r="CK25" s="1130" t="s">
        <v>21</v>
      </c>
      <c r="CL25" s="1130" t="s">
        <v>21</v>
      </c>
      <c r="CM25" s="1131" t="s">
        <v>21</v>
      </c>
      <c r="CN25" s="1130">
        <v>96.031000000000006</v>
      </c>
      <c r="CP25" s="838" t="s">
        <v>21</v>
      </c>
      <c r="CQ25" s="838" t="s">
        <v>21</v>
      </c>
      <c r="CR25" s="836"/>
    </row>
    <row r="26" spans="1:96" x14ac:dyDescent="0.25">
      <c r="A26" s="935"/>
      <c r="B26" s="932" t="s">
        <v>2263</v>
      </c>
      <c r="C26" s="911">
        <v>800</v>
      </c>
      <c r="D26" s="911" t="s">
        <v>2116</v>
      </c>
      <c r="E26" s="912">
        <v>1194.8800000000001</v>
      </c>
      <c r="F26" s="912">
        <v>1192.78</v>
      </c>
      <c r="G26" s="910" t="s">
        <v>2264</v>
      </c>
      <c r="H26" s="912">
        <v>1192.99</v>
      </c>
      <c r="I26" s="912">
        <v>1190.8900000000001</v>
      </c>
      <c r="J26" s="914">
        <v>32.869999999999997</v>
      </c>
      <c r="K26" s="915"/>
      <c r="L26" s="916">
        <v>0.15</v>
      </c>
      <c r="M26" s="916">
        <v>7.5999999999999998E-2</v>
      </c>
      <c r="N26" s="916">
        <v>0.2</v>
      </c>
      <c r="O26" s="916">
        <v>5.3170000000000002</v>
      </c>
      <c r="P26" s="915"/>
      <c r="Q26" s="916">
        <v>2.4260000000000002</v>
      </c>
      <c r="R26" s="917">
        <v>0.33333333333333331</v>
      </c>
      <c r="S26" s="918">
        <v>1.7</v>
      </c>
      <c r="T26" s="918">
        <v>3.3170000000000002</v>
      </c>
      <c r="U26" s="916">
        <v>5.1139999999999999</v>
      </c>
      <c r="V26" s="916">
        <v>1.1519999999999999</v>
      </c>
      <c r="W26" s="915"/>
      <c r="X26" s="916">
        <v>0.503</v>
      </c>
      <c r="Y26" s="916">
        <v>0.71199999999999997</v>
      </c>
      <c r="Z26" s="916">
        <v>6.0860000000000003</v>
      </c>
      <c r="AA26" s="916">
        <v>1.4339999999999999</v>
      </c>
      <c r="AB26" s="916">
        <v>3.6850000000000001</v>
      </c>
      <c r="AC26" s="915"/>
      <c r="AD26" s="919">
        <v>174.77</v>
      </c>
      <c r="AE26" s="920">
        <v>200.047</v>
      </c>
      <c r="AF26" s="920" t="s">
        <v>21</v>
      </c>
      <c r="AG26" s="920" t="s">
        <v>21</v>
      </c>
      <c r="AH26" s="921" t="s">
        <v>21</v>
      </c>
      <c r="AI26" s="921">
        <v>200.047</v>
      </c>
      <c r="AJ26" s="920" t="s">
        <v>21</v>
      </c>
      <c r="AK26" s="920" t="s">
        <v>21</v>
      </c>
      <c r="AL26" s="921" t="s">
        <v>21</v>
      </c>
      <c r="AM26" s="921" t="s">
        <v>21</v>
      </c>
      <c r="AN26" s="920"/>
      <c r="AO26" s="920" t="s">
        <v>21</v>
      </c>
      <c r="AP26" s="919">
        <v>55.878999999999998</v>
      </c>
      <c r="AQ26" s="922">
        <v>168.09717999999998</v>
      </c>
      <c r="AR26" s="923" t="s">
        <v>21</v>
      </c>
      <c r="AS26" s="923" t="s">
        <v>21</v>
      </c>
      <c r="AT26" s="923" t="s">
        <v>21</v>
      </c>
      <c r="AU26" s="923" t="s">
        <v>21</v>
      </c>
      <c r="AV26" s="924" t="s">
        <v>21</v>
      </c>
      <c r="AW26" s="924">
        <v>168.09717999999998</v>
      </c>
      <c r="AX26" s="924" t="s">
        <v>21</v>
      </c>
      <c r="AY26" s="924" t="s">
        <v>21</v>
      </c>
      <c r="AZ26" s="923" t="s">
        <v>21</v>
      </c>
      <c r="BA26" s="923"/>
      <c r="BB26" s="919" t="s">
        <v>21</v>
      </c>
      <c r="BC26" s="919">
        <v>8.3819999999999997</v>
      </c>
      <c r="BD26" s="919" t="s">
        <v>2142</v>
      </c>
      <c r="BE26" s="925" t="s">
        <v>21</v>
      </c>
      <c r="BF26" s="926" t="s">
        <v>21</v>
      </c>
      <c r="BG26" s="925" t="s">
        <v>21</v>
      </c>
      <c r="BH26" s="926">
        <v>32.869999999999997</v>
      </c>
      <c r="BI26" s="925" t="s">
        <v>21</v>
      </c>
      <c r="BJ26" s="926" t="s">
        <v>21</v>
      </c>
      <c r="BK26" s="925" t="s">
        <v>21</v>
      </c>
      <c r="BL26" s="926" t="s">
        <v>21</v>
      </c>
      <c r="BM26" s="925" t="s">
        <v>21</v>
      </c>
      <c r="BN26" s="927"/>
      <c r="BO26" s="927"/>
      <c r="BP26" s="928" t="s">
        <v>21</v>
      </c>
      <c r="BQ26" s="928">
        <v>1</v>
      </c>
      <c r="BR26" s="928" t="s">
        <v>21</v>
      </c>
      <c r="BS26" s="928" t="s">
        <v>21</v>
      </c>
      <c r="BT26" s="928" t="s">
        <v>21</v>
      </c>
      <c r="BU26" s="928" t="s">
        <v>21</v>
      </c>
      <c r="BV26" s="929">
        <v>0.60000000000013642</v>
      </c>
      <c r="BW26" s="929">
        <v>1</v>
      </c>
      <c r="BX26" s="1104">
        <v>2</v>
      </c>
      <c r="BY26" s="931">
        <v>4</v>
      </c>
      <c r="BZ26" s="930">
        <v>1</v>
      </c>
      <c r="CA26" s="1074"/>
      <c r="CB26" s="930"/>
      <c r="CC26" s="930"/>
      <c r="CD26" s="925">
        <v>47.136000000000003</v>
      </c>
      <c r="CE26" s="1130">
        <v>121.126</v>
      </c>
      <c r="CF26" s="1129" t="s">
        <v>21</v>
      </c>
      <c r="CG26" s="1130" t="s">
        <v>21</v>
      </c>
      <c r="CH26" s="1130" t="s">
        <v>21</v>
      </c>
      <c r="CI26" s="1131" t="s">
        <v>21</v>
      </c>
      <c r="CJ26" s="1129" t="s">
        <v>21</v>
      </c>
      <c r="CK26" s="1130" t="s">
        <v>21</v>
      </c>
      <c r="CL26" s="1130" t="s">
        <v>21</v>
      </c>
      <c r="CM26" s="1131" t="s">
        <v>21</v>
      </c>
      <c r="CN26" s="1130">
        <v>121.126</v>
      </c>
      <c r="CP26" s="838" t="s">
        <v>21</v>
      </c>
      <c r="CQ26" s="838" t="s">
        <v>21</v>
      </c>
      <c r="CR26" s="836"/>
    </row>
    <row r="27" spans="1:96" x14ac:dyDescent="0.25">
      <c r="A27" s="935"/>
      <c r="B27" s="932" t="s">
        <v>2264</v>
      </c>
      <c r="C27" s="911">
        <v>800</v>
      </c>
      <c r="D27" s="911" t="s">
        <v>2116</v>
      </c>
      <c r="E27" s="912">
        <v>1192.99</v>
      </c>
      <c r="F27" s="912">
        <v>1189.992</v>
      </c>
      <c r="G27" s="910" t="s">
        <v>3044</v>
      </c>
      <c r="H27" s="912">
        <v>1190.5</v>
      </c>
      <c r="I27" s="912">
        <v>1188.4000000000001</v>
      </c>
      <c r="J27" s="914">
        <v>46.13</v>
      </c>
      <c r="K27" s="915"/>
      <c r="L27" s="916">
        <v>0.15</v>
      </c>
      <c r="M27" s="916">
        <v>7.5999999999999998E-2</v>
      </c>
      <c r="N27" s="916">
        <v>0.2</v>
      </c>
      <c r="O27" s="916">
        <v>5.617</v>
      </c>
      <c r="P27" s="915"/>
      <c r="Q27" s="916">
        <v>2.875</v>
      </c>
      <c r="R27" s="917">
        <v>0.33333333333333331</v>
      </c>
      <c r="S27" s="918">
        <v>1.7</v>
      </c>
      <c r="T27" s="918">
        <v>3.617</v>
      </c>
      <c r="U27" s="916">
        <v>6.0609999999999999</v>
      </c>
      <c r="V27" s="916">
        <v>1.1519999999999999</v>
      </c>
      <c r="W27" s="915"/>
      <c r="X27" s="916">
        <v>0.503</v>
      </c>
      <c r="Y27" s="916">
        <v>0.71199999999999997</v>
      </c>
      <c r="Z27" s="916">
        <v>7.6429999999999998</v>
      </c>
      <c r="AA27" s="916">
        <v>1.4339999999999999</v>
      </c>
      <c r="AB27" s="916">
        <v>5.242</v>
      </c>
      <c r="AC27" s="915"/>
      <c r="AD27" s="919">
        <v>259.11200000000002</v>
      </c>
      <c r="AE27" s="920">
        <v>352.572</v>
      </c>
      <c r="AF27" s="920" t="s">
        <v>21</v>
      </c>
      <c r="AG27" s="920" t="s">
        <v>21</v>
      </c>
      <c r="AH27" s="921" t="s">
        <v>21</v>
      </c>
      <c r="AI27" s="921">
        <v>352.572</v>
      </c>
      <c r="AJ27" s="920" t="s">
        <v>21</v>
      </c>
      <c r="AK27" s="920" t="s">
        <v>21</v>
      </c>
      <c r="AL27" s="921" t="s">
        <v>21</v>
      </c>
      <c r="AM27" s="921" t="s">
        <v>21</v>
      </c>
      <c r="AN27" s="920"/>
      <c r="AO27" s="920" t="s">
        <v>21</v>
      </c>
      <c r="AP27" s="919">
        <v>78.421000000000006</v>
      </c>
      <c r="AQ27" s="922">
        <v>279.59393</v>
      </c>
      <c r="AR27" s="923" t="s">
        <v>21</v>
      </c>
      <c r="AS27" s="923" t="s">
        <v>21</v>
      </c>
      <c r="AT27" s="923" t="s">
        <v>21</v>
      </c>
      <c r="AU27" s="923" t="s">
        <v>21</v>
      </c>
      <c r="AV27" s="924" t="s">
        <v>21</v>
      </c>
      <c r="AW27" s="924">
        <v>279.59393</v>
      </c>
      <c r="AX27" s="924" t="s">
        <v>21</v>
      </c>
      <c r="AY27" s="924" t="s">
        <v>21</v>
      </c>
      <c r="AZ27" s="923" t="s">
        <v>21</v>
      </c>
      <c r="BA27" s="923"/>
      <c r="BB27" s="919" t="s">
        <v>21</v>
      </c>
      <c r="BC27" s="919">
        <v>11.763</v>
      </c>
      <c r="BD27" s="919" t="s">
        <v>2142</v>
      </c>
      <c r="BE27" s="925" t="s">
        <v>21</v>
      </c>
      <c r="BF27" s="926" t="s">
        <v>21</v>
      </c>
      <c r="BG27" s="925" t="s">
        <v>21</v>
      </c>
      <c r="BH27" s="926">
        <v>46.13</v>
      </c>
      <c r="BI27" s="925" t="s">
        <v>21</v>
      </c>
      <c r="BJ27" s="926" t="s">
        <v>21</v>
      </c>
      <c r="BK27" s="925" t="s">
        <v>21</v>
      </c>
      <c r="BL27" s="926" t="s">
        <v>21</v>
      </c>
      <c r="BM27" s="925" t="s">
        <v>21</v>
      </c>
      <c r="BN27" s="927"/>
      <c r="BO27" s="927"/>
      <c r="BP27" s="928" t="s">
        <v>21</v>
      </c>
      <c r="BQ27" s="928">
        <v>1</v>
      </c>
      <c r="BR27" s="928" t="s">
        <v>21</v>
      </c>
      <c r="BS27" s="928" t="s">
        <v>21</v>
      </c>
      <c r="BT27" s="928" t="s">
        <v>21</v>
      </c>
      <c r="BU27" s="928" t="s">
        <v>21</v>
      </c>
      <c r="BV27" s="929">
        <v>1.4980000000000473</v>
      </c>
      <c r="BW27" s="929">
        <v>1.5</v>
      </c>
      <c r="BX27" s="1104">
        <v>3</v>
      </c>
      <c r="BY27" s="931">
        <v>5</v>
      </c>
      <c r="BZ27" s="930">
        <v>3</v>
      </c>
      <c r="CA27" s="1074"/>
      <c r="CB27" s="930"/>
      <c r="CC27" s="930"/>
      <c r="CD27" s="925">
        <v>66.150000000000006</v>
      </c>
      <c r="CE27" s="1130">
        <v>241.81299999999999</v>
      </c>
      <c r="CF27" s="1129" t="s">
        <v>21</v>
      </c>
      <c r="CG27" s="1130" t="s">
        <v>21</v>
      </c>
      <c r="CH27" s="1130" t="s">
        <v>21</v>
      </c>
      <c r="CI27" s="1131" t="s">
        <v>21</v>
      </c>
      <c r="CJ27" s="1129" t="s">
        <v>21</v>
      </c>
      <c r="CK27" s="1130" t="s">
        <v>21</v>
      </c>
      <c r="CL27" s="1130" t="s">
        <v>21</v>
      </c>
      <c r="CM27" s="1131" t="s">
        <v>21</v>
      </c>
      <c r="CN27" s="1130">
        <v>241.81299999999999</v>
      </c>
      <c r="CP27" s="838" t="s">
        <v>21</v>
      </c>
      <c r="CQ27" s="838" t="s">
        <v>21</v>
      </c>
      <c r="CR27" s="836"/>
    </row>
    <row r="28" spans="1:96" x14ac:dyDescent="0.25">
      <c r="A28" s="935"/>
      <c r="B28" s="932" t="s">
        <v>3044</v>
      </c>
      <c r="C28" s="911">
        <v>800</v>
      </c>
      <c r="D28" s="911" t="s">
        <v>2116</v>
      </c>
      <c r="E28" s="912">
        <v>1190.5</v>
      </c>
      <c r="F28" s="912">
        <v>1188.0999999999999</v>
      </c>
      <c r="G28" s="910" t="s">
        <v>3045</v>
      </c>
      <c r="H28" s="912">
        <v>1187.44</v>
      </c>
      <c r="I28" s="912">
        <v>1185.3399999999999</v>
      </c>
      <c r="J28" s="914">
        <v>49.59</v>
      </c>
      <c r="K28" s="915"/>
      <c r="L28" s="916">
        <v>0.15</v>
      </c>
      <c r="M28" s="916">
        <v>7.5999999999999998E-2</v>
      </c>
      <c r="N28" s="916">
        <v>0.2</v>
      </c>
      <c r="O28" s="916">
        <v>5.4169999999999998</v>
      </c>
      <c r="P28" s="915"/>
      <c r="Q28" s="916">
        <v>2.5760000000000001</v>
      </c>
      <c r="R28" s="917">
        <v>0.33333333333333331</v>
      </c>
      <c r="S28" s="918">
        <v>1.7</v>
      </c>
      <c r="T28" s="918">
        <v>3.4169999999999998</v>
      </c>
      <c r="U28" s="916">
        <v>5.431</v>
      </c>
      <c r="V28" s="916">
        <v>1.1519999999999999</v>
      </c>
      <c r="W28" s="915"/>
      <c r="X28" s="916">
        <v>0.503</v>
      </c>
      <c r="Y28" s="916">
        <v>0.71199999999999997</v>
      </c>
      <c r="Z28" s="916">
        <v>6.5910000000000002</v>
      </c>
      <c r="AA28" s="916">
        <v>1.4339999999999999</v>
      </c>
      <c r="AB28" s="916">
        <v>4.1900000000000004</v>
      </c>
      <c r="AC28" s="915"/>
      <c r="AD28" s="919">
        <v>268.62900000000002</v>
      </c>
      <c r="AE28" s="920">
        <v>326.84800000000001</v>
      </c>
      <c r="AF28" s="920" t="s">
        <v>21</v>
      </c>
      <c r="AG28" s="920" t="s">
        <v>21</v>
      </c>
      <c r="AH28" s="921" t="s">
        <v>21</v>
      </c>
      <c r="AI28" s="921">
        <v>326.84800000000001</v>
      </c>
      <c r="AJ28" s="920" t="s">
        <v>21</v>
      </c>
      <c r="AK28" s="920" t="s">
        <v>21</v>
      </c>
      <c r="AL28" s="921" t="s">
        <v>21</v>
      </c>
      <c r="AM28" s="921" t="s">
        <v>21</v>
      </c>
      <c r="AN28" s="920"/>
      <c r="AO28" s="920" t="s">
        <v>21</v>
      </c>
      <c r="AP28" s="919">
        <v>84.302999999999997</v>
      </c>
      <c r="AQ28" s="922">
        <v>269.32329000000004</v>
      </c>
      <c r="AR28" s="923" t="s">
        <v>21</v>
      </c>
      <c r="AS28" s="923" t="s">
        <v>21</v>
      </c>
      <c r="AT28" s="923" t="s">
        <v>21</v>
      </c>
      <c r="AU28" s="923" t="s">
        <v>21</v>
      </c>
      <c r="AV28" s="924" t="s">
        <v>21</v>
      </c>
      <c r="AW28" s="924">
        <v>269.32329000000004</v>
      </c>
      <c r="AX28" s="924" t="s">
        <v>21</v>
      </c>
      <c r="AY28" s="924" t="s">
        <v>21</v>
      </c>
      <c r="AZ28" s="923" t="s">
        <v>21</v>
      </c>
      <c r="BA28" s="923"/>
      <c r="BB28" s="919" t="s">
        <v>21</v>
      </c>
      <c r="BC28" s="919">
        <v>12.645</v>
      </c>
      <c r="BD28" s="919" t="s">
        <v>2142</v>
      </c>
      <c r="BE28" s="925" t="s">
        <v>21</v>
      </c>
      <c r="BF28" s="926" t="s">
        <v>21</v>
      </c>
      <c r="BG28" s="925" t="s">
        <v>21</v>
      </c>
      <c r="BH28" s="926">
        <v>49.59</v>
      </c>
      <c r="BI28" s="925" t="s">
        <v>21</v>
      </c>
      <c r="BJ28" s="926" t="s">
        <v>21</v>
      </c>
      <c r="BK28" s="925" t="s">
        <v>21</v>
      </c>
      <c r="BL28" s="926" t="s">
        <v>21</v>
      </c>
      <c r="BM28" s="925" t="s">
        <v>21</v>
      </c>
      <c r="BN28" s="927"/>
      <c r="BO28" s="927"/>
      <c r="BP28" s="928" t="s">
        <v>21</v>
      </c>
      <c r="BQ28" s="928">
        <v>1</v>
      </c>
      <c r="BR28" s="928" t="s">
        <v>21</v>
      </c>
      <c r="BS28" s="928" t="s">
        <v>21</v>
      </c>
      <c r="BT28" s="928" t="s">
        <v>21</v>
      </c>
      <c r="BU28" s="928" t="s">
        <v>21</v>
      </c>
      <c r="BV28" s="929">
        <v>0.90000000000009095</v>
      </c>
      <c r="BW28" s="929">
        <v>1</v>
      </c>
      <c r="BX28" s="1104">
        <v>2</v>
      </c>
      <c r="BY28" s="931">
        <v>4</v>
      </c>
      <c r="BZ28" s="930">
        <v>2</v>
      </c>
      <c r="CA28" s="1074">
        <v>1</v>
      </c>
      <c r="CB28" s="930"/>
      <c r="CC28" s="930"/>
      <c r="CD28" s="925">
        <v>71.111999999999995</v>
      </c>
      <c r="CE28" s="1130">
        <v>207.78200000000001</v>
      </c>
      <c r="CF28" s="1129" t="s">
        <v>21</v>
      </c>
      <c r="CG28" s="1130" t="s">
        <v>21</v>
      </c>
      <c r="CH28" s="1130" t="s">
        <v>21</v>
      </c>
      <c r="CI28" s="1131" t="s">
        <v>21</v>
      </c>
      <c r="CJ28" s="1129" t="s">
        <v>21</v>
      </c>
      <c r="CK28" s="1130" t="s">
        <v>21</v>
      </c>
      <c r="CL28" s="1130" t="s">
        <v>21</v>
      </c>
      <c r="CM28" s="1131" t="s">
        <v>21</v>
      </c>
      <c r="CN28" s="1130">
        <v>207.78200000000001</v>
      </c>
      <c r="CP28" s="838" t="s">
        <v>21</v>
      </c>
      <c r="CQ28" s="838" t="s">
        <v>21</v>
      </c>
      <c r="CR28" s="836"/>
    </row>
    <row r="29" spans="1:96" x14ac:dyDescent="0.25">
      <c r="A29" s="935"/>
      <c r="B29" s="932" t="s">
        <v>3045</v>
      </c>
      <c r="C29" s="911">
        <v>800</v>
      </c>
      <c r="D29" s="911" t="s">
        <v>2116</v>
      </c>
      <c r="E29" s="912">
        <v>1187.44</v>
      </c>
      <c r="F29" s="912">
        <v>1185.29</v>
      </c>
      <c r="G29" s="910" t="s">
        <v>3046</v>
      </c>
      <c r="H29" s="912">
        <v>1184.81</v>
      </c>
      <c r="I29" s="912">
        <v>1182.71</v>
      </c>
      <c r="J29" s="914">
        <v>48.48</v>
      </c>
      <c r="K29" s="915"/>
      <c r="L29" s="916">
        <v>0.15</v>
      </c>
      <c r="M29" s="916">
        <v>7.5999999999999998E-2</v>
      </c>
      <c r="N29" s="916">
        <v>0.2</v>
      </c>
      <c r="O29" s="916">
        <v>5.3339999999999996</v>
      </c>
      <c r="P29" s="915"/>
      <c r="Q29" s="916">
        <v>2.4510000000000001</v>
      </c>
      <c r="R29" s="917">
        <v>0.33333333333333331</v>
      </c>
      <c r="S29" s="918">
        <v>1.7</v>
      </c>
      <c r="T29" s="918">
        <v>3.3340000000000001</v>
      </c>
      <c r="U29" s="916">
        <v>5.1669999999999998</v>
      </c>
      <c r="V29" s="916">
        <v>1.1519999999999999</v>
      </c>
      <c r="W29" s="915"/>
      <c r="X29" s="916">
        <v>0.503</v>
      </c>
      <c r="Y29" s="916">
        <v>0.71199999999999997</v>
      </c>
      <c r="Z29" s="916">
        <v>6.1689999999999996</v>
      </c>
      <c r="AA29" s="916">
        <v>1.4339999999999999</v>
      </c>
      <c r="AB29" s="916">
        <v>3.7679999999999998</v>
      </c>
      <c r="AC29" s="915"/>
      <c r="AD29" s="919">
        <v>258.59199999999998</v>
      </c>
      <c r="AE29" s="920">
        <v>299.07299999999998</v>
      </c>
      <c r="AF29" s="920" t="s">
        <v>21</v>
      </c>
      <c r="AG29" s="920" t="s">
        <v>21</v>
      </c>
      <c r="AH29" s="921" t="s">
        <v>21</v>
      </c>
      <c r="AI29" s="921">
        <v>299.07299999999998</v>
      </c>
      <c r="AJ29" s="920" t="s">
        <v>21</v>
      </c>
      <c r="AK29" s="920" t="s">
        <v>21</v>
      </c>
      <c r="AL29" s="921" t="s">
        <v>21</v>
      </c>
      <c r="AM29" s="921" t="s">
        <v>21</v>
      </c>
      <c r="AN29" s="920"/>
      <c r="AO29" s="920" t="s">
        <v>21</v>
      </c>
      <c r="AP29" s="919">
        <v>82.415999999999997</v>
      </c>
      <c r="AQ29" s="922">
        <v>250.49615999999997</v>
      </c>
      <c r="AR29" s="923" t="s">
        <v>21</v>
      </c>
      <c r="AS29" s="923" t="s">
        <v>21</v>
      </c>
      <c r="AT29" s="923" t="s">
        <v>21</v>
      </c>
      <c r="AU29" s="923" t="s">
        <v>21</v>
      </c>
      <c r="AV29" s="924" t="s">
        <v>21</v>
      </c>
      <c r="AW29" s="924">
        <v>250.49615999999997</v>
      </c>
      <c r="AX29" s="924" t="s">
        <v>21</v>
      </c>
      <c r="AY29" s="924" t="s">
        <v>21</v>
      </c>
      <c r="AZ29" s="923" t="s">
        <v>21</v>
      </c>
      <c r="BA29" s="923"/>
      <c r="BB29" s="919" t="s">
        <v>21</v>
      </c>
      <c r="BC29" s="919">
        <v>12.362</v>
      </c>
      <c r="BD29" s="919" t="s">
        <v>2142</v>
      </c>
      <c r="BE29" s="925" t="s">
        <v>21</v>
      </c>
      <c r="BF29" s="926" t="s">
        <v>21</v>
      </c>
      <c r="BG29" s="925" t="s">
        <v>21</v>
      </c>
      <c r="BH29" s="926">
        <v>48.48</v>
      </c>
      <c r="BI29" s="925" t="s">
        <v>21</v>
      </c>
      <c r="BJ29" s="926" t="s">
        <v>21</v>
      </c>
      <c r="BK29" s="925" t="s">
        <v>21</v>
      </c>
      <c r="BL29" s="926" t="s">
        <v>21</v>
      </c>
      <c r="BM29" s="925" t="s">
        <v>21</v>
      </c>
      <c r="BN29" s="927"/>
      <c r="BO29" s="927"/>
      <c r="BP29" s="928" t="s">
        <v>21</v>
      </c>
      <c r="BQ29" s="928">
        <v>1</v>
      </c>
      <c r="BR29" s="928" t="s">
        <v>21</v>
      </c>
      <c r="BS29" s="928" t="s">
        <v>21</v>
      </c>
      <c r="BT29" s="928" t="s">
        <v>21</v>
      </c>
      <c r="BU29" s="928" t="s">
        <v>21</v>
      </c>
      <c r="BV29" s="929">
        <v>0.65000000000009095</v>
      </c>
      <c r="BW29" s="929">
        <v>1</v>
      </c>
      <c r="BX29" s="1104">
        <v>2</v>
      </c>
      <c r="BY29" s="931">
        <v>4</v>
      </c>
      <c r="BZ29" s="930">
        <v>2</v>
      </c>
      <c r="CA29" s="1074">
        <v>1</v>
      </c>
      <c r="CB29" s="930"/>
      <c r="CC29" s="930"/>
      <c r="CD29" s="925">
        <v>69.52</v>
      </c>
      <c r="CE29" s="1130">
        <v>182.673</v>
      </c>
      <c r="CF29" s="1129" t="s">
        <v>21</v>
      </c>
      <c r="CG29" s="1130" t="s">
        <v>21</v>
      </c>
      <c r="CH29" s="1130" t="s">
        <v>21</v>
      </c>
      <c r="CI29" s="1131" t="s">
        <v>21</v>
      </c>
      <c r="CJ29" s="1129" t="s">
        <v>21</v>
      </c>
      <c r="CK29" s="1130" t="s">
        <v>21</v>
      </c>
      <c r="CL29" s="1130" t="s">
        <v>21</v>
      </c>
      <c r="CM29" s="1131" t="s">
        <v>21</v>
      </c>
      <c r="CN29" s="1130">
        <v>182.673</v>
      </c>
      <c r="CP29" s="838" t="s">
        <v>21</v>
      </c>
      <c r="CQ29" s="838" t="s">
        <v>21</v>
      </c>
      <c r="CR29" s="836"/>
    </row>
    <row r="30" spans="1:96" x14ac:dyDescent="0.25">
      <c r="A30" s="935"/>
      <c r="B30" s="932" t="s">
        <v>3046</v>
      </c>
      <c r="C30" s="911">
        <v>800</v>
      </c>
      <c r="D30" s="911" t="s">
        <v>2116</v>
      </c>
      <c r="E30" s="912">
        <v>1184.81</v>
      </c>
      <c r="F30" s="912">
        <v>1181.6769999999999</v>
      </c>
      <c r="G30" s="910" t="s">
        <v>3047</v>
      </c>
      <c r="H30" s="912">
        <v>1182.18</v>
      </c>
      <c r="I30" s="912">
        <v>1179.33</v>
      </c>
      <c r="J30" s="914">
        <v>48.18</v>
      </c>
      <c r="K30" s="915"/>
      <c r="L30" s="916">
        <v>0.15</v>
      </c>
      <c r="M30" s="916">
        <v>7.5999999999999998E-2</v>
      </c>
      <c r="N30" s="916">
        <v>0.2</v>
      </c>
      <c r="O30" s="916">
        <v>5.9119999999999999</v>
      </c>
      <c r="P30" s="915"/>
      <c r="Q30" s="916">
        <v>3.3180000000000001</v>
      </c>
      <c r="R30" s="917">
        <v>0.33333333333333331</v>
      </c>
      <c r="S30" s="918">
        <v>1.7</v>
      </c>
      <c r="T30" s="918">
        <v>3.9119999999999999</v>
      </c>
      <c r="U30" s="916">
        <v>6.9950000000000001</v>
      </c>
      <c r="V30" s="916">
        <v>1.1519999999999999</v>
      </c>
      <c r="W30" s="915"/>
      <c r="X30" s="916">
        <v>0.503</v>
      </c>
      <c r="Y30" s="916">
        <v>0.71199999999999997</v>
      </c>
      <c r="Z30" s="916">
        <v>9.31</v>
      </c>
      <c r="AA30" s="916">
        <v>1.4339999999999999</v>
      </c>
      <c r="AB30" s="916">
        <v>6.9089999999999998</v>
      </c>
      <c r="AC30" s="915"/>
      <c r="AD30" s="919">
        <v>284.83999999999997</v>
      </c>
      <c r="AE30" s="920">
        <v>448.55599999999998</v>
      </c>
      <c r="AF30" s="920" t="s">
        <v>21</v>
      </c>
      <c r="AG30" s="920" t="s">
        <v>21</v>
      </c>
      <c r="AH30" s="921" t="s">
        <v>21</v>
      </c>
      <c r="AI30" s="921">
        <v>448.55599999999998</v>
      </c>
      <c r="AJ30" s="920" t="s">
        <v>21</v>
      </c>
      <c r="AK30" s="920" t="s">
        <v>21</v>
      </c>
      <c r="AL30" s="921" t="s">
        <v>21</v>
      </c>
      <c r="AM30" s="921" t="s">
        <v>21</v>
      </c>
      <c r="AN30" s="920"/>
      <c r="AO30" s="920" t="s">
        <v>21</v>
      </c>
      <c r="AP30" s="919">
        <v>81.906000000000006</v>
      </c>
      <c r="AQ30" s="922">
        <v>337.01909999999998</v>
      </c>
      <c r="AR30" s="923" t="s">
        <v>21</v>
      </c>
      <c r="AS30" s="923" t="s">
        <v>21</v>
      </c>
      <c r="AT30" s="923" t="s">
        <v>21</v>
      </c>
      <c r="AU30" s="923" t="s">
        <v>21</v>
      </c>
      <c r="AV30" s="924" t="s">
        <v>21</v>
      </c>
      <c r="AW30" s="924">
        <v>337.01909999999998</v>
      </c>
      <c r="AX30" s="924" t="s">
        <v>21</v>
      </c>
      <c r="AY30" s="924" t="s">
        <v>21</v>
      </c>
      <c r="AZ30" s="923" t="s">
        <v>21</v>
      </c>
      <c r="BA30" s="923"/>
      <c r="BB30" s="919" t="s">
        <v>21</v>
      </c>
      <c r="BC30" s="919">
        <v>12.286</v>
      </c>
      <c r="BD30" s="919" t="s">
        <v>2152</v>
      </c>
      <c r="BE30" s="925" t="s">
        <v>21</v>
      </c>
      <c r="BF30" s="926" t="s">
        <v>21</v>
      </c>
      <c r="BG30" s="925" t="s">
        <v>21</v>
      </c>
      <c r="BH30" s="926">
        <v>48.18</v>
      </c>
      <c r="BI30" s="925" t="s">
        <v>21</v>
      </c>
      <c r="BJ30" s="926" t="s">
        <v>21</v>
      </c>
      <c r="BK30" s="925" t="s">
        <v>21</v>
      </c>
      <c r="BL30" s="926" t="s">
        <v>21</v>
      </c>
      <c r="BM30" s="925" t="s">
        <v>21</v>
      </c>
      <c r="BN30" s="927"/>
      <c r="BO30" s="927"/>
      <c r="BP30" s="928" t="s">
        <v>21</v>
      </c>
      <c r="BQ30" s="928">
        <v>1</v>
      </c>
      <c r="BR30" s="928" t="s">
        <v>21</v>
      </c>
      <c r="BS30" s="928" t="s">
        <v>21</v>
      </c>
      <c r="BT30" s="928" t="s">
        <v>21</v>
      </c>
      <c r="BU30" s="928" t="s">
        <v>21</v>
      </c>
      <c r="BV30" s="929">
        <v>1.6330000000000382</v>
      </c>
      <c r="BW30" s="929">
        <v>2</v>
      </c>
      <c r="BX30" s="1104">
        <v>4</v>
      </c>
      <c r="BY30" s="931">
        <v>6</v>
      </c>
      <c r="BZ30" s="930">
        <v>2</v>
      </c>
      <c r="CA30" s="1074">
        <v>1</v>
      </c>
      <c r="CB30" s="930"/>
      <c r="CC30" s="930"/>
      <c r="CD30" s="925">
        <v>69.09</v>
      </c>
      <c r="CE30" s="1130">
        <v>332.87599999999998</v>
      </c>
      <c r="CF30" s="1129" t="s">
        <v>21</v>
      </c>
      <c r="CG30" s="1130" t="s">
        <v>21</v>
      </c>
      <c r="CH30" s="1130" t="s">
        <v>21</v>
      </c>
      <c r="CI30" s="1131" t="s">
        <v>21</v>
      </c>
      <c r="CJ30" s="1129" t="s">
        <v>21</v>
      </c>
      <c r="CK30" s="1130" t="s">
        <v>21</v>
      </c>
      <c r="CL30" s="1130" t="s">
        <v>21</v>
      </c>
      <c r="CM30" s="1131" t="s">
        <v>21</v>
      </c>
      <c r="CN30" s="1130">
        <v>332.87599999999998</v>
      </c>
      <c r="CP30" s="838" t="s">
        <v>21</v>
      </c>
      <c r="CQ30" s="838" t="s">
        <v>21</v>
      </c>
      <c r="CR30" s="836"/>
    </row>
    <row r="31" spans="1:96" x14ac:dyDescent="0.25">
      <c r="A31" s="935"/>
      <c r="B31" s="932" t="s">
        <v>3047</v>
      </c>
      <c r="C31" s="911">
        <v>1000</v>
      </c>
      <c r="D31" s="911" t="s">
        <v>2116</v>
      </c>
      <c r="E31" s="912">
        <v>1182.18</v>
      </c>
      <c r="F31" s="912">
        <v>1179.05</v>
      </c>
      <c r="G31" s="910" t="s">
        <v>3048</v>
      </c>
      <c r="H31" s="912">
        <v>1179.68</v>
      </c>
      <c r="I31" s="912">
        <v>1177.3800000000001</v>
      </c>
      <c r="J31" s="914">
        <v>48.56</v>
      </c>
      <c r="K31" s="915"/>
      <c r="L31" s="916">
        <v>0.15</v>
      </c>
      <c r="M31" s="916">
        <v>0.09</v>
      </c>
      <c r="N31" s="916">
        <v>0.2</v>
      </c>
      <c r="O31" s="916">
        <v>6.0369999999999999</v>
      </c>
      <c r="P31" s="915"/>
      <c r="Q31" s="916">
        <v>3.0550000000000002</v>
      </c>
      <c r="R31" s="917">
        <v>0.33333333333333331</v>
      </c>
      <c r="S31" s="918">
        <v>2</v>
      </c>
      <c r="T31" s="918">
        <v>4.0369999999999999</v>
      </c>
      <c r="U31" s="916">
        <v>6.4409999999999998</v>
      </c>
      <c r="V31" s="916">
        <v>1.38</v>
      </c>
      <c r="W31" s="915"/>
      <c r="X31" s="916">
        <v>0.78500000000000003</v>
      </c>
      <c r="Y31" s="916">
        <v>1.0940000000000001</v>
      </c>
      <c r="Z31" s="916">
        <v>9.2219999999999995</v>
      </c>
      <c r="AA31" s="916">
        <v>2.0009999999999999</v>
      </c>
      <c r="AB31" s="916">
        <v>5.827</v>
      </c>
      <c r="AC31" s="915"/>
      <c r="AD31" s="919">
        <v>293.15699999999998</v>
      </c>
      <c r="AE31" s="920">
        <v>447.82</v>
      </c>
      <c r="AF31" s="920" t="s">
        <v>21</v>
      </c>
      <c r="AG31" s="920" t="s">
        <v>21</v>
      </c>
      <c r="AH31" s="921" t="s">
        <v>21</v>
      </c>
      <c r="AI31" s="921">
        <v>447.82</v>
      </c>
      <c r="AJ31" s="920" t="s">
        <v>21</v>
      </c>
      <c r="AK31" s="920" t="s">
        <v>21</v>
      </c>
      <c r="AL31" s="921" t="s">
        <v>21</v>
      </c>
      <c r="AM31" s="921" t="s">
        <v>21</v>
      </c>
      <c r="AN31" s="920"/>
      <c r="AO31" s="920" t="s">
        <v>21</v>
      </c>
      <c r="AP31" s="919">
        <v>97.12</v>
      </c>
      <c r="AQ31" s="922">
        <v>312.77496000000002</v>
      </c>
      <c r="AR31" s="923" t="s">
        <v>21</v>
      </c>
      <c r="AS31" s="923" t="s">
        <v>21</v>
      </c>
      <c r="AT31" s="923" t="s">
        <v>21</v>
      </c>
      <c r="AU31" s="923" t="s">
        <v>21</v>
      </c>
      <c r="AV31" s="924" t="s">
        <v>21</v>
      </c>
      <c r="AW31" s="924">
        <v>312.77496000000002</v>
      </c>
      <c r="AX31" s="924" t="s">
        <v>21</v>
      </c>
      <c r="AY31" s="924" t="s">
        <v>21</v>
      </c>
      <c r="AZ31" s="923" t="s">
        <v>21</v>
      </c>
      <c r="BA31" s="923"/>
      <c r="BB31" s="919" t="s">
        <v>21</v>
      </c>
      <c r="BC31" s="919">
        <v>14.568</v>
      </c>
      <c r="BD31" s="919" t="s">
        <v>2152</v>
      </c>
      <c r="BE31" s="925" t="s">
        <v>21</v>
      </c>
      <c r="BF31" s="926" t="s">
        <v>21</v>
      </c>
      <c r="BG31" s="925" t="s">
        <v>21</v>
      </c>
      <c r="BH31" s="926" t="s">
        <v>21</v>
      </c>
      <c r="BI31" s="925">
        <v>48.56</v>
      </c>
      <c r="BJ31" s="926" t="s">
        <v>21</v>
      </c>
      <c r="BK31" s="925" t="s">
        <v>21</v>
      </c>
      <c r="BL31" s="926" t="s">
        <v>21</v>
      </c>
      <c r="BM31" s="925" t="s">
        <v>21</v>
      </c>
      <c r="BN31" s="927"/>
      <c r="BO31" s="927"/>
      <c r="BP31" s="928" t="s">
        <v>21</v>
      </c>
      <c r="BQ31" s="928" t="s">
        <v>21</v>
      </c>
      <c r="BR31" s="928">
        <v>1</v>
      </c>
      <c r="BS31" s="928" t="s">
        <v>21</v>
      </c>
      <c r="BT31" s="928" t="s">
        <v>21</v>
      </c>
      <c r="BU31" s="928" t="s">
        <v>21</v>
      </c>
      <c r="BV31" s="929">
        <v>1.0300000000001091</v>
      </c>
      <c r="BW31" s="929">
        <v>1.5</v>
      </c>
      <c r="BX31" s="1104">
        <v>3</v>
      </c>
      <c r="BY31" s="931">
        <v>7</v>
      </c>
      <c r="BZ31" s="930">
        <v>2</v>
      </c>
      <c r="CA31" s="1074">
        <v>1</v>
      </c>
      <c r="CB31" s="930"/>
      <c r="CC31" s="930"/>
      <c r="CD31" s="925">
        <v>97.168999999999997</v>
      </c>
      <c r="CE31" s="1130">
        <v>282.959</v>
      </c>
      <c r="CF31" s="1129" t="s">
        <v>21</v>
      </c>
      <c r="CG31" s="1130" t="s">
        <v>21</v>
      </c>
      <c r="CH31" s="1130" t="s">
        <v>21</v>
      </c>
      <c r="CI31" s="1131" t="s">
        <v>21</v>
      </c>
      <c r="CJ31" s="1129" t="s">
        <v>21</v>
      </c>
      <c r="CK31" s="1130" t="s">
        <v>21</v>
      </c>
      <c r="CL31" s="1130" t="s">
        <v>21</v>
      </c>
      <c r="CM31" s="1131" t="s">
        <v>21</v>
      </c>
      <c r="CN31" s="1130">
        <v>282.959</v>
      </c>
      <c r="CP31" s="838" t="s">
        <v>21</v>
      </c>
      <c r="CQ31" s="838" t="s">
        <v>21</v>
      </c>
      <c r="CR31" s="836"/>
    </row>
    <row r="32" spans="1:96" x14ac:dyDescent="0.25">
      <c r="A32" s="935"/>
      <c r="B32" s="932" t="s">
        <v>3048</v>
      </c>
      <c r="C32" s="911">
        <v>1000</v>
      </c>
      <c r="D32" s="911" t="s">
        <v>2116</v>
      </c>
      <c r="E32" s="912">
        <v>1179.68</v>
      </c>
      <c r="F32" s="912">
        <v>1176.1990000000001</v>
      </c>
      <c r="G32" s="910" t="s">
        <v>3049</v>
      </c>
      <c r="H32" s="912">
        <v>1177.29</v>
      </c>
      <c r="I32" s="912">
        <v>1174.99</v>
      </c>
      <c r="J32" s="914">
        <v>44.98</v>
      </c>
      <c r="K32" s="915"/>
      <c r="L32" s="916">
        <v>0.15</v>
      </c>
      <c r="M32" s="916">
        <v>0.09</v>
      </c>
      <c r="N32" s="916">
        <v>0.2</v>
      </c>
      <c r="O32" s="916">
        <v>6.1529999999999996</v>
      </c>
      <c r="P32" s="915"/>
      <c r="Q32" s="916">
        <v>3.23</v>
      </c>
      <c r="R32" s="917">
        <v>0.33333333333333331</v>
      </c>
      <c r="S32" s="918">
        <v>2</v>
      </c>
      <c r="T32" s="918">
        <v>4.1529999999999996</v>
      </c>
      <c r="U32" s="916">
        <v>6.8090000000000002</v>
      </c>
      <c r="V32" s="916">
        <v>1.38</v>
      </c>
      <c r="W32" s="915"/>
      <c r="X32" s="916">
        <v>0.78500000000000003</v>
      </c>
      <c r="Y32" s="916">
        <v>1.0940000000000001</v>
      </c>
      <c r="Z32" s="916">
        <v>9.9369999999999994</v>
      </c>
      <c r="AA32" s="916">
        <v>2.0009999999999999</v>
      </c>
      <c r="AB32" s="916">
        <v>6.5419999999999998</v>
      </c>
      <c r="AC32" s="915"/>
      <c r="AD32" s="919">
        <v>276.762</v>
      </c>
      <c r="AE32" s="920">
        <v>446.96600000000001</v>
      </c>
      <c r="AF32" s="920" t="s">
        <v>21</v>
      </c>
      <c r="AG32" s="920" t="s">
        <v>21</v>
      </c>
      <c r="AH32" s="921" t="s">
        <v>21</v>
      </c>
      <c r="AI32" s="921">
        <v>446.96600000000001</v>
      </c>
      <c r="AJ32" s="920" t="s">
        <v>21</v>
      </c>
      <c r="AK32" s="920" t="s">
        <v>21</v>
      </c>
      <c r="AL32" s="921" t="s">
        <v>21</v>
      </c>
      <c r="AM32" s="921" t="s">
        <v>21</v>
      </c>
      <c r="AN32" s="920"/>
      <c r="AO32" s="920" t="s">
        <v>21</v>
      </c>
      <c r="AP32" s="919">
        <v>89.96</v>
      </c>
      <c r="AQ32" s="922">
        <v>306.26882000000001</v>
      </c>
      <c r="AR32" s="923" t="s">
        <v>21</v>
      </c>
      <c r="AS32" s="923" t="s">
        <v>21</v>
      </c>
      <c r="AT32" s="923" t="s">
        <v>21</v>
      </c>
      <c r="AU32" s="923" t="s">
        <v>21</v>
      </c>
      <c r="AV32" s="924" t="s">
        <v>21</v>
      </c>
      <c r="AW32" s="924">
        <v>306.26882000000001</v>
      </c>
      <c r="AX32" s="924" t="s">
        <v>21</v>
      </c>
      <c r="AY32" s="924" t="s">
        <v>21</v>
      </c>
      <c r="AZ32" s="923" t="s">
        <v>21</v>
      </c>
      <c r="BA32" s="923"/>
      <c r="BB32" s="919" t="s">
        <v>21</v>
      </c>
      <c r="BC32" s="919">
        <v>13.494</v>
      </c>
      <c r="BD32" s="919" t="s">
        <v>2152</v>
      </c>
      <c r="BE32" s="925" t="s">
        <v>21</v>
      </c>
      <c r="BF32" s="926" t="s">
        <v>21</v>
      </c>
      <c r="BG32" s="925" t="s">
        <v>21</v>
      </c>
      <c r="BH32" s="926" t="s">
        <v>21</v>
      </c>
      <c r="BI32" s="925">
        <v>44.98</v>
      </c>
      <c r="BJ32" s="926" t="s">
        <v>21</v>
      </c>
      <c r="BK32" s="925" t="s">
        <v>21</v>
      </c>
      <c r="BL32" s="926" t="s">
        <v>21</v>
      </c>
      <c r="BM32" s="925" t="s">
        <v>21</v>
      </c>
      <c r="BN32" s="927"/>
      <c r="BO32" s="927"/>
      <c r="BP32" s="928" t="s">
        <v>21</v>
      </c>
      <c r="BQ32" s="928" t="s">
        <v>21</v>
      </c>
      <c r="BR32" s="928">
        <v>1</v>
      </c>
      <c r="BS32" s="928" t="s">
        <v>21</v>
      </c>
      <c r="BT32" s="928" t="s">
        <v>21</v>
      </c>
      <c r="BU32" s="928" t="s">
        <v>21</v>
      </c>
      <c r="BV32" s="929">
        <v>1.3809999999999945</v>
      </c>
      <c r="BW32" s="929">
        <v>1.5</v>
      </c>
      <c r="BX32" s="1104">
        <v>3</v>
      </c>
      <c r="BY32" s="931">
        <v>7</v>
      </c>
      <c r="BZ32" s="930">
        <v>3</v>
      </c>
      <c r="CA32" s="1074"/>
      <c r="CB32" s="930"/>
      <c r="CC32" s="930"/>
      <c r="CD32" s="925">
        <v>90.004999999999995</v>
      </c>
      <c r="CE32" s="1130">
        <v>294.25900000000001</v>
      </c>
      <c r="CF32" s="1129" t="s">
        <v>21</v>
      </c>
      <c r="CG32" s="1130" t="s">
        <v>21</v>
      </c>
      <c r="CH32" s="1130" t="s">
        <v>21</v>
      </c>
      <c r="CI32" s="1131" t="s">
        <v>21</v>
      </c>
      <c r="CJ32" s="1129" t="s">
        <v>21</v>
      </c>
      <c r="CK32" s="1130" t="s">
        <v>21</v>
      </c>
      <c r="CL32" s="1130" t="s">
        <v>21</v>
      </c>
      <c r="CM32" s="1131" t="s">
        <v>21</v>
      </c>
      <c r="CN32" s="1130">
        <v>294.25900000000001</v>
      </c>
      <c r="CP32" s="838" t="s">
        <v>21</v>
      </c>
      <c r="CQ32" s="838" t="s">
        <v>21</v>
      </c>
      <c r="CR32" s="836"/>
    </row>
    <row r="33" spans="1:96" x14ac:dyDescent="0.25">
      <c r="A33" s="935"/>
      <c r="B33" s="932" t="s">
        <v>3049</v>
      </c>
      <c r="C33" s="911">
        <v>1000</v>
      </c>
      <c r="D33" s="911" t="s">
        <v>2116</v>
      </c>
      <c r="E33" s="912">
        <v>1177.29</v>
      </c>
      <c r="F33" s="912">
        <v>1174.99</v>
      </c>
      <c r="G33" s="932" t="s">
        <v>3050</v>
      </c>
      <c r="H33" s="912">
        <v>1175.57</v>
      </c>
      <c r="I33" s="912">
        <v>1173.27</v>
      </c>
      <c r="J33" s="914">
        <v>49</v>
      </c>
      <c r="K33" s="915"/>
      <c r="L33" s="916">
        <v>0.15</v>
      </c>
      <c r="M33" s="916">
        <v>0.09</v>
      </c>
      <c r="N33" s="916">
        <v>0.2</v>
      </c>
      <c r="O33" s="916">
        <v>5.76</v>
      </c>
      <c r="P33" s="915"/>
      <c r="Q33" s="916">
        <v>2.64</v>
      </c>
      <c r="R33" s="917">
        <v>0.33333333333333331</v>
      </c>
      <c r="S33" s="918">
        <v>2</v>
      </c>
      <c r="T33" s="918">
        <v>3.76</v>
      </c>
      <c r="U33" s="916">
        <v>5.5659999999999998</v>
      </c>
      <c r="V33" s="916">
        <v>1.38</v>
      </c>
      <c r="W33" s="915"/>
      <c r="X33" s="916">
        <v>0.78500000000000003</v>
      </c>
      <c r="Y33" s="916">
        <v>1.0940000000000001</v>
      </c>
      <c r="Z33" s="916">
        <v>7.6029999999999998</v>
      </c>
      <c r="AA33" s="916">
        <v>2.0009999999999999</v>
      </c>
      <c r="AB33" s="916">
        <v>4.2080000000000002</v>
      </c>
      <c r="AC33" s="915"/>
      <c r="AD33" s="919">
        <v>282.24</v>
      </c>
      <c r="AE33" s="920">
        <v>372.54700000000003</v>
      </c>
      <c r="AF33" s="920" t="s">
        <v>21</v>
      </c>
      <c r="AG33" s="920" t="s">
        <v>21</v>
      </c>
      <c r="AH33" s="921" t="s">
        <v>21</v>
      </c>
      <c r="AI33" s="921">
        <v>372.54700000000003</v>
      </c>
      <c r="AJ33" s="920" t="s">
        <v>21</v>
      </c>
      <c r="AK33" s="920" t="s">
        <v>21</v>
      </c>
      <c r="AL33" s="921" t="s">
        <v>21</v>
      </c>
      <c r="AM33" s="921" t="s">
        <v>21</v>
      </c>
      <c r="AN33" s="920"/>
      <c r="AO33" s="920" t="s">
        <v>21</v>
      </c>
      <c r="AP33" s="919">
        <v>98</v>
      </c>
      <c r="AQ33" s="922">
        <v>272.73399999999998</v>
      </c>
      <c r="AR33" s="923" t="s">
        <v>21</v>
      </c>
      <c r="AS33" s="923" t="s">
        <v>21</v>
      </c>
      <c r="AT33" s="923" t="s">
        <v>21</v>
      </c>
      <c r="AU33" s="923" t="s">
        <v>21</v>
      </c>
      <c r="AV33" s="924" t="s">
        <v>21</v>
      </c>
      <c r="AW33" s="924">
        <v>272.73399999999998</v>
      </c>
      <c r="AX33" s="924" t="s">
        <v>21</v>
      </c>
      <c r="AY33" s="924" t="s">
        <v>21</v>
      </c>
      <c r="AZ33" s="923" t="s">
        <v>21</v>
      </c>
      <c r="BA33" s="923"/>
      <c r="BB33" s="919" t="s">
        <v>21</v>
      </c>
      <c r="BC33" s="919">
        <v>14.7</v>
      </c>
      <c r="BD33" s="919" t="s">
        <v>2142</v>
      </c>
      <c r="BE33" s="925" t="s">
        <v>21</v>
      </c>
      <c r="BF33" s="926" t="s">
        <v>21</v>
      </c>
      <c r="BG33" s="925" t="s">
        <v>21</v>
      </c>
      <c r="BH33" s="926" t="s">
        <v>21</v>
      </c>
      <c r="BI33" s="925">
        <v>49</v>
      </c>
      <c r="BJ33" s="926" t="s">
        <v>21</v>
      </c>
      <c r="BK33" s="925" t="s">
        <v>21</v>
      </c>
      <c r="BL33" s="926" t="s">
        <v>21</v>
      </c>
      <c r="BM33" s="925" t="s">
        <v>21</v>
      </c>
      <c r="BN33" s="927"/>
      <c r="BO33" s="927"/>
      <c r="BP33" s="928" t="s">
        <v>21</v>
      </c>
      <c r="BQ33" s="928" t="s">
        <v>21</v>
      </c>
      <c r="BR33" s="928">
        <v>1</v>
      </c>
      <c r="BS33" s="928" t="s">
        <v>21</v>
      </c>
      <c r="BT33" s="928" t="s">
        <v>21</v>
      </c>
      <c r="BU33" s="928" t="s">
        <v>21</v>
      </c>
      <c r="BV33" s="929">
        <v>0.19999999999995444</v>
      </c>
      <c r="BW33" s="929">
        <v>0.5</v>
      </c>
      <c r="BX33" s="1104">
        <v>1</v>
      </c>
      <c r="BY33" s="931">
        <v>5</v>
      </c>
      <c r="BZ33" s="930">
        <v>1</v>
      </c>
      <c r="CA33" s="1074">
        <v>1</v>
      </c>
      <c r="CB33" s="930"/>
      <c r="CC33" s="930"/>
      <c r="CD33" s="925">
        <v>98.049000000000007</v>
      </c>
      <c r="CE33" s="1130">
        <v>206.19200000000001</v>
      </c>
      <c r="CF33" s="1129" t="s">
        <v>21</v>
      </c>
      <c r="CG33" s="1130" t="s">
        <v>21</v>
      </c>
      <c r="CH33" s="1130" t="s">
        <v>21</v>
      </c>
      <c r="CI33" s="1131" t="s">
        <v>21</v>
      </c>
      <c r="CJ33" s="1129" t="s">
        <v>21</v>
      </c>
      <c r="CK33" s="1130" t="s">
        <v>21</v>
      </c>
      <c r="CL33" s="1130" t="s">
        <v>21</v>
      </c>
      <c r="CM33" s="1131" t="s">
        <v>21</v>
      </c>
      <c r="CN33" s="1130">
        <v>206.19200000000001</v>
      </c>
      <c r="CP33" s="838" t="s">
        <v>21</v>
      </c>
      <c r="CQ33" s="838" t="s">
        <v>21</v>
      </c>
      <c r="CR33" s="836"/>
    </row>
    <row r="34" spans="1:96" x14ac:dyDescent="0.25">
      <c r="A34" s="935"/>
      <c r="B34" s="932" t="s">
        <v>3050</v>
      </c>
      <c r="C34" s="911">
        <v>1000</v>
      </c>
      <c r="D34" s="911" t="s">
        <v>2116</v>
      </c>
      <c r="E34" s="912">
        <v>1175.57</v>
      </c>
      <c r="F34" s="912">
        <v>1173.22</v>
      </c>
      <c r="G34" s="932" t="s">
        <v>3051</v>
      </c>
      <c r="H34" s="912">
        <v>1175</v>
      </c>
      <c r="I34" s="912">
        <v>1172.7</v>
      </c>
      <c r="J34" s="914">
        <v>17.149999999999999</v>
      </c>
      <c r="K34" s="915"/>
      <c r="L34" s="916">
        <v>0.15</v>
      </c>
      <c r="M34" s="916">
        <v>0.09</v>
      </c>
      <c r="N34" s="916">
        <v>0.2</v>
      </c>
      <c r="O34" s="916">
        <v>5.7770000000000001</v>
      </c>
      <c r="P34" s="915"/>
      <c r="Q34" s="916">
        <v>2.665</v>
      </c>
      <c r="R34" s="917">
        <v>0.33333333333333331</v>
      </c>
      <c r="S34" s="918">
        <v>2</v>
      </c>
      <c r="T34" s="918">
        <v>3.7770000000000001</v>
      </c>
      <c r="U34" s="916">
        <v>5.6180000000000003</v>
      </c>
      <c r="V34" s="916">
        <v>1.38</v>
      </c>
      <c r="W34" s="915"/>
      <c r="X34" s="916">
        <v>0.78500000000000003</v>
      </c>
      <c r="Y34" s="916">
        <v>1.0940000000000001</v>
      </c>
      <c r="Z34" s="916">
        <v>7.6980000000000004</v>
      </c>
      <c r="AA34" s="916">
        <v>2.0009999999999999</v>
      </c>
      <c r="AB34" s="916">
        <v>4.3029999999999999</v>
      </c>
      <c r="AC34" s="915"/>
      <c r="AD34" s="919">
        <v>99.075999999999993</v>
      </c>
      <c r="AE34" s="920">
        <v>132.02099999999999</v>
      </c>
      <c r="AF34" s="920" t="s">
        <v>21</v>
      </c>
      <c r="AG34" s="920" t="s">
        <v>21</v>
      </c>
      <c r="AH34" s="921" t="s">
        <v>21</v>
      </c>
      <c r="AI34" s="921">
        <v>132.02099999999999</v>
      </c>
      <c r="AJ34" s="920" t="s">
        <v>21</v>
      </c>
      <c r="AK34" s="920" t="s">
        <v>21</v>
      </c>
      <c r="AL34" s="921" t="s">
        <v>21</v>
      </c>
      <c r="AM34" s="921" t="s">
        <v>21</v>
      </c>
      <c r="AN34" s="920"/>
      <c r="AO34" s="920" t="s">
        <v>21</v>
      </c>
      <c r="AP34" s="919">
        <v>34.299999999999997</v>
      </c>
      <c r="AQ34" s="922">
        <v>96.348699999999994</v>
      </c>
      <c r="AR34" s="923" t="s">
        <v>21</v>
      </c>
      <c r="AS34" s="923" t="s">
        <v>21</v>
      </c>
      <c r="AT34" s="923" t="s">
        <v>21</v>
      </c>
      <c r="AU34" s="923" t="s">
        <v>21</v>
      </c>
      <c r="AV34" s="924" t="s">
        <v>21</v>
      </c>
      <c r="AW34" s="924">
        <v>96.348699999999994</v>
      </c>
      <c r="AX34" s="924" t="s">
        <v>21</v>
      </c>
      <c r="AY34" s="924" t="s">
        <v>21</v>
      </c>
      <c r="AZ34" s="923" t="s">
        <v>21</v>
      </c>
      <c r="BA34" s="923"/>
      <c r="BB34" s="919" t="s">
        <v>21</v>
      </c>
      <c r="BC34" s="919">
        <v>5.1449999999999996</v>
      </c>
      <c r="BD34" s="919" t="s">
        <v>2142</v>
      </c>
      <c r="BE34" s="925" t="s">
        <v>21</v>
      </c>
      <c r="BF34" s="926" t="s">
        <v>21</v>
      </c>
      <c r="BG34" s="925" t="s">
        <v>21</v>
      </c>
      <c r="BH34" s="926" t="s">
        <v>21</v>
      </c>
      <c r="BI34" s="925">
        <v>17.149999999999999</v>
      </c>
      <c r="BJ34" s="926" t="s">
        <v>21</v>
      </c>
      <c r="BK34" s="925" t="s">
        <v>21</v>
      </c>
      <c r="BL34" s="926" t="s">
        <v>21</v>
      </c>
      <c r="BM34" s="925" t="s">
        <v>21</v>
      </c>
      <c r="BN34" s="927"/>
      <c r="BO34" s="927"/>
      <c r="BP34" s="928" t="s">
        <v>21</v>
      </c>
      <c r="BQ34" s="928" t="s">
        <v>21</v>
      </c>
      <c r="BR34" s="928">
        <v>1</v>
      </c>
      <c r="BS34" s="928" t="s">
        <v>21</v>
      </c>
      <c r="BT34" s="928" t="s">
        <v>21</v>
      </c>
      <c r="BU34" s="928" t="s">
        <v>21</v>
      </c>
      <c r="BV34" s="929">
        <v>0.24999999999990896</v>
      </c>
      <c r="BW34" s="929">
        <v>0.5</v>
      </c>
      <c r="BX34" s="1104">
        <v>1</v>
      </c>
      <c r="BY34" s="931">
        <v>5</v>
      </c>
      <c r="BZ34" s="930">
        <v>1</v>
      </c>
      <c r="CA34" s="1074">
        <v>1</v>
      </c>
      <c r="CB34" s="930"/>
      <c r="CC34" s="930"/>
      <c r="CD34" s="925">
        <v>34.317</v>
      </c>
      <c r="CE34" s="1130">
        <v>73.796000000000006</v>
      </c>
      <c r="CF34" s="1129" t="s">
        <v>21</v>
      </c>
      <c r="CG34" s="1130" t="s">
        <v>21</v>
      </c>
      <c r="CH34" s="1130" t="s">
        <v>21</v>
      </c>
      <c r="CI34" s="1131" t="s">
        <v>21</v>
      </c>
      <c r="CJ34" s="1129" t="s">
        <v>21</v>
      </c>
      <c r="CK34" s="1130" t="s">
        <v>21</v>
      </c>
      <c r="CL34" s="1130" t="s">
        <v>21</v>
      </c>
      <c r="CM34" s="1131" t="s">
        <v>21</v>
      </c>
      <c r="CN34" s="1130">
        <v>73.796000000000006</v>
      </c>
      <c r="CP34" s="838" t="s">
        <v>21</v>
      </c>
      <c r="CQ34" s="838" t="s">
        <v>21</v>
      </c>
      <c r="CR34" s="836"/>
    </row>
    <row r="35" spans="1:96" x14ac:dyDescent="0.25">
      <c r="A35" s="935"/>
      <c r="B35" s="932" t="s">
        <v>3051</v>
      </c>
      <c r="C35" s="911">
        <v>1000</v>
      </c>
      <c r="D35" s="911" t="s">
        <v>2116</v>
      </c>
      <c r="E35" s="912">
        <v>1175</v>
      </c>
      <c r="F35" s="912">
        <v>1171.8499999999999</v>
      </c>
      <c r="G35" s="910" t="s">
        <v>3052</v>
      </c>
      <c r="H35" s="912">
        <v>1171.46</v>
      </c>
      <c r="I35" s="912">
        <v>1169.1600000000001</v>
      </c>
      <c r="J35" s="914">
        <v>60</v>
      </c>
      <c r="K35" s="915"/>
      <c r="L35" s="916">
        <v>0.15</v>
      </c>
      <c r="M35" s="916">
        <v>0.09</v>
      </c>
      <c r="N35" s="916">
        <v>0.2</v>
      </c>
      <c r="O35" s="916">
        <v>6.0430000000000001</v>
      </c>
      <c r="P35" s="915"/>
      <c r="Q35" s="916">
        <v>3.0649999999999999</v>
      </c>
      <c r="R35" s="917">
        <v>0.33333333333333331</v>
      </c>
      <c r="S35" s="918">
        <v>2</v>
      </c>
      <c r="T35" s="918">
        <v>4.0430000000000001</v>
      </c>
      <c r="U35" s="916">
        <v>6.4619999999999997</v>
      </c>
      <c r="V35" s="916">
        <v>1.38</v>
      </c>
      <c r="W35" s="915"/>
      <c r="X35" s="916">
        <v>0.78500000000000003</v>
      </c>
      <c r="Y35" s="916">
        <v>1.0940000000000001</v>
      </c>
      <c r="Z35" s="916">
        <v>9.2609999999999992</v>
      </c>
      <c r="AA35" s="916">
        <v>2.0009999999999999</v>
      </c>
      <c r="AB35" s="916">
        <v>5.8659999999999997</v>
      </c>
      <c r="AC35" s="915"/>
      <c r="AD35" s="919">
        <v>362.58</v>
      </c>
      <c r="AE35" s="920">
        <v>555.66</v>
      </c>
      <c r="AF35" s="920" t="s">
        <v>21</v>
      </c>
      <c r="AG35" s="920" t="s">
        <v>21</v>
      </c>
      <c r="AH35" s="921" t="s">
        <v>21</v>
      </c>
      <c r="AI35" s="921">
        <v>555.66</v>
      </c>
      <c r="AJ35" s="920" t="s">
        <v>21</v>
      </c>
      <c r="AK35" s="920" t="s">
        <v>21</v>
      </c>
      <c r="AL35" s="921" t="s">
        <v>21</v>
      </c>
      <c r="AM35" s="921" t="s">
        <v>21</v>
      </c>
      <c r="AN35" s="920"/>
      <c r="AO35" s="920" t="s">
        <v>21</v>
      </c>
      <c r="AP35" s="919">
        <v>120</v>
      </c>
      <c r="AQ35" s="922">
        <v>387.71999999999997</v>
      </c>
      <c r="AR35" s="923" t="s">
        <v>21</v>
      </c>
      <c r="AS35" s="923" t="s">
        <v>21</v>
      </c>
      <c r="AT35" s="923" t="s">
        <v>21</v>
      </c>
      <c r="AU35" s="923" t="s">
        <v>21</v>
      </c>
      <c r="AV35" s="924" t="s">
        <v>21</v>
      </c>
      <c r="AW35" s="924">
        <v>387.71999999999997</v>
      </c>
      <c r="AX35" s="924" t="s">
        <v>21</v>
      </c>
      <c r="AY35" s="924" t="s">
        <v>21</v>
      </c>
      <c r="AZ35" s="923" t="s">
        <v>21</v>
      </c>
      <c r="BA35" s="923"/>
      <c r="BB35" s="919" t="s">
        <v>21</v>
      </c>
      <c r="BC35" s="919">
        <v>18</v>
      </c>
      <c r="BD35" s="919" t="s">
        <v>2152</v>
      </c>
      <c r="BE35" s="925" t="s">
        <v>21</v>
      </c>
      <c r="BF35" s="926" t="s">
        <v>21</v>
      </c>
      <c r="BG35" s="925" t="s">
        <v>21</v>
      </c>
      <c r="BH35" s="926" t="s">
        <v>21</v>
      </c>
      <c r="BI35" s="925">
        <v>60</v>
      </c>
      <c r="BJ35" s="926" t="s">
        <v>21</v>
      </c>
      <c r="BK35" s="925" t="s">
        <v>21</v>
      </c>
      <c r="BL35" s="926" t="s">
        <v>21</v>
      </c>
      <c r="BM35" s="925" t="s">
        <v>21</v>
      </c>
      <c r="BN35" s="927"/>
      <c r="BO35" s="927"/>
      <c r="BP35" s="928" t="s">
        <v>21</v>
      </c>
      <c r="BQ35" s="928" t="s">
        <v>21</v>
      </c>
      <c r="BR35" s="928">
        <v>1</v>
      </c>
      <c r="BS35" s="928" t="s">
        <v>21</v>
      </c>
      <c r="BT35" s="928" t="s">
        <v>21</v>
      </c>
      <c r="BU35" s="928" t="s">
        <v>21</v>
      </c>
      <c r="BV35" s="929">
        <v>1.0500000000000909</v>
      </c>
      <c r="BW35" s="929">
        <v>1.5</v>
      </c>
      <c r="BX35" s="1104">
        <v>3</v>
      </c>
      <c r="BY35" s="931">
        <v>7</v>
      </c>
      <c r="BZ35" s="930">
        <v>1</v>
      </c>
      <c r="CA35" s="1074"/>
      <c r="CB35" s="930"/>
      <c r="CC35" s="930"/>
      <c r="CD35" s="925">
        <v>120.06</v>
      </c>
      <c r="CE35" s="1130">
        <v>351.96</v>
      </c>
      <c r="CF35" s="1129" t="s">
        <v>21</v>
      </c>
      <c r="CG35" s="1130" t="s">
        <v>21</v>
      </c>
      <c r="CH35" s="1130" t="s">
        <v>21</v>
      </c>
      <c r="CI35" s="1131" t="s">
        <v>21</v>
      </c>
      <c r="CJ35" s="1129" t="s">
        <v>21</v>
      </c>
      <c r="CK35" s="1130" t="s">
        <v>21</v>
      </c>
      <c r="CL35" s="1130" t="s">
        <v>21</v>
      </c>
      <c r="CM35" s="1131" t="s">
        <v>21</v>
      </c>
      <c r="CN35" s="1130">
        <v>351.96</v>
      </c>
      <c r="CP35" s="838" t="s">
        <v>21</v>
      </c>
      <c r="CQ35" s="838" t="s">
        <v>21</v>
      </c>
      <c r="CR35" s="836"/>
    </row>
    <row r="36" spans="1:96" x14ac:dyDescent="0.25">
      <c r="A36" s="935"/>
      <c r="B36" s="932" t="s">
        <v>3052</v>
      </c>
      <c r="C36" s="911">
        <v>1000</v>
      </c>
      <c r="D36" s="911" t="s">
        <v>2116</v>
      </c>
      <c r="E36" s="912">
        <v>1171.46</v>
      </c>
      <c r="F36" s="912">
        <v>1168.01</v>
      </c>
      <c r="G36" s="910" t="s">
        <v>3053</v>
      </c>
      <c r="H36" s="912">
        <v>1170.6600000000001</v>
      </c>
      <c r="I36" s="912">
        <v>1168.3599999999999</v>
      </c>
      <c r="J36" s="914">
        <v>15.09</v>
      </c>
      <c r="K36" s="915"/>
      <c r="L36" s="916">
        <v>0.15</v>
      </c>
      <c r="M36" s="916">
        <v>0.09</v>
      </c>
      <c r="N36" s="916">
        <v>0.2</v>
      </c>
      <c r="O36" s="916">
        <v>6.1429999999999998</v>
      </c>
      <c r="P36" s="915"/>
      <c r="Q36" s="916">
        <v>3.2149999999999999</v>
      </c>
      <c r="R36" s="917">
        <v>0.33333333333333331</v>
      </c>
      <c r="S36" s="918">
        <v>2</v>
      </c>
      <c r="T36" s="918">
        <v>4.1429999999999998</v>
      </c>
      <c r="U36" s="916">
        <v>6.7779999999999996</v>
      </c>
      <c r="V36" s="916">
        <v>1.38</v>
      </c>
      <c r="W36" s="915"/>
      <c r="X36" s="916">
        <v>0.78500000000000003</v>
      </c>
      <c r="Y36" s="916">
        <v>1.0940000000000001</v>
      </c>
      <c r="Z36" s="916">
        <v>9.875</v>
      </c>
      <c r="AA36" s="916">
        <v>2.0009999999999999</v>
      </c>
      <c r="AB36" s="916">
        <v>6.48</v>
      </c>
      <c r="AC36" s="915"/>
      <c r="AD36" s="919">
        <v>92.697999999999993</v>
      </c>
      <c r="AE36" s="920">
        <v>149.01400000000001</v>
      </c>
      <c r="AF36" s="920" t="s">
        <v>21</v>
      </c>
      <c r="AG36" s="920" t="s">
        <v>21</v>
      </c>
      <c r="AH36" s="921" t="s">
        <v>21</v>
      </c>
      <c r="AI36" s="921">
        <v>149.01400000000001</v>
      </c>
      <c r="AJ36" s="920" t="s">
        <v>21</v>
      </c>
      <c r="AK36" s="920" t="s">
        <v>21</v>
      </c>
      <c r="AL36" s="921" t="s">
        <v>21</v>
      </c>
      <c r="AM36" s="921" t="s">
        <v>21</v>
      </c>
      <c r="AN36" s="920"/>
      <c r="AO36" s="920" t="s">
        <v>21</v>
      </c>
      <c r="AP36" s="919">
        <v>30.18</v>
      </c>
      <c r="AQ36" s="922">
        <v>102.28001999999999</v>
      </c>
      <c r="AR36" s="923" t="s">
        <v>21</v>
      </c>
      <c r="AS36" s="923" t="s">
        <v>21</v>
      </c>
      <c r="AT36" s="923" t="s">
        <v>21</v>
      </c>
      <c r="AU36" s="923" t="s">
        <v>21</v>
      </c>
      <c r="AV36" s="924" t="s">
        <v>21</v>
      </c>
      <c r="AW36" s="924">
        <v>102.28001999999999</v>
      </c>
      <c r="AX36" s="924" t="s">
        <v>21</v>
      </c>
      <c r="AY36" s="924" t="s">
        <v>21</v>
      </c>
      <c r="AZ36" s="923" t="s">
        <v>21</v>
      </c>
      <c r="BA36" s="923"/>
      <c r="BB36" s="919" t="s">
        <v>21</v>
      </c>
      <c r="BC36" s="919">
        <v>4.5270000000000001</v>
      </c>
      <c r="BD36" s="919" t="s">
        <v>2152</v>
      </c>
      <c r="BE36" s="925" t="s">
        <v>21</v>
      </c>
      <c r="BF36" s="926" t="s">
        <v>21</v>
      </c>
      <c r="BG36" s="925" t="s">
        <v>21</v>
      </c>
      <c r="BH36" s="926" t="s">
        <v>21</v>
      </c>
      <c r="BI36" s="925">
        <v>15.09</v>
      </c>
      <c r="BJ36" s="926" t="s">
        <v>21</v>
      </c>
      <c r="BK36" s="925" t="s">
        <v>21</v>
      </c>
      <c r="BL36" s="926" t="s">
        <v>21</v>
      </c>
      <c r="BM36" s="925" t="s">
        <v>21</v>
      </c>
      <c r="BN36" s="927"/>
      <c r="BO36" s="927"/>
      <c r="BP36" s="928" t="s">
        <v>21</v>
      </c>
      <c r="BQ36" s="928" t="s">
        <v>21</v>
      </c>
      <c r="BR36" s="928">
        <v>1</v>
      </c>
      <c r="BS36" s="928" t="s">
        <v>21</v>
      </c>
      <c r="BT36" s="928" t="s">
        <v>21</v>
      </c>
      <c r="BU36" s="928" t="s">
        <v>21</v>
      </c>
      <c r="BV36" s="929">
        <v>1.3500000000000454</v>
      </c>
      <c r="BW36" s="929">
        <v>1.5</v>
      </c>
      <c r="BX36" s="1104">
        <v>3</v>
      </c>
      <c r="BY36" s="931">
        <v>7</v>
      </c>
      <c r="BZ36" s="930">
        <v>1</v>
      </c>
      <c r="CA36" s="1074"/>
      <c r="CB36" s="930"/>
      <c r="CC36" s="930"/>
      <c r="CD36" s="925">
        <v>30.195</v>
      </c>
      <c r="CE36" s="1130">
        <v>97.783000000000001</v>
      </c>
      <c r="CF36" s="1129" t="s">
        <v>21</v>
      </c>
      <c r="CG36" s="1130" t="s">
        <v>21</v>
      </c>
      <c r="CH36" s="1130" t="s">
        <v>21</v>
      </c>
      <c r="CI36" s="1131" t="s">
        <v>21</v>
      </c>
      <c r="CJ36" s="1129" t="s">
        <v>21</v>
      </c>
      <c r="CK36" s="1130" t="s">
        <v>21</v>
      </c>
      <c r="CL36" s="1130" t="s">
        <v>21</v>
      </c>
      <c r="CM36" s="1131" t="s">
        <v>21</v>
      </c>
      <c r="CN36" s="1130">
        <v>97.783000000000001</v>
      </c>
      <c r="CP36" s="838" t="s">
        <v>21</v>
      </c>
      <c r="CQ36" s="838" t="s">
        <v>21</v>
      </c>
      <c r="CR36" s="836"/>
    </row>
    <row r="37" spans="1:96" x14ac:dyDescent="0.25">
      <c r="A37" s="935"/>
      <c r="B37" s="932" t="s">
        <v>3053</v>
      </c>
      <c r="C37" s="911">
        <v>1000</v>
      </c>
      <c r="D37" s="911" t="s">
        <v>2116</v>
      </c>
      <c r="E37" s="912">
        <v>1170.6600000000001</v>
      </c>
      <c r="F37" s="912">
        <v>1167.8599999999999</v>
      </c>
      <c r="G37" s="910" t="s">
        <v>3054</v>
      </c>
      <c r="H37" s="912">
        <v>1169.25</v>
      </c>
      <c r="I37" s="912">
        <v>1166.95</v>
      </c>
      <c r="J37" s="914">
        <v>20.87</v>
      </c>
      <c r="K37" s="915"/>
      <c r="L37" s="916">
        <v>0.15</v>
      </c>
      <c r="M37" s="916">
        <v>0.09</v>
      </c>
      <c r="N37" s="916">
        <v>0.2</v>
      </c>
      <c r="O37" s="916">
        <v>5.9269999999999996</v>
      </c>
      <c r="P37" s="915"/>
      <c r="Q37" s="916">
        <v>2.89</v>
      </c>
      <c r="R37" s="917">
        <v>0.33333333333333331</v>
      </c>
      <c r="S37" s="918">
        <v>2</v>
      </c>
      <c r="T37" s="918">
        <v>3.927</v>
      </c>
      <c r="U37" s="916">
        <v>6.093</v>
      </c>
      <c r="V37" s="916">
        <v>1.38</v>
      </c>
      <c r="W37" s="915"/>
      <c r="X37" s="916">
        <v>0.78500000000000003</v>
      </c>
      <c r="Y37" s="916">
        <v>1.0940000000000001</v>
      </c>
      <c r="Z37" s="916">
        <v>8.5649999999999995</v>
      </c>
      <c r="AA37" s="916">
        <v>2.0009999999999999</v>
      </c>
      <c r="AB37" s="916">
        <v>5.17</v>
      </c>
      <c r="AC37" s="915"/>
      <c r="AD37" s="919">
        <v>123.696</v>
      </c>
      <c r="AE37" s="920">
        <v>178.75200000000001</v>
      </c>
      <c r="AF37" s="920" t="s">
        <v>21</v>
      </c>
      <c r="AG37" s="920" t="s">
        <v>21</v>
      </c>
      <c r="AH37" s="921" t="s">
        <v>21</v>
      </c>
      <c r="AI37" s="921">
        <v>178.75200000000001</v>
      </c>
      <c r="AJ37" s="920" t="s">
        <v>21</v>
      </c>
      <c r="AK37" s="920" t="s">
        <v>21</v>
      </c>
      <c r="AL37" s="921" t="s">
        <v>21</v>
      </c>
      <c r="AM37" s="921" t="s">
        <v>21</v>
      </c>
      <c r="AN37" s="920"/>
      <c r="AO37" s="920" t="s">
        <v>21</v>
      </c>
      <c r="AP37" s="919">
        <v>41.74</v>
      </c>
      <c r="AQ37" s="922">
        <v>127.16091</v>
      </c>
      <c r="AR37" s="923" t="s">
        <v>21</v>
      </c>
      <c r="AS37" s="923" t="s">
        <v>21</v>
      </c>
      <c r="AT37" s="923" t="s">
        <v>21</v>
      </c>
      <c r="AU37" s="923" t="s">
        <v>21</v>
      </c>
      <c r="AV37" s="924" t="s">
        <v>21</v>
      </c>
      <c r="AW37" s="924">
        <v>127.16091</v>
      </c>
      <c r="AX37" s="924" t="s">
        <v>21</v>
      </c>
      <c r="AY37" s="924" t="s">
        <v>21</v>
      </c>
      <c r="AZ37" s="923" t="s">
        <v>21</v>
      </c>
      <c r="BA37" s="923"/>
      <c r="BB37" s="919" t="s">
        <v>21</v>
      </c>
      <c r="BC37" s="919">
        <v>6.2610000000000001</v>
      </c>
      <c r="BD37" s="919" t="s">
        <v>2142</v>
      </c>
      <c r="BE37" s="925" t="s">
        <v>21</v>
      </c>
      <c r="BF37" s="926" t="s">
        <v>21</v>
      </c>
      <c r="BG37" s="925" t="s">
        <v>21</v>
      </c>
      <c r="BH37" s="926" t="s">
        <v>21</v>
      </c>
      <c r="BI37" s="925">
        <v>20.87</v>
      </c>
      <c r="BJ37" s="926" t="s">
        <v>21</v>
      </c>
      <c r="BK37" s="925" t="s">
        <v>21</v>
      </c>
      <c r="BL37" s="926" t="s">
        <v>21</v>
      </c>
      <c r="BM37" s="925" t="s">
        <v>21</v>
      </c>
      <c r="BN37" s="927"/>
      <c r="BO37" s="927"/>
      <c r="BP37" s="928" t="s">
        <v>21</v>
      </c>
      <c r="BQ37" s="928" t="s">
        <v>21</v>
      </c>
      <c r="BR37" s="928">
        <v>1</v>
      </c>
      <c r="BS37" s="928" t="s">
        <v>21</v>
      </c>
      <c r="BT37" s="928" t="s">
        <v>21</v>
      </c>
      <c r="BU37" s="928" t="s">
        <v>21</v>
      </c>
      <c r="BV37" s="929">
        <v>0.70000000000018181</v>
      </c>
      <c r="BW37" s="929">
        <v>1</v>
      </c>
      <c r="BX37" s="1104">
        <v>2</v>
      </c>
      <c r="BY37" s="931">
        <v>6</v>
      </c>
      <c r="BZ37" s="930">
        <v>2</v>
      </c>
      <c r="CA37" s="1074"/>
      <c r="CB37" s="930"/>
      <c r="CC37" s="930"/>
      <c r="CD37" s="925">
        <v>41.761000000000003</v>
      </c>
      <c r="CE37" s="1130">
        <v>107.898</v>
      </c>
      <c r="CF37" s="1129" t="s">
        <v>21</v>
      </c>
      <c r="CG37" s="1130" t="s">
        <v>21</v>
      </c>
      <c r="CH37" s="1130" t="s">
        <v>21</v>
      </c>
      <c r="CI37" s="1131" t="s">
        <v>21</v>
      </c>
      <c r="CJ37" s="1129" t="s">
        <v>21</v>
      </c>
      <c r="CK37" s="1130" t="s">
        <v>21</v>
      </c>
      <c r="CL37" s="1130" t="s">
        <v>21</v>
      </c>
      <c r="CM37" s="1131" t="s">
        <v>21</v>
      </c>
      <c r="CN37" s="1130">
        <v>107.898</v>
      </c>
      <c r="CP37" s="838" t="s">
        <v>21</v>
      </c>
      <c r="CQ37" s="838" t="s">
        <v>21</v>
      </c>
      <c r="CR37" s="836"/>
    </row>
    <row r="38" spans="1:96" x14ac:dyDescent="0.25">
      <c r="A38" s="935"/>
      <c r="B38" s="932" t="s">
        <v>3054</v>
      </c>
      <c r="C38" s="911">
        <v>1000</v>
      </c>
      <c r="D38" s="911" t="s">
        <v>2116</v>
      </c>
      <c r="E38" s="912">
        <v>1169.25</v>
      </c>
      <c r="F38" s="912">
        <v>1165.75</v>
      </c>
      <c r="G38" s="910" t="s">
        <v>3055</v>
      </c>
      <c r="H38" s="912">
        <v>1166.8800000000001</v>
      </c>
      <c r="I38" s="912">
        <v>1164.58</v>
      </c>
      <c r="J38" s="914">
        <v>27.1</v>
      </c>
      <c r="K38" s="915"/>
      <c r="L38" s="916">
        <v>0.15</v>
      </c>
      <c r="M38" s="916">
        <v>0.09</v>
      </c>
      <c r="N38" s="916">
        <v>0.2</v>
      </c>
      <c r="O38" s="916">
        <v>6.16</v>
      </c>
      <c r="P38" s="915"/>
      <c r="Q38" s="916">
        <v>3.24</v>
      </c>
      <c r="R38" s="917">
        <v>0.33333333333333331</v>
      </c>
      <c r="S38" s="918">
        <v>2</v>
      </c>
      <c r="T38" s="918">
        <v>4.16</v>
      </c>
      <c r="U38" s="916">
        <v>6.8310000000000004</v>
      </c>
      <c r="V38" s="916">
        <v>1.38</v>
      </c>
      <c r="W38" s="915"/>
      <c r="X38" s="916">
        <v>0.78500000000000003</v>
      </c>
      <c r="Y38" s="916">
        <v>1.0940000000000001</v>
      </c>
      <c r="Z38" s="916">
        <v>9.9789999999999992</v>
      </c>
      <c r="AA38" s="916">
        <v>2.0009999999999999</v>
      </c>
      <c r="AB38" s="916">
        <v>6.5839999999999996</v>
      </c>
      <c r="AC38" s="915"/>
      <c r="AD38" s="919">
        <v>166.93600000000001</v>
      </c>
      <c r="AE38" s="920">
        <v>270.43099999999998</v>
      </c>
      <c r="AF38" s="920" t="s">
        <v>21</v>
      </c>
      <c r="AG38" s="920" t="s">
        <v>21</v>
      </c>
      <c r="AH38" s="921" t="s">
        <v>21</v>
      </c>
      <c r="AI38" s="921">
        <v>270.43099999999998</v>
      </c>
      <c r="AJ38" s="920" t="s">
        <v>21</v>
      </c>
      <c r="AK38" s="920" t="s">
        <v>21</v>
      </c>
      <c r="AL38" s="921" t="s">
        <v>21</v>
      </c>
      <c r="AM38" s="921" t="s">
        <v>21</v>
      </c>
      <c r="AN38" s="920"/>
      <c r="AO38" s="920" t="s">
        <v>21</v>
      </c>
      <c r="AP38" s="919">
        <v>54.2</v>
      </c>
      <c r="AQ38" s="922">
        <v>185.12010000000001</v>
      </c>
      <c r="AR38" s="923" t="s">
        <v>21</v>
      </c>
      <c r="AS38" s="923" t="s">
        <v>21</v>
      </c>
      <c r="AT38" s="923" t="s">
        <v>21</v>
      </c>
      <c r="AU38" s="923" t="s">
        <v>21</v>
      </c>
      <c r="AV38" s="924" t="s">
        <v>21</v>
      </c>
      <c r="AW38" s="924">
        <v>185.12010000000001</v>
      </c>
      <c r="AX38" s="924" t="s">
        <v>21</v>
      </c>
      <c r="AY38" s="924" t="s">
        <v>21</v>
      </c>
      <c r="AZ38" s="923" t="s">
        <v>21</v>
      </c>
      <c r="BA38" s="923"/>
      <c r="BB38" s="919" t="s">
        <v>21</v>
      </c>
      <c r="BC38" s="919">
        <v>8.1300000000000008</v>
      </c>
      <c r="BD38" s="919" t="s">
        <v>2152</v>
      </c>
      <c r="BE38" s="925" t="s">
        <v>21</v>
      </c>
      <c r="BF38" s="926" t="s">
        <v>21</v>
      </c>
      <c r="BG38" s="925" t="s">
        <v>21</v>
      </c>
      <c r="BH38" s="926" t="s">
        <v>21</v>
      </c>
      <c r="BI38" s="925">
        <v>27.1</v>
      </c>
      <c r="BJ38" s="926" t="s">
        <v>21</v>
      </c>
      <c r="BK38" s="925" t="s">
        <v>21</v>
      </c>
      <c r="BL38" s="926" t="s">
        <v>21</v>
      </c>
      <c r="BM38" s="925" t="s">
        <v>21</v>
      </c>
      <c r="BN38" s="927"/>
      <c r="BO38" s="927"/>
      <c r="BP38" s="928" t="s">
        <v>21</v>
      </c>
      <c r="BQ38" s="928" t="s">
        <v>21</v>
      </c>
      <c r="BR38" s="928">
        <v>1</v>
      </c>
      <c r="BS38" s="928" t="s">
        <v>21</v>
      </c>
      <c r="BT38" s="928" t="s">
        <v>21</v>
      </c>
      <c r="BU38" s="928" t="s">
        <v>21</v>
      </c>
      <c r="BV38" s="929">
        <v>1.4</v>
      </c>
      <c r="BW38" s="929">
        <v>1.5</v>
      </c>
      <c r="BX38" s="1104">
        <v>3</v>
      </c>
      <c r="BY38" s="931">
        <v>7</v>
      </c>
      <c r="BZ38" s="930">
        <v>1</v>
      </c>
      <c r="CA38" s="1074"/>
      <c r="CB38" s="930"/>
      <c r="CC38" s="930"/>
      <c r="CD38" s="925">
        <v>54.226999999999997</v>
      </c>
      <c r="CE38" s="1130">
        <v>178.42599999999999</v>
      </c>
      <c r="CF38" s="1129" t="s">
        <v>21</v>
      </c>
      <c r="CG38" s="1130" t="s">
        <v>21</v>
      </c>
      <c r="CH38" s="1130" t="s">
        <v>21</v>
      </c>
      <c r="CI38" s="1131" t="s">
        <v>21</v>
      </c>
      <c r="CJ38" s="1129" t="s">
        <v>21</v>
      </c>
      <c r="CK38" s="1130" t="s">
        <v>21</v>
      </c>
      <c r="CL38" s="1130" t="s">
        <v>21</v>
      </c>
      <c r="CM38" s="1131" t="s">
        <v>21</v>
      </c>
      <c r="CN38" s="1130">
        <v>178.42599999999999</v>
      </c>
      <c r="CP38" s="838" t="s">
        <v>21</v>
      </c>
      <c r="CQ38" s="838" t="s">
        <v>21</v>
      </c>
      <c r="CR38" s="836"/>
    </row>
    <row r="39" spans="1:96" x14ac:dyDescent="0.25">
      <c r="A39" s="935"/>
      <c r="B39" s="932" t="s">
        <v>3055</v>
      </c>
      <c r="C39" s="911">
        <v>1000</v>
      </c>
      <c r="D39" s="911" t="s">
        <v>2116</v>
      </c>
      <c r="E39" s="912">
        <v>1166.8800000000001</v>
      </c>
      <c r="F39" s="912">
        <v>1163.98</v>
      </c>
      <c r="G39" s="910" t="s">
        <v>3056</v>
      </c>
      <c r="H39" s="912">
        <v>1164.19</v>
      </c>
      <c r="I39" s="912">
        <v>1161.8900000000001</v>
      </c>
      <c r="J39" s="914">
        <v>47.62</v>
      </c>
      <c r="K39" s="915"/>
      <c r="L39" s="916">
        <v>0.15</v>
      </c>
      <c r="M39" s="916">
        <v>0.09</v>
      </c>
      <c r="N39" s="916">
        <v>0.2</v>
      </c>
      <c r="O39" s="916">
        <v>5.96</v>
      </c>
      <c r="P39" s="915"/>
      <c r="Q39" s="916">
        <v>2.94</v>
      </c>
      <c r="R39" s="917">
        <v>0.33333333333333331</v>
      </c>
      <c r="S39" s="918">
        <v>2</v>
      </c>
      <c r="T39" s="918">
        <v>3.96</v>
      </c>
      <c r="U39" s="916">
        <v>6.1980000000000004</v>
      </c>
      <c r="V39" s="916">
        <v>1.38</v>
      </c>
      <c r="W39" s="915"/>
      <c r="X39" s="916">
        <v>0.78500000000000003</v>
      </c>
      <c r="Y39" s="916">
        <v>1.0940000000000001</v>
      </c>
      <c r="Z39" s="916">
        <v>8.7609999999999992</v>
      </c>
      <c r="AA39" s="916">
        <v>2.0009999999999999</v>
      </c>
      <c r="AB39" s="916">
        <v>5.3659999999999997</v>
      </c>
      <c r="AC39" s="915"/>
      <c r="AD39" s="919">
        <v>283.815</v>
      </c>
      <c r="AE39" s="920">
        <v>417.19900000000001</v>
      </c>
      <c r="AF39" s="920" t="s">
        <v>21</v>
      </c>
      <c r="AG39" s="920" t="s">
        <v>21</v>
      </c>
      <c r="AH39" s="921" t="s">
        <v>21</v>
      </c>
      <c r="AI39" s="921">
        <v>417.19900000000001</v>
      </c>
      <c r="AJ39" s="920" t="s">
        <v>21</v>
      </c>
      <c r="AK39" s="920" t="s">
        <v>21</v>
      </c>
      <c r="AL39" s="921" t="s">
        <v>21</v>
      </c>
      <c r="AM39" s="921" t="s">
        <v>21</v>
      </c>
      <c r="AN39" s="920"/>
      <c r="AO39" s="920" t="s">
        <v>21</v>
      </c>
      <c r="AP39" s="919">
        <v>95.24</v>
      </c>
      <c r="AQ39" s="922">
        <v>295.14875999999998</v>
      </c>
      <c r="AR39" s="923" t="s">
        <v>21</v>
      </c>
      <c r="AS39" s="923" t="s">
        <v>21</v>
      </c>
      <c r="AT39" s="923" t="s">
        <v>21</v>
      </c>
      <c r="AU39" s="923" t="s">
        <v>21</v>
      </c>
      <c r="AV39" s="924" t="s">
        <v>21</v>
      </c>
      <c r="AW39" s="924">
        <v>295.14875999999998</v>
      </c>
      <c r="AX39" s="924" t="s">
        <v>21</v>
      </c>
      <c r="AY39" s="924" t="s">
        <v>21</v>
      </c>
      <c r="AZ39" s="923" t="s">
        <v>21</v>
      </c>
      <c r="BA39" s="923"/>
      <c r="BB39" s="919" t="s">
        <v>21</v>
      </c>
      <c r="BC39" s="919">
        <v>14.286</v>
      </c>
      <c r="BD39" s="919" t="s">
        <v>2142</v>
      </c>
      <c r="BE39" s="925" t="s">
        <v>21</v>
      </c>
      <c r="BF39" s="926" t="s">
        <v>21</v>
      </c>
      <c r="BG39" s="925" t="s">
        <v>21</v>
      </c>
      <c r="BH39" s="926" t="s">
        <v>21</v>
      </c>
      <c r="BI39" s="925">
        <v>47.62</v>
      </c>
      <c r="BJ39" s="926" t="s">
        <v>21</v>
      </c>
      <c r="BK39" s="925" t="s">
        <v>21</v>
      </c>
      <c r="BL39" s="926" t="s">
        <v>21</v>
      </c>
      <c r="BM39" s="925" t="s">
        <v>21</v>
      </c>
      <c r="BN39" s="927"/>
      <c r="BO39" s="927"/>
      <c r="BP39" s="928" t="s">
        <v>21</v>
      </c>
      <c r="BQ39" s="928" t="s">
        <v>21</v>
      </c>
      <c r="BR39" s="928">
        <v>1</v>
      </c>
      <c r="BS39" s="928" t="s">
        <v>21</v>
      </c>
      <c r="BT39" s="928" t="s">
        <v>21</v>
      </c>
      <c r="BU39" s="928" t="s">
        <v>21</v>
      </c>
      <c r="BV39" s="929">
        <v>0.80000000000009086</v>
      </c>
      <c r="BW39" s="929">
        <v>1</v>
      </c>
      <c r="BX39" s="1104">
        <v>2</v>
      </c>
      <c r="BY39" s="931">
        <v>6</v>
      </c>
      <c r="BZ39" s="930">
        <v>2</v>
      </c>
      <c r="CA39" s="1074"/>
      <c r="CB39" s="930"/>
      <c r="CC39" s="930"/>
      <c r="CD39" s="925">
        <v>95.287999999999997</v>
      </c>
      <c r="CE39" s="1130">
        <v>255.529</v>
      </c>
      <c r="CF39" s="1129" t="s">
        <v>21</v>
      </c>
      <c r="CG39" s="1130" t="s">
        <v>21</v>
      </c>
      <c r="CH39" s="1130" t="s">
        <v>21</v>
      </c>
      <c r="CI39" s="1131" t="s">
        <v>21</v>
      </c>
      <c r="CJ39" s="1129" t="s">
        <v>21</v>
      </c>
      <c r="CK39" s="1130" t="s">
        <v>21</v>
      </c>
      <c r="CL39" s="1130" t="s">
        <v>21</v>
      </c>
      <c r="CM39" s="1131" t="s">
        <v>21</v>
      </c>
      <c r="CN39" s="1130">
        <v>255.529</v>
      </c>
      <c r="CP39" s="838" t="s">
        <v>21</v>
      </c>
      <c r="CQ39" s="838" t="s">
        <v>21</v>
      </c>
      <c r="CR39" s="836"/>
    </row>
    <row r="40" spans="1:96" x14ac:dyDescent="0.25">
      <c r="A40" s="935"/>
      <c r="B40" s="932" t="s">
        <v>3056</v>
      </c>
      <c r="C40" s="911">
        <v>1500</v>
      </c>
      <c r="D40" s="911" t="s">
        <v>2116</v>
      </c>
      <c r="E40" s="912">
        <v>1164.19</v>
      </c>
      <c r="F40" s="912">
        <v>1161.3900000000001</v>
      </c>
      <c r="G40" s="910" t="s">
        <v>3057</v>
      </c>
      <c r="H40" s="912">
        <v>1164</v>
      </c>
      <c r="I40" s="912">
        <v>1161.2</v>
      </c>
      <c r="J40" s="914">
        <v>21.88</v>
      </c>
      <c r="K40" s="915"/>
      <c r="L40" s="916">
        <v>0.15</v>
      </c>
      <c r="M40" s="916">
        <v>0.13500000000000001</v>
      </c>
      <c r="N40" s="916">
        <v>0.2</v>
      </c>
      <c r="O40" s="916">
        <v>6.7229999999999999</v>
      </c>
      <c r="P40" s="915"/>
      <c r="Q40" s="916">
        <v>3.1850000000000001</v>
      </c>
      <c r="R40" s="917">
        <v>0.33333333333333331</v>
      </c>
      <c r="S40" s="918">
        <v>2.6</v>
      </c>
      <c r="T40" s="918">
        <v>4.7229999999999999</v>
      </c>
      <c r="U40" s="916">
        <v>6.7149999999999999</v>
      </c>
      <c r="V40" s="916">
        <v>1.97</v>
      </c>
      <c r="W40" s="915"/>
      <c r="X40" s="916">
        <v>1.7669999999999999</v>
      </c>
      <c r="Y40" s="916">
        <v>2.4609999999999999</v>
      </c>
      <c r="Z40" s="916">
        <v>11.662000000000001</v>
      </c>
      <c r="AA40" s="916">
        <v>3.5649999999999999</v>
      </c>
      <c r="AB40" s="916">
        <v>5.2460000000000004</v>
      </c>
      <c r="AC40" s="915"/>
      <c r="AD40" s="919">
        <v>147.09899999999999</v>
      </c>
      <c r="AE40" s="920">
        <v>255.16499999999999</v>
      </c>
      <c r="AF40" s="920" t="s">
        <v>21</v>
      </c>
      <c r="AG40" s="920" t="s">
        <v>21</v>
      </c>
      <c r="AH40" s="921" t="s">
        <v>21</v>
      </c>
      <c r="AI40" s="921" t="s">
        <v>21</v>
      </c>
      <c r="AJ40" s="920" t="s">
        <v>21</v>
      </c>
      <c r="AK40" s="920" t="s">
        <v>21</v>
      </c>
      <c r="AL40" s="921" t="s">
        <v>21</v>
      </c>
      <c r="AM40" s="921" t="s">
        <v>21</v>
      </c>
      <c r="AN40" s="920"/>
      <c r="AO40" s="920">
        <v>255.16499999999999</v>
      </c>
      <c r="AP40" s="919">
        <v>56.887999999999998</v>
      </c>
      <c r="AQ40" s="922">
        <v>146.92419999999998</v>
      </c>
      <c r="AR40" s="923" t="s">
        <v>21</v>
      </c>
      <c r="AS40" s="923" t="s">
        <v>21</v>
      </c>
      <c r="AT40" s="923" t="s">
        <v>21</v>
      </c>
      <c r="AU40" s="923" t="s">
        <v>21</v>
      </c>
      <c r="AV40" s="924" t="s">
        <v>21</v>
      </c>
      <c r="AW40" s="924" t="s">
        <v>21</v>
      </c>
      <c r="AX40" s="924" t="s">
        <v>21</v>
      </c>
      <c r="AY40" s="924" t="s">
        <v>21</v>
      </c>
      <c r="AZ40" s="923">
        <v>146.92419999999998</v>
      </c>
      <c r="BA40" s="923"/>
      <c r="BB40" s="919" t="s">
        <v>21</v>
      </c>
      <c r="BC40" s="919">
        <v>8.5329999999999995</v>
      </c>
      <c r="BD40" s="919" t="s">
        <v>2152</v>
      </c>
      <c r="BE40" s="925" t="s">
        <v>21</v>
      </c>
      <c r="BF40" s="926" t="s">
        <v>21</v>
      </c>
      <c r="BG40" s="925" t="s">
        <v>21</v>
      </c>
      <c r="BH40" s="926" t="s">
        <v>21</v>
      </c>
      <c r="BI40" s="925" t="s">
        <v>21</v>
      </c>
      <c r="BJ40" s="926" t="s">
        <v>21</v>
      </c>
      <c r="BK40" s="925">
        <v>21.88</v>
      </c>
      <c r="BL40" s="926" t="s">
        <v>21</v>
      </c>
      <c r="BM40" s="925" t="s">
        <v>21</v>
      </c>
      <c r="BN40" s="927"/>
      <c r="BO40" s="927"/>
      <c r="BP40" s="928" t="s">
        <v>21</v>
      </c>
      <c r="BQ40" s="928" t="s">
        <v>21</v>
      </c>
      <c r="BR40" s="928" t="s">
        <v>21</v>
      </c>
      <c r="BS40" s="928" t="s">
        <v>21</v>
      </c>
      <c r="BT40" s="928">
        <v>1</v>
      </c>
      <c r="BU40" s="928" t="s">
        <v>21</v>
      </c>
      <c r="BV40" s="929">
        <v>0.69999999999995444</v>
      </c>
      <c r="BW40" s="929">
        <v>1</v>
      </c>
      <c r="BX40" s="1104">
        <v>2</v>
      </c>
      <c r="BY40" s="931">
        <v>7</v>
      </c>
      <c r="BZ40" s="930">
        <v>2</v>
      </c>
      <c r="CA40" s="1074"/>
      <c r="CB40" s="930"/>
      <c r="CC40" s="930"/>
      <c r="CD40" s="925">
        <v>78.001999999999995</v>
      </c>
      <c r="CE40" s="1130">
        <v>114.782</v>
      </c>
      <c r="CF40" s="1129" t="s">
        <v>21</v>
      </c>
      <c r="CG40" s="1130" t="s">
        <v>21</v>
      </c>
      <c r="CH40" s="1130" t="s">
        <v>21</v>
      </c>
      <c r="CI40" s="1131" t="s">
        <v>21</v>
      </c>
      <c r="CJ40" s="1129" t="s">
        <v>21</v>
      </c>
      <c r="CK40" s="1130" t="s">
        <v>21</v>
      </c>
      <c r="CL40" s="1130" t="s">
        <v>21</v>
      </c>
      <c r="CM40" s="1131" t="s">
        <v>21</v>
      </c>
      <c r="CN40" s="1130">
        <v>114.782</v>
      </c>
      <c r="CP40" s="838" t="s">
        <v>21</v>
      </c>
      <c r="CQ40" s="838" t="s">
        <v>21</v>
      </c>
      <c r="CR40" s="836"/>
    </row>
    <row r="41" spans="1:96" x14ac:dyDescent="0.25">
      <c r="A41" s="935"/>
      <c r="B41" s="932" t="s">
        <v>3057</v>
      </c>
      <c r="C41" s="911">
        <v>1500</v>
      </c>
      <c r="D41" s="911" t="s">
        <v>2116</v>
      </c>
      <c r="E41" s="912">
        <v>1164</v>
      </c>
      <c r="F41" s="912">
        <v>1160.75</v>
      </c>
      <c r="G41" s="910" t="s">
        <v>3058</v>
      </c>
      <c r="H41" s="912">
        <v>1164</v>
      </c>
      <c r="I41" s="912">
        <v>1160.626</v>
      </c>
      <c r="J41" s="914">
        <v>51.01</v>
      </c>
      <c r="K41" s="915"/>
      <c r="L41" s="916">
        <v>0.15</v>
      </c>
      <c r="M41" s="916">
        <v>0.13500000000000001</v>
      </c>
      <c r="N41" s="916">
        <v>0.2</v>
      </c>
      <c r="O41" s="916">
        <v>7.0650000000000004</v>
      </c>
      <c r="P41" s="915"/>
      <c r="Q41" s="916">
        <v>3.6970000000000001</v>
      </c>
      <c r="R41" s="917">
        <v>0.33333333333333331</v>
      </c>
      <c r="S41" s="918">
        <v>2.6</v>
      </c>
      <c r="T41" s="918">
        <v>5.0650000000000004</v>
      </c>
      <c r="U41" s="916">
        <v>7.7939999999999996</v>
      </c>
      <c r="V41" s="916">
        <v>1.97</v>
      </c>
      <c r="W41" s="915"/>
      <c r="X41" s="916">
        <v>1.7669999999999999</v>
      </c>
      <c r="Y41" s="916">
        <v>2.4609999999999999</v>
      </c>
      <c r="Z41" s="916">
        <v>14.169</v>
      </c>
      <c r="AA41" s="916">
        <v>3.5649999999999999</v>
      </c>
      <c r="AB41" s="916">
        <v>7.7530000000000001</v>
      </c>
      <c r="AC41" s="915"/>
      <c r="AD41" s="919">
        <v>360.38600000000002</v>
      </c>
      <c r="AE41" s="920">
        <v>722.76099999999997</v>
      </c>
      <c r="AF41" s="920" t="s">
        <v>21</v>
      </c>
      <c r="AG41" s="920" t="s">
        <v>21</v>
      </c>
      <c r="AH41" s="921" t="s">
        <v>21</v>
      </c>
      <c r="AI41" s="921" t="s">
        <v>21</v>
      </c>
      <c r="AJ41" s="920" t="s">
        <v>21</v>
      </c>
      <c r="AK41" s="920" t="s">
        <v>21</v>
      </c>
      <c r="AL41" s="921" t="s">
        <v>21</v>
      </c>
      <c r="AM41" s="921" t="s">
        <v>21</v>
      </c>
      <c r="AN41" s="920"/>
      <c r="AO41" s="920">
        <v>722.76099999999997</v>
      </c>
      <c r="AP41" s="919">
        <v>132.626</v>
      </c>
      <c r="AQ41" s="922">
        <v>397.57193999999998</v>
      </c>
      <c r="AR41" s="923" t="s">
        <v>21</v>
      </c>
      <c r="AS41" s="923" t="s">
        <v>21</v>
      </c>
      <c r="AT41" s="923" t="s">
        <v>21</v>
      </c>
      <c r="AU41" s="923" t="s">
        <v>21</v>
      </c>
      <c r="AV41" s="924" t="s">
        <v>21</v>
      </c>
      <c r="AW41" s="924" t="s">
        <v>21</v>
      </c>
      <c r="AX41" s="924" t="s">
        <v>21</v>
      </c>
      <c r="AY41" s="924" t="s">
        <v>21</v>
      </c>
      <c r="AZ41" s="923">
        <v>397.57193999999998</v>
      </c>
      <c r="BA41" s="923"/>
      <c r="BB41" s="919" t="s">
        <v>21</v>
      </c>
      <c r="BC41" s="919">
        <v>19.893999999999998</v>
      </c>
      <c r="BD41" s="919" t="s">
        <v>2152</v>
      </c>
      <c r="BE41" s="925" t="s">
        <v>21</v>
      </c>
      <c r="BF41" s="926" t="s">
        <v>21</v>
      </c>
      <c r="BG41" s="925" t="s">
        <v>21</v>
      </c>
      <c r="BH41" s="926" t="s">
        <v>21</v>
      </c>
      <c r="BI41" s="925" t="s">
        <v>21</v>
      </c>
      <c r="BJ41" s="926" t="s">
        <v>21</v>
      </c>
      <c r="BK41" s="925">
        <v>51.01</v>
      </c>
      <c r="BL41" s="926" t="s">
        <v>21</v>
      </c>
      <c r="BM41" s="925" t="s">
        <v>21</v>
      </c>
      <c r="BN41" s="927"/>
      <c r="BO41" s="927"/>
      <c r="BP41" s="928" t="s">
        <v>21</v>
      </c>
      <c r="BQ41" s="928" t="s">
        <v>21</v>
      </c>
      <c r="BR41" s="928" t="s">
        <v>21</v>
      </c>
      <c r="BS41" s="928" t="s">
        <v>21</v>
      </c>
      <c r="BT41" s="928">
        <v>1</v>
      </c>
      <c r="BU41" s="928" t="s">
        <v>21</v>
      </c>
      <c r="BV41" s="929">
        <v>1.1499999999999999</v>
      </c>
      <c r="BW41" s="929">
        <v>1.5</v>
      </c>
      <c r="BX41" s="1104">
        <v>3</v>
      </c>
      <c r="BY41" s="931">
        <v>8</v>
      </c>
      <c r="BZ41" s="930">
        <v>1</v>
      </c>
      <c r="CA41" s="1074"/>
      <c r="CB41" s="930"/>
      <c r="CC41" s="930"/>
      <c r="CD41" s="925">
        <v>181.851</v>
      </c>
      <c r="CE41" s="1130">
        <v>395.48099999999999</v>
      </c>
      <c r="CF41" s="1129" t="s">
        <v>21</v>
      </c>
      <c r="CG41" s="1130" t="s">
        <v>21</v>
      </c>
      <c r="CH41" s="1130" t="s">
        <v>21</v>
      </c>
      <c r="CI41" s="1131" t="s">
        <v>21</v>
      </c>
      <c r="CJ41" s="1129" t="s">
        <v>21</v>
      </c>
      <c r="CK41" s="1130" t="s">
        <v>21</v>
      </c>
      <c r="CL41" s="1130" t="s">
        <v>21</v>
      </c>
      <c r="CM41" s="1131" t="s">
        <v>21</v>
      </c>
      <c r="CN41" s="1130">
        <v>395.48099999999999</v>
      </c>
      <c r="CP41" s="838" t="s">
        <v>21</v>
      </c>
      <c r="CQ41" s="838" t="s">
        <v>21</v>
      </c>
      <c r="CR41" s="836"/>
    </row>
    <row r="42" spans="1:96" x14ac:dyDescent="0.25">
      <c r="A42" s="935"/>
      <c r="B42" s="932" t="s">
        <v>3058</v>
      </c>
      <c r="C42" s="911">
        <v>1500</v>
      </c>
      <c r="D42" s="911" t="s">
        <v>2116</v>
      </c>
      <c r="E42" s="912">
        <v>1164</v>
      </c>
      <c r="F42" s="912">
        <v>1160.626</v>
      </c>
      <c r="G42" s="932" t="s">
        <v>3059</v>
      </c>
      <c r="H42" s="912">
        <v>1164</v>
      </c>
      <c r="I42" s="912">
        <v>1160.4449999999999</v>
      </c>
      <c r="J42" s="914">
        <v>47.67</v>
      </c>
      <c r="K42" s="915"/>
      <c r="L42" s="916">
        <v>0.15</v>
      </c>
      <c r="M42" s="916">
        <v>0.13500000000000001</v>
      </c>
      <c r="N42" s="916">
        <v>0.2</v>
      </c>
      <c r="O42" s="916">
        <v>7.1669999999999998</v>
      </c>
      <c r="P42" s="915"/>
      <c r="Q42" s="916">
        <v>3.85</v>
      </c>
      <c r="R42" s="917">
        <v>0.33333333333333331</v>
      </c>
      <c r="S42" s="918">
        <v>2.6</v>
      </c>
      <c r="T42" s="918">
        <v>5.1669999999999998</v>
      </c>
      <c r="U42" s="916">
        <v>8.1170000000000009</v>
      </c>
      <c r="V42" s="916">
        <v>1.97</v>
      </c>
      <c r="W42" s="915"/>
      <c r="X42" s="916">
        <v>1.7669999999999999</v>
      </c>
      <c r="Y42" s="916">
        <v>2.4609999999999999</v>
      </c>
      <c r="Z42" s="916">
        <v>14.951000000000001</v>
      </c>
      <c r="AA42" s="916">
        <v>3.5649999999999999</v>
      </c>
      <c r="AB42" s="916">
        <v>8.5350000000000001</v>
      </c>
      <c r="AC42" s="915"/>
      <c r="AD42" s="919">
        <v>341.65100000000001</v>
      </c>
      <c r="AE42" s="920">
        <v>712.71400000000006</v>
      </c>
      <c r="AF42" s="920" t="s">
        <v>21</v>
      </c>
      <c r="AG42" s="920" t="s">
        <v>21</v>
      </c>
      <c r="AH42" s="921" t="s">
        <v>21</v>
      </c>
      <c r="AI42" s="921" t="s">
        <v>21</v>
      </c>
      <c r="AJ42" s="920" t="s">
        <v>21</v>
      </c>
      <c r="AK42" s="920" t="s">
        <v>21</v>
      </c>
      <c r="AL42" s="921" t="s">
        <v>21</v>
      </c>
      <c r="AM42" s="921" t="s">
        <v>21</v>
      </c>
      <c r="AN42" s="920"/>
      <c r="AO42" s="920">
        <v>712.71400000000006</v>
      </c>
      <c r="AP42" s="919">
        <v>123.94199999999999</v>
      </c>
      <c r="AQ42" s="922">
        <v>386.93739000000005</v>
      </c>
      <c r="AR42" s="923" t="s">
        <v>21</v>
      </c>
      <c r="AS42" s="923" t="s">
        <v>21</v>
      </c>
      <c r="AT42" s="923" t="s">
        <v>21</v>
      </c>
      <c r="AU42" s="923" t="s">
        <v>21</v>
      </c>
      <c r="AV42" s="924" t="s">
        <v>21</v>
      </c>
      <c r="AW42" s="924" t="s">
        <v>21</v>
      </c>
      <c r="AX42" s="924" t="s">
        <v>21</v>
      </c>
      <c r="AY42" s="924" t="s">
        <v>21</v>
      </c>
      <c r="AZ42" s="923">
        <v>386.93739000000005</v>
      </c>
      <c r="BA42" s="923"/>
      <c r="BB42" s="919" t="s">
        <v>21</v>
      </c>
      <c r="BC42" s="919">
        <v>18.591000000000001</v>
      </c>
      <c r="BD42" s="919" t="s">
        <v>2152</v>
      </c>
      <c r="BE42" s="925" t="s">
        <v>21</v>
      </c>
      <c r="BF42" s="926" t="s">
        <v>21</v>
      </c>
      <c r="BG42" s="925" t="s">
        <v>21</v>
      </c>
      <c r="BH42" s="926" t="s">
        <v>21</v>
      </c>
      <c r="BI42" s="925" t="s">
        <v>21</v>
      </c>
      <c r="BJ42" s="926" t="s">
        <v>21</v>
      </c>
      <c r="BK42" s="925">
        <v>47.67</v>
      </c>
      <c r="BL42" s="926" t="s">
        <v>21</v>
      </c>
      <c r="BM42" s="925" t="s">
        <v>21</v>
      </c>
      <c r="BN42" s="927"/>
      <c r="BO42" s="927"/>
      <c r="BP42" s="928" t="s">
        <v>21</v>
      </c>
      <c r="BQ42" s="928" t="s">
        <v>21</v>
      </c>
      <c r="BR42" s="928" t="s">
        <v>21</v>
      </c>
      <c r="BS42" s="928" t="s">
        <v>21</v>
      </c>
      <c r="BT42" s="928">
        <v>1</v>
      </c>
      <c r="BU42" s="928" t="s">
        <v>21</v>
      </c>
      <c r="BV42" s="929">
        <v>1.2740000000000236</v>
      </c>
      <c r="BW42" s="929">
        <v>1.5</v>
      </c>
      <c r="BX42" s="1104">
        <v>3</v>
      </c>
      <c r="BY42" s="931">
        <v>8</v>
      </c>
      <c r="BZ42" s="930"/>
      <c r="CA42" s="1074"/>
      <c r="CB42" s="930"/>
      <c r="CC42" s="930"/>
      <c r="CD42" s="925">
        <v>169.94399999999999</v>
      </c>
      <c r="CE42" s="1130">
        <v>406.863</v>
      </c>
      <c r="CF42" s="1129" t="s">
        <v>21</v>
      </c>
      <c r="CG42" s="1130" t="s">
        <v>21</v>
      </c>
      <c r="CH42" s="1130" t="s">
        <v>21</v>
      </c>
      <c r="CI42" s="1131" t="s">
        <v>21</v>
      </c>
      <c r="CJ42" s="1129" t="s">
        <v>21</v>
      </c>
      <c r="CK42" s="1130" t="s">
        <v>21</v>
      </c>
      <c r="CL42" s="1130" t="s">
        <v>21</v>
      </c>
      <c r="CM42" s="1131" t="s">
        <v>21</v>
      </c>
      <c r="CN42" s="1130">
        <v>406.863</v>
      </c>
      <c r="CP42" s="838" t="s">
        <v>21</v>
      </c>
      <c r="CQ42" s="838" t="s">
        <v>21</v>
      </c>
      <c r="CR42" s="836"/>
    </row>
    <row r="43" spans="1:96" x14ac:dyDescent="0.25">
      <c r="A43" s="935"/>
      <c r="B43" s="932" t="s">
        <v>3059</v>
      </c>
      <c r="C43" s="911">
        <v>1500</v>
      </c>
      <c r="D43" s="911" t="s">
        <v>2116</v>
      </c>
      <c r="E43" s="912">
        <v>1164</v>
      </c>
      <c r="F43" s="912">
        <v>1159.6949999999999</v>
      </c>
      <c r="G43" s="932" t="s">
        <v>3062</v>
      </c>
      <c r="H43" s="912">
        <v>1160.7</v>
      </c>
      <c r="I43" s="912">
        <v>1159.5999999999999</v>
      </c>
      <c r="J43" s="914">
        <v>6.57</v>
      </c>
      <c r="K43" s="915"/>
      <c r="L43" s="916">
        <v>0.15</v>
      </c>
      <c r="M43" s="916">
        <v>0.13500000000000001</v>
      </c>
      <c r="N43" s="916">
        <v>0.2</v>
      </c>
      <c r="O43" s="916">
        <v>6.6589999999999998</v>
      </c>
      <c r="P43" s="915"/>
      <c r="Q43" s="916">
        <v>3.0880000000000001</v>
      </c>
      <c r="R43" s="917">
        <v>0.33333333333333331</v>
      </c>
      <c r="S43" s="918">
        <v>2.6</v>
      </c>
      <c r="T43" s="918">
        <v>4.6589999999999998</v>
      </c>
      <c r="U43" s="916">
        <v>6.51</v>
      </c>
      <c r="V43" s="916">
        <v>1.97</v>
      </c>
      <c r="W43" s="915"/>
      <c r="X43" s="916">
        <v>1.7669999999999999</v>
      </c>
      <c r="Y43" s="916">
        <v>2.4609999999999999</v>
      </c>
      <c r="Z43" s="916">
        <v>11.208</v>
      </c>
      <c r="AA43" s="916">
        <v>3.5649999999999999</v>
      </c>
      <c r="AB43" s="916">
        <v>4.7919999999999998</v>
      </c>
      <c r="AC43" s="915"/>
      <c r="AD43" s="919">
        <v>43.75</v>
      </c>
      <c r="AE43" s="920">
        <v>73.637</v>
      </c>
      <c r="AF43" s="920" t="s">
        <v>21</v>
      </c>
      <c r="AG43" s="920" t="s">
        <v>21</v>
      </c>
      <c r="AH43" s="921" t="s">
        <v>21</v>
      </c>
      <c r="AI43" s="921" t="s">
        <v>21</v>
      </c>
      <c r="AJ43" s="920" t="s">
        <v>21</v>
      </c>
      <c r="AK43" s="920" t="s">
        <v>21</v>
      </c>
      <c r="AL43" s="921" t="s">
        <v>21</v>
      </c>
      <c r="AM43" s="921" t="s">
        <v>21</v>
      </c>
      <c r="AN43" s="920"/>
      <c r="AO43" s="920">
        <v>73.637</v>
      </c>
      <c r="AP43" s="919">
        <v>17.082000000000001</v>
      </c>
      <c r="AQ43" s="922">
        <v>42.770699999999998</v>
      </c>
      <c r="AR43" s="923" t="s">
        <v>21</v>
      </c>
      <c r="AS43" s="923" t="s">
        <v>21</v>
      </c>
      <c r="AT43" s="923" t="s">
        <v>21</v>
      </c>
      <c r="AU43" s="923" t="s">
        <v>21</v>
      </c>
      <c r="AV43" s="924" t="s">
        <v>21</v>
      </c>
      <c r="AW43" s="924" t="s">
        <v>21</v>
      </c>
      <c r="AX43" s="924" t="s">
        <v>21</v>
      </c>
      <c r="AY43" s="924" t="s">
        <v>21</v>
      </c>
      <c r="AZ43" s="923">
        <v>42.770699999999998</v>
      </c>
      <c r="BA43" s="923"/>
      <c r="BB43" s="919" t="s">
        <v>21</v>
      </c>
      <c r="BC43" s="919">
        <v>2.5619999999999998</v>
      </c>
      <c r="BD43" s="919" t="s">
        <v>2152</v>
      </c>
      <c r="BE43" s="925" t="s">
        <v>21</v>
      </c>
      <c r="BF43" s="926" t="s">
        <v>21</v>
      </c>
      <c r="BG43" s="925" t="s">
        <v>21</v>
      </c>
      <c r="BH43" s="926" t="s">
        <v>21</v>
      </c>
      <c r="BI43" s="925" t="s">
        <v>21</v>
      </c>
      <c r="BJ43" s="926" t="s">
        <v>21</v>
      </c>
      <c r="BK43" s="925">
        <v>6.57</v>
      </c>
      <c r="BL43" s="926" t="s">
        <v>21</v>
      </c>
      <c r="BM43" s="925" t="s">
        <v>21</v>
      </c>
      <c r="BN43" s="927"/>
      <c r="BO43" s="927"/>
      <c r="BP43" s="928" t="s">
        <v>21</v>
      </c>
      <c r="BQ43" s="928" t="s">
        <v>21</v>
      </c>
      <c r="BR43" s="928" t="s">
        <v>21</v>
      </c>
      <c r="BS43" s="928" t="s">
        <v>21</v>
      </c>
      <c r="BT43" s="928">
        <v>1</v>
      </c>
      <c r="BU43" s="928" t="s">
        <v>21</v>
      </c>
      <c r="BV43" s="929">
        <v>2.2050000000000636</v>
      </c>
      <c r="BW43" s="929">
        <v>2.5</v>
      </c>
      <c r="BX43" s="1104">
        <v>5</v>
      </c>
      <c r="BY43" s="931">
        <v>10</v>
      </c>
      <c r="BZ43" s="930"/>
      <c r="CA43" s="1074"/>
      <c r="CB43" s="930"/>
      <c r="CC43" s="930"/>
      <c r="CD43" s="925">
        <v>23.422000000000001</v>
      </c>
      <c r="CE43" s="1130">
        <v>31.483000000000001</v>
      </c>
      <c r="CF43" s="1129" t="s">
        <v>21</v>
      </c>
      <c r="CG43" s="1130" t="s">
        <v>21</v>
      </c>
      <c r="CH43" s="1130" t="s">
        <v>21</v>
      </c>
      <c r="CI43" s="1131" t="s">
        <v>21</v>
      </c>
      <c r="CJ43" s="1129" t="s">
        <v>21</v>
      </c>
      <c r="CK43" s="1130" t="s">
        <v>21</v>
      </c>
      <c r="CL43" s="1130" t="s">
        <v>21</v>
      </c>
      <c r="CM43" s="1131" t="s">
        <v>21</v>
      </c>
      <c r="CN43" s="1130">
        <v>31.483000000000001</v>
      </c>
      <c r="CP43" s="838" t="s">
        <v>21</v>
      </c>
      <c r="CQ43" s="838" t="s">
        <v>21</v>
      </c>
      <c r="CR43" s="836"/>
    </row>
    <row r="44" spans="1:96" x14ac:dyDescent="0.25">
      <c r="A44" s="935"/>
      <c r="B44" s="932"/>
      <c r="C44" s="911"/>
      <c r="D44" s="911"/>
      <c r="E44" s="912"/>
      <c r="F44" s="912"/>
      <c r="G44" s="910"/>
      <c r="H44" s="912"/>
      <c r="I44" s="912"/>
      <c r="J44" s="914"/>
      <c r="K44" s="915"/>
      <c r="L44" s="916" t="s">
        <v>21</v>
      </c>
      <c r="M44" s="916" t="s">
        <v>21</v>
      </c>
      <c r="N44" s="916" t="s">
        <v>21</v>
      </c>
      <c r="O44" s="916" t="s">
        <v>21</v>
      </c>
      <c r="P44" s="915"/>
      <c r="Q44" s="916" t="s">
        <v>21</v>
      </c>
      <c r="R44" s="917" t="s">
        <v>21</v>
      </c>
      <c r="S44" s="918" t="s">
        <v>21</v>
      </c>
      <c r="T44" s="918" t="s">
        <v>21</v>
      </c>
      <c r="U44" s="916" t="s">
        <v>21</v>
      </c>
      <c r="V44" s="916" t="s">
        <v>21</v>
      </c>
      <c r="W44" s="915"/>
      <c r="X44" s="916" t="s">
        <v>21</v>
      </c>
      <c r="Y44" s="916" t="s">
        <v>21</v>
      </c>
      <c r="Z44" s="916" t="s">
        <v>21</v>
      </c>
      <c r="AA44" s="916" t="s">
        <v>21</v>
      </c>
      <c r="AB44" s="916" t="s">
        <v>21</v>
      </c>
      <c r="AC44" s="915"/>
      <c r="AD44" s="919" t="s">
        <v>21</v>
      </c>
      <c r="AE44" s="920" t="s">
        <v>21</v>
      </c>
      <c r="AF44" s="920" t="s">
        <v>21</v>
      </c>
      <c r="AG44" s="920" t="s">
        <v>21</v>
      </c>
      <c r="AH44" s="921" t="s">
        <v>21</v>
      </c>
      <c r="AI44" s="921" t="s">
        <v>21</v>
      </c>
      <c r="AJ44" s="920" t="s">
        <v>21</v>
      </c>
      <c r="AK44" s="920" t="s">
        <v>21</v>
      </c>
      <c r="AL44" s="921" t="s">
        <v>21</v>
      </c>
      <c r="AM44" s="921" t="s">
        <v>21</v>
      </c>
      <c r="AN44" s="920"/>
      <c r="AO44" s="920" t="s">
        <v>21</v>
      </c>
      <c r="AP44" s="919" t="s">
        <v>21</v>
      </c>
      <c r="AQ44" s="922" t="s">
        <v>21</v>
      </c>
      <c r="AR44" s="923" t="s">
        <v>21</v>
      </c>
      <c r="AS44" s="923" t="s">
        <v>21</v>
      </c>
      <c r="AT44" s="923" t="s">
        <v>21</v>
      </c>
      <c r="AU44" s="923" t="s">
        <v>21</v>
      </c>
      <c r="AV44" s="924" t="s">
        <v>21</v>
      </c>
      <c r="AW44" s="924" t="s">
        <v>21</v>
      </c>
      <c r="AX44" s="924" t="s">
        <v>21</v>
      </c>
      <c r="AY44" s="924" t="s">
        <v>21</v>
      </c>
      <c r="AZ44" s="923" t="s">
        <v>21</v>
      </c>
      <c r="BA44" s="923"/>
      <c r="BB44" s="919" t="s">
        <v>21</v>
      </c>
      <c r="BC44" s="919" t="s">
        <v>21</v>
      </c>
      <c r="BD44" s="919" t="s">
        <v>21</v>
      </c>
      <c r="BE44" s="925" t="s">
        <v>21</v>
      </c>
      <c r="BF44" s="926" t="s">
        <v>21</v>
      </c>
      <c r="BG44" s="925" t="s">
        <v>21</v>
      </c>
      <c r="BH44" s="926" t="s">
        <v>21</v>
      </c>
      <c r="BI44" s="925" t="s">
        <v>21</v>
      </c>
      <c r="BJ44" s="926" t="s">
        <v>21</v>
      </c>
      <c r="BK44" s="925" t="s">
        <v>21</v>
      </c>
      <c r="BL44" s="926" t="s">
        <v>21</v>
      </c>
      <c r="BM44" s="925" t="s">
        <v>21</v>
      </c>
      <c r="BN44" s="927"/>
      <c r="BO44" s="927"/>
      <c r="BP44" s="928" t="s">
        <v>21</v>
      </c>
      <c r="BQ44" s="928" t="s">
        <v>21</v>
      </c>
      <c r="BR44" s="928" t="s">
        <v>21</v>
      </c>
      <c r="BS44" s="928" t="s">
        <v>21</v>
      </c>
      <c r="BT44" s="928" t="s">
        <v>21</v>
      </c>
      <c r="BU44" s="928" t="s">
        <v>21</v>
      </c>
      <c r="BV44" s="929" t="s">
        <v>21</v>
      </c>
      <c r="BW44" s="929" t="s">
        <v>21</v>
      </c>
      <c r="BX44" s="1104" t="s">
        <v>21</v>
      </c>
      <c r="BY44" s="931" t="s">
        <v>21</v>
      </c>
      <c r="BZ44" s="930"/>
      <c r="CA44" s="1074"/>
      <c r="CB44" s="930"/>
      <c r="CC44" s="930"/>
      <c r="CD44" s="925" t="s">
        <v>21</v>
      </c>
      <c r="CE44" s="1130" t="s">
        <v>21</v>
      </c>
      <c r="CF44" s="1129" t="s">
        <v>21</v>
      </c>
      <c r="CG44" s="1130" t="s">
        <v>21</v>
      </c>
      <c r="CH44" s="1130" t="s">
        <v>21</v>
      </c>
      <c r="CI44" s="1131" t="s">
        <v>21</v>
      </c>
      <c r="CJ44" s="1129" t="s">
        <v>21</v>
      </c>
      <c r="CK44" s="1130" t="s">
        <v>21</v>
      </c>
      <c r="CL44" s="1130" t="s">
        <v>21</v>
      </c>
      <c r="CM44" s="1131" t="s">
        <v>21</v>
      </c>
      <c r="CN44" s="1130" t="s">
        <v>21</v>
      </c>
      <c r="CP44" s="838" t="s">
        <v>21</v>
      </c>
      <c r="CQ44" s="838" t="s">
        <v>21</v>
      </c>
      <c r="CR44" s="836"/>
    </row>
    <row r="45" spans="1:96" x14ac:dyDescent="0.25">
      <c r="A45" s="935">
        <v>2</v>
      </c>
      <c r="B45" s="1900" t="s">
        <v>2230</v>
      </c>
      <c r="C45" s="911">
        <v>600</v>
      </c>
      <c r="D45" s="911" t="s">
        <v>2116</v>
      </c>
      <c r="E45" s="912">
        <v>1204.08</v>
      </c>
      <c r="F45" s="912">
        <v>1202.18</v>
      </c>
      <c r="G45" s="910" t="s">
        <v>2273</v>
      </c>
      <c r="H45" s="912">
        <v>1204.96</v>
      </c>
      <c r="I45" s="912">
        <v>1202.075</v>
      </c>
      <c r="J45" s="914">
        <v>20.99</v>
      </c>
      <c r="K45" s="915"/>
      <c r="L45" s="916">
        <v>0.1</v>
      </c>
      <c r="M45" s="916">
        <v>0.06</v>
      </c>
      <c r="N45" s="916">
        <v>0.2</v>
      </c>
      <c r="O45" s="916">
        <v>6.4</v>
      </c>
      <c r="P45" s="915"/>
      <c r="Q45" s="916">
        <v>2.6520000000000001</v>
      </c>
      <c r="R45" s="1899">
        <v>0</v>
      </c>
      <c r="S45" s="1898">
        <v>4.4000000000000004</v>
      </c>
      <c r="T45" s="1898">
        <v>4.4000000000000004</v>
      </c>
      <c r="U45" s="916">
        <v>5.3040000000000003</v>
      </c>
      <c r="V45" s="916">
        <v>0.92</v>
      </c>
      <c r="W45" s="915"/>
      <c r="X45" s="916">
        <v>0.28299999999999997</v>
      </c>
      <c r="Y45" s="916">
        <v>0.40699999999999997</v>
      </c>
      <c r="Z45" s="916">
        <v>11.669</v>
      </c>
      <c r="AA45" s="916">
        <v>3.2010000000000001</v>
      </c>
      <c r="AB45" s="916">
        <v>7.6210000000000004</v>
      </c>
      <c r="AC45" s="915"/>
      <c r="AD45" s="919">
        <v>134.33600000000001</v>
      </c>
      <c r="AE45" s="920">
        <v>244.93199999999999</v>
      </c>
      <c r="AF45" s="920" t="s">
        <v>21</v>
      </c>
      <c r="AG45" s="920" t="s">
        <v>21</v>
      </c>
      <c r="AH45" s="921" t="s">
        <v>21</v>
      </c>
      <c r="AI45" s="921" t="s">
        <v>21</v>
      </c>
      <c r="AJ45" s="920" t="s">
        <v>21</v>
      </c>
      <c r="AK45" s="920" t="s">
        <v>21</v>
      </c>
      <c r="AL45" s="921" t="s">
        <v>21</v>
      </c>
      <c r="AM45" s="921" t="s">
        <v>21</v>
      </c>
      <c r="AN45" s="920"/>
      <c r="AO45" s="920">
        <v>244.93199999999999</v>
      </c>
      <c r="AP45" s="919">
        <v>92.355999999999995</v>
      </c>
      <c r="AQ45" s="922">
        <v>111.33095999999999</v>
      </c>
      <c r="AR45" s="923" t="s">
        <v>21</v>
      </c>
      <c r="AS45" s="923" t="s">
        <v>21</v>
      </c>
      <c r="AT45" s="923" t="s">
        <v>21</v>
      </c>
      <c r="AU45" s="923" t="s">
        <v>21</v>
      </c>
      <c r="AV45" s="924" t="s">
        <v>21</v>
      </c>
      <c r="AW45" s="924" t="s">
        <v>21</v>
      </c>
      <c r="AX45" s="924" t="s">
        <v>21</v>
      </c>
      <c r="AY45" s="924" t="s">
        <v>21</v>
      </c>
      <c r="AZ45" s="1902">
        <v>111.33095999999999</v>
      </c>
      <c r="BA45" s="923"/>
      <c r="BB45" s="919" t="s">
        <v>21</v>
      </c>
      <c r="BC45" s="919">
        <v>9.2360000000000007</v>
      </c>
      <c r="BD45" s="919" t="s">
        <v>2142</v>
      </c>
      <c r="BE45" s="925" t="s">
        <v>21</v>
      </c>
      <c r="BF45" s="926" t="s">
        <v>21</v>
      </c>
      <c r="BG45" s="925">
        <v>20.99</v>
      </c>
      <c r="BH45" s="926" t="s">
        <v>21</v>
      </c>
      <c r="BI45" s="925" t="s">
        <v>21</v>
      </c>
      <c r="BJ45" s="926" t="s">
        <v>21</v>
      </c>
      <c r="BK45" s="925" t="s">
        <v>21</v>
      </c>
      <c r="BL45" s="926" t="s">
        <v>21</v>
      </c>
      <c r="BM45" s="925" t="s">
        <v>21</v>
      </c>
      <c r="BN45" s="927"/>
      <c r="BO45" s="927"/>
      <c r="BP45" s="928">
        <v>1</v>
      </c>
      <c r="BQ45" s="928" t="s">
        <v>21</v>
      </c>
      <c r="BR45" s="928" t="s">
        <v>21</v>
      </c>
      <c r="BS45" s="928" t="s">
        <v>21</v>
      </c>
      <c r="BT45" s="928" t="s">
        <v>21</v>
      </c>
      <c r="BU45" s="928" t="s">
        <v>21</v>
      </c>
      <c r="BV45" s="929">
        <v>0.49999999999986366</v>
      </c>
      <c r="BW45" s="929">
        <v>0.5</v>
      </c>
      <c r="BX45" s="1104">
        <v>1</v>
      </c>
      <c r="BY45" s="931">
        <v>3</v>
      </c>
      <c r="BZ45" s="930">
        <v>1</v>
      </c>
      <c r="CA45" s="1074"/>
      <c r="CB45" s="930"/>
      <c r="CC45" s="930"/>
      <c r="CD45" s="925">
        <v>67.188999999999993</v>
      </c>
      <c r="CE45" s="1130">
        <v>159.965</v>
      </c>
      <c r="CF45" s="1129" t="s">
        <v>21</v>
      </c>
      <c r="CG45" s="1130" t="s">
        <v>21</v>
      </c>
      <c r="CH45" s="1130" t="s">
        <v>21</v>
      </c>
      <c r="CI45" s="1131" t="s">
        <v>21</v>
      </c>
      <c r="CJ45" s="1129" t="s">
        <v>21</v>
      </c>
      <c r="CK45" s="1130" t="s">
        <v>21</v>
      </c>
      <c r="CL45" s="1130" t="s">
        <v>21</v>
      </c>
      <c r="CM45" s="1131" t="s">
        <v>21</v>
      </c>
      <c r="CN45" s="1130">
        <v>159.965</v>
      </c>
      <c r="CP45" s="838" t="s">
        <v>21</v>
      </c>
      <c r="CQ45" s="838" t="s">
        <v>21</v>
      </c>
      <c r="CR45" s="836"/>
    </row>
    <row r="46" spans="1:96" x14ac:dyDescent="0.25">
      <c r="A46" s="935" t="s">
        <v>3060</v>
      </c>
      <c r="B46" s="1900" t="s">
        <v>2273</v>
      </c>
      <c r="C46" s="911">
        <v>600</v>
      </c>
      <c r="D46" s="911" t="s">
        <v>2116</v>
      </c>
      <c r="E46" s="912">
        <v>1204.96</v>
      </c>
      <c r="F46" s="912">
        <v>1202.0250000000001</v>
      </c>
      <c r="G46" s="910" t="s">
        <v>2229</v>
      </c>
      <c r="H46" s="912">
        <v>1204.71</v>
      </c>
      <c r="I46" s="912">
        <v>1201.855</v>
      </c>
      <c r="J46" s="914">
        <v>34.020000000000003</v>
      </c>
      <c r="K46" s="915"/>
      <c r="L46" s="916">
        <v>0.1</v>
      </c>
      <c r="M46" s="916">
        <v>0.06</v>
      </c>
      <c r="N46" s="916">
        <v>0.2</v>
      </c>
      <c r="O46" s="916">
        <v>6.4</v>
      </c>
      <c r="P46" s="915"/>
      <c r="Q46" s="916">
        <v>3.1549999999999998</v>
      </c>
      <c r="R46" s="1899">
        <v>0</v>
      </c>
      <c r="S46" s="1898">
        <v>4.4000000000000004</v>
      </c>
      <c r="T46" s="1898">
        <v>4.4000000000000004</v>
      </c>
      <c r="U46" s="916">
        <v>6.31</v>
      </c>
      <c r="V46" s="916">
        <v>0.92</v>
      </c>
      <c r="W46" s="915"/>
      <c r="X46" s="916">
        <v>0.28299999999999997</v>
      </c>
      <c r="Y46" s="916">
        <v>0.40699999999999997</v>
      </c>
      <c r="Z46" s="916">
        <v>13.882</v>
      </c>
      <c r="AA46" s="916">
        <v>3.2010000000000001</v>
      </c>
      <c r="AB46" s="916">
        <v>9.8339999999999996</v>
      </c>
      <c r="AC46" s="915"/>
      <c r="AD46" s="919">
        <v>217.72800000000001</v>
      </c>
      <c r="AE46" s="920">
        <v>472.26600000000002</v>
      </c>
      <c r="AF46" s="920" t="s">
        <v>21</v>
      </c>
      <c r="AG46" s="920" t="s">
        <v>21</v>
      </c>
      <c r="AH46" s="921" t="s">
        <v>21</v>
      </c>
      <c r="AI46" s="921" t="s">
        <v>21</v>
      </c>
      <c r="AJ46" s="920" t="s">
        <v>21</v>
      </c>
      <c r="AK46" s="920" t="s">
        <v>21</v>
      </c>
      <c r="AL46" s="921" t="s">
        <v>21</v>
      </c>
      <c r="AM46" s="921" t="s">
        <v>21</v>
      </c>
      <c r="AN46" s="920"/>
      <c r="AO46" s="920">
        <v>472.26600000000002</v>
      </c>
      <c r="AP46" s="919">
        <v>149.68799999999999</v>
      </c>
      <c r="AQ46" s="922">
        <v>214.6662</v>
      </c>
      <c r="AR46" s="923" t="s">
        <v>21</v>
      </c>
      <c r="AS46" s="923" t="s">
        <v>21</v>
      </c>
      <c r="AT46" s="923" t="s">
        <v>21</v>
      </c>
      <c r="AU46" s="923" t="s">
        <v>21</v>
      </c>
      <c r="AV46" s="924" t="s">
        <v>21</v>
      </c>
      <c r="AW46" s="924" t="s">
        <v>21</v>
      </c>
      <c r="AX46" s="924" t="s">
        <v>21</v>
      </c>
      <c r="AY46" s="924" t="s">
        <v>21</v>
      </c>
      <c r="AZ46" s="1902">
        <v>214.6662</v>
      </c>
      <c r="BA46" s="923"/>
      <c r="BB46" s="919" t="s">
        <v>21</v>
      </c>
      <c r="BC46" s="919">
        <v>14.968999999999999</v>
      </c>
      <c r="BD46" s="919" t="s">
        <v>2152</v>
      </c>
      <c r="BE46" s="925" t="s">
        <v>21</v>
      </c>
      <c r="BF46" s="926" t="s">
        <v>21</v>
      </c>
      <c r="BG46" s="925">
        <v>34.020000000000003</v>
      </c>
      <c r="BH46" s="926" t="s">
        <v>21</v>
      </c>
      <c r="BI46" s="925" t="s">
        <v>21</v>
      </c>
      <c r="BJ46" s="926" t="s">
        <v>21</v>
      </c>
      <c r="BK46" s="925" t="s">
        <v>21</v>
      </c>
      <c r="BL46" s="926" t="s">
        <v>21</v>
      </c>
      <c r="BM46" s="925" t="s">
        <v>21</v>
      </c>
      <c r="BN46" s="927"/>
      <c r="BO46" s="927"/>
      <c r="BP46" s="928">
        <v>1</v>
      </c>
      <c r="BQ46" s="928" t="s">
        <v>21</v>
      </c>
      <c r="BR46" s="928" t="s">
        <v>21</v>
      </c>
      <c r="BS46" s="928" t="s">
        <v>21</v>
      </c>
      <c r="BT46" s="928" t="s">
        <v>21</v>
      </c>
      <c r="BU46" s="928" t="s">
        <v>21</v>
      </c>
      <c r="BV46" s="929">
        <v>1.5349999999999455</v>
      </c>
      <c r="BW46" s="929">
        <v>2</v>
      </c>
      <c r="BX46" s="1104">
        <v>4</v>
      </c>
      <c r="BY46" s="931">
        <v>6</v>
      </c>
      <c r="BZ46" s="930">
        <v>1</v>
      </c>
      <c r="CA46" s="1074"/>
      <c r="CB46" s="930"/>
      <c r="CC46" s="930"/>
      <c r="CD46" s="925">
        <v>108.898</v>
      </c>
      <c r="CE46" s="1130">
        <v>334.553</v>
      </c>
      <c r="CF46" s="1129" t="s">
        <v>21</v>
      </c>
      <c r="CG46" s="1130" t="s">
        <v>21</v>
      </c>
      <c r="CH46" s="1130" t="s">
        <v>21</v>
      </c>
      <c r="CI46" s="1131" t="s">
        <v>21</v>
      </c>
      <c r="CJ46" s="1129" t="s">
        <v>21</v>
      </c>
      <c r="CK46" s="1130" t="s">
        <v>21</v>
      </c>
      <c r="CL46" s="1130" t="s">
        <v>21</v>
      </c>
      <c r="CM46" s="1131" t="s">
        <v>21</v>
      </c>
      <c r="CN46" s="1130">
        <v>334.553</v>
      </c>
      <c r="CP46" s="838" t="s">
        <v>21</v>
      </c>
      <c r="CQ46" s="838" t="s">
        <v>21</v>
      </c>
      <c r="CR46" s="836"/>
    </row>
    <row r="47" spans="1:96" x14ac:dyDescent="0.25">
      <c r="A47" s="935" t="s">
        <v>3065</v>
      </c>
      <c r="B47" s="932"/>
      <c r="C47" s="911"/>
      <c r="D47" s="911"/>
      <c r="E47" s="912"/>
      <c r="F47" s="912"/>
      <c r="G47" s="910"/>
      <c r="H47" s="912"/>
      <c r="I47" s="912"/>
      <c r="J47" s="914"/>
      <c r="K47" s="915"/>
      <c r="L47" s="916" t="s">
        <v>21</v>
      </c>
      <c r="M47" s="916" t="s">
        <v>21</v>
      </c>
      <c r="N47" s="916" t="s">
        <v>21</v>
      </c>
      <c r="O47" s="916" t="s">
        <v>21</v>
      </c>
      <c r="P47" s="915"/>
      <c r="Q47" s="916" t="s">
        <v>21</v>
      </c>
      <c r="R47" s="917" t="s">
        <v>21</v>
      </c>
      <c r="S47" s="918" t="s">
        <v>21</v>
      </c>
      <c r="T47" s="918" t="s">
        <v>21</v>
      </c>
      <c r="U47" s="916" t="s">
        <v>21</v>
      </c>
      <c r="V47" s="916" t="s">
        <v>21</v>
      </c>
      <c r="W47" s="915"/>
      <c r="X47" s="916" t="s">
        <v>21</v>
      </c>
      <c r="Y47" s="916" t="s">
        <v>21</v>
      </c>
      <c r="Z47" s="916" t="s">
        <v>21</v>
      </c>
      <c r="AA47" s="916" t="s">
        <v>21</v>
      </c>
      <c r="AB47" s="916" t="s">
        <v>21</v>
      </c>
      <c r="AC47" s="915"/>
      <c r="AD47" s="919" t="s">
        <v>21</v>
      </c>
      <c r="AE47" s="920" t="s">
        <v>21</v>
      </c>
      <c r="AF47" s="920" t="s">
        <v>21</v>
      </c>
      <c r="AG47" s="920" t="s">
        <v>21</v>
      </c>
      <c r="AH47" s="921" t="s">
        <v>21</v>
      </c>
      <c r="AI47" s="921" t="s">
        <v>21</v>
      </c>
      <c r="AJ47" s="920" t="s">
        <v>21</v>
      </c>
      <c r="AK47" s="920" t="s">
        <v>21</v>
      </c>
      <c r="AL47" s="921" t="s">
        <v>21</v>
      </c>
      <c r="AM47" s="921" t="s">
        <v>21</v>
      </c>
      <c r="AN47" s="920"/>
      <c r="AO47" s="920" t="s">
        <v>21</v>
      </c>
      <c r="AP47" s="919" t="s">
        <v>21</v>
      </c>
      <c r="AQ47" s="922" t="s">
        <v>21</v>
      </c>
      <c r="AR47" s="923" t="s">
        <v>21</v>
      </c>
      <c r="AS47" s="923" t="s">
        <v>21</v>
      </c>
      <c r="AT47" s="923" t="s">
        <v>21</v>
      </c>
      <c r="AU47" s="923" t="s">
        <v>21</v>
      </c>
      <c r="AV47" s="924" t="s">
        <v>21</v>
      </c>
      <c r="AW47" s="924" t="s">
        <v>21</v>
      </c>
      <c r="AX47" s="924" t="s">
        <v>21</v>
      </c>
      <c r="AY47" s="924" t="s">
        <v>21</v>
      </c>
      <c r="AZ47" s="923" t="s">
        <v>21</v>
      </c>
      <c r="BA47" s="923"/>
      <c r="BB47" s="919" t="s">
        <v>21</v>
      </c>
      <c r="BC47" s="919" t="s">
        <v>21</v>
      </c>
      <c r="BD47" s="919" t="s">
        <v>21</v>
      </c>
      <c r="BE47" s="925" t="s">
        <v>21</v>
      </c>
      <c r="BF47" s="926" t="s">
        <v>21</v>
      </c>
      <c r="BG47" s="925" t="s">
        <v>21</v>
      </c>
      <c r="BH47" s="926" t="s">
        <v>21</v>
      </c>
      <c r="BI47" s="925" t="s">
        <v>21</v>
      </c>
      <c r="BJ47" s="926" t="s">
        <v>21</v>
      </c>
      <c r="BK47" s="925" t="s">
        <v>21</v>
      </c>
      <c r="BL47" s="926" t="s">
        <v>21</v>
      </c>
      <c r="BM47" s="925" t="s">
        <v>21</v>
      </c>
      <c r="BN47" s="927"/>
      <c r="BO47" s="927"/>
      <c r="BP47" s="928" t="s">
        <v>21</v>
      </c>
      <c r="BQ47" s="928" t="s">
        <v>21</v>
      </c>
      <c r="BR47" s="928" t="s">
        <v>21</v>
      </c>
      <c r="BS47" s="928" t="s">
        <v>21</v>
      </c>
      <c r="BT47" s="928" t="s">
        <v>21</v>
      </c>
      <c r="BU47" s="928" t="s">
        <v>21</v>
      </c>
      <c r="BV47" s="929" t="s">
        <v>21</v>
      </c>
      <c r="BW47" s="929" t="s">
        <v>21</v>
      </c>
      <c r="BX47" s="1104" t="s">
        <v>21</v>
      </c>
      <c r="BY47" s="931" t="s">
        <v>21</v>
      </c>
      <c r="BZ47" s="930"/>
      <c r="CA47" s="1074"/>
      <c r="CB47" s="930"/>
      <c r="CC47" s="930"/>
      <c r="CD47" s="925" t="s">
        <v>21</v>
      </c>
      <c r="CE47" s="1130" t="s">
        <v>21</v>
      </c>
      <c r="CF47" s="1129" t="s">
        <v>21</v>
      </c>
      <c r="CG47" s="1130" t="s">
        <v>21</v>
      </c>
      <c r="CH47" s="1130" t="s">
        <v>21</v>
      </c>
      <c r="CI47" s="1131" t="s">
        <v>21</v>
      </c>
      <c r="CJ47" s="1129" t="s">
        <v>21</v>
      </c>
      <c r="CK47" s="1130" t="s">
        <v>21</v>
      </c>
      <c r="CL47" s="1130" t="s">
        <v>21</v>
      </c>
      <c r="CM47" s="1131" t="s">
        <v>21</v>
      </c>
      <c r="CN47" s="1130" t="s">
        <v>21</v>
      </c>
      <c r="CP47" s="838" t="s">
        <v>21</v>
      </c>
      <c r="CQ47" s="838" t="s">
        <v>21</v>
      </c>
      <c r="CR47" s="836"/>
    </row>
    <row r="48" spans="1:96" x14ac:dyDescent="0.25">
      <c r="A48" s="935" t="s">
        <v>3061</v>
      </c>
      <c r="B48" s="932"/>
      <c r="C48" s="911"/>
      <c r="D48" s="911"/>
      <c r="E48" s="912"/>
      <c r="F48" s="912"/>
      <c r="G48" s="910"/>
      <c r="H48" s="912"/>
      <c r="I48" s="912"/>
      <c r="J48" s="914"/>
      <c r="K48" s="915"/>
      <c r="L48" s="916" t="s">
        <v>21</v>
      </c>
      <c r="M48" s="916" t="s">
        <v>21</v>
      </c>
      <c r="N48" s="916" t="s">
        <v>21</v>
      </c>
      <c r="O48" s="916" t="s">
        <v>21</v>
      </c>
      <c r="P48" s="915"/>
      <c r="Q48" s="916" t="s">
        <v>21</v>
      </c>
      <c r="R48" s="917" t="s">
        <v>21</v>
      </c>
      <c r="S48" s="918" t="s">
        <v>21</v>
      </c>
      <c r="T48" s="918" t="s">
        <v>21</v>
      </c>
      <c r="U48" s="916" t="s">
        <v>21</v>
      </c>
      <c r="V48" s="916" t="s">
        <v>21</v>
      </c>
      <c r="W48" s="915"/>
      <c r="X48" s="916" t="s">
        <v>21</v>
      </c>
      <c r="Y48" s="916" t="s">
        <v>21</v>
      </c>
      <c r="Z48" s="916" t="s">
        <v>21</v>
      </c>
      <c r="AA48" s="916" t="s">
        <v>21</v>
      </c>
      <c r="AB48" s="916" t="s">
        <v>21</v>
      </c>
      <c r="AC48" s="915"/>
      <c r="AD48" s="919" t="s">
        <v>21</v>
      </c>
      <c r="AE48" s="920" t="s">
        <v>21</v>
      </c>
      <c r="AF48" s="920" t="s">
        <v>21</v>
      </c>
      <c r="AG48" s="920" t="s">
        <v>21</v>
      </c>
      <c r="AH48" s="921" t="s">
        <v>21</v>
      </c>
      <c r="AI48" s="921" t="s">
        <v>21</v>
      </c>
      <c r="AJ48" s="920" t="s">
        <v>21</v>
      </c>
      <c r="AK48" s="920" t="s">
        <v>21</v>
      </c>
      <c r="AL48" s="921" t="s">
        <v>21</v>
      </c>
      <c r="AM48" s="921" t="s">
        <v>21</v>
      </c>
      <c r="AN48" s="920"/>
      <c r="AO48" s="920" t="s">
        <v>21</v>
      </c>
      <c r="AP48" s="919" t="s">
        <v>21</v>
      </c>
      <c r="AQ48" s="922" t="s">
        <v>21</v>
      </c>
      <c r="AR48" s="923" t="s">
        <v>21</v>
      </c>
      <c r="AS48" s="923" t="s">
        <v>21</v>
      </c>
      <c r="AT48" s="923" t="s">
        <v>21</v>
      </c>
      <c r="AU48" s="923" t="s">
        <v>21</v>
      </c>
      <c r="AV48" s="924" t="s">
        <v>21</v>
      </c>
      <c r="AW48" s="924" t="s">
        <v>21</v>
      </c>
      <c r="AX48" s="924" t="s">
        <v>21</v>
      </c>
      <c r="AY48" s="924" t="s">
        <v>21</v>
      </c>
      <c r="AZ48" s="923" t="s">
        <v>21</v>
      </c>
      <c r="BA48" s="923"/>
      <c r="BB48" s="919" t="s">
        <v>21</v>
      </c>
      <c r="BC48" s="919" t="s">
        <v>21</v>
      </c>
      <c r="BD48" s="919" t="s">
        <v>21</v>
      </c>
      <c r="BE48" s="925" t="s">
        <v>21</v>
      </c>
      <c r="BF48" s="926" t="s">
        <v>21</v>
      </c>
      <c r="BG48" s="925" t="s">
        <v>21</v>
      </c>
      <c r="BH48" s="926" t="s">
        <v>21</v>
      </c>
      <c r="BI48" s="925" t="s">
        <v>21</v>
      </c>
      <c r="BJ48" s="926" t="s">
        <v>21</v>
      </c>
      <c r="BK48" s="925" t="s">
        <v>21</v>
      </c>
      <c r="BL48" s="926" t="s">
        <v>21</v>
      </c>
      <c r="BM48" s="925" t="s">
        <v>21</v>
      </c>
      <c r="BN48" s="927"/>
      <c r="BO48" s="927"/>
      <c r="BP48" s="928" t="s">
        <v>21</v>
      </c>
      <c r="BQ48" s="928" t="s">
        <v>21</v>
      </c>
      <c r="BR48" s="928" t="s">
        <v>21</v>
      </c>
      <c r="BS48" s="928" t="s">
        <v>21</v>
      </c>
      <c r="BT48" s="928" t="s">
        <v>21</v>
      </c>
      <c r="BU48" s="928" t="s">
        <v>21</v>
      </c>
      <c r="BV48" s="929" t="s">
        <v>21</v>
      </c>
      <c r="BW48" s="929" t="s">
        <v>21</v>
      </c>
      <c r="BX48" s="1104" t="s">
        <v>21</v>
      </c>
      <c r="BY48" s="931" t="s">
        <v>21</v>
      </c>
      <c r="BZ48" s="930"/>
      <c r="CA48" s="1074"/>
      <c r="CB48" s="930"/>
      <c r="CC48" s="930"/>
      <c r="CD48" s="925" t="s">
        <v>21</v>
      </c>
      <c r="CE48" s="1130" t="s">
        <v>21</v>
      </c>
      <c r="CF48" s="1129" t="s">
        <v>21</v>
      </c>
      <c r="CG48" s="1130" t="s">
        <v>21</v>
      </c>
      <c r="CH48" s="1130" t="s">
        <v>21</v>
      </c>
      <c r="CI48" s="1131" t="s">
        <v>21</v>
      </c>
      <c r="CJ48" s="1129" t="s">
        <v>21</v>
      </c>
      <c r="CK48" s="1130" t="s">
        <v>21</v>
      </c>
      <c r="CL48" s="1130" t="s">
        <v>21</v>
      </c>
      <c r="CM48" s="1131" t="s">
        <v>21</v>
      </c>
      <c r="CN48" s="1130" t="s">
        <v>21</v>
      </c>
      <c r="CP48" s="838" t="s">
        <v>21</v>
      </c>
      <c r="CQ48" s="838" t="s">
        <v>21</v>
      </c>
      <c r="CR48" s="836"/>
    </row>
    <row r="49" spans="1:96" x14ac:dyDescent="0.25">
      <c r="A49" s="935"/>
      <c r="B49" s="932"/>
      <c r="C49" s="911"/>
      <c r="D49" s="911"/>
      <c r="E49" s="912"/>
      <c r="F49" s="912"/>
      <c r="G49" s="910"/>
      <c r="H49" s="912"/>
      <c r="I49" s="912"/>
      <c r="J49" s="914"/>
      <c r="K49" s="915"/>
      <c r="L49" s="916" t="s">
        <v>21</v>
      </c>
      <c r="M49" s="916" t="s">
        <v>21</v>
      </c>
      <c r="N49" s="916" t="s">
        <v>21</v>
      </c>
      <c r="O49" s="916" t="s">
        <v>21</v>
      </c>
      <c r="P49" s="915"/>
      <c r="Q49" s="916" t="s">
        <v>21</v>
      </c>
      <c r="R49" s="917" t="s">
        <v>21</v>
      </c>
      <c r="S49" s="918" t="s">
        <v>21</v>
      </c>
      <c r="T49" s="918" t="s">
        <v>21</v>
      </c>
      <c r="U49" s="916" t="s">
        <v>21</v>
      </c>
      <c r="V49" s="916" t="s">
        <v>21</v>
      </c>
      <c r="W49" s="915"/>
      <c r="X49" s="916" t="s">
        <v>21</v>
      </c>
      <c r="Y49" s="916" t="s">
        <v>21</v>
      </c>
      <c r="Z49" s="916" t="s">
        <v>21</v>
      </c>
      <c r="AA49" s="916" t="s">
        <v>21</v>
      </c>
      <c r="AB49" s="916" t="s">
        <v>21</v>
      </c>
      <c r="AC49" s="915"/>
      <c r="AD49" s="919" t="s">
        <v>21</v>
      </c>
      <c r="AE49" s="920" t="s">
        <v>21</v>
      </c>
      <c r="AF49" s="920" t="s">
        <v>21</v>
      </c>
      <c r="AG49" s="920" t="s">
        <v>21</v>
      </c>
      <c r="AH49" s="921" t="s">
        <v>21</v>
      </c>
      <c r="AI49" s="921" t="s">
        <v>21</v>
      </c>
      <c r="AJ49" s="920" t="s">
        <v>21</v>
      </c>
      <c r="AK49" s="920" t="s">
        <v>21</v>
      </c>
      <c r="AL49" s="921" t="s">
        <v>21</v>
      </c>
      <c r="AM49" s="921" t="s">
        <v>21</v>
      </c>
      <c r="AN49" s="920"/>
      <c r="AO49" s="920" t="s">
        <v>21</v>
      </c>
      <c r="AP49" s="919" t="s">
        <v>21</v>
      </c>
      <c r="AQ49" s="922" t="s">
        <v>21</v>
      </c>
      <c r="AR49" s="923" t="s">
        <v>21</v>
      </c>
      <c r="AS49" s="923" t="s">
        <v>21</v>
      </c>
      <c r="AT49" s="923" t="s">
        <v>21</v>
      </c>
      <c r="AU49" s="923" t="s">
        <v>21</v>
      </c>
      <c r="AV49" s="924" t="s">
        <v>21</v>
      </c>
      <c r="AW49" s="924" t="s">
        <v>21</v>
      </c>
      <c r="AX49" s="924" t="s">
        <v>21</v>
      </c>
      <c r="AY49" s="924" t="s">
        <v>21</v>
      </c>
      <c r="AZ49" s="923" t="s">
        <v>21</v>
      </c>
      <c r="BA49" s="923"/>
      <c r="BB49" s="919" t="s">
        <v>21</v>
      </c>
      <c r="BC49" s="919" t="s">
        <v>21</v>
      </c>
      <c r="BD49" s="919" t="s">
        <v>21</v>
      </c>
      <c r="BE49" s="925" t="s">
        <v>21</v>
      </c>
      <c r="BF49" s="926" t="s">
        <v>21</v>
      </c>
      <c r="BG49" s="925" t="s">
        <v>21</v>
      </c>
      <c r="BH49" s="926" t="s">
        <v>21</v>
      </c>
      <c r="BI49" s="925" t="s">
        <v>21</v>
      </c>
      <c r="BJ49" s="926" t="s">
        <v>21</v>
      </c>
      <c r="BK49" s="925" t="s">
        <v>21</v>
      </c>
      <c r="BL49" s="926" t="s">
        <v>21</v>
      </c>
      <c r="BM49" s="925" t="s">
        <v>21</v>
      </c>
      <c r="BN49" s="927"/>
      <c r="BO49" s="927"/>
      <c r="BP49" s="928" t="s">
        <v>21</v>
      </c>
      <c r="BQ49" s="928" t="s">
        <v>21</v>
      </c>
      <c r="BR49" s="928" t="s">
        <v>21</v>
      </c>
      <c r="BS49" s="928" t="s">
        <v>21</v>
      </c>
      <c r="BT49" s="928" t="s">
        <v>21</v>
      </c>
      <c r="BU49" s="928" t="s">
        <v>21</v>
      </c>
      <c r="BV49" s="929" t="s">
        <v>21</v>
      </c>
      <c r="BW49" s="929" t="s">
        <v>21</v>
      </c>
      <c r="BX49" s="1104" t="s">
        <v>21</v>
      </c>
      <c r="BY49" s="931" t="s">
        <v>21</v>
      </c>
      <c r="BZ49" s="930"/>
      <c r="CA49" s="1074"/>
      <c r="CB49" s="930"/>
      <c r="CC49" s="930"/>
      <c r="CD49" s="925" t="s">
        <v>21</v>
      </c>
      <c r="CE49" s="1130" t="s">
        <v>21</v>
      </c>
      <c r="CF49" s="1129" t="s">
        <v>21</v>
      </c>
      <c r="CG49" s="1130" t="s">
        <v>21</v>
      </c>
      <c r="CH49" s="1130" t="s">
        <v>21</v>
      </c>
      <c r="CI49" s="1131" t="s">
        <v>21</v>
      </c>
      <c r="CJ49" s="1129" t="s">
        <v>21</v>
      </c>
      <c r="CK49" s="1130" t="s">
        <v>21</v>
      </c>
      <c r="CL49" s="1130" t="s">
        <v>21</v>
      </c>
      <c r="CM49" s="1131" t="s">
        <v>21</v>
      </c>
      <c r="CN49" s="1130" t="s">
        <v>21</v>
      </c>
      <c r="CP49" s="838" t="s">
        <v>21</v>
      </c>
      <c r="CQ49" s="838" t="s">
        <v>21</v>
      </c>
      <c r="CR49" s="836"/>
    </row>
    <row r="50" spans="1:96" x14ac:dyDescent="0.25">
      <c r="A50" s="935">
        <v>3</v>
      </c>
      <c r="B50" s="1900" t="s">
        <v>2231</v>
      </c>
      <c r="C50" s="911">
        <v>600</v>
      </c>
      <c r="D50" s="911" t="s">
        <v>2116</v>
      </c>
      <c r="E50" s="912">
        <v>1201.57</v>
      </c>
      <c r="F50" s="912">
        <v>1199.67</v>
      </c>
      <c r="G50" s="910" t="s">
        <v>2258</v>
      </c>
      <c r="H50" s="912">
        <v>1201</v>
      </c>
      <c r="I50" s="912">
        <v>1199.0999999999999</v>
      </c>
      <c r="J50" s="914">
        <v>27.27</v>
      </c>
      <c r="K50" s="915"/>
      <c r="L50" s="916">
        <v>0.1</v>
      </c>
      <c r="M50" s="916">
        <v>0.06</v>
      </c>
      <c r="N50" s="916">
        <v>0.2</v>
      </c>
      <c r="O50" s="916">
        <v>6.4</v>
      </c>
      <c r="P50" s="915"/>
      <c r="Q50" s="916">
        <v>2.16</v>
      </c>
      <c r="R50" s="1899">
        <v>0</v>
      </c>
      <c r="S50" s="1898">
        <v>4.4000000000000004</v>
      </c>
      <c r="T50" s="1898">
        <v>4.4000000000000004</v>
      </c>
      <c r="U50" s="916">
        <v>4.32</v>
      </c>
      <c r="V50" s="916">
        <v>0.92</v>
      </c>
      <c r="W50" s="915"/>
      <c r="X50" s="916">
        <v>0.28299999999999997</v>
      </c>
      <c r="Y50" s="916">
        <v>0.40699999999999997</v>
      </c>
      <c r="Z50" s="916">
        <v>9.5039999999999996</v>
      </c>
      <c r="AA50" s="916">
        <v>3.2010000000000001</v>
      </c>
      <c r="AB50" s="916">
        <v>5.4560000000000004</v>
      </c>
      <c r="AC50" s="915"/>
      <c r="AD50" s="919">
        <v>174.52799999999999</v>
      </c>
      <c r="AE50" s="920">
        <v>259.17399999999998</v>
      </c>
      <c r="AF50" s="920" t="s">
        <v>21</v>
      </c>
      <c r="AG50" s="920" t="s">
        <v>21</v>
      </c>
      <c r="AH50" s="921" t="s">
        <v>21</v>
      </c>
      <c r="AI50" s="921" t="s">
        <v>21</v>
      </c>
      <c r="AJ50" s="920" t="s">
        <v>21</v>
      </c>
      <c r="AK50" s="920" t="s">
        <v>21</v>
      </c>
      <c r="AL50" s="921" t="s">
        <v>21</v>
      </c>
      <c r="AM50" s="921" t="s">
        <v>21</v>
      </c>
      <c r="AN50" s="920"/>
      <c r="AO50" s="920">
        <v>259.17399999999998</v>
      </c>
      <c r="AP50" s="919">
        <v>119.988</v>
      </c>
      <c r="AQ50" s="922">
        <v>117.80640000000001</v>
      </c>
      <c r="AR50" s="923" t="s">
        <v>21</v>
      </c>
      <c r="AS50" s="923" t="s">
        <v>21</v>
      </c>
      <c r="AT50" s="923" t="s">
        <v>21</v>
      </c>
      <c r="AU50" s="923" t="s">
        <v>21</v>
      </c>
      <c r="AV50" s="924" t="s">
        <v>21</v>
      </c>
      <c r="AW50" s="924" t="s">
        <v>21</v>
      </c>
      <c r="AX50" s="924" t="s">
        <v>21</v>
      </c>
      <c r="AY50" s="924" t="s">
        <v>21</v>
      </c>
      <c r="AZ50" s="1902">
        <v>117.80640000000001</v>
      </c>
      <c r="BA50" s="923"/>
      <c r="BB50" s="919" t="s">
        <v>21</v>
      </c>
      <c r="BC50" s="919">
        <v>11.999000000000001</v>
      </c>
      <c r="BD50" s="919" t="s">
        <v>2142</v>
      </c>
      <c r="BE50" s="925" t="s">
        <v>21</v>
      </c>
      <c r="BF50" s="926" t="s">
        <v>21</v>
      </c>
      <c r="BG50" s="925">
        <v>27.27</v>
      </c>
      <c r="BH50" s="926" t="s">
        <v>21</v>
      </c>
      <c r="BI50" s="925" t="s">
        <v>21</v>
      </c>
      <c r="BJ50" s="926" t="s">
        <v>21</v>
      </c>
      <c r="BK50" s="925" t="s">
        <v>21</v>
      </c>
      <c r="BL50" s="926" t="s">
        <v>21</v>
      </c>
      <c r="BM50" s="925" t="s">
        <v>21</v>
      </c>
      <c r="BN50" s="927"/>
      <c r="BO50" s="927"/>
      <c r="BP50" s="928">
        <v>1</v>
      </c>
      <c r="BQ50" s="928" t="s">
        <v>21</v>
      </c>
      <c r="BR50" s="928" t="s">
        <v>21</v>
      </c>
      <c r="BS50" s="928" t="s">
        <v>21</v>
      </c>
      <c r="BT50" s="928" t="s">
        <v>21</v>
      </c>
      <c r="BU50" s="928" t="s">
        <v>21</v>
      </c>
      <c r="BV50" s="929">
        <v>0.49999999999986366</v>
      </c>
      <c r="BW50" s="929">
        <v>0.5</v>
      </c>
      <c r="BX50" s="1104">
        <v>1</v>
      </c>
      <c r="BY50" s="931">
        <v>3</v>
      </c>
      <c r="BZ50" s="930">
        <v>1</v>
      </c>
      <c r="CA50" s="1074"/>
      <c r="CB50" s="930"/>
      <c r="CC50" s="930"/>
      <c r="CD50" s="925">
        <v>87.290999999999997</v>
      </c>
      <c r="CE50" s="1130">
        <v>148.785</v>
      </c>
      <c r="CF50" s="1129" t="s">
        <v>21</v>
      </c>
      <c r="CG50" s="1130" t="s">
        <v>21</v>
      </c>
      <c r="CH50" s="1130" t="s">
        <v>21</v>
      </c>
      <c r="CI50" s="1131" t="s">
        <v>21</v>
      </c>
      <c r="CJ50" s="1129" t="s">
        <v>21</v>
      </c>
      <c r="CK50" s="1130" t="s">
        <v>21</v>
      </c>
      <c r="CL50" s="1130" t="s">
        <v>21</v>
      </c>
      <c r="CM50" s="1131" t="s">
        <v>21</v>
      </c>
      <c r="CN50" s="1130">
        <v>148.785</v>
      </c>
      <c r="CP50" s="838" t="s">
        <v>21</v>
      </c>
      <c r="CQ50" s="838" t="s">
        <v>21</v>
      </c>
      <c r="CR50" s="836"/>
    </row>
    <row r="51" spans="1:96" x14ac:dyDescent="0.25">
      <c r="A51" s="935" t="s">
        <v>3060</v>
      </c>
      <c r="B51" s="932"/>
      <c r="C51" s="911"/>
      <c r="D51" s="911"/>
      <c r="E51" s="912"/>
      <c r="F51" s="912"/>
      <c r="G51" s="910"/>
      <c r="H51" s="912"/>
      <c r="I51" s="912"/>
      <c r="J51" s="914"/>
      <c r="K51" s="915"/>
      <c r="L51" s="916" t="s">
        <v>21</v>
      </c>
      <c r="M51" s="916" t="s">
        <v>21</v>
      </c>
      <c r="N51" s="916" t="s">
        <v>21</v>
      </c>
      <c r="O51" s="916" t="s">
        <v>21</v>
      </c>
      <c r="P51" s="915"/>
      <c r="Q51" s="916" t="s">
        <v>21</v>
      </c>
      <c r="R51" s="917" t="s">
        <v>21</v>
      </c>
      <c r="S51" s="918" t="s">
        <v>21</v>
      </c>
      <c r="T51" s="918" t="s">
        <v>21</v>
      </c>
      <c r="U51" s="916" t="s">
        <v>21</v>
      </c>
      <c r="V51" s="916" t="s">
        <v>21</v>
      </c>
      <c r="W51" s="915"/>
      <c r="X51" s="916" t="s">
        <v>21</v>
      </c>
      <c r="Y51" s="916" t="s">
        <v>21</v>
      </c>
      <c r="Z51" s="916" t="s">
        <v>21</v>
      </c>
      <c r="AA51" s="916" t="s">
        <v>21</v>
      </c>
      <c r="AB51" s="916" t="s">
        <v>21</v>
      </c>
      <c r="AC51" s="915"/>
      <c r="AD51" s="919" t="s">
        <v>21</v>
      </c>
      <c r="AE51" s="920" t="s">
        <v>21</v>
      </c>
      <c r="AF51" s="920" t="s">
        <v>21</v>
      </c>
      <c r="AG51" s="920" t="s">
        <v>21</v>
      </c>
      <c r="AH51" s="921" t="s">
        <v>21</v>
      </c>
      <c r="AI51" s="921" t="s">
        <v>21</v>
      </c>
      <c r="AJ51" s="920" t="s">
        <v>21</v>
      </c>
      <c r="AK51" s="920" t="s">
        <v>21</v>
      </c>
      <c r="AL51" s="921" t="s">
        <v>21</v>
      </c>
      <c r="AM51" s="921" t="s">
        <v>21</v>
      </c>
      <c r="AN51" s="920"/>
      <c r="AO51" s="920" t="s">
        <v>21</v>
      </c>
      <c r="AP51" s="919" t="s">
        <v>21</v>
      </c>
      <c r="AQ51" s="922" t="s">
        <v>21</v>
      </c>
      <c r="AR51" s="923" t="s">
        <v>21</v>
      </c>
      <c r="AS51" s="923" t="s">
        <v>21</v>
      </c>
      <c r="AT51" s="923" t="s">
        <v>21</v>
      </c>
      <c r="AU51" s="923" t="s">
        <v>21</v>
      </c>
      <c r="AV51" s="924" t="s">
        <v>21</v>
      </c>
      <c r="AW51" s="924" t="s">
        <v>21</v>
      </c>
      <c r="AX51" s="924" t="s">
        <v>21</v>
      </c>
      <c r="AY51" s="924" t="s">
        <v>21</v>
      </c>
      <c r="AZ51" s="923" t="s">
        <v>21</v>
      </c>
      <c r="BA51" s="923"/>
      <c r="BB51" s="919" t="s">
        <v>21</v>
      </c>
      <c r="BC51" s="919" t="s">
        <v>21</v>
      </c>
      <c r="BD51" s="919" t="s">
        <v>21</v>
      </c>
      <c r="BE51" s="925" t="s">
        <v>21</v>
      </c>
      <c r="BF51" s="926" t="s">
        <v>21</v>
      </c>
      <c r="BG51" s="925" t="s">
        <v>21</v>
      </c>
      <c r="BH51" s="926" t="s">
        <v>21</v>
      </c>
      <c r="BI51" s="925" t="s">
        <v>21</v>
      </c>
      <c r="BJ51" s="926" t="s">
        <v>21</v>
      </c>
      <c r="BK51" s="925" t="s">
        <v>21</v>
      </c>
      <c r="BL51" s="926" t="s">
        <v>21</v>
      </c>
      <c r="BM51" s="925" t="s">
        <v>21</v>
      </c>
      <c r="BN51" s="927"/>
      <c r="BO51" s="927"/>
      <c r="BP51" s="928" t="s">
        <v>21</v>
      </c>
      <c r="BQ51" s="928" t="s">
        <v>21</v>
      </c>
      <c r="BR51" s="928" t="s">
        <v>21</v>
      </c>
      <c r="BS51" s="928" t="s">
        <v>21</v>
      </c>
      <c r="BT51" s="928" t="s">
        <v>21</v>
      </c>
      <c r="BU51" s="928" t="s">
        <v>21</v>
      </c>
      <c r="BV51" s="929" t="s">
        <v>21</v>
      </c>
      <c r="BW51" s="929" t="s">
        <v>21</v>
      </c>
      <c r="BX51" s="1104" t="s">
        <v>21</v>
      </c>
      <c r="BY51" s="931" t="s">
        <v>21</v>
      </c>
      <c r="BZ51" s="930"/>
      <c r="CA51" s="1074"/>
      <c r="CB51" s="930"/>
      <c r="CC51" s="930"/>
      <c r="CD51" s="925" t="s">
        <v>21</v>
      </c>
      <c r="CE51" s="1130" t="s">
        <v>21</v>
      </c>
      <c r="CF51" s="1129" t="s">
        <v>21</v>
      </c>
      <c r="CG51" s="1130" t="s">
        <v>21</v>
      </c>
      <c r="CH51" s="1130" t="s">
        <v>21</v>
      </c>
      <c r="CI51" s="1131" t="s">
        <v>21</v>
      </c>
      <c r="CJ51" s="1129" t="s">
        <v>21</v>
      </c>
      <c r="CK51" s="1130" t="s">
        <v>21</v>
      </c>
      <c r="CL51" s="1130" t="s">
        <v>21</v>
      </c>
      <c r="CM51" s="1131" t="s">
        <v>21</v>
      </c>
      <c r="CN51" s="1130" t="s">
        <v>21</v>
      </c>
      <c r="CP51" s="838" t="s">
        <v>21</v>
      </c>
      <c r="CQ51" s="838" t="s">
        <v>21</v>
      </c>
      <c r="CR51" s="836"/>
    </row>
    <row r="52" spans="1:96" x14ac:dyDescent="0.25">
      <c r="A52" s="935" t="s">
        <v>3065</v>
      </c>
      <c r="B52" s="932"/>
      <c r="C52" s="911"/>
      <c r="D52" s="911"/>
      <c r="E52" s="912"/>
      <c r="F52" s="912"/>
      <c r="G52" s="910"/>
      <c r="H52" s="912"/>
      <c r="I52" s="912"/>
      <c r="J52" s="914"/>
      <c r="K52" s="915"/>
      <c r="L52" s="916" t="s">
        <v>21</v>
      </c>
      <c r="M52" s="916" t="s">
        <v>21</v>
      </c>
      <c r="N52" s="916" t="s">
        <v>21</v>
      </c>
      <c r="O52" s="916" t="s">
        <v>21</v>
      </c>
      <c r="P52" s="915"/>
      <c r="Q52" s="916" t="s">
        <v>21</v>
      </c>
      <c r="R52" s="917" t="s">
        <v>21</v>
      </c>
      <c r="S52" s="918" t="s">
        <v>21</v>
      </c>
      <c r="T52" s="918" t="s">
        <v>21</v>
      </c>
      <c r="U52" s="916" t="s">
        <v>21</v>
      </c>
      <c r="V52" s="916" t="s">
        <v>21</v>
      </c>
      <c r="W52" s="915"/>
      <c r="X52" s="916" t="s">
        <v>21</v>
      </c>
      <c r="Y52" s="916" t="s">
        <v>21</v>
      </c>
      <c r="Z52" s="916" t="s">
        <v>21</v>
      </c>
      <c r="AA52" s="916" t="s">
        <v>21</v>
      </c>
      <c r="AB52" s="916" t="s">
        <v>21</v>
      </c>
      <c r="AC52" s="915"/>
      <c r="AD52" s="919" t="s">
        <v>21</v>
      </c>
      <c r="AE52" s="920" t="s">
        <v>21</v>
      </c>
      <c r="AF52" s="920" t="s">
        <v>21</v>
      </c>
      <c r="AG52" s="920" t="s">
        <v>21</v>
      </c>
      <c r="AH52" s="921" t="s">
        <v>21</v>
      </c>
      <c r="AI52" s="921" t="s">
        <v>21</v>
      </c>
      <c r="AJ52" s="920" t="s">
        <v>21</v>
      </c>
      <c r="AK52" s="920" t="s">
        <v>21</v>
      </c>
      <c r="AL52" s="921" t="s">
        <v>21</v>
      </c>
      <c r="AM52" s="921" t="s">
        <v>21</v>
      </c>
      <c r="AN52" s="920"/>
      <c r="AO52" s="920" t="s">
        <v>21</v>
      </c>
      <c r="AP52" s="919" t="s">
        <v>21</v>
      </c>
      <c r="AQ52" s="922" t="s">
        <v>21</v>
      </c>
      <c r="AR52" s="923" t="s">
        <v>21</v>
      </c>
      <c r="AS52" s="923" t="s">
        <v>21</v>
      </c>
      <c r="AT52" s="923" t="s">
        <v>21</v>
      </c>
      <c r="AU52" s="923" t="s">
        <v>21</v>
      </c>
      <c r="AV52" s="924" t="s">
        <v>21</v>
      </c>
      <c r="AW52" s="924" t="s">
        <v>21</v>
      </c>
      <c r="AX52" s="924" t="s">
        <v>21</v>
      </c>
      <c r="AY52" s="924" t="s">
        <v>21</v>
      </c>
      <c r="AZ52" s="923" t="s">
        <v>21</v>
      </c>
      <c r="BA52" s="923"/>
      <c r="BB52" s="919" t="s">
        <v>21</v>
      </c>
      <c r="BC52" s="919" t="s">
        <v>21</v>
      </c>
      <c r="BD52" s="919" t="s">
        <v>21</v>
      </c>
      <c r="BE52" s="925" t="s">
        <v>21</v>
      </c>
      <c r="BF52" s="926" t="s">
        <v>21</v>
      </c>
      <c r="BG52" s="925" t="s">
        <v>21</v>
      </c>
      <c r="BH52" s="926" t="s">
        <v>21</v>
      </c>
      <c r="BI52" s="925" t="s">
        <v>21</v>
      </c>
      <c r="BJ52" s="926" t="s">
        <v>21</v>
      </c>
      <c r="BK52" s="925" t="s">
        <v>21</v>
      </c>
      <c r="BL52" s="926" t="s">
        <v>21</v>
      </c>
      <c r="BM52" s="925" t="s">
        <v>21</v>
      </c>
      <c r="BN52" s="927"/>
      <c r="BO52" s="927"/>
      <c r="BP52" s="928" t="s">
        <v>21</v>
      </c>
      <c r="BQ52" s="928" t="s">
        <v>21</v>
      </c>
      <c r="BR52" s="928" t="s">
        <v>21</v>
      </c>
      <c r="BS52" s="928" t="s">
        <v>21</v>
      </c>
      <c r="BT52" s="928" t="s">
        <v>21</v>
      </c>
      <c r="BU52" s="928" t="s">
        <v>21</v>
      </c>
      <c r="BV52" s="929" t="s">
        <v>21</v>
      </c>
      <c r="BW52" s="929" t="s">
        <v>21</v>
      </c>
      <c r="BX52" s="1104" t="s">
        <v>21</v>
      </c>
      <c r="BY52" s="931" t="s">
        <v>21</v>
      </c>
      <c r="BZ52" s="930"/>
      <c r="CA52" s="1074"/>
      <c r="CB52" s="930"/>
      <c r="CC52" s="930"/>
      <c r="CD52" s="925" t="s">
        <v>21</v>
      </c>
      <c r="CE52" s="1130" t="s">
        <v>21</v>
      </c>
      <c r="CF52" s="1129" t="s">
        <v>21</v>
      </c>
      <c r="CG52" s="1130" t="s">
        <v>21</v>
      </c>
      <c r="CH52" s="1130" t="s">
        <v>21</v>
      </c>
      <c r="CI52" s="1131" t="s">
        <v>21</v>
      </c>
      <c r="CJ52" s="1129" t="s">
        <v>21</v>
      </c>
      <c r="CK52" s="1130" t="s">
        <v>21</v>
      </c>
      <c r="CL52" s="1130" t="s">
        <v>21</v>
      </c>
      <c r="CM52" s="1131" t="s">
        <v>21</v>
      </c>
      <c r="CN52" s="1130" t="s">
        <v>21</v>
      </c>
      <c r="CP52" s="838" t="s">
        <v>21</v>
      </c>
      <c r="CQ52" s="838" t="s">
        <v>21</v>
      </c>
      <c r="CR52" s="836"/>
    </row>
    <row r="53" spans="1:96" x14ac:dyDescent="0.25">
      <c r="A53" s="935" t="s">
        <v>3061</v>
      </c>
      <c r="B53" s="932"/>
      <c r="C53" s="911"/>
      <c r="D53" s="911"/>
      <c r="E53" s="912"/>
      <c r="F53" s="912"/>
      <c r="G53" s="910"/>
      <c r="H53" s="912"/>
      <c r="I53" s="912"/>
      <c r="J53" s="914"/>
      <c r="K53" s="915"/>
      <c r="L53" s="916" t="s">
        <v>21</v>
      </c>
      <c r="M53" s="916" t="s">
        <v>21</v>
      </c>
      <c r="N53" s="916" t="s">
        <v>21</v>
      </c>
      <c r="O53" s="916" t="s">
        <v>21</v>
      </c>
      <c r="P53" s="915"/>
      <c r="Q53" s="916" t="s">
        <v>21</v>
      </c>
      <c r="R53" s="917" t="s">
        <v>21</v>
      </c>
      <c r="S53" s="918" t="s">
        <v>21</v>
      </c>
      <c r="T53" s="918" t="s">
        <v>21</v>
      </c>
      <c r="U53" s="916" t="s">
        <v>21</v>
      </c>
      <c r="V53" s="916" t="s">
        <v>21</v>
      </c>
      <c r="W53" s="915"/>
      <c r="X53" s="916" t="s">
        <v>21</v>
      </c>
      <c r="Y53" s="916" t="s">
        <v>21</v>
      </c>
      <c r="Z53" s="916" t="s">
        <v>21</v>
      </c>
      <c r="AA53" s="916" t="s">
        <v>21</v>
      </c>
      <c r="AB53" s="916" t="s">
        <v>21</v>
      </c>
      <c r="AC53" s="915"/>
      <c r="AD53" s="919" t="s">
        <v>21</v>
      </c>
      <c r="AE53" s="920" t="s">
        <v>21</v>
      </c>
      <c r="AF53" s="920" t="s">
        <v>21</v>
      </c>
      <c r="AG53" s="920" t="s">
        <v>21</v>
      </c>
      <c r="AH53" s="921" t="s">
        <v>21</v>
      </c>
      <c r="AI53" s="921" t="s">
        <v>21</v>
      </c>
      <c r="AJ53" s="920" t="s">
        <v>21</v>
      </c>
      <c r="AK53" s="920" t="s">
        <v>21</v>
      </c>
      <c r="AL53" s="921" t="s">
        <v>21</v>
      </c>
      <c r="AM53" s="921" t="s">
        <v>21</v>
      </c>
      <c r="AN53" s="920"/>
      <c r="AO53" s="920" t="s">
        <v>21</v>
      </c>
      <c r="AP53" s="919" t="s">
        <v>21</v>
      </c>
      <c r="AQ53" s="922" t="s">
        <v>21</v>
      </c>
      <c r="AR53" s="923" t="s">
        <v>21</v>
      </c>
      <c r="AS53" s="923" t="s">
        <v>21</v>
      </c>
      <c r="AT53" s="923" t="s">
        <v>21</v>
      </c>
      <c r="AU53" s="923" t="s">
        <v>21</v>
      </c>
      <c r="AV53" s="924" t="s">
        <v>21</v>
      </c>
      <c r="AW53" s="924" t="s">
        <v>21</v>
      </c>
      <c r="AX53" s="924" t="s">
        <v>21</v>
      </c>
      <c r="AY53" s="924" t="s">
        <v>21</v>
      </c>
      <c r="AZ53" s="923" t="s">
        <v>21</v>
      </c>
      <c r="BA53" s="923"/>
      <c r="BB53" s="919" t="s">
        <v>21</v>
      </c>
      <c r="BC53" s="919" t="s">
        <v>21</v>
      </c>
      <c r="BD53" s="919" t="s">
        <v>21</v>
      </c>
      <c r="BE53" s="925" t="s">
        <v>21</v>
      </c>
      <c r="BF53" s="926" t="s">
        <v>21</v>
      </c>
      <c r="BG53" s="925" t="s">
        <v>21</v>
      </c>
      <c r="BH53" s="926" t="s">
        <v>21</v>
      </c>
      <c r="BI53" s="925" t="s">
        <v>21</v>
      </c>
      <c r="BJ53" s="926" t="s">
        <v>21</v>
      </c>
      <c r="BK53" s="925" t="s">
        <v>21</v>
      </c>
      <c r="BL53" s="926" t="s">
        <v>21</v>
      </c>
      <c r="BM53" s="925" t="s">
        <v>21</v>
      </c>
      <c r="BN53" s="927"/>
      <c r="BO53" s="927"/>
      <c r="BP53" s="928" t="s">
        <v>21</v>
      </c>
      <c r="BQ53" s="928" t="s">
        <v>21</v>
      </c>
      <c r="BR53" s="928" t="s">
        <v>21</v>
      </c>
      <c r="BS53" s="928" t="s">
        <v>21</v>
      </c>
      <c r="BT53" s="928" t="s">
        <v>21</v>
      </c>
      <c r="BU53" s="928" t="s">
        <v>21</v>
      </c>
      <c r="BV53" s="929" t="s">
        <v>21</v>
      </c>
      <c r="BW53" s="929" t="s">
        <v>21</v>
      </c>
      <c r="BX53" s="1104" t="s">
        <v>21</v>
      </c>
      <c r="BY53" s="931" t="s">
        <v>21</v>
      </c>
      <c r="BZ53" s="930"/>
      <c r="CA53" s="1074"/>
      <c r="CB53" s="930"/>
      <c r="CC53" s="930"/>
      <c r="CD53" s="925" t="s">
        <v>21</v>
      </c>
      <c r="CE53" s="1130" t="s">
        <v>21</v>
      </c>
      <c r="CF53" s="1129" t="s">
        <v>21</v>
      </c>
      <c r="CG53" s="1130" t="s">
        <v>21</v>
      </c>
      <c r="CH53" s="1130" t="s">
        <v>21</v>
      </c>
      <c r="CI53" s="1131" t="s">
        <v>21</v>
      </c>
      <c r="CJ53" s="1129" t="s">
        <v>21</v>
      </c>
      <c r="CK53" s="1130" t="s">
        <v>21</v>
      </c>
      <c r="CL53" s="1130" t="s">
        <v>21</v>
      </c>
      <c r="CM53" s="1131" t="s">
        <v>21</v>
      </c>
      <c r="CN53" s="1130" t="s">
        <v>21</v>
      </c>
      <c r="CP53" s="838" t="s">
        <v>21</v>
      </c>
      <c r="CQ53" s="838" t="s">
        <v>21</v>
      </c>
      <c r="CR53" s="836"/>
    </row>
    <row r="54" spans="1:96" x14ac:dyDescent="0.25">
      <c r="A54" s="935"/>
      <c r="B54" s="932"/>
      <c r="C54" s="911"/>
      <c r="D54" s="911"/>
      <c r="E54" s="912"/>
      <c r="F54" s="912"/>
      <c r="G54" s="910"/>
      <c r="H54" s="912"/>
      <c r="I54" s="912"/>
      <c r="J54" s="914"/>
      <c r="K54" s="915"/>
      <c r="L54" s="916" t="s">
        <v>21</v>
      </c>
      <c r="M54" s="916" t="s">
        <v>21</v>
      </c>
      <c r="N54" s="916" t="s">
        <v>21</v>
      </c>
      <c r="O54" s="916" t="s">
        <v>21</v>
      </c>
      <c r="P54" s="915"/>
      <c r="Q54" s="916" t="s">
        <v>21</v>
      </c>
      <c r="R54" s="917" t="s">
        <v>21</v>
      </c>
      <c r="S54" s="918" t="s">
        <v>21</v>
      </c>
      <c r="T54" s="918" t="s">
        <v>21</v>
      </c>
      <c r="U54" s="916" t="s">
        <v>21</v>
      </c>
      <c r="V54" s="916" t="s">
        <v>21</v>
      </c>
      <c r="W54" s="915"/>
      <c r="X54" s="916" t="s">
        <v>21</v>
      </c>
      <c r="Y54" s="916" t="s">
        <v>21</v>
      </c>
      <c r="Z54" s="916" t="s">
        <v>21</v>
      </c>
      <c r="AA54" s="916" t="s">
        <v>21</v>
      </c>
      <c r="AB54" s="916" t="s">
        <v>21</v>
      </c>
      <c r="AC54" s="915"/>
      <c r="AD54" s="919" t="s">
        <v>21</v>
      </c>
      <c r="AE54" s="920" t="s">
        <v>21</v>
      </c>
      <c r="AF54" s="920" t="s">
        <v>21</v>
      </c>
      <c r="AG54" s="920" t="s">
        <v>21</v>
      </c>
      <c r="AH54" s="921" t="s">
        <v>21</v>
      </c>
      <c r="AI54" s="921" t="s">
        <v>21</v>
      </c>
      <c r="AJ54" s="920" t="s">
        <v>21</v>
      </c>
      <c r="AK54" s="920" t="s">
        <v>21</v>
      </c>
      <c r="AL54" s="921" t="s">
        <v>21</v>
      </c>
      <c r="AM54" s="921" t="s">
        <v>21</v>
      </c>
      <c r="AN54" s="920"/>
      <c r="AO54" s="920" t="s">
        <v>21</v>
      </c>
      <c r="AP54" s="919" t="s">
        <v>21</v>
      </c>
      <c r="AQ54" s="922" t="s">
        <v>21</v>
      </c>
      <c r="AR54" s="923" t="s">
        <v>21</v>
      </c>
      <c r="AS54" s="923" t="s">
        <v>21</v>
      </c>
      <c r="AT54" s="923" t="s">
        <v>21</v>
      </c>
      <c r="AU54" s="923" t="s">
        <v>21</v>
      </c>
      <c r="AV54" s="924" t="s">
        <v>21</v>
      </c>
      <c r="AW54" s="924" t="s">
        <v>21</v>
      </c>
      <c r="AX54" s="924" t="s">
        <v>21</v>
      </c>
      <c r="AY54" s="924" t="s">
        <v>21</v>
      </c>
      <c r="AZ54" s="923" t="s">
        <v>21</v>
      </c>
      <c r="BA54" s="923"/>
      <c r="BB54" s="919" t="s">
        <v>21</v>
      </c>
      <c r="BC54" s="919" t="s">
        <v>21</v>
      </c>
      <c r="BD54" s="919" t="s">
        <v>21</v>
      </c>
      <c r="BE54" s="925" t="s">
        <v>21</v>
      </c>
      <c r="BF54" s="926" t="s">
        <v>21</v>
      </c>
      <c r="BG54" s="925" t="s">
        <v>21</v>
      </c>
      <c r="BH54" s="926" t="s">
        <v>21</v>
      </c>
      <c r="BI54" s="925" t="s">
        <v>21</v>
      </c>
      <c r="BJ54" s="926" t="s">
        <v>21</v>
      </c>
      <c r="BK54" s="925" t="s">
        <v>21</v>
      </c>
      <c r="BL54" s="926" t="s">
        <v>21</v>
      </c>
      <c r="BM54" s="925" t="s">
        <v>21</v>
      </c>
      <c r="BN54" s="927"/>
      <c r="BO54" s="927"/>
      <c r="BP54" s="928" t="s">
        <v>21</v>
      </c>
      <c r="BQ54" s="928" t="s">
        <v>21</v>
      </c>
      <c r="BR54" s="928" t="s">
        <v>21</v>
      </c>
      <c r="BS54" s="928" t="s">
        <v>21</v>
      </c>
      <c r="BT54" s="928" t="s">
        <v>21</v>
      </c>
      <c r="BU54" s="928" t="s">
        <v>21</v>
      </c>
      <c r="BV54" s="929" t="s">
        <v>21</v>
      </c>
      <c r="BW54" s="929" t="s">
        <v>21</v>
      </c>
      <c r="BX54" s="1104" t="s">
        <v>21</v>
      </c>
      <c r="BY54" s="931" t="s">
        <v>21</v>
      </c>
      <c r="BZ54" s="930"/>
      <c r="CA54" s="1074"/>
      <c r="CB54" s="930"/>
      <c r="CC54" s="930"/>
      <c r="CD54" s="925" t="s">
        <v>21</v>
      </c>
      <c r="CE54" s="1130" t="s">
        <v>21</v>
      </c>
      <c r="CF54" s="1129" t="s">
        <v>21</v>
      </c>
      <c r="CG54" s="1130" t="s">
        <v>21</v>
      </c>
      <c r="CH54" s="1130" t="s">
        <v>21</v>
      </c>
      <c r="CI54" s="1131" t="s">
        <v>21</v>
      </c>
      <c r="CJ54" s="1129" t="s">
        <v>21</v>
      </c>
      <c r="CK54" s="1130" t="s">
        <v>21</v>
      </c>
      <c r="CL54" s="1130" t="s">
        <v>21</v>
      </c>
      <c r="CM54" s="1131" t="s">
        <v>21</v>
      </c>
      <c r="CN54" s="1130" t="s">
        <v>21</v>
      </c>
      <c r="CP54" s="838" t="s">
        <v>21</v>
      </c>
      <c r="CQ54" s="838" t="s">
        <v>21</v>
      </c>
      <c r="CR54" s="836"/>
    </row>
    <row r="55" spans="1:96" x14ac:dyDescent="0.25">
      <c r="A55" s="935">
        <v>4</v>
      </c>
      <c r="B55" s="1900" t="s">
        <v>2234</v>
      </c>
      <c r="C55" s="911">
        <v>600</v>
      </c>
      <c r="D55" s="911" t="s">
        <v>2116</v>
      </c>
      <c r="E55" s="912">
        <v>1196.53</v>
      </c>
      <c r="F55" s="912">
        <v>1194.6300000000001</v>
      </c>
      <c r="G55" s="910" t="s">
        <v>2261</v>
      </c>
      <c r="H55" s="912">
        <v>1196.98</v>
      </c>
      <c r="I55" s="912">
        <v>1194.451</v>
      </c>
      <c r="J55" s="914">
        <v>25.8</v>
      </c>
      <c r="K55" s="915"/>
      <c r="L55" s="916">
        <v>0.1</v>
      </c>
      <c r="M55" s="916">
        <v>0.06</v>
      </c>
      <c r="N55" s="916">
        <v>0.2</v>
      </c>
      <c r="O55" s="916">
        <v>6.4</v>
      </c>
      <c r="P55" s="915"/>
      <c r="Q55" s="916">
        <v>2.4740000000000002</v>
      </c>
      <c r="R55" s="1899">
        <v>0</v>
      </c>
      <c r="S55" s="1898">
        <v>4.4000000000000004</v>
      </c>
      <c r="T55" s="1898">
        <v>4.4000000000000004</v>
      </c>
      <c r="U55" s="916">
        <v>4.9480000000000004</v>
      </c>
      <c r="V55" s="916">
        <v>0.92</v>
      </c>
      <c r="W55" s="915"/>
      <c r="X55" s="916">
        <v>0.28299999999999997</v>
      </c>
      <c r="Y55" s="916">
        <v>0.40699999999999997</v>
      </c>
      <c r="Z55" s="916">
        <v>10.885999999999999</v>
      </c>
      <c r="AA55" s="916">
        <v>3.2010000000000001</v>
      </c>
      <c r="AB55" s="916">
        <v>6.8380000000000001</v>
      </c>
      <c r="AC55" s="915"/>
      <c r="AD55" s="919">
        <v>165.12</v>
      </c>
      <c r="AE55" s="920">
        <v>280.85899999999998</v>
      </c>
      <c r="AF55" s="920" t="s">
        <v>21</v>
      </c>
      <c r="AG55" s="920" t="s">
        <v>21</v>
      </c>
      <c r="AH55" s="921" t="s">
        <v>21</v>
      </c>
      <c r="AI55" s="921" t="s">
        <v>21</v>
      </c>
      <c r="AJ55" s="920" t="s">
        <v>21</v>
      </c>
      <c r="AK55" s="920" t="s">
        <v>21</v>
      </c>
      <c r="AL55" s="921" t="s">
        <v>21</v>
      </c>
      <c r="AM55" s="921" t="s">
        <v>21</v>
      </c>
      <c r="AN55" s="920"/>
      <c r="AO55" s="920">
        <v>280.85899999999998</v>
      </c>
      <c r="AP55" s="919">
        <v>113.52</v>
      </c>
      <c r="AQ55" s="922">
        <v>127.65840000000001</v>
      </c>
      <c r="AR55" s="923" t="s">
        <v>21</v>
      </c>
      <c r="AS55" s="923" t="s">
        <v>21</v>
      </c>
      <c r="AT55" s="923" t="s">
        <v>21</v>
      </c>
      <c r="AU55" s="923" t="s">
        <v>21</v>
      </c>
      <c r="AV55" s="924" t="s">
        <v>21</v>
      </c>
      <c r="AW55" s="924" t="s">
        <v>21</v>
      </c>
      <c r="AX55" s="924" t="s">
        <v>21</v>
      </c>
      <c r="AY55" s="924" t="s">
        <v>21</v>
      </c>
      <c r="AZ55" s="1902">
        <v>127.65840000000001</v>
      </c>
      <c r="BA55" s="923"/>
      <c r="BB55" s="919" t="s">
        <v>21</v>
      </c>
      <c r="BC55" s="919">
        <v>11.352</v>
      </c>
      <c r="BD55" s="919" t="s">
        <v>2142</v>
      </c>
      <c r="BE55" s="925" t="s">
        <v>21</v>
      </c>
      <c r="BF55" s="926" t="s">
        <v>21</v>
      </c>
      <c r="BG55" s="925">
        <v>25.8</v>
      </c>
      <c r="BH55" s="926" t="s">
        <v>21</v>
      </c>
      <c r="BI55" s="925" t="s">
        <v>21</v>
      </c>
      <c r="BJ55" s="926" t="s">
        <v>21</v>
      </c>
      <c r="BK55" s="925" t="s">
        <v>21</v>
      </c>
      <c r="BL55" s="926" t="s">
        <v>21</v>
      </c>
      <c r="BM55" s="925" t="s">
        <v>21</v>
      </c>
      <c r="BN55" s="927"/>
      <c r="BO55" s="927"/>
      <c r="BP55" s="928">
        <v>1</v>
      </c>
      <c r="BQ55" s="928" t="s">
        <v>21</v>
      </c>
      <c r="BR55" s="928" t="s">
        <v>21</v>
      </c>
      <c r="BS55" s="928" t="s">
        <v>21</v>
      </c>
      <c r="BT55" s="928" t="s">
        <v>21</v>
      </c>
      <c r="BU55" s="928" t="s">
        <v>21</v>
      </c>
      <c r="BV55" s="929">
        <v>0.49999999999986366</v>
      </c>
      <c r="BW55" s="929">
        <v>0.5</v>
      </c>
      <c r="BX55" s="1104">
        <v>1</v>
      </c>
      <c r="BY55" s="931">
        <v>3</v>
      </c>
      <c r="BZ55" s="930"/>
      <c r="CA55" s="1074">
        <v>1</v>
      </c>
      <c r="CB55" s="930"/>
      <c r="CC55" s="930"/>
      <c r="CD55" s="925">
        <v>82.585999999999999</v>
      </c>
      <c r="CE55" s="1130">
        <v>176.42</v>
      </c>
      <c r="CF55" s="1129" t="s">
        <v>21</v>
      </c>
      <c r="CG55" s="1130" t="s">
        <v>21</v>
      </c>
      <c r="CH55" s="1130" t="s">
        <v>21</v>
      </c>
      <c r="CI55" s="1131" t="s">
        <v>21</v>
      </c>
      <c r="CJ55" s="1129" t="s">
        <v>21</v>
      </c>
      <c r="CK55" s="1130" t="s">
        <v>21</v>
      </c>
      <c r="CL55" s="1130" t="s">
        <v>21</v>
      </c>
      <c r="CM55" s="1131" t="s">
        <v>21</v>
      </c>
      <c r="CN55" s="1130">
        <v>176.42</v>
      </c>
      <c r="CP55" s="838" t="s">
        <v>21</v>
      </c>
      <c r="CQ55" s="838" t="s">
        <v>21</v>
      </c>
      <c r="CR55" s="836"/>
    </row>
    <row r="56" spans="1:96" x14ac:dyDescent="0.25">
      <c r="A56" s="935" t="s">
        <v>3060</v>
      </c>
      <c r="B56" s="932"/>
      <c r="C56" s="911"/>
      <c r="D56" s="911"/>
      <c r="E56" s="912"/>
      <c r="F56" s="912"/>
      <c r="G56" s="910"/>
      <c r="H56" s="912"/>
      <c r="I56" s="912"/>
      <c r="J56" s="914"/>
      <c r="K56" s="915"/>
      <c r="L56" s="916" t="s">
        <v>21</v>
      </c>
      <c r="M56" s="916" t="s">
        <v>21</v>
      </c>
      <c r="N56" s="916" t="s">
        <v>21</v>
      </c>
      <c r="O56" s="916" t="s">
        <v>21</v>
      </c>
      <c r="P56" s="915"/>
      <c r="Q56" s="916" t="s">
        <v>21</v>
      </c>
      <c r="R56" s="917" t="s">
        <v>21</v>
      </c>
      <c r="S56" s="918" t="s">
        <v>21</v>
      </c>
      <c r="T56" s="918" t="s">
        <v>21</v>
      </c>
      <c r="U56" s="916" t="s">
        <v>21</v>
      </c>
      <c r="V56" s="916" t="s">
        <v>21</v>
      </c>
      <c r="W56" s="915"/>
      <c r="X56" s="916" t="s">
        <v>21</v>
      </c>
      <c r="Y56" s="916" t="s">
        <v>21</v>
      </c>
      <c r="Z56" s="916" t="s">
        <v>21</v>
      </c>
      <c r="AA56" s="916" t="s">
        <v>21</v>
      </c>
      <c r="AB56" s="916" t="s">
        <v>21</v>
      </c>
      <c r="AC56" s="915"/>
      <c r="AD56" s="919" t="s">
        <v>21</v>
      </c>
      <c r="AE56" s="920" t="s">
        <v>21</v>
      </c>
      <c r="AF56" s="920" t="s">
        <v>21</v>
      </c>
      <c r="AG56" s="920" t="s">
        <v>21</v>
      </c>
      <c r="AH56" s="921" t="s">
        <v>21</v>
      </c>
      <c r="AI56" s="921" t="s">
        <v>21</v>
      </c>
      <c r="AJ56" s="920" t="s">
        <v>21</v>
      </c>
      <c r="AK56" s="920" t="s">
        <v>21</v>
      </c>
      <c r="AL56" s="921" t="s">
        <v>21</v>
      </c>
      <c r="AM56" s="921" t="s">
        <v>21</v>
      </c>
      <c r="AN56" s="920"/>
      <c r="AO56" s="920" t="s">
        <v>21</v>
      </c>
      <c r="AP56" s="919" t="s">
        <v>21</v>
      </c>
      <c r="AQ56" s="922" t="s">
        <v>21</v>
      </c>
      <c r="AR56" s="923" t="s">
        <v>21</v>
      </c>
      <c r="AS56" s="923" t="s">
        <v>21</v>
      </c>
      <c r="AT56" s="923" t="s">
        <v>21</v>
      </c>
      <c r="AU56" s="923" t="s">
        <v>21</v>
      </c>
      <c r="AV56" s="924" t="s">
        <v>21</v>
      </c>
      <c r="AW56" s="924" t="s">
        <v>21</v>
      </c>
      <c r="AX56" s="924" t="s">
        <v>21</v>
      </c>
      <c r="AY56" s="924" t="s">
        <v>21</v>
      </c>
      <c r="AZ56" s="923" t="s">
        <v>21</v>
      </c>
      <c r="BA56" s="923"/>
      <c r="BB56" s="919" t="s">
        <v>21</v>
      </c>
      <c r="BC56" s="919" t="s">
        <v>21</v>
      </c>
      <c r="BD56" s="919" t="s">
        <v>21</v>
      </c>
      <c r="BE56" s="925" t="s">
        <v>21</v>
      </c>
      <c r="BF56" s="926" t="s">
        <v>21</v>
      </c>
      <c r="BG56" s="925" t="s">
        <v>21</v>
      </c>
      <c r="BH56" s="926" t="s">
        <v>21</v>
      </c>
      <c r="BI56" s="925" t="s">
        <v>21</v>
      </c>
      <c r="BJ56" s="926" t="s">
        <v>21</v>
      </c>
      <c r="BK56" s="925" t="s">
        <v>21</v>
      </c>
      <c r="BL56" s="926" t="s">
        <v>21</v>
      </c>
      <c r="BM56" s="925" t="s">
        <v>21</v>
      </c>
      <c r="BN56" s="927"/>
      <c r="BO56" s="927"/>
      <c r="BP56" s="928" t="s">
        <v>21</v>
      </c>
      <c r="BQ56" s="928" t="s">
        <v>21</v>
      </c>
      <c r="BR56" s="928" t="s">
        <v>21</v>
      </c>
      <c r="BS56" s="928" t="s">
        <v>21</v>
      </c>
      <c r="BT56" s="928" t="s">
        <v>21</v>
      </c>
      <c r="BU56" s="928" t="s">
        <v>21</v>
      </c>
      <c r="BV56" s="929" t="s">
        <v>21</v>
      </c>
      <c r="BW56" s="929" t="s">
        <v>21</v>
      </c>
      <c r="BX56" s="1104" t="s">
        <v>21</v>
      </c>
      <c r="BY56" s="931" t="s">
        <v>21</v>
      </c>
      <c r="BZ56" s="930"/>
      <c r="CA56" s="1074"/>
      <c r="CB56" s="930"/>
      <c r="CC56" s="930"/>
      <c r="CD56" s="925" t="s">
        <v>21</v>
      </c>
      <c r="CE56" s="1130" t="s">
        <v>21</v>
      </c>
      <c r="CF56" s="1129" t="s">
        <v>21</v>
      </c>
      <c r="CG56" s="1130" t="s">
        <v>21</v>
      </c>
      <c r="CH56" s="1130" t="s">
        <v>21</v>
      </c>
      <c r="CI56" s="1131" t="s">
        <v>21</v>
      </c>
      <c r="CJ56" s="1129" t="s">
        <v>21</v>
      </c>
      <c r="CK56" s="1130" t="s">
        <v>21</v>
      </c>
      <c r="CL56" s="1130" t="s">
        <v>21</v>
      </c>
      <c r="CM56" s="1131" t="s">
        <v>21</v>
      </c>
      <c r="CN56" s="1130" t="s">
        <v>21</v>
      </c>
      <c r="CP56" s="838" t="s">
        <v>21</v>
      </c>
      <c r="CQ56" s="838" t="s">
        <v>21</v>
      </c>
      <c r="CR56" s="836"/>
    </row>
    <row r="57" spans="1:96" x14ac:dyDescent="0.25">
      <c r="A57" s="935" t="s">
        <v>3065</v>
      </c>
      <c r="B57" s="932"/>
      <c r="C57" s="911"/>
      <c r="D57" s="911"/>
      <c r="E57" s="912"/>
      <c r="F57" s="912"/>
      <c r="G57" s="910"/>
      <c r="H57" s="912"/>
      <c r="I57" s="912"/>
      <c r="J57" s="914"/>
      <c r="K57" s="915"/>
      <c r="L57" s="916" t="s">
        <v>21</v>
      </c>
      <c r="M57" s="916" t="s">
        <v>21</v>
      </c>
      <c r="N57" s="916" t="s">
        <v>21</v>
      </c>
      <c r="O57" s="916" t="s">
        <v>21</v>
      </c>
      <c r="P57" s="915"/>
      <c r="Q57" s="916" t="s">
        <v>21</v>
      </c>
      <c r="R57" s="917" t="s">
        <v>21</v>
      </c>
      <c r="S57" s="918" t="s">
        <v>21</v>
      </c>
      <c r="T57" s="918" t="s">
        <v>21</v>
      </c>
      <c r="U57" s="916" t="s">
        <v>21</v>
      </c>
      <c r="V57" s="916" t="s">
        <v>21</v>
      </c>
      <c r="W57" s="915"/>
      <c r="X57" s="916" t="s">
        <v>21</v>
      </c>
      <c r="Y57" s="916" t="s">
        <v>21</v>
      </c>
      <c r="Z57" s="916" t="s">
        <v>21</v>
      </c>
      <c r="AA57" s="916" t="s">
        <v>21</v>
      </c>
      <c r="AB57" s="916" t="s">
        <v>21</v>
      </c>
      <c r="AC57" s="915"/>
      <c r="AD57" s="919" t="s">
        <v>21</v>
      </c>
      <c r="AE57" s="920" t="s">
        <v>21</v>
      </c>
      <c r="AF57" s="920" t="s">
        <v>21</v>
      </c>
      <c r="AG57" s="920" t="s">
        <v>21</v>
      </c>
      <c r="AH57" s="921" t="s">
        <v>21</v>
      </c>
      <c r="AI57" s="921" t="s">
        <v>21</v>
      </c>
      <c r="AJ57" s="920" t="s">
        <v>21</v>
      </c>
      <c r="AK57" s="920" t="s">
        <v>21</v>
      </c>
      <c r="AL57" s="921" t="s">
        <v>21</v>
      </c>
      <c r="AM57" s="921" t="s">
        <v>21</v>
      </c>
      <c r="AN57" s="920"/>
      <c r="AO57" s="920" t="s">
        <v>21</v>
      </c>
      <c r="AP57" s="919" t="s">
        <v>21</v>
      </c>
      <c r="AQ57" s="922" t="s">
        <v>21</v>
      </c>
      <c r="AR57" s="923" t="s">
        <v>21</v>
      </c>
      <c r="AS57" s="923" t="s">
        <v>21</v>
      </c>
      <c r="AT57" s="923" t="s">
        <v>21</v>
      </c>
      <c r="AU57" s="923" t="s">
        <v>21</v>
      </c>
      <c r="AV57" s="924" t="s">
        <v>21</v>
      </c>
      <c r="AW57" s="924" t="s">
        <v>21</v>
      </c>
      <c r="AX57" s="924" t="s">
        <v>21</v>
      </c>
      <c r="AY57" s="924" t="s">
        <v>21</v>
      </c>
      <c r="AZ57" s="923" t="s">
        <v>21</v>
      </c>
      <c r="BA57" s="923"/>
      <c r="BB57" s="919" t="s">
        <v>21</v>
      </c>
      <c r="BC57" s="919" t="s">
        <v>21</v>
      </c>
      <c r="BD57" s="919" t="s">
        <v>21</v>
      </c>
      <c r="BE57" s="925" t="s">
        <v>21</v>
      </c>
      <c r="BF57" s="926" t="s">
        <v>21</v>
      </c>
      <c r="BG57" s="925" t="s">
        <v>21</v>
      </c>
      <c r="BH57" s="926" t="s">
        <v>21</v>
      </c>
      <c r="BI57" s="925" t="s">
        <v>21</v>
      </c>
      <c r="BJ57" s="926" t="s">
        <v>21</v>
      </c>
      <c r="BK57" s="925" t="s">
        <v>21</v>
      </c>
      <c r="BL57" s="926" t="s">
        <v>21</v>
      </c>
      <c r="BM57" s="925" t="s">
        <v>21</v>
      </c>
      <c r="BN57" s="927"/>
      <c r="BO57" s="927"/>
      <c r="BP57" s="928" t="s">
        <v>21</v>
      </c>
      <c r="BQ57" s="928" t="s">
        <v>21</v>
      </c>
      <c r="BR57" s="928" t="s">
        <v>21</v>
      </c>
      <c r="BS57" s="928" t="s">
        <v>21</v>
      </c>
      <c r="BT57" s="928" t="s">
        <v>21</v>
      </c>
      <c r="BU57" s="928" t="s">
        <v>21</v>
      </c>
      <c r="BV57" s="929" t="s">
        <v>21</v>
      </c>
      <c r="BW57" s="929" t="s">
        <v>21</v>
      </c>
      <c r="BX57" s="1104" t="s">
        <v>21</v>
      </c>
      <c r="BY57" s="931" t="s">
        <v>21</v>
      </c>
      <c r="BZ57" s="930"/>
      <c r="CA57" s="1074"/>
      <c r="CB57" s="930"/>
      <c r="CC57" s="930"/>
      <c r="CD57" s="925" t="s">
        <v>21</v>
      </c>
      <c r="CE57" s="1130" t="s">
        <v>21</v>
      </c>
      <c r="CF57" s="1129" t="s">
        <v>21</v>
      </c>
      <c r="CG57" s="1130" t="s">
        <v>21</v>
      </c>
      <c r="CH57" s="1130" t="s">
        <v>21</v>
      </c>
      <c r="CI57" s="1131" t="s">
        <v>21</v>
      </c>
      <c r="CJ57" s="1129" t="s">
        <v>21</v>
      </c>
      <c r="CK57" s="1130" t="s">
        <v>21</v>
      </c>
      <c r="CL57" s="1130" t="s">
        <v>21</v>
      </c>
      <c r="CM57" s="1131" t="s">
        <v>21</v>
      </c>
      <c r="CN57" s="1130" t="s">
        <v>21</v>
      </c>
      <c r="CP57" s="838" t="s">
        <v>21</v>
      </c>
      <c r="CQ57" s="838" t="s">
        <v>21</v>
      </c>
      <c r="CR57" s="836"/>
    </row>
    <row r="58" spans="1:96" x14ac:dyDescent="0.25">
      <c r="A58" s="935" t="s">
        <v>3061</v>
      </c>
      <c r="B58" s="932"/>
      <c r="C58" s="911"/>
      <c r="D58" s="911"/>
      <c r="E58" s="912"/>
      <c r="F58" s="912"/>
      <c r="G58" s="910"/>
      <c r="H58" s="912"/>
      <c r="I58" s="912"/>
      <c r="J58" s="914"/>
      <c r="K58" s="915"/>
      <c r="L58" s="916" t="s">
        <v>21</v>
      </c>
      <c r="M58" s="916" t="s">
        <v>21</v>
      </c>
      <c r="N58" s="916" t="s">
        <v>21</v>
      </c>
      <c r="O58" s="916" t="s">
        <v>21</v>
      </c>
      <c r="P58" s="915"/>
      <c r="Q58" s="916" t="s">
        <v>21</v>
      </c>
      <c r="R58" s="917" t="s">
        <v>21</v>
      </c>
      <c r="S58" s="918" t="s">
        <v>21</v>
      </c>
      <c r="T58" s="918" t="s">
        <v>21</v>
      </c>
      <c r="U58" s="916" t="s">
        <v>21</v>
      </c>
      <c r="V58" s="916" t="s">
        <v>21</v>
      </c>
      <c r="W58" s="915"/>
      <c r="X58" s="916" t="s">
        <v>21</v>
      </c>
      <c r="Y58" s="916" t="s">
        <v>21</v>
      </c>
      <c r="Z58" s="916" t="s">
        <v>21</v>
      </c>
      <c r="AA58" s="916" t="s">
        <v>21</v>
      </c>
      <c r="AB58" s="916" t="s">
        <v>21</v>
      </c>
      <c r="AC58" s="915"/>
      <c r="AD58" s="919" t="s">
        <v>21</v>
      </c>
      <c r="AE58" s="920" t="s">
        <v>21</v>
      </c>
      <c r="AF58" s="920" t="s">
        <v>21</v>
      </c>
      <c r="AG58" s="920" t="s">
        <v>21</v>
      </c>
      <c r="AH58" s="921" t="s">
        <v>21</v>
      </c>
      <c r="AI58" s="921" t="s">
        <v>21</v>
      </c>
      <c r="AJ58" s="920" t="s">
        <v>21</v>
      </c>
      <c r="AK58" s="920" t="s">
        <v>21</v>
      </c>
      <c r="AL58" s="921" t="s">
        <v>21</v>
      </c>
      <c r="AM58" s="921" t="s">
        <v>21</v>
      </c>
      <c r="AN58" s="920"/>
      <c r="AO58" s="920" t="s">
        <v>21</v>
      </c>
      <c r="AP58" s="919" t="s">
        <v>21</v>
      </c>
      <c r="AQ58" s="922" t="s">
        <v>21</v>
      </c>
      <c r="AR58" s="923" t="s">
        <v>21</v>
      </c>
      <c r="AS58" s="923" t="s">
        <v>21</v>
      </c>
      <c r="AT58" s="923" t="s">
        <v>21</v>
      </c>
      <c r="AU58" s="923" t="s">
        <v>21</v>
      </c>
      <c r="AV58" s="924" t="s">
        <v>21</v>
      </c>
      <c r="AW58" s="924" t="s">
        <v>21</v>
      </c>
      <c r="AX58" s="924" t="s">
        <v>21</v>
      </c>
      <c r="AY58" s="924" t="s">
        <v>21</v>
      </c>
      <c r="AZ58" s="923" t="s">
        <v>21</v>
      </c>
      <c r="BA58" s="923"/>
      <c r="BB58" s="919" t="s">
        <v>21</v>
      </c>
      <c r="BC58" s="919" t="s">
        <v>21</v>
      </c>
      <c r="BD58" s="919" t="s">
        <v>21</v>
      </c>
      <c r="BE58" s="925" t="s">
        <v>21</v>
      </c>
      <c r="BF58" s="926" t="s">
        <v>21</v>
      </c>
      <c r="BG58" s="925" t="s">
        <v>21</v>
      </c>
      <c r="BH58" s="926" t="s">
        <v>21</v>
      </c>
      <c r="BI58" s="925" t="s">
        <v>21</v>
      </c>
      <c r="BJ58" s="926" t="s">
        <v>21</v>
      </c>
      <c r="BK58" s="925" t="s">
        <v>21</v>
      </c>
      <c r="BL58" s="926" t="s">
        <v>21</v>
      </c>
      <c r="BM58" s="925" t="s">
        <v>21</v>
      </c>
      <c r="BN58" s="927"/>
      <c r="BO58" s="927"/>
      <c r="BP58" s="928" t="s">
        <v>21</v>
      </c>
      <c r="BQ58" s="928" t="s">
        <v>21</v>
      </c>
      <c r="BR58" s="928" t="s">
        <v>21</v>
      </c>
      <c r="BS58" s="928" t="s">
        <v>21</v>
      </c>
      <c r="BT58" s="928" t="s">
        <v>21</v>
      </c>
      <c r="BU58" s="928" t="s">
        <v>21</v>
      </c>
      <c r="BV58" s="929" t="s">
        <v>21</v>
      </c>
      <c r="BW58" s="929" t="s">
        <v>21</v>
      </c>
      <c r="BX58" s="1104" t="s">
        <v>21</v>
      </c>
      <c r="BY58" s="931" t="s">
        <v>21</v>
      </c>
      <c r="BZ58" s="930"/>
      <c r="CA58" s="1074"/>
      <c r="CB58" s="930"/>
      <c r="CC58" s="930"/>
      <c r="CD58" s="925" t="s">
        <v>21</v>
      </c>
      <c r="CE58" s="1130" t="s">
        <v>21</v>
      </c>
      <c r="CF58" s="1129" t="s">
        <v>21</v>
      </c>
      <c r="CG58" s="1130" t="s">
        <v>21</v>
      </c>
      <c r="CH58" s="1130" t="s">
        <v>21</v>
      </c>
      <c r="CI58" s="1131" t="s">
        <v>21</v>
      </c>
      <c r="CJ58" s="1129" t="s">
        <v>21</v>
      </c>
      <c r="CK58" s="1130" t="s">
        <v>21</v>
      </c>
      <c r="CL58" s="1130" t="s">
        <v>21</v>
      </c>
      <c r="CM58" s="1131" t="s">
        <v>21</v>
      </c>
      <c r="CN58" s="1130" t="s">
        <v>21</v>
      </c>
      <c r="CP58" s="838" t="s">
        <v>21</v>
      </c>
      <c r="CQ58" s="838" t="s">
        <v>21</v>
      </c>
      <c r="CR58" s="836"/>
    </row>
    <row r="59" spans="1:96" x14ac:dyDescent="0.25">
      <c r="A59" s="935"/>
      <c r="B59" s="932"/>
      <c r="C59" s="911"/>
      <c r="D59" s="911"/>
      <c r="E59" s="912"/>
      <c r="F59" s="912"/>
      <c r="G59" s="910"/>
      <c r="H59" s="912"/>
      <c r="I59" s="912"/>
      <c r="J59" s="914"/>
      <c r="K59" s="915"/>
      <c r="L59" s="916" t="s">
        <v>21</v>
      </c>
      <c r="M59" s="916" t="s">
        <v>21</v>
      </c>
      <c r="N59" s="916" t="s">
        <v>21</v>
      </c>
      <c r="O59" s="916" t="s">
        <v>21</v>
      </c>
      <c r="P59" s="915"/>
      <c r="Q59" s="916" t="s">
        <v>21</v>
      </c>
      <c r="R59" s="917" t="s">
        <v>21</v>
      </c>
      <c r="S59" s="918" t="s">
        <v>21</v>
      </c>
      <c r="T59" s="918" t="s">
        <v>21</v>
      </c>
      <c r="U59" s="916" t="s">
        <v>21</v>
      </c>
      <c r="V59" s="916" t="s">
        <v>21</v>
      </c>
      <c r="W59" s="915"/>
      <c r="X59" s="916" t="s">
        <v>21</v>
      </c>
      <c r="Y59" s="916" t="s">
        <v>21</v>
      </c>
      <c r="Z59" s="916" t="s">
        <v>21</v>
      </c>
      <c r="AA59" s="916" t="s">
        <v>21</v>
      </c>
      <c r="AB59" s="916" t="s">
        <v>21</v>
      </c>
      <c r="AC59" s="915"/>
      <c r="AD59" s="919" t="s">
        <v>21</v>
      </c>
      <c r="AE59" s="920" t="s">
        <v>21</v>
      </c>
      <c r="AF59" s="920" t="s">
        <v>21</v>
      </c>
      <c r="AG59" s="920" t="s">
        <v>21</v>
      </c>
      <c r="AH59" s="921" t="s">
        <v>21</v>
      </c>
      <c r="AI59" s="921" t="s">
        <v>21</v>
      </c>
      <c r="AJ59" s="920" t="s">
        <v>21</v>
      </c>
      <c r="AK59" s="920" t="s">
        <v>21</v>
      </c>
      <c r="AL59" s="921" t="s">
        <v>21</v>
      </c>
      <c r="AM59" s="921" t="s">
        <v>21</v>
      </c>
      <c r="AN59" s="920"/>
      <c r="AO59" s="920" t="s">
        <v>21</v>
      </c>
      <c r="AP59" s="919" t="s">
        <v>21</v>
      </c>
      <c r="AQ59" s="922" t="s">
        <v>21</v>
      </c>
      <c r="AR59" s="923" t="s">
        <v>21</v>
      </c>
      <c r="AS59" s="923" t="s">
        <v>21</v>
      </c>
      <c r="AT59" s="923" t="s">
        <v>21</v>
      </c>
      <c r="AU59" s="923" t="s">
        <v>21</v>
      </c>
      <c r="AV59" s="924" t="s">
        <v>21</v>
      </c>
      <c r="AW59" s="924" t="s">
        <v>21</v>
      </c>
      <c r="AX59" s="924" t="s">
        <v>21</v>
      </c>
      <c r="AY59" s="924" t="s">
        <v>21</v>
      </c>
      <c r="AZ59" s="923" t="s">
        <v>21</v>
      </c>
      <c r="BA59" s="923"/>
      <c r="BB59" s="919" t="s">
        <v>21</v>
      </c>
      <c r="BC59" s="919" t="s">
        <v>21</v>
      </c>
      <c r="BD59" s="919" t="s">
        <v>21</v>
      </c>
      <c r="BE59" s="925" t="s">
        <v>21</v>
      </c>
      <c r="BF59" s="926" t="s">
        <v>21</v>
      </c>
      <c r="BG59" s="925" t="s">
        <v>21</v>
      </c>
      <c r="BH59" s="926" t="s">
        <v>21</v>
      </c>
      <c r="BI59" s="925" t="s">
        <v>21</v>
      </c>
      <c r="BJ59" s="926" t="s">
        <v>21</v>
      </c>
      <c r="BK59" s="925" t="s">
        <v>21</v>
      </c>
      <c r="BL59" s="926" t="s">
        <v>21</v>
      </c>
      <c r="BM59" s="925" t="s">
        <v>21</v>
      </c>
      <c r="BN59" s="927"/>
      <c r="BO59" s="927"/>
      <c r="BP59" s="928" t="s">
        <v>21</v>
      </c>
      <c r="BQ59" s="928" t="s">
        <v>21</v>
      </c>
      <c r="BR59" s="928" t="s">
        <v>21</v>
      </c>
      <c r="BS59" s="928" t="s">
        <v>21</v>
      </c>
      <c r="BT59" s="928" t="s">
        <v>21</v>
      </c>
      <c r="BU59" s="928" t="s">
        <v>21</v>
      </c>
      <c r="BV59" s="929" t="s">
        <v>21</v>
      </c>
      <c r="BW59" s="929" t="s">
        <v>21</v>
      </c>
      <c r="BX59" s="1104" t="s">
        <v>21</v>
      </c>
      <c r="BY59" s="931" t="s">
        <v>21</v>
      </c>
      <c r="BZ59" s="930"/>
      <c r="CA59" s="1074"/>
      <c r="CB59" s="930"/>
      <c r="CC59" s="930"/>
      <c r="CD59" s="925" t="s">
        <v>21</v>
      </c>
      <c r="CE59" s="1130" t="s">
        <v>21</v>
      </c>
      <c r="CF59" s="1129" t="s">
        <v>21</v>
      </c>
      <c r="CG59" s="1130" t="s">
        <v>21</v>
      </c>
      <c r="CH59" s="1130" t="s">
        <v>21</v>
      </c>
      <c r="CI59" s="1131" t="s">
        <v>21</v>
      </c>
      <c r="CJ59" s="1129" t="s">
        <v>21</v>
      </c>
      <c r="CK59" s="1130" t="s">
        <v>21</v>
      </c>
      <c r="CL59" s="1130" t="s">
        <v>21</v>
      </c>
      <c r="CM59" s="1131" t="s">
        <v>21</v>
      </c>
      <c r="CN59" s="1130" t="s">
        <v>21</v>
      </c>
      <c r="CP59" s="838" t="s">
        <v>21</v>
      </c>
      <c r="CQ59" s="838" t="s">
        <v>21</v>
      </c>
      <c r="CR59" s="836"/>
    </row>
    <row r="60" spans="1:96" x14ac:dyDescent="0.25">
      <c r="A60" s="935">
        <v>5</v>
      </c>
      <c r="B60" s="1900" t="s">
        <v>2235</v>
      </c>
      <c r="C60" s="911">
        <v>600</v>
      </c>
      <c r="D60" s="911" t="s">
        <v>2116</v>
      </c>
      <c r="E60" s="912">
        <v>1199.04</v>
      </c>
      <c r="F60" s="912">
        <v>1197.1400000000001</v>
      </c>
      <c r="G60" s="932" t="s">
        <v>2267</v>
      </c>
      <c r="H60" s="912">
        <v>1198.7</v>
      </c>
      <c r="I60" s="912">
        <v>1196.8</v>
      </c>
      <c r="J60" s="914">
        <v>8.94</v>
      </c>
      <c r="K60" s="915"/>
      <c r="L60" s="916">
        <v>0.1</v>
      </c>
      <c r="M60" s="916">
        <v>0.06</v>
      </c>
      <c r="N60" s="916">
        <v>0.2</v>
      </c>
      <c r="O60" s="916">
        <v>6.4</v>
      </c>
      <c r="P60" s="915"/>
      <c r="Q60" s="916">
        <v>2.16</v>
      </c>
      <c r="R60" s="1899">
        <v>0</v>
      </c>
      <c r="S60" s="1898">
        <v>4.4000000000000004</v>
      </c>
      <c r="T60" s="1898">
        <v>4.4000000000000004</v>
      </c>
      <c r="U60" s="916">
        <v>4.32</v>
      </c>
      <c r="V60" s="916">
        <v>0.92</v>
      </c>
      <c r="W60" s="915"/>
      <c r="X60" s="916">
        <v>0.28299999999999997</v>
      </c>
      <c r="Y60" s="916">
        <v>0.40699999999999997</v>
      </c>
      <c r="Z60" s="916">
        <v>9.5039999999999996</v>
      </c>
      <c r="AA60" s="916">
        <v>3.2010000000000001</v>
      </c>
      <c r="AB60" s="916">
        <v>5.4560000000000004</v>
      </c>
      <c r="AC60" s="915"/>
      <c r="AD60" s="919">
        <v>57.216000000000001</v>
      </c>
      <c r="AE60" s="920">
        <v>84.965999999999994</v>
      </c>
      <c r="AF60" s="920" t="s">
        <v>21</v>
      </c>
      <c r="AG60" s="920" t="s">
        <v>21</v>
      </c>
      <c r="AH60" s="921" t="s">
        <v>21</v>
      </c>
      <c r="AI60" s="921" t="s">
        <v>21</v>
      </c>
      <c r="AJ60" s="920" t="s">
        <v>21</v>
      </c>
      <c r="AK60" s="920" t="s">
        <v>21</v>
      </c>
      <c r="AL60" s="921" t="s">
        <v>21</v>
      </c>
      <c r="AM60" s="921" t="s">
        <v>21</v>
      </c>
      <c r="AN60" s="920"/>
      <c r="AO60" s="920">
        <v>84.965999999999994</v>
      </c>
      <c r="AP60" s="919">
        <v>39.335999999999999</v>
      </c>
      <c r="AQ60" s="922">
        <v>38.620800000000003</v>
      </c>
      <c r="AR60" s="923" t="s">
        <v>21</v>
      </c>
      <c r="AS60" s="923" t="s">
        <v>21</v>
      </c>
      <c r="AT60" s="923" t="s">
        <v>21</v>
      </c>
      <c r="AU60" s="923" t="s">
        <v>21</v>
      </c>
      <c r="AV60" s="924" t="s">
        <v>21</v>
      </c>
      <c r="AW60" s="924" t="s">
        <v>21</v>
      </c>
      <c r="AX60" s="924" t="s">
        <v>21</v>
      </c>
      <c r="AY60" s="924" t="s">
        <v>21</v>
      </c>
      <c r="AZ60" s="1902">
        <v>38.620800000000003</v>
      </c>
      <c r="BA60" s="923"/>
      <c r="BB60" s="919" t="s">
        <v>21</v>
      </c>
      <c r="BC60" s="919">
        <v>3.9340000000000002</v>
      </c>
      <c r="BD60" s="919" t="s">
        <v>2142</v>
      </c>
      <c r="BE60" s="925" t="s">
        <v>21</v>
      </c>
      <c r="BF60" s="926" t="s">
        <v>21</v>
      </c>
      <c r="BG60" s="925">
        <v>8.94</v>
      </c>
      <c r="BH60" s="926" t="s">
        <v>21</v>
      </c>
      <c r="BI60" s="925" t="s">
        <v>21</v>
      </c>
      <c r="BJ60" s="926" t="s">
        <v>21</v>
      </c>
      <c r="BK60" s="925" t="s">
        <v>21</v>
      </c>
      <c r="BL60" s="926" t="s">
        <v>21</v>
      </c>
      <c r="BM60" s="925" t="s">
        <v>21</v>
      </c>
      <c r="BN60" s="927"/>
      <c r="BO60" s="927"/>
      <c r="BP60" s="928">
        <v>1</v>
      </c>
      <c r="BQ60" s="928" t="s">
        <v>21</v>
      </c>
      <c r="BR60" s="928" t="s">
        <v>21</v>
      </c>
      <c r="BS60" s="928" t="s">
        <v>21</v>
      </c>
      <c r="BT60" s="928" t="s">
        <v>21</v>
      </c>
      <c r="BU60" s="928" t="s">
        <v>21</v>
      </c>
      <c r="BV60" s="929">
        <v>0.49999999999986366</v>
      </c>
      <c r="BW60" s="929">
        <v>0.5</v>
      </c>
      <c r="BX60" s="1104">
        <v>1</v>
      </c>
      <c r="BY60" s="931">
        <v>3</v>
      </c>
      <c r="BZ60" s="930"/>
      <c r="CA60" s="1074"/>
      <c r="CB60" s="930">
        <v>1</v>
      </c>
      <c r="CC60" s="930"/>
      <c r="CD60" s="925">
        <v>28.617000000000001</v>
      </c>
      <c r="CE60" s="1130">
        <v>48.777000000000001</v>
      </c>
      <c r="CF60" s="1129" t="s">
        <v>21</v>
      </c>
      <c r="CG60" s="1130" t="s">
        <v>21</v>
      </c>
      <c r="CH60" s="1130" t="s">
        <v>21</v>
      </c>
      <c r="CI60" s="1131" t="s">
        <v>21</v>
      </c>
      <c r="CJ60" s="1129" t="s">
        <v>21</v>
      </c>
      <c r="CK60" s="1130" t="s">
        <v>21</v>
      </c>
      <c r="CL60" s="1130" t="s">
        <v>21</v>
      </c>
      <c r="CM60" s="1131" t="s">
        <v>21</v>
      </c>
      <c r="CN60" s="1130">
        <v>48.777000000000001</v>
      </c>
      <c r="CP60" s="838" t="s">
        <v>21</v>
      </c>
      <c r="CQ60" s="838" t="s">
        <v>21</v>
      </c>
      <c r="CR60" s="836"/>
    </row>
    <row r="61" spans="1:96" x14ac:dyDescent="0.25">
      <c r="A61" s="935" t="s">
        <v>3060</v>
      </c>
      <c r="B61" s="932" t="s">
        <v>2267</v>
      </c>
      <c r="C61" s="911">
        <v>600</v>
      </c>
      <c r="D61" s="911" t="s">
        <v>2116</v>
      </c>
      <c r="E61" s="912">
        <v>1198.7</v>
      </c>
      <c r="F61" s="912">
        <v>1196.75</v>
      </c>
      <c r="G61" s="932" t="s">
        <v>2268</v>
      </c>
      <c r="H61" s="912">
        <v>1197.78</v>
      </c>
      <c r="I61" s="912">
        <v>1195.8800000000001</v>
      </c>
      <c r="J61" s="914">
        <v>25.07</v>
      </c>
      <c r="K61" s="915"/>
      <c r="L61" s="916">
        <v>0.1</v>
      </c>
      <c r="M61" s="916">
        <v>0.06</v>
      </c>
      <c r="N61" s="916">
        <v>0.2</v>
      </c>
      <c r="O61" s="916">
        <v>4.8570000000000002</v>
      </c>
      <c r="P61" s="915"/>
      <c r="Q61" s="916">
        <v>2.1850000000000001</v>
      </c>
      <c r="R61" s="917">
        <v>0.33333333333333331</v>
      </c>
      <c r="S61" s="918">
        <v>1.4</v>
      </c>
      <c r="T61" s="918">
        <v>2.8570000000000002</v>
      </c>
      <c r="U61" s="916">
        <v>4.6059999999999999</v>
      </c>
      <c r="V61" s="916">
        <v>0.92</v>
      </c>
      <c r="W61" s="915"/>
      <c r="X61" s="916">
        <v>0.28299999999999997</v>
      </c>
      <c r="Y61" s="916">
        <v>0.40699999999999997</v>
      </c>
      <c r="Z61" s="916">
        <v>4.6509999999999998</v>
      </c>
      <c r="AA61" s="916">
        <v>1.0229999999999999</v>
      </c>
      <c r="AB61" s="916">
        <v>3.081</v>
      </c>
      <c r="AC61" s="915"/>
      <c r="AD61" s="919">
        <v>121.765</v>
      </c>
      <c r="AE61" s="920">
        <v>116.601</v>
      </c>
      <c r="AF61" s="920" t="s">
        <v>21</v>
      </c>
      <c r="AG61" s="920" t="s">
        <v>21</v>
      </c>
      <c r="AH61" s="921">
        <v>116.601</v>
      </c>
      <c r="AI61" s="921" t="s">
        <v>21</v>
      </c>
      <c r="AJ61" s="920" t="s">
        <v>21</v>
      </c>
      <c r="AK61" s="920" t="s">
        <v>21</v>
      </c>
      <c r="AL61" s="921" t="s">
        <v>21</v>
      </c>
      <c r="AM61" s="921" t="s">
        <v>21</v>
      </c>
      <c r="AN61" s="920"/>
      <c r="AO61" s="920" t="s">
        <v>21</v>
      </c>
      <c r="AP61" s="919">
        <v>35.097999999999999</v>
      </c>
      <c r="AQ61" s="922">
        <v>115.47242</v>
      </c>
      <c r="AR61" s="923" t="s">
        <v>21</v>
      </c>
      <c r="AS61" s="923">
        <v>115.47242</v>
      </c>
      <c r="AT61" s="923" t="s">
        <v>21</v>
      </c>
      <c r="AU61" s="923" t="s">
        <v>21</v>
      </c>
      <c r="AV61" s="924" t="s">
        <v>21</v>
      </c>
      <c r="AW61" s="924" t="s">
        <v>21</v>
      </c>
      <c r="AX61" s="924" t="s">
        <v>21</v>
      </c>
      <c r="AY61" s="924" t="s">
        <v>21</v>
      </c>
      <c r="AZ61" s="923" t="s">
        <v>21</v>
      </c>
      <c r="BA61" s="923"/>
      <c r="BB61" s="919">
        <v>3.51</v>
      </c>
      <c r="BC61" s="919" t="s">
        <v>21</v>
      </c>
      <c r="BD61" s="919" t="s">
        <v>2142</v>
      </c>
      <c r="BE61" s="925" t="s">
        <v>21</v>
      </c>
      <c r="BF61" s="926" t="s">
        <v>21</v>
      </c>
      <c r="BG61" s="925">
        <v>25.07</v>
      </c>
      <c r="BH61" s="926" t="s">
        <v>21</v>
      </c>
      <c r="BI61" s="925" t="s">
        <v>21</v>
      </c>
      <c r="BJ61" s="926" t="s">
        <v>21</v>
      </c>
      <c r="BK61" s="925" t="s">
        <v>21</v>
      </c>
      <c r="BL61" s="926" t="s">
        <v>21</v>
      </c>
      <c r="BM61" s="925" t="s">
        <v>21</v>
      </c>
      <c r="BN61" s="927"/>
      <c r="BO61" s="927"/>
      <c r="BP61" s="928">
        <v>1</v>
      </c>
      <c r="BQ61" s="928" t="s">
        <v>21</v>
      </c>
      <c r="BR61" s="928" t="s">
        <v>21</v>
      </c>
      <c r="BS61" s="928" t="s">
        <v>21</v>
      </c>
      <c r="BT61" s="928" t="s">
        <v>21</v>
      </c>
      <c r="BU61" s="928" t="s">
        <v>21</v>
      </c>
      <c r="BV61" s="929">
        <v>0.55000000000004556</v>
      </c>
      <c r="BW61" s="929">
        <v>1</v>
      </c>
      <c r="BX61" s="1104">
        <v>2</v>
      </c>
      <c r="BY61" s="931">
        <v>4</v>
      </c>
      <c r="BZ61" s="930">
        <v>1</v>
      </c>
      <c r="CA61" s="1074"/>
      <c r="CB61" s="930"/>
      <c r="CC61" s="930"/>
      <c r="CD61" s="925">
        <v>25.646999999999998</v>
      </c>
      <c r="CE61" s="1130">
        <v>77.241</v>
      </c>
      <c r="CF61" s="1129" t="s">
        <v>21</v>
      </c>
      <c r="CG61" s="1130" t="s">
        <v>21</v>
      </c>
      <c r="CH61" s="1130" t="s">
        <v>21</v>
      </c>
      <c r="CI61" s="1131" t="s">
        <v>21</v>
      </c>
      <c r="CJ61" s="1129" t="s">
        <v>21</v>
      </c>
      <c r="CK61" s="1130">
        <v>77.241</v>
      </c>
      <c r="CL61" s="1130" t="s">
        <v>21</v>
      </c>
      <c r="CM61" s="1131" t="s">
        <v>21</v>
      </c>
      <c r="CN61" s="1130" t="s">
        <v>21</v>
      </c>
      <c r="CP61" s="838" t="s">
        <v>21</v>
      </c>
      <c r="CQ61" s="838" t="s">
        <v>21</v>
      </c>
      <c r="CR61" s="836"/>
    </row>
    <row r="62" spans="1:96" x14ac:dyDescent="0.25">
      <c r="A62" s="935" t="s">
        <v>3065</v>
      </c>
      <c r="B62" s="932" t="s">
        <v>2268</v>
      </c>
      <c r="C62" s="911">
        <v>600</v>
      </c>
      <c r="D62" s="911" t="s">
        <v>2116</v>
      </c>
      <c r="E62" s="912">
        <v>1197.78</v>
      </c>
      <c r="F62" s="912">
        <v>1195.83</v>
      </c>
      <c r="G62" s="932" t="s">
        <v>2472</v>
      </c>
      <c r="H62" s="912">
        <v>1197.58</v>
      </c>
      <c r="I62" s="912">
        <v>1195.68</v>
      </c>
      <c r="J62" s="914">
        <v>8.27</v>
      </c>
      <c r="K62" s="915"/>
      <c r="L62" s="916">
        <v>0.1</v>
      </c>
      <c r="M62" s="916">
        <v>0.06</v>
      </c>
      <c r="N62" s="916">
        <v>0.2</v>
      </c>
      <c r="O62" s="916">
        <v>4.8570000000000002</v>
      </c>
      <c r="P62" s="915"/>
      <c r="Q62" s="916">
        <v>2.1850000000000001</v>
      </c>
      <c r="R62" s="917">
        <v>0.33333333333333331</v>
      </c>
      <c r="S62" s="918">
        <v>1.4</v>
      </c>
      <c r="T62" s="918">
        <v>2.8570000000000002</v>
      </c>
      <c r="U62" s="916">
        <v>4.6059999999999999</v>
      </c>
      <c r="V62" s="916">
        <v>0.92</v>
      </c>
      <c r="W62" s="915"/>
      <c r="X62" s="916">
        <v>0.28299999999999997</v>
      </c>
      <c r="Y62" s="916">
        <v>0.40699999999999997</v>
      </c>
      <c r="Z62" s="916">
        <v>4.6509999999999998</v>
      </c>
      <c r="AA62" s="916">
        <v>1.0229999999999999</v>
      </c>
      <c r="AB62" s="916">
        <v>3.081</v>
      </c>
      <c r="AC62" s="915"/>
      <c r="AD62" s="919">
        <v>40.167000000000002</v>
      </c>
      <c r="AE62" s="920">
        <v>38.463999999999999</v>
      </c>
      <c r="AF62" s="920" t="s">
        <v>21</v>
      </c>
      <c r="AG62" s="920" t="s">
        <v>21</v>
      </c>
      <c r="AH62" s="921">
        <v>38.463999999999999</v>
      </c>
      <c r="AI62" s="921" t="s">
        <v>21</v>
      </c>
      <c r="AJ62" s="920" t="s">
        <v>21</v>
      </c>
      <c r="AK62" s="920" t="s">
        <v>21</v>
      </c>
      <c r="AL62" s="921" t="s">
        <v>21</v>
      </c>
      <c r="AM62" s="921" t="s">
        <v>21</v>
      </c>
      <c r="AN62" s="920"/>
      <c r="AO62" s="920" t="s">
        <v>21</v>
      </c>
      <c r="AP62" s="919">
        <v>11.577999999999999</v>
      </c>
      <c r="AQ62" s="922">
        <v>38.091619999999999</v>
      </c>
      <c r="AR62" s="923" t="s">
        <v>21</v>
      </c>
      <c r="AS62" s="923">
        <v>38.091619999999999</v>
      </c>
      <c r="AT62" s="923" t="s">
        <v>21</v>
      </c>
      <c r="AU62" s="923" t="s">
        <v>21</v>
      </c>
      <c r="AV62" s="924" t="s">
        <v>21</v>
      </c>
      <c r="AW62" s="924" t="s">
        <v>21</v>
      </c>
      <c r="AX62" s="924" t="s">
        <v>21</v>
      </c>
      <c r="AY62" s="924" t="s">
        <v>21</v>
      </c>
      <c r="AZ62" s="923" t="s">
        <v>21</v>
      </c>
      <c r="BA62" s="923"/>
      <c r="BB62" s="919">
        <v>1.1579999999999999</v>
      </c>
      <c r="BC62" s="919" t="s">
        <v>21</v>
      </c>
      <c r="BD62" s="919" t="s">
        <v>2142</v>
      </c>
      <c r="BE62" s="925" t="s">
        <v>21</v>
      </c>
      <c r="BF62" s="926" t="s">
        <v>21</v>
      </c>
      <c r="BG62" s="925">
        <v>8.27</v>
      </c>
      <c r="BH62" s="926" t="s">
        <v>21</v>
      </c>
      <c r="BI62" s="925" t="s">
        <v>21</v>
      </c>
      <c r="BJ62" s="926" t="s">
        <v>21</v>
      </c>
      <c r="BK62" s="925" t="s">
        <v>21</v>
      </c>
      <c r="BL62" s="926" t="s">
        <v>21</v>
      </c>
      <c r="BM62" s="925" t="s">
        <v>21</v>
      </c>
      <c r="BN62" s="927"/>
      <c r="BO62" s="927"/>
      <c r="BP62" s="928">
        <v>1</v>
      </c>
      <c r="BQ62" s="928" t="s">
        <v>21</v>
      </c>
      <c r="BR62" s="928" t="s">
        <v>21</v>
      </c>
      <c r="BS62" s="928" t="s">
        <v>21</v>
      </c>
      <c r="BT62" s="928" t="s">
        <v>21</v>
      </c>
      <c r="BU62" s="928" t="s">
        <v>21</v>
      </c>
      <c r="BV62" s="929">
        <v>0.55000000000004556</v>
      </c>
      <c r="BW62" s="929">
        <v>1</v>
      </c>
      <c r="BX62" s="1104">
        <v>2</v>
      </c>
      <c r="BY62" s="931">
        <v>4</v>
      </c>
      <c r="BZ62" s="930">
        <v>1</v>
      </c>
      <c r="CA62" s="1074"/>
      <c r="CB62" s="930"/>
      <c r="CC62" s="930"/>
      <c r="CD62" s="925">
        <v>8.4600000000000009</v>
      </c>
      <c r="CE62" s="1130">
        <v>25.48</v>
      </c>
      <c r="CF62" s="1129" t="s">
        <v>21</v>
      </c>
      <c r="CG62" s="1130" t="s">
        <v>21</v>
      </c>
      <c r="CH62" s="1130" t="s">
        <v>21</v>
      </c>
      <c r="CI62" s="1131" t="s">
        <v>21</v>
      </c>
      <c r="CJ62" s="1129" t="s">
        <v>21</v>
      </c>
      <c r="CK62" s="1130">
        <v>25.48</v>
      </c>
      <c r="CL62" s="1130" t="s">
        <v>21</v>
      </c>
      <c r="CM62" s="1131" t="s">
        <v>21</v>
      </c>
      <c r="CN62" s="1130" t="s">
        <v>21</v>
      </c>
      <c r="CP62" s="838" t="s">
        <v>21</v>
      </c>
      <c r="CQ62" s="838" t="s">
        <v>21</v>
      </c>
      <c r="CR62" s="836"/>
    </row>
    <row r="63" spans="1:96" x14ac:dyDescent="0.25">
      <c r="A63" s="935" t="s">
        <v>3061</v>
      </c>
      <c r="B63" s="932" t="s">
        <v>2472</v>
      </c>
      <c r="C63" s="911">
        <v>600</v>
      </c>
      <c r="D63" s="911" t="s">
        <v>2116</v>
      </c>
      <c r="E63" s="912">
        <v>1197.58</v>
      </c>
      <c r="F63" s="912">
        <v>1195.68</v>
      </c>
      <c r="G63" s="932" t="s">
        <v>2473</v>
      </c>
      <c r="H63" s="912">
        <v>1196.99</v>
      </c>
      <c r="I63" s="912">
        <v>1195.0899999999999</v>
      </c>
      <c r="J63" s="914">
        <v>13.08</v>
      </c>
      <c r="K63" s="915"/>
      <c r="L63" s="916">
        <v>0.1</v>
      </c>
      <c r="M63" s="916">
        <v>0.06</v>
      </c>
      <c r="N63" s="916">
        <v>0.2</v>
      </c>
      <c r="O63" s="916">
        <v>4.84</v>
      </c>
      <c r="P63" s="915"/>
      <c r="Q63" s="916">
        <v>2.16</v>
      </c>
      <c r="R63" s="917">
        <v>0.33333333333333331</v>
      </c>
      <c r="S63" s="918">
        <v>1.4</v>
      </c>
      <c r="T63" s="918">
        <v>2.84</v>
      </c>
      <c r="U63" s="916">
        <v>4.5540000000000003</v>
      </c>
      <c r="V63" s="916">
        <v>0.92</v>
      </c>
      <c r="W63" s="915"/>
      <c r="X63" s="916">
        <v>0.28299999999999997</v>
      </c>
      <c r="Y63" s="916">
        <v>0.40699999999999997</v>
      </c>
      <c r="Z63" s="916">
        <v>4.5789999999999997</v>
      </c>
      <c r="AA63" s="916">
        <v>1.0229999999999999</v>
      </c>
      <c r="AB63" s="916">
        <v>3.0089999999999999</v>
      </c>
      <c r="AC63" s="915"/>
      <c r="AD63" s="919">
        <v>63.307000000000002</v>
      </c>
      <c r="AE63" s="920">
        <v>59.893000000000001</v>
      </c>
      <c r="AF63" s="920" t="s">
        <v>21</v>
      </c>
      <c r="AG63" s="920" t="s">
        <v>21</v>
      </c>
      <c r="AH63" s="921">
        <v>59.893000000000001</v>
      </c>
      <c r="AI63" s="921" t="s">
        <v>21</v>
      </c>
      <c r="AJ63" s="920" t="s">
        <v>21</v>
      </c>
      <c r="AK63" s="920" t="s">
        <v>21</v>
      </c>
      <c r="AL63" s="921" t="s">
        <v>21</v>
      </c>
      <c r="AM63" s="921" t="s">
        <v>21</v>
      </c>
      <c r="AN63" s="920"/>
      <c r="AO63" s="920" t="s">
        <v>21</v>
      </c>
      <c r="AP63" s="919">
        <v>18.312000000000001</v>
      </c>
      <c r="AQ63" s="922">
        <v>59.566320000000005</v>
      </c>
      <c r="AR63" s="923" t="s">
        <v>21</v>
      </c>
      <c r="AS63" s="923">
        <v>59.566320000000005</v>
      </c>
      <c r="AT63" s="923" t="s">
        <v>21</v>
      </c>
      <c r="AU63" s="923" t="s">
        <v>21</v>
      </c>
      <c r="AV63" s="924" t="s">
        <v>21</v>
      </c>
      <c r="AW63" s="924" t="s">
        <v>21</v>
      </c>
      <c r="AX63" s="924" t="s">
        <v>21</v>
      </c>
      <c r="AY63" s="924" t="s">
        <v>21</v>
      </c>
      <c r="AZ63" s="923" t="s">
        <v>21</v>
      </c>
      <c r="BA63" s="923"/>
      <c r="BB63" s="919">
        <v>1.831</v>
      </c>
      <c r="BC63" s="919" t="s">
        <v>21</v>
      </c>
      <c r="BD63" s="919" t="s">
        <v>2142</v>
      </c>
      <c r="BE63" s="925" t="s">
        <v>21</v>
      </c>
      <c r="BF63" s="926" t="s">
        <v>21</v>
      </c>
      <c r="BG63" s="925">
        <v>13.08</v>
      </c>
      <c r="BH63" s="926" t="s">
        <v>21</v>
      </c>
      <c r="BI63" s="925" t="s">
        <v>21</v>
      </c>
      <c r="BJ63" s="926" t="s">
        <v>21</v>
      </c>
      <c r="BK63" s="925" t="s">
        <v>21</v>
      </c>
      <c r="BL63" s="926" t="s">
        <v>21</v>
      </c>
      <c r="BM63" s="925" t="s">
        <v>21</v>
      </c>
      <c r="BN63" s="927"/>
      <c r="BO63" s="927"/>
      <c r="BP63" s="928">
        <v>1</v>
      </c>
      <c r="BQ63" s="928" t="s">
        <v>21</v>
      </c>
      <c r="BR63" s="928" t="s">
        <v>21</v>
      </c>
      <c r="BS63" s="928" t="s">
        <v>21</v>
      </c>
      <c r="BT63" s="928" t="s">
        <v>21</v>
      </c>
      <c r="BU63" s="928" t="s">
        <v>21</v>
      </c>
      <c r="BV63" s="929">
        <v>0.49999999999986366</v>
      </c>
      <c r="BW63" s="929">
        <v>0.5</v>
      </c>
      <c r="BX63" s="1104">
        <v>1</v>
      </c>
      <c r="BY63" s="931">
        <v>3</v>
      </c>
      <c r="BZ63" s="930"/>
      <c r="CA63" s="1074"/>
      <c r="CB63" s="930"/>
      <c r="CC63" s="930"/>
      <c r="CD63" s="925">
        <v>13.381</v>
      </c>
      <c r="CE63" s="1130">
        <v>39.357999999999997</v>
      </c>
      <c r="CF63" s="1129" t="s">
        <v>21</v>
      </c>
      <c r="CG63" s="1130" t="s">
        <v>21</v>
      </c>
      <c r="CH63" s="1130" t="s">
        <v>21</v>
      </c>
      <c r="CI63" s="1131" t="s">
        <v>21</v>
      </c>
      <c r="CJ63" s="1129" t="s">
        <v>21</v>
      </c>
      <c r="CK63" s="1130">
        <v>39.357999999999997</v>
      </c>
      <c r="CL63" s="1130" t="s">
        <v>21</v>
      </c>
      <c r="CM63" s="1131" t="s">
        <v>21</v>
      </c>
      <c r="CN63" s="1130" t="s">
        <v>21</v>
      </c>
      <c r="CP63" s="838" t="s">
        <v>21</v>
      </c>
      <c r="CQ63" s="838" t="s">
        <v>21</v>
      </c>
      <c r="CR63" s="836"/>
    </row>
    <row r="64" spans="1:96" x14ac:dyDescent="0.25">
      <c r="A64" s="935"/>
      <c r="B64" s="932" t="s">
        <v>2473</v>
      </c>
      <c r="C64" s="911">
        <v>600</v>
      </c>
      <c r="D64" s="911" t="s">
        <v>2116</v>
      </c>
      <c r="E64" s="912">
        <v>1196.99</v>
      </c>
      <c r="F64" s="912">
        <v>1195.0899999999999</v>
      </c>
      <c r="G64" s="932" t="s">
        <v>2474</v>
      </c>
      <c r="H64" s="912">
        <v>1196.8399999999999</v>
      </c>
      <c r="I64" s="912">
        <v>1194.921</v>
      </c>
      <c r="J64" s="914">
        <v>33.799999999999997</v>
      </c>
      <c r="K64" s="915"/>
      <c r="L64" s="916">
        <v>0.1</v>
      </c>
      <c r="M64" s="916">
        <v>0.06</v>
      </c>
      <c r="N64" s="916">
        <v>0.2</v>
      </c>
      <c r="O64" s="916">
        <v>4.8460000000000001</v>
      </c>
      <c r="P64" s="915"/>
      <c r="Q64" s="916">
        <v>2.169</v>
      </c>
      <c r="R64" s="917">
        <v>0.33333333333333331</v>
      </c>
      <c r="S64" s="918">
        <v>1.4</v>
      </c>
      <c r="T64" s="918">
        <v>2.8460000000000001</v>
      </c>
      <c r="U64" s="916">
        <v>4.5730000000000004</v>
      </c>
      <c r="V64" s="916">
        <v>0.92</v>
      </c>
      <c r="W64" s="915"/>
      <c r="X64" s="916">
        <v>0.28299999999999997</v>
      </c>
      <c r="Y64" s="916">
        <v>0.40699999999999997</v>
      </c>
      <c r="Z64" s="916">
        <v>4.6050000000000004</v>
      </c>
      <c r="AA64" s="916">
        <v>1.0229999999999999</v>
      </c>
      <c r="AB64" s="916">
        <v>3.0350000000000001</v>
      </c>
      <c r="AC64" s="915"/>
      <c r="AD64" s="919">
        <v>163.79499999999999</v>
      </c>
      <c r="AE64" s="920">
        <v>155.649</v>
      </c>
      <c r="AF64" s="920" t="s">
        <v>21</v>
      </c>
      <c r="AG64" s="920" t="s">
        <v>21</v>
      </c>
      <c r="AH64" s="921">
        <v>155.649</v>
      </c>
      <c r="AI64" s="921" t="s">
        <v>21</v>
      </c>
      <c r="AJ64" s="920" t="s">
        <v>21</v>
      </c>
      <c r="AK64" s="920" t="s">
        <v>21</v>
      </c>
      <c r="AL64" s="921" t="s">
        <v>21</v>
      </c>
      <c r="AM64" s="921" t="s">
        <v>21</v>
      </c>
      <c r="AN64" s="920"/>
      <c r="AO64" s="920" t="s">
        <v>21</v>
      </c>
      <c r="AP64" s="919">
        <v>47.32</v>
      </c>
      <c r="AQ64" s="922">
        <v>154.56739999999999</v>
      </c>
      <c r="AR64" s="923" t="s">
        <v>21</v>
      </c>
      <c r="AS64" s="923">
        <v>154.56739999999999</v>
      </c>
      <c r="AT64" s="923" t="s">
        <v>21</v>
      </c>
      <c r="AU64" s="923" t="s">
        <v>21</v>
      </c>
      <c r="AV64" s="924" t="s">
        <v>21</v>
      </c>
      <c r="AW64" s="924" t="s">
        <v>21</v>
      </c>
      <c r="AX64" s="924" t="s">
        <v>21</v>
      </c>
      <c r="AY64" s="924" t="s">
        <v>21</v>
      </c>
      <c r="AZ64" s="923" t="s">
        <v>21</v>
      </c>
      <c r="BA64" s="923"/>
      <c r="BB64" s="919">
        <v>4.7320000000000002</v>
      </c>
      <c r="BC64" s="919" t="s">
        <v>21</v>
      </c>
      <c r="BD64" s="919" t="s">
        <v>2142</v>
      </c>
      <c r="BE64" s="925" t="s">
        <v>21</v>
      </c>
      <c r="BF64" s="926" t="s">
        <v>21</v>
      </c>
      <c r="BG64" s="925">
        <v>33.799999999999997</v>
      </c>
      <c r="BH64" s="926" t="s">
        <v>21</v>
      </c>
      <c r="BI64" s="925" t="s">
        <v>21</v>
      </c>
      <c r="BJ64" s="926" t="s">
        <v>21</v>
      </c>
      <c r="BK64" s="925" t="s">
        <v>21</v>
      </c>
      <c r="BL64" s="926" t="s">
        <v>21</v>
      </c>
      <c r="BM64" s="925" t="s">
        <v>21</v>
      </c>
      <c r="BN64" s="927"/>
      <c r="BO64" s="927"/>
      <c r="BP64" s="928">
        <v>1</v>
      </c>
      <c r="BQ64" s="928" t="s">
        <v>21</v>
      </c>
      <c r="BR64" s="928" t="s">
        <v>21</v>
      </c>
      <c r="BS64" s="928" t="s">
        <v>21</v>
      </c>
      <c r="BT64" s="928" t="s">
        <v>21</v>
      </c>
      <c r="BU64" s="928" t="s">
        <v>21</v>
      </c>
      <c r="BV64" s="929">
        <v>0.50000000000009104</v>
      </c>
      <c r="BW64" s="929">
        <v>1</v>
      </c>
      <c r="BX64" s="1104">
        <v>2</v>
      </c>
      <c r="BY64" s="931">
        <v>4</v>
      </c>
      <c r="BZ64" s="930"/>
      <c r="CA64" s="1074">
        <v>1</v>
      </c>
      <c r="CB64" s="930"/>
      <c r="CC64" s="930"/>
      <c r="CD64" s="925">
        <v>34.576999999999998</v>
      </c>
      <c r="CE64" s="1130">
        <v>102.583</v>
      </c>
      <c r="CF64" s="1129" t="s">
        <v>21</v>
      </c>
      <c r="CG64" s="1130" t="s">
        <v>21</v>
      </c>
      <c r="CH64" s="1130" t="s">
        <v>21</v>
      </c>
      <c r="CI64" s="1131" t="s">
        <v>21</v>
      </c>
      <c r="CJ64" s="1129" t="s">
        <v>21</v>
      </c>
      <c r="CK64" s="1130">
        <v>102.583</v>
      </c>
      <c r="CL64" s="1130" t="s">
        <v>21</v>
      </c>
      <c r="CM64" s="1131" t="s">
        <v>21</v>
      </c>
      <c r="CN64" s="1130" t="s">
        <v>21</v>
      </c>
      <c r="CP64" s="838" t="s">
        <v>21</v>
      </c>
      <c r="CQ64" s="838" t="s">
        <v>21</v>
      </c>
      <c r="CR64" s="836"/>
    </row>
    <row r="65" spans="1:96" x14ac:dyDescent="0.25">
      <c r="A65" s="935"/>
      <c r="B65" s="932" t="s">
        <v>2474</v>
      </c>
      <c r="C65" s="911">
        <v>600</v>
      </c>
      <c r="D65" s="911" t="s">
        <v>2116</v>
      </c>
      <c r="E65" s="912">
        <v>1196.8399999999999</v>
      </c>
      <c r="F65" s="912">
        <v>1194.921</v>
      </c>
      <c r="G65" s="910" t="s">
        <v>2262</v>
      </c>
      <c r="H65" s="912">
        <v>1195.94</v>
      </c>
      <c r="I65" s="912">
        <v>1194.04</v>
      </c>
      <c r="J65" s="914">
        <v>27.34</v>
      </c>
      <c r="K65" s="915"/>
      <c r="L65" s="916">
        <v>0.1</v>
      </c>
      <c r="M65" s="916">
        <v>0.06</v>
      </c>
      <c r="N65" s="916">
        <v>0.2</v>
      </c>
      <c r="O65" s="916">
        <v>4.8460000000000001</v>
      </c>
      <c r="P65" s="915"/>
      <c r="Q65" s="916">
        <v>2.169</v>
      </c>
      <c r="R65" s="917">
        <v>0.33333333333333331</v>
      </c>
      <c r="S65" s="918">
        <v>1.4</v>
      </c>
      <c r="T65" s="918">
        <v>2.8460000000000001</v>
      </c>
      <c r="U65" s="916">
        <v>4.5730000000000004</v>
      </c>
      <c r="V65" s="916">
        <v>0.92</v>
      </c>
      <c r="W65" s="915"/>
      <c r="X65" s="916">
        <v>0.28299999999999997</v>
      </c>
      <c r="Y65" s="916">
        <v>0.40699999999999997</v>
      </c>
      <c r="Z65" s="916">
        <v>4.6050000000000004</v>
      </c>
      <c r="AA65" s="916">
        <v>1.0229999999999999</v>
      </c>
      <c r="AB65" s="916">
        <v>3.0350000000000001</v>
      </c>
      <c r="AC65" s="915"/>
      <c r="AD65" s="919">
        <v>132.49</v>
      </c>
      <c r="AE65" s="920">
        <v>125.901</v>
      </c>
      <c r="AF65" s="920" t="s">
        <v>21</v>
      </c>
      <c r="AG65" s="920" t="s">
        <v>21</v>
      </c>
      <c r="AH65" s="921">
        <v>125.901</v>
      </c>
      <c r="AI65" s="921" t="s">
        <v>21</v>
      </c>
      <c r="AJ65" s="920" t="s">
        <v>21</v>
      </c>
      <c r="AK65" s="920" t="s">
        <v>21</v>
      </c>
      <c r="AL65" s="921" t="s">
        <v>21</v>
      </c>
      <c r="AM65" s="921" t="s">
        <v>21</v>
      </c>
      <c r="AN65" s="920"/>
      <c r="AO65" s="920" t="s">
        <v>21</v>
      </c>
      <c r="AP65" s="919">
        <v>38.276000000000003</v>
      </c>
      <c r="AQ65" s="922">
        <v>125.02582000000001</v>
      </c>
      <c r="AR65" s="923" t="s">
        <v>21</v>
      </c>
      <c r="AS65" s="923">
        <v>125.02582000000001</v>
      </c>
      <c r="AT65" s="923" t="s">
        <v>21</v>
      </c>
      <c r="AU65" s="923" t="s">
        <v>21</v>
      </c>
      <c r="AV65" s="924" t="s">
        <v>21</v>
      </c>
      <c r="AW65" s="924" t="s">
        <v>21</v>
      </c>
      <c r="AX65" s="924" t="s">
        <v>21</v>
      </c>
      <c r="AY65" s="924" t="s">
        <v>21</v>
      </c>
      <c r="AZ65" s="923" t="s">
        <v>21</v>
      </c>
      <c r="BA65" s="923"/>
      <c r="BB65" s="919">
        <v>3.8279999999999998</v>
      </c>
      <c r="BC65" s="919" t="s">
        <v>21</v>
      </c>
      <c r="BD65" s="919" t="s">
        <v>2142</v>
      </c>
      <c r="BE65" s="925" t="s">
        <v>21</v>
      </c>
      <c r="BF65" s="926" t="s">
        <v>21</v>
      </c>
      <c r="BG65" s="925">
        <v>27.34</v>
      </c>
      <c r="BH65" s="926" t="s">
        <v>21</v>
      </c>
      <c r="BI65" s="925" t="s">
        <v>21</v>
      </c>
      <c r="BJ65" s="926" t="s">
        <v>21</v>
      </c>
      <c r="BK65" s="925" t="s">
        <v>21</v>
      </c>
      <c r="BL65" s="926" t="s">
        <v>21</v>
      </c>
      <c r="BM65" s="925" t="s">
        <v>21</v>
      </c>
      <c r="BN65" s="927"/>
      <c r="BO65" s="927"/>
      <c r="BP65" s="928">
        <v>1</v>
      </c>
      <c r="BQ65" s="928" t="s">
        <v>21</v>
      </c>
      <c r="BR65" s="928" t="s">
        <v>21</v>
      </c>
      <c r="BS65" s="928" t="s">
        <v>21</v>
      </c>
      <c r="BT65" s="928" t="s">
        <v>21</v>
      </c>
      <c r="BU65" s="928" t="s">
        <v>21</v>
      </c>
      <c r="BV65" s="929">
        <v>0.51899999999986912</v>
      </c>
      <c r="BW65" s="929">
        <v>1</v>
      </c>
      <c r="BX65" s="1104">
        <v>2</v>
      </c>
      <c r="BY65" s="931">
        <v>4</v>
      </c>
      <c r="BZ65" s="930">
        <v>1</v>
      </c>
      <c r="CA65" s="1074">
        <v>1</v>
      </c>
      <c r="CB65" s="930"/>
      <c r="CC65" s="930"/>
      <c r="CD65" s="925">
        <v>27.969000000000001</v>
      </c>
      <c r="CE65" s="1130">
        <v>82.977000000000004</v>
      </c>
      <c r="CF65" s="1129" t="s">
        <v>21</v>
      </c>
      <c r="CG65" s="1130" t="s">
        <v>21</v>
      </c>
      <c r="CH65" s="1130" t="s">
        <v>21</v>
      </c>
      <c r="CI65" s="1131" t="s">
        <v>21</v>
      </c>
      <c r="CJ65" s="1129" t="s">
        <v>21</v>
      </c>
      <c r="CK65" s="1130">
        <v>82.977000000000004</v>
      </c>
      <c r="CL65" s="1130" t="s">
        <v>21</v>
      </c>
      <c r="CM65" s="1131" t="s">
        <v>21</v>
      </c>
      <c r="CN65" s="1130" t="s">
        <v>21</v>
      </c>
      <c r="CP65" s="838" t="s">
        <v>21</v>
      </c>
      <c r="CQ65" s="838" t="s">
        <v>21</v>
      </c>
      <c r="CR65" s="836"/>
    </row>
    <row r="66" spans="1:96" x14ac:dyDescent="0.25">
      <c r="A66" s="935"/>
      <c r="B66" s="932"/>
      <c r="C66" s="911"/>
      <c r="D66" s="911"/>
      <c r="E66" s="912"/>
      <c r="F66" s="912"/>
      <c r="G66" s="910"/>
      <c r="H66" s="912"/>
      <c r="I66" s="912"/>
      <c r="J66" s="914"/>
      <c r="K66" s="915"/>
      <c r="L66" s="916" t="s">
        <v>21</v>
      </c>
      <c r="M66" s="916" t="s">
        <v>21</v>
      </c>
      <c r="N66" s="916" t="s">
        <v>21</v>
      </c>
      <c r="O66" s="916" t="s">
        <v>21</v>
      </c>
      <c r="P66" s="915"/>
      <c r="Q66" s="916" t="s">
        <v>21</v>
      </c>
      <c r="R66" s="917" t="s">
        <v>21</v>
      </c>
      <c r="S66" s="918" t="s">
        <v>21</v>
      </c>
      <c r="T66" s="918" t="s">
        <v>21</v>
      </c>
      <c r="U66" s="916" t="s">
        <v>21</v>
      </c>
      <c r="V66" s="916" t="s">
        <v>21</v>
      </c>
      <c r="W66" s="915"/>
      <c r="X66" s="916" t="s">
        <v>21</v>
      </c>
      <c r="Y66" s="916" t="s">
        <v>21</v>
      </c>
      <c r="Z66" s="916" t="s">
        <v>21</v>
      </c>
      <c r="AA66" s="916" t="s">
        <v>21</v>
      </c>
      <c r="AB66" s="916" t="s">
        <v>21</v>
      </c>
      <c r="AC66" s="915"/>
      <c r="AD66" s="919" t="s">
        <v>21</v>
      </c>
      <c r="AE66" s="920" t="s">
        <v>21</v>
      </c>
      <c r="AF66" s="920" t="s">
        <v>21</v>
      </c>
      <c r="AG66" s="920" t="s">
        <v>21</v>
      </c>
      <c r="AH66" s="921" t="s">
        <v>21</v>
      </c>
      <c r="AI66" s="921" t="s">
        <v>21</v>
      </c>
      <c r="AJ66" s="920" t="s">
        <v>21</v>
      </c>
      <c r="AK66" s="920" t="s">
        <v>21</v>
      </c>
      <c r="AL66" s="921" t="s">
        <v>21</v>
      </c>
      <c r="AM66" s="921" t="s">
        <v>21</v>
      </c>
      <c r="AN66" s="920"/>
      <c r="AO66" s="920" t="s">
        <v>21</v>
      </c>
      <c r="AP66" s="919" t="s">
        <v>21</v>
      </c>
      <c r="AQ66" s="922" t="s">
        <v>21</v>
      </c>
      <c r="AR66" s="923" t="s">
        <v>21</v>
      </c>
      <c r="AS66" s="923" t="s">
        <v>21</v>
      </c>
      <c r="AT66" s="923" t="s">
        <v>21</v>
      </c>
      <c r="AU66" s="923" t="s">
        <v>21</v>
      </c>
      <c r="AV66" s="924" t="s">
        <v>21</v>
      </c>
      <c r="AW66" s="924" t="s">
        <v>21</v>
      </c>
      <c r="AX66" s="924" t="s">
        <v>21</v>
      </c>
      <c r="AY66" s="924" t="s">
        <v>21</v>
      </c>
      <c r="AZ66" s="923" t="s">
        <v>21</v>
      </c>
      <c r="BA66" s="923"/>
      <c r="BB66" s="919" t="s">
        <v>21</v>
      </c>
      <c r="BC66" s="919" t="s">
        <v>21</v>
      </c>
      <c r="BD66" s="919" t="s">
        <v>21</v>
      </c>
      <c r="BE66" s="925" t="s">
        <v>21</v>
      </c>
      <c r="BF66" s="926" t="s">
        <v>21</v>
      </c>
      <c r="BG66" s="925" t="s">
        <v>21</v>
      </c>
      <c r="BH66" s="926" t="s">
        <v>21</v>
      </c>
      <c r="BI66" s="925" t="s">
        <v>21</v>
      </c>
      <c r="BJ66" s="926" t="s">
        <v>21</v>
      </c>
      <c r="BK66" s="925" t="s">
        <v>21</v>
      </c>
      <c r="BL66" s="926" t="s">
        <v>21</v>
      </c>
      <c r="BM66" s="925" t="s">
        <v>21</v>
      </c>
      <c r="BN66" s="927"/>
      <c r="BO66" s="927"/>
      <c r="BP66" s="928" t="s">
        <v>21</v>
      </c>
      <c r="BQ66" s="928" t="s">
        <v>21</v>
      </c>
      <c r="BR66" s="928" t="s">
        <v>21</v>
      </c>
      <c r="BS66" s="928" t="s">
        <v>21</v>
      </c>
      <c r="BT66" s="928" t="s">
        <v>21</v>
      </c>
      <c r="BU66" s="928" t="s">
        <v>21</v>
      </c>
      <c r="BV66" s="929" t="s">
        <v>21</v>
      </c>
      <c r="BW66" s="929" t="s">
        <v>21</v>
      </c>
      <c r="BX66" s="1104" t="s">
        <v>21</v>
      </c>
      <c r="BY66" s="931" t="s">
        <v>21</v>
      </c>
      <c r="BZ66" s="930"/>
      <c r="CA66" s="1074"/>
      <c r="CB66" s="930"/>
      <c r="CC66" s="930"/>
      <c r="CD66" s="925" t="s">
        <v>21</v>
      </c>
      <c r="CE66" s="1130" t="s">
        <v>21</v>
      </c>
      <c r="CF66" s="1129" t="s">
        <v>21</v>
      </c>
      <c r="CG66" s="1130" t="s">
        <v>21</v>
      </c>
      <c r="CH66" s="1130" t="s">
        <v>21</v>
      </c>
      <c r="CI66" s="1131" t="s">
        <v>21</v>
      </c>
      <c r="CJ66" s="1129" t="s">
        <v>21</v>
      </c>
      <c r="CK66" s="1130" t="s">
        <v>21</v>
      </c>
      <c r="CL66" s="1130" t="s">
        <v>21</v>
      </c>
      <c r="CM66" s="1131" t="s">
        <v>21</v>
      </c>
      <c r="CN66" s="1130" t="s">
        <v>21</v>
      </c>
      <c r="CP66" s="838" t="s">
        <v>21</v>
      </c>
      <c r="CQ66" s="838" t="s">
        <v>21</v>
      </c>
      <c r="CR66" s="836"/>
    </row>
    <row r="67" spans="1:96" x14ac:dyDescent="0.25">
      <c r="A67" s="935">
        <v>6</v>
      </c>
      <c r="B67" s="932" t="s">
        <v>2236</v>
      </c>
      <c r="C67" s="911">
        <v>600</v>
      </c>
      <c r="D67" s="911" t="s">
        <v>2116</v>
      </c>
      <c r="E67" s="912">
        <v>1198.53</v>
      </c>
      <c r="F67" s="912">
        <v>1196.6300000000001</v>
      </c>
      <c r="G67" s="932" t="s">
        <v>2237</v>
      </c>
      <c r="H67" s="912">
        <v>1198.02</v>
      </c>
      <c r="I67" s="912">
        <v>1196.1199999999999</v>
      </c>
      <c r="J67" s="914">
        <v>11.28</v>
      </c>
      <c r="K67" s="915"/>
      <c r="L67" s="916">
        <v>0.1</v>
      </c>
      <c r="M67" s="916">
        <v>0.06</v>
      </c>
      <c r="N67" s="916">
        <v>0.2</v>
      </c>
      <c r="O67" s="916">
        <v>4.84</v>
      </c>
      <c r="P67" s="915"/>
      <c r="Q67" s="916">
        <v>2.16</v>
      </c>
      <c r="R67" s="917">
        <v>0.33333333333333331</v>
      </c>
      <c r="S67" s="918">
        <v>1.4</v>
      </c>
      <c r="T67" s="918">
        <v>2.84</v>
      </c>
      <c r="U67" s="916">
        <v>4.5540000000000003</v>
      </c>
      <c r="V67" s="916">
        <v>0.92</v>
      </c>
      <c r="W67" s="915"/>
      <c r="X67" s="916">
        <v>0.28299999999999997</v>
      </c>
      <c r="Y67" s="916">
        <v>0.40699999999999997</v>
      </c>
      <c r="Z67" s="916">
        <v>4.5789999999999997</v>
      </c>
      <c r="AA67" s="916">
        <v>1.0229999999999999</v>
      </c>
      <c r="AB67" s="916">
        <v>3.0089999999999999</v>
      </c>
      <c r="AC67" s="915"/>
      <c r="AD67" s="919">
        <v>54.594999999999999</v>
      </c>
      <c r="AE67" s="920">
        <v>51.651000000000003</v>
      </c>
      <c r="AF67" s="920" t="s">
        <v>21</v>
      </c>
      <c r="AG67" s="920" t="s">
        <v>21</v>
      </c>
      <c r="AH67" s="921">
        <v>51.651000000000003</v>
      </c>
      <c r="AI67" s="921" t="s">
        <v>21</v>
      </c>
      <c r="AJ67" s="920" t="s">
        <v>21</v>
      </c>
      <c r="AK67" s="920" t="s">
        <v>21</v>
      </c>
      <c r="AL67" s="921" t="s">
        <v>21</v>
      </c>
      <c r="AM67" s="921" t="s">
        <v>21</v>
      </c>
      <c r="AN67" s="920"/>
      <c r="AO67" s="920" t="s">
        <v>21</v>
      </c>
      <c r="AP67" s="919">
        <v>15.792</v>
      </c>
      <c r="AQ67" s="922">
        <v>51.369120000000002</v>
      </c>
      <c r="AR67" s="923" t="s">
        <v>21</v>
      </c>
      <c r="AS67" s="923">
        <v>51.369120000000002</v>
      </c>
      <c r="AT67" s="923" t="s">
        <v>21</v>
      </c>
      <c r="AU67" s="923" t="s">
        <v>21</v>
      </c>
      <c r="AV67" s="924" t="s">
        <v>21</v>
      </c>
      <c r="AW67" s="924" t="s">
        <v>21</v>
      </c>
      <c r="AX67" s="924" t="s">
        <v>21</v>
      </c>
      <c r="AY67" s="924" t="s">
        <v>21</v>
      </c>
      <c r="AZ67" s="923" t="s">
        <v>21</v>
      </c>
      <c r="BA67" s="923"/>
      <c r="BB67" s="919">
        <v>1.579</v>
      </c>
      <c r="BC67" s="919" t="s">
        <v>21</v>
      </c>
      <c r="BD67" s="919" t="s">
        <v>2142</v>
      </c>
      <c r="BE67" s="925" t="s">
        <v>21</v>
      </c>
      <c r="BF67" s="926" t="s">
        <v>21</v>
      </c>
      <c r="BG67" s="925">
        <v>11.28</v>
      </c>
      <c r="BH67" s="926" t="s">
        <v>21</v>
      </c>
      <c r="BI67" s="925" t="s">
        <v>21</v>
      </c>
      <c r="BJ67" s="926" t="s">
        <v>21</v>
      </c>
      <c r="BK67" s="925" t="s">
        <v>21</v>
      </c>
      <c r="BL67" s="926" t="s">
        <v>21</v>
      </c>
      <c r="BM67" s="925" t="s">
        <v>21</v>
      </c>
      <c r="BN67" s="927"/>
      <c r="BO67" s="927"/>
      <c r="BP67" s="928">
        <v>1</v>
      </c>
      <c r="BQ67" s="928" t="s">
        <v>21</v>
      </c>
      <c r="BR67" s="928" t="s">
        <v>21</v>
      </c>
      <c r="BS67" s="928" t="s">
        <v>21</v>
      </c>
      <c r="BT67" s="928" t="s">
        <v>21</v>
      </c>
      <c r="BU67" s="928" t="s">
        <v>21</v>
      </c>
      <c r="BV67" s="929">
        <v>0.49999999999986366</v>
      </c>
      <c r="BW67" s="929">
        <v>0.5</v>
      </c>
      <c r="BX67" s="1104">
        <v>1</v>
      </c>
      <c r="BY67" s="931">
        <v>3</v>
      </c>
      <c r="BZ67" s="930">
        <v>1</v>
      </c>
      <c r="CA67" s="1074"/>
      <c r="CB67" s="930"/>
      <c r="CC67" s="930"/>
      <c r="CD67" s="925">
        <v>11.539</v>
      </c>
      <c r="CE67" s="1130">
        <v>33.942</v>
      </c>
      <c r="CF67" s="1129" t="s">
        <v>21</v>
      </c>
      <c r="CG67" s="1130" t="s">
        <v>21</v>
      </c>
      <c r="CH67" s="1130" t="s">
        <v>21</v>
      </c>
      <c r="CI67" s="1131" t="s">
        <v>21</v>
      </c>
      <c r="CJ67" s="1129" t="s">
        <v>21</v>
      </c>
      <c r="CK67" s="1130">
        <v>33.942</v>
      </c>
      <c r="CL67" s="1130" t="s">
        <v>21</v>
      </c>
      <c r="CM67" s="1131" t="s">
        <v>21</v>
      </c>
      <c r="CN67" s="1130" t="s">
        <v>21</v>
      </c>
      <c r="CP67" s="838" t="s">
        <v>21</v>
      </c>
      <c r="CQ67" s="838" t="s">
        <v>21</v>
      </c>
      <c r="CR67" s="836"/>
    </row>
    <row r="68" spans="1:96" x14ac:dyDescent="0.25">
      <c r="A68" s="935" t="s">
        <v>3060</v>
      </c>
      <c r="B68" s="932" t="s">
        <v>2237</v>
      </c>
      <c r="C68" s="911">
        <v>600</v>
      </c>
      <c r="D68" s="911" t="s">
        <v>2116</v>
      </c>
      <c r="E68" s="912">
        <v>1198.02</v>
      </c>
      <c r="F68" s="912">
        <v>1196.1199999999999</v>
      </c>
      <c r="G68" s="932" t="s">
        <v>2238</v>
      </c>
      <c r="H68" s="912">
        <v>1195.96</v>
      </c>
      <c r="I68" s="912">
        <v>1194.06</v>
      </c>
      <c r="J68" s="914">
        <v>36.68</v>
      </c>
      <c r="K68" s="915"/>
      <c r="L68" s="916">
        <v>0.1</v>
      </c>
      <c r="M68" s="916">
        <v>0.06</v>
      </c>
      <c r="N68" s="916">
        <v>0.2</v>
      </c>
      <c r="O68" s="916">
        <v>4.84</v>
      </c>
      <c r="P68" s="915"/>
      <c r="Q68" s="916">
        <v>2.16</v>
      </c>
      <c r="R68" s="917">
        <v>0.33333333333333331</v>
      </c>
      <c r="S68" s="918">
        <v>1.4</v>
      </c>
      <c r="T68" s="918">
        <v>2.84</v>
      </c>
      <c r="U68" s="916">
        <v>4.5540000000000003</v>
      </c>
      <c r="V68" s="916">
        <v>0.92</v>
      </c>
      <c r="W68" s="915"/>
      <c r="X68" s="916">
        <v>0.28299999999999997</v>
      </c>
      <c r="Y68" s="916">
        <v>0.40699999999999997</v>
      </c>
      <c r="Z68" s="916">
        <v>4.5789999999999997</v>
      </c>
      <c r="AA68" s="916">
        <v>1.0229999999999999</v>
      </c>
      <c r="AB68" s="916">
        <v>3.0089999999999999</v>
      </c>
      <c r="AC68" s="915"/>
      <c r="AD68" s="919">
        <v>177.53100000000001</v>
      </c>
      <c r="AE68" s="920">
        <v>167.958</v>
      </c>
      <c r="AF68" s="920" t="s">
        <v>21</v>
      </c>
      <c r="AG68" s="920" t="s">
        <v>21</v>
      </c>
      <c r="AH68" s="921">
        <v>167.958</v>
      </c>
      <c r="AI68" s="921" t="s">
        <v>21</v>
      </c>
      <c r="AJ68" s="920" t="s">
        <v>21</v>
      </c>
      <c r="AK68" s="920" t="s">
        <v>21</v>
      </c>
      <c r="AL68" s="921" t="s">
        <v>21</v>
      </c>
      <c r="AM68" s="921" t="s">
        <v>21</v>
      </c>
      <c r="AN68" s="920"/>
      <c r="AO68" s="920" t="s">
        <v>21</v>
      </c>
      <c r="AP68" s="919">
        <v>51.351999999999997</v>
      </c>
      <c r="AQ68" s="922">
        <v>167.04072000000002</v>
      </c>
      <c r="AR68" s="923" t="s">
        <v>21</v>
      </c>
      <c r="AS68" s="923">
        <v>167.04072000000002</v>
      </c>
      <c r="AT68" s="923" t="s">
        <v>21</v>
      </c>
      <c r="AU68" s="923" t="s">
        <v>21</v>
      </c>
      <c r="AV68" s="924" t="s">
        <v>21</v>
      </c>
      <c r="AW68" s="924" t="s">
        <v>21</v>
      </c>
      <c r="AX68" s="924" t="s">
        <v>21</v>
      </c>
      <c r="AY68" s="924" t="s">
        <v>21</v>
      </c>
      <c r="AZ68" s="923" t="s">
        <v>21</v>
      </c>
      <c r="BA68" s="923"/>
      <c r="BB68" s="919">
        <v>5.1349999999999998</v>
      </c>
      <c r="BC68" s="919" t="s">
        <v>21</v>
      </c>
      <c r="BD68" s="919" t="s">
        <v>2142</v>
      </c>
      <c r="BE68" s="925" t="s">
        <v>21</v>
      </c>
      <c r="BF68" s="926" t="s">
        <v>21</v>
      </c>
      <c r="BG68" s="925">
        <v>36.68</v>
      </c>
      <c r="BH68" s="926" t="s">
        <v>21</v>
      </c>
      <c r="BI68" s="925" t="s">
        <v>21</v>
      </c>
      <c r="BJ68" s="926" t="s">
        <v>21</v>
      </c>
      <c r="BK68" s="925" t="s">
        <v>21</v>
      </c>
      <c r="BL68" s="926" t="s">
        <v>21</v>
      </c>
      <c r="BM68" s="925" t="s">
        <v>21</v>
      </c>
      <c r="BN68" s="927"/>
      <c r="BO68" s="927"/>
      <c r="BP68" s="928">
        <v>1</v>
      </c>
      <c r="BQ68" s="928" t="s">
        <v>21</v>
      </c>
      <c r="BR68" s="928" t="s">
        <v>21</v>
      </c>
      <c r="BS68" s="928" t="s">
        <v>21</v>
      </c>
      <c r="BT68" s="928" t="s">
        <v>21</v>
      </c>
      <c r="BU68" s="928" t="s">
        <v>21</v>
      </c>
      <c r="BV68" s="929">
        <v>0.50000000000009104</v>
      </c>
      <c r="BW68" s="929">
        <v>1</v>
      </c>
      <c r="BX68" s="1104">
        <v>2</v>
      </c>
      <c r="BY68" s="931">
        <v>4</v>
      </c>
      <c r="BZ68" s="930">
        <v>1</v>
      </c>
      <c r="CA68" s="1074"/>
      <c r="CB68" s="930"/>
      <c r="CC68" s="930"/>
      <c r="CD68" s="925">
        <v>37.524000000000001</v>
      </c>
      <c r="CE68" s="1130">
        <v>110.37</v>
      </c>
      <c r="CF68" s="1129" t="s">
        <v>21</v>
      </c>
      <c r="CG68" s="1130" t="s">
        <v>21</v>
      </c>
      <c r="CH68" s="1130" t="s">
        <v>21</v>
      </c>
      <c r="CI68" s="1131" t="s">
        <v>21</v>
      </c>
      <c r="CJ68" s="1129" t="s">
        <v>21</v>
      </c>
      <c r="CK68" s="1130">
        <v>110.37</v>
      </c>
      <c r="CL68" s="1130" t="s">
        <v>21</v>
      </c>
      <c r="CM68" s="1131" t="s">
        <v>21</v>
      </c>
      <c r="CN68" s="1130" t="s">
        <v>21</v>
      </c>
      <c r="CP68" s="838" t="s">
        <v>21</v>
      </c>
      <c r="CQ68" s="838" t="s">
        <v>21</v>
      </c>
      <c r="CR68" s="836"/>
    </row>
    <row r="69" spans="1:96" x14ac:dyDescent="0.25">
      <c r="A69" s="935" t="s">
        <v>3065</v>
      </c>
      <c r="B69" s="932" t="s">
        <v>2238</v>
      </c>
      <c r="C69" s="911">
        <v>600</v>
      </c>
      <c r="D69" s="911" t="s">
        <v>2116</v>
      </c>
      <c r="E69" s="912">
        <v>1195.96</v>
      </c>
      <c r="F69" s="912">
        <v>1194.01</v>
      </c>
      <c r="G69" s="932" t="s">
        <v>2239</v>
      </c>
      <c r="H69" s="912">
        <v>1192.3699999999999</v>
      </c>
      <c r="I69" s="912">
        <v>1190.47</v>
      </c>
      <c r="J69" s="914">
        <v>44.81</v>
      </c>
      <c r="K69" s="915"/>
      <c r="L69" s="916">
        <v>0.1</v>
      </c>
      <c r="M69" s="916">
        <v>0.06</v>
      </c>
      <c r="N69" s="916">
        <v>0.2</v>
      </c>
      <c r="O69" s="916">
        <v>4.8570000000000002</v>
      </c>
      <c r="P69" s="915"/>
      <c r="Q69" s="916">
        <v>2.1850000000000001</v>
      </c>
      <c r="R69" s="917">
        <v>0.33333333333333331</v>
      </c>
      <c r="S69" s="918">
        <v>1.4</v>
      </c>
      <c r="T69" s="918">
        <v>2.8570000000000002</v>
      </c>
      <c r="U69" s="916">
        <v>4.6059999999999999</v>
      </c>
      <c r="V69" s="916">
        <v>0.92</v>
      </c>
      <c r="W69" s="915"/>
      <c r="X69" s="916">
        <v>0.28299999999999997</v>
      </c>
      <c r="Y69" s="916">
        <v>0.40699999999999997</v>
      </c>
      <c r="Z69" s="916">
        <v>4.6509999999999998</v>
      </c>
      <c r="AA69" s="916">
        <v>1.0229999999999999</v>
      </c>
      <c r="AB69" s="916">
        <v>3.081</v>
      </c>
      <c r="AC69" s="915"/>
      <c r="AD69" s="919">
        <v>217.642</v>
      </c>
      <c r="AE69" s="920">
        <v>208.411</v>
      </c>
      <c r="AF69" s="920" t="s">
        <v>21</v>
      </c>
      <c r="AG69" s="920" t="s">
        <v>21</v>
      </c>
      <c r="AH69" s="921">
        <v>208.411</v>
      </c>
      <c r="AI69" s="921" t="s">
        <v>21</v>
      </c>
      <c r="AJ69" s="920" t="s">
        <v>21</v>
      </c>
      <c r="AK69" s="920" t="s">
        <v>21</v>
      </c>
      <c r="AL69" s="921" t="s">
        <v>21</v>
      </c>
      <c r="AM69" s="921" t="s">
        <v>21</v>
      </c>
      <c r="AN69" s="920"/>
      <c r="AO69" s="920" t="s">
        <v>21</v>
      </c>
      <c r="AP69" s="919">
        <v>62.734000000000002</v>
      </c>
      <c r="AQ69" s="922">
        <v>206.39485999999999</v>
      </c>
      <c r="AR69" s="923" t="s">
        <v>21</v>
      </c>
      <c r="AS69" s="923">
        <v>206.39485999999999</v>
      </c>
      <c r="AT69" s="923" t="s">
        <v>21</v>
      </c>
      <c r="AU69" s="923" t="s">
        <v>21</v>
      </c>
      <c r="AV69" s="924" t="s">
        <v>21</v>
      </c>
      <c r="AW69" s="924" t="s">
        <v>21</v>
      </c>
      <c r="AX69" s="924" t="s">
        <v>21</v>
      </c>
      <c r="AY69" s="924" t="s">
        <v>21</v>
      </c>
      <c r="AZ69" s="923" t="s">
        <v>21</v>
      </c>
      <c r="BA69" s="923"/>
      <c r="BB69" s="919">
        <v>6.2729999999999997</v>
      </c>
      <c r="BC69" s="919" t="s">
        <v>21</v>
      </c>
      <c r="BD69" s="919" t="s">
        <v>2142</v>
      </c>
      <c r="BE69" s="925" t="s">
        <v>21</v>
      </c>
      <c r="BF69" s="926" t="s">
        <v>21</v>
      </c>
      <c r="BG69" s="925">
        <v>44.81</v>
      </c>
      <c r="BH69" s="926" t="s">
        <v>21</v>
      </c>
      <c r="BI69" s="925" t="s">
        <v>21</v>
      </c>
      <c r="BJ69" s="926" t="s">
        <v>21</v>
      </c>
      <c r="BK69" s="925" t="s">
        <v>21</v>
      </c>
      <c r="BL69" s="926" t="s">
        <v>21</v>
      </c>
      <c r="BM69" s="925" t="s">
        <v>21</v>
      </c>
      <c r="BN69" s="927"/>
      <c r="BO69" s="927"/>
      <c r="BP69" s="928">
        <v>1</v>
      </c>
      <c r="BQ69" s="928" t="s">
        <v>21</v>
      </c>
      <c r="BR69" s="928" t="s">
        <v>21</v>
      </c>
      <c r="BS69" s="928" t="s">
        <v>21</v>
      </c>
      <c r="BT69" s="928" t="s">
        <v>21</v>
      </c>
      <c r="BU69" s="928" t="s">
        <v>21</v>
      </c>
      <c r="BV69" s="929">
        <v>0.55000000000004556</v>
      </c>
      <c r="BW69" s="929">
        <v>1</v>
      </c>
      <c r="BX69" s="1104">
        <v>2</v>
      </c>
      <c r="BY69" s="931">
        <v>4</v>
      </c>
      <c r="BZ69" s="930">
        <v>1</v>
      </c>
      <c r="CA69" s="1074"/>
      <c r="CB69" s="930"/>
      <c r="CC69" s="930"/>
      <c r="CD69" s="925">
        <v>45.841000000000001</v>
      </c>
      <c r="CE69" s="1130">
        <v>138.06</v>
      </c>
      <c r="CF69" s="1129" t="s">
        <v>21</v>
      </c>
      <c r="CG69" s="1130" t="s">
        <v>21</v>
      </c>
      <c r="CH69" s="1130" t="s">
        <v>21</v>
      </c>
      <c r="CI69" s="1131" t="s">
        <v>21</v>
      </c>
      <c r="CJ69" s="1129" t="s">
        <v>21</v>
      </c>
      <c r="CK69" s="1130">
        <v>138.06</v>
      </c>
      <c r="CL69" s="1130" t="s">
        <v>21</v>
      </c>
      <c r="CM69" s="1131" t="s">
        <v>21</v>
      </c>
      <c r="CN69" s="1130" t="s">
        <v>21</v>
      </c>
      <c r="CP69" s="838" t="s">
        <v>21</v>
      </c>
      <c r="CQ69" s="838" t="s">
        <v>21</v>
      </c>
      <c r="CR69" s="836"/>
    </row>
    <row r="70" spans="1:96" x14ac:dyDescent="0.25">
      <c r="A70" s="935" t="s">
        <v>3061</v>
      </c>
      <c r="B70" s="932" t="s">
        <v>2239</v>
      </c>
      <c r="C70" s="911">
        <v>600</v>
      </c>
      <c r="D70" s="911" t="s">
        <v>2116</v>
      </c>
      <c r="E70" s="912">
        <v>1192.3699999999999</v>
      </c>
      <c r="F70" s="912">
        <v>1190.47</v>
      </c>
      <c r="G70" s="932" t="s">
        <v>3066</v>
      </c>
      <c r="H70" s="912">
        <v>1193.3800000000001</v>
      </c>
      <c r="I70" s="912">
        <v>1190.3320000000001</v>
      </c>
      <c r="J70" s="914">
        <v>27.59</v>
      </c>
      <c r="K70" s="915"/>
      <c r="L70" s="916">
        <v>0.1</v>
      </c>
      <c r="M70" s="916">
        <v>0.06</v>
      </c>
      <c r="N70" s="916">
        <v>0.2</v>
      </c>
      <c r="O70" s="916">
        <v>5.2229999999999999</v>
      </c>
      <c r="P70" s="915"/>
      <c r="Q70" s="916">
        <v>2.734</v>
      </c>
      <c r="R70" s="917">
        <v>0.33333333333333331</v>
      </c>
      <c r="S70" s="918">
        <v>1.4</v>
      </c>
      <c r="T70" s="918">
        <v>3.2229999999999999</v>
      </c>
      <c r="U70" s="916">
        <v>5.7640000000000002</v>
      </c>
      <c r="V70" s="916">
        <v>0.92</v>
      </c>
      <c r="W70" s="915"/>
      <c r="X70" s="916">
        <v>0.28299999999999997</v>
      </c>
      <c r="Y70" s="916">
        <v>0.40699999999999997</v>
      </c>
      <c r="Z70" s="916">
        <v>6.32</v>
      </c>
      <c r="AA70" s="916">
        <v>1.0229999999999999</v>
      </c>
      <c r="AB70" s="916">
        <v>4.75</v>
      </c>
      <c r="AC70" s="915"/>
      <c r="AD70" s="919">
        <v>144.10300000000001</v>
      </c>
      <c r="AE70" s="920">
        <v>174.369</v>
      </c>
      <c r="AF70" s="920" t="s">
        <v>21</v>
      </c>
      <c r="AG70" s="920" t="s">
        <v>21</v>
      </c>
      <c r="AH70" s="921">
        <v>174.369</v>
      </c>
      <c r="AI70" s="921" t="s">
        <v>21</v>
      </c>
      <c r="AJ70" s="920" t="s">
        <v>21</v>
      </c>
      <c r="AK70" s="920" t="s">
        <v>21</v>
      </c>
      <c r="AL70" s="921" t="s">
        <v>21</v>
      </c>
      <c r="AM70" s="921" t="s">
        <v>21</v>
      </c>
      <c r="AN70" s="920"/>
      <c r="AO70" s="920" t="s">
        <v>21</v>
      </c>
      <c r="AP70" s="919">
        <v>38.625999999999998</v>
      </c>
      <c r="AQ70" s="922">
        <v>159.02876000000001</v>
      </c>
      <c r="AR70" s="923" t="s">
        <v>21</v>
      </c>
      <c r="AS70" s="923">
        <v>159.02876000000001</v>
      </c>
      <c r="AT70" s="923" t="s">
        <v>21</v>
      </c>
      <c r="AU70" s="923" t="s">
        <v>21</v>
      </c>
      <c r="AV70" s="924" t="s">
        <v>21</v>
      </c>
      <c r="AW70" s="924" t="s">
        <v>21</v>
      </c>
      <c r="AX70" s="924" t="s">
        <v>21</v>
      </c>
      <c r="AY70" s="924" t="s">
        <v>21</v>
      </c>
      <c r="AZ70" s="923" t="s">
        <v>21</v>
      </c>
      <c r="BA70" s="923"/>
      <c r="BB70" s="919">
        <v>3.863</v>
      </c>
      <c r="BC70" s="919" t="s">
        <v>21</v>
      </c>
      <c r="BD70" s="919" t="s">
        <v>2142</v>
      </c>
      <c r="BE70" s="925" t="s">
        <v>21</v>
      </c>
      <c r="BF70" s="926" t="s">
        <v>21</v>
      </c>
      <c r="BG70" s="925">
        <v>27.59</v>
      </c>
      <c r="BH70" s="926" t="s">
        <v>21</v>
      </c>
      <c r="BI70" s="925" t="s">
        <v>21</v>
      </c>
      <c r="BJ70" s="926" t="s">
        <v>21</v>
      </c>
      <c r="BK70" s="925" t="s">
        <v>21</v>
      </c>
      <c r="BL70" s="926" t="s">
        <v>21</v>
      </c>
      <c r="BM70" s="925" t="s">
        <v>21</v>
      </c>
      <c r="BN70" s="927"/>
      <c r="BO70" s="927"/>
      <c r="BP70" s="928">
        <v>1</v>
      </c>
      <c r="BQ70" s="928" t="s">
        <v>21</v>
      </c>
      <c r="BR70" s="928" t="s">
        <v>21</v>
      </c>
      <c r="BS70" s="928" t="s">
        <v>21</v>
      </c>
      <c r="BT70" s="928" t="s">
        <v>21</v>
      </c>
      <c r="BU70" s="928" t="s">
        <v>21</v>
      </c>
      <c r="BV70" s="929">
        <v>0.49999999999986366</v>
      </c>
      <c r="BW70" s="929">
        <v>0.5</v>
      </c>
      <c r="BX70" s="1104">
        <v>1</v>
      </c>
      <c r="BY70" s="931">
        <v>3</v>
      </c>
      <c r="BZ70" s="930">
        <v>2</v>
      </c>
      <c r="CA70" s="1074"/>
      <c r="CB70" s="930"/>
      <c r="CC70" s="930"/>
      <c r="CD70" s="925">
        <v>28.225000000000001</v>
      </c>
      <c r="CE70" s="1130">
        <v>131.053</v>
      </c>
      <c r="CF70" s="1129" t="s">
        <v>21</v>
      </c>
      <c r="CG70" s="1130" t="s">
        <v>21</v>
      </c>
      <c r="CH70" s="1130" t="s">
        <v>21</v>
      </c>
      <c r="CI70" s="1131" t="s">
        <v>21</v>
      </c>
      <c r="CJ70" s="1129" t="s">
        <v>21</v>
      </c>
      <c r="CK70" s="1130">
        <v>131.053</v>
      </c>
      <c r="CL70" s="1130" t="s">
        <v>21</v>
      </c>
      <c r="CM70" s="1131" t="s">
        <v>21</v>
      </c>
      <c r="CN70" s="1130" t="s">
        <v>21</v>
      </c>
      <c r="CP70" s="838" t="s">
        <v>21</v>
      </c>
      <c r="CQ70" s="838" t="s">
        <v>21</v>
      </c>
      <c r="CR70" s="836"/>
    </row>
    <row r="71" spans="1:96" x14ac:dyDescent="0.25">
      <c r="A71" s="935"/>
      <c r="B71" s="932" t="s">
        <v>3066</v>
      </c>
      <c r="C71" s="911">
        <v>800</v>
      </c>
      <c r="D71" s="911" t="s">
        <v>2116</v>
      </c>
      <c r="E71" s="912">
        <v>1193.3800000000001</v>
      </c>
      <c r="F71" s="912">
        <v>1190.1320000000001</v>
      </c>
      <c r="G71" s="932" t="s">
        <v>3067</v>
      </c>
      <c r="H71" s="912">
        <v>1193.6199999999999</v>
      </c>
      <c r="I71" s="912">
        <v>1190.0640000000001</v>
      </c>
      <c r="J71" s="914">
        <v>36.909999999999997</v>
      </c>
      <c r="K71" s="915"/>
      <c r="L71" s="916">
        <v>0.15</v>
      </c>
      <c r="M71" s="916">
        <v>7.5999999999999998E-2</v>
      </c>
      <c r="N71" s="916">
        <v>0.2</v>
      </c>
      <c r="O71" s="916">
        <v>6.1849999999999996</v>
      </c>
      <c r="P71" s="915"/>
      <c r="Q71" s="916">
        <v>3.7280000000000002</v>
      </c>
      <c r="R71" s="917">
        <v>0.33333333333333331</v>
      </c>
      <c r="S71" s="918">
        <v>1.7</v>
      </c>
      <c r="T71" s="918">
        <v>4.1849999999999996</v>
      </c>
      <c r="U71" s="916">
        <v>7.859</v>
      </c>
      <c r="V71" s="916">
        <v>1.1519999999999999</v>
      </c>
      <c r="W71" s="915"/>
      <c r="X71" s="916">
        <v>0.503</v>
      </c>
      <c r="Y71" s="916">
        <v>0.71199999999999997</v>
      </c>
      <c r="Z71" s="916">
        <v>10.97</v>
      </c>
      <c r="AA71" s="916">
        <v>1.4339999999999999</v>
      </c>
      <c r="AB71" s="916">
        <v>8.5690000000000008</v>
      </c>
      <c r="AC71" s="915"/>
      <c r="AD71" s="919">
        <v>228.28800000000001</v>
      </c>
      <c r="AE71" s="920">
        <v>404.90300000000002</v>
      </c>
      <c r="AF71" s="920" t="s">
        <v>21</v>
      </c>
      <c r="AG71" s="920" t="s">
        <v>21</v>
      </c>
      <c r="AH71" s="921" t="s">
        <v>21</v>
      </c>
      <c r="AI71" s="921" t="s">
        <v>21</v>
      </c>
      <c r="AJ71" s="920" t="s">
        <v>21</v>
      </c>
      <c r="AK71" s="920">
        <v>404.90300000000002</v>
      </c>
      <c r="AL71" s="921" t="s">
        <v>21</v>
      </c>
      <c r="AM71" s="921" t="s">
        <v>21</v>
      </c>
      <c r="AN71" s="920"/>
      <c r="AO71" s="920" t="s">
        <v>21</v>
      </c>
      <c r="AP71" s="919">
        <v>62.747</v>
      </c>
      <c r="AQ71" s="922">
        <v>290.07568999999995</v>
      </c>
      <c r="AR71" s="923" t="s">
        <v>21</v>
      </c>
      <c r="AS71" s="923" t="s">
        <v>21</v>
      </c>
      <c r="AT71" s="923" t="s">
        <v>21</v>
      </c>
      <c r="AU71" s="923" t="s">
        <v>21</v>
      </c>
      <c r="AV71" s="924" t="s">
        <v>21</v>
      </c>
      <c r="AW71" s="924" t="s">
        <v>21</v>
      </c>
      <c r="AX71" s="924">
        <v>290.07568999999995</v>
      </c>
      <c r="AY71" s="924" t="s">
        <v>21</v>
      </c>
      <c r="AZ71" s="923" t="s">
        <v>21</v>
      </c>
      <c r="BA71" s="923"/>
      <c r="BB71" s="919" t="s">
        <v>21</v>
      </c>
      <c r="BC71" s="919">
        <v>9.4120000000000008</v>
      </c>
      <c r="BD71" s="919" t="s">
        <v>2152</v>
      </c>
      <c r="BE71" s="925" t="s">
        <v>21</v>
      </c>
      <c r="BF71" s="926" t="s">
        <v>21</v>
      </c>
      <c r="BG71" s="925" t="s">
        <v>21</v>
      </c>
      <c r="BH71" s="926">
        <v>36.909999999999997</v>
      </c>
      <c r="BI71" s="925" t="s">
        <v>21</v>
      </c>
      <c r="BJ71" s="926" t="s">
        <v>21</v>
      </c>
      <c r="BK71" s="925" t="s">
        <v>21</v>
      </c>
      <c r="BL71" s="926" t="s">
        <v>21</v>
      </c>
      <c r="BM71" s="925" t="s">
        <v>21</v>
      </c>
      <c r="BN71" s="927"/>
      <c r="BO71" s="927"/>
      <c r="BP71" s="928" t="s">
        <v>21</v>
      </c>
      <c r="BQ71" s="928">
        <v>1</v>
      </c>
      <c r="BR71" s="928" t="s">
        <v>21</v>
      </c>
      <c r="BS71" s="928" t="s">
        <v>21</v>
      </c>
      <c r="BT71" s="928" t="s">
        <v>21</v>
      </c>
      <c r="BU71" s="928" t="s">
        <v>21</v>
      </c>
      <c r="BV71" s="929">
        <v>1.7480000000000473</v>
      </c>
      <c r="BW71" s="929">
        <v>2</v>
      </c>
      <c r="BX71" s="1104">
        <v>4</v>
      </c>
      <c r="BY71" s="931">
        <v>6</v>
      </c>
      <c r="BZ71" s="930">
        <v>2</v>
      </c>
      <c r="CA71" s="1074"/>
      <c r="CB71" s="930"/>
      <c r="CC71" s="930"/>
      <c r="CD71" s="925">
        <v>52.929000000000002</v>
      </c>
      <c r="CE71" s="1130">
        <v>316.28199999999998</v>
      </c>
      <c r="CF71" s="1129" t="s">
        <v>21</v>
      </c>
      <c r="CG71" s="1130" t="s">
        <v>21</v>
      </c>
      <c r="CH71" s="1130" t="s">
        <v>21</v>
      </c>
      <c r="CI71" s="1131" t="s">
        <v>21</v>
      </c>
      <c r="CJ71" s="1129" t="s">
        <v>21</v>
      </c>
      <c r="CK71" s="1130" t="s">
        <v>21</v>
      </c>
      <c r="CL71" s="1130" t="s">
        <v>21</v>
      </c>
      <c r="CM71" s="1131" t="s">
        <v>21</v>
      </c>
      <c r="CN71" s="1130">
        <v>316.28199999999998</v>
      </c>
      <c r="CP71" s="838" t="s">
        <v>21</v>
      </c>
      <c r="CQ71" s="838" t="s">
        <v>21</v>
      </c>
      <c r="CR71" s="836"/>
    </row>
    <row r="72" spans="1:96" x14ac:dyDescent="0.25">
      <c r="A72" s="935"/>
      <c r="B72" s="932" t="s">
        <v>3067</v>
      </c>
      <c r="C72" s="911">
        <v>800</v>
      </c>
      <c r="D72" s="911" t="s">
        <v>2116</v>
      </c>
      <c r="E72" s="912">
        <v>1193.6199999999999</v>
      </c>
      <c r="F72" s="912">
        <v>1190.0640000000001</v>
      </c>
      <c r="G72" s="910" t="s">
        <v>2264</v>
      </c>
      <c r="H72" s="912">
        <v>1192.99</v>
      </c>
      <c r="I72" s="912">
        <v>1189.992</v>
      </c>
      <c r="J72" s="914">
        <v>44.2</v>
      </c>
      <c r="K72" s="915"/>
      <c r="L72" s="916">
        <v>0.15</v>
      </c>
      <c r="M72" s="916">
        <v>7.5999999999999998E-2</v>
      </c>
      <c r="N72" s="916">
        <v>0.2</v>
      </c>
      <c r="O72" s="916">
        <v>6.1020000000000003</v>
      </c>
      <c r="P72" s="915"/>
      <c r="Q72" s="916">
        <v>3.6030000000000002</v>
      </c>
      <c r="R72" s="917">
        <v>0.33333333333333331</v>
      </c>
      <c r="S72" s="918">
        <v>1.7</v>
      </c>
      <c r="T72" s="918">
        <v>4.1020000000000003</v>
      </c>
      <c r="U72" s="916">
        <v>7.5960000000000001</v>
      </c>
      <c r="V72" s="916">
        <v>1.1519999999999999</v>
      </c>
      <c r="W72" s="915"/>
      <c r="X72" s="916">
        <v>0.503</v>
      </c>
      <c r="Y72" s="916">
        <v>0.71199999999999997</v>
      </c>
      <c r="Z72" s="916">
        <v>10.452</v>
      </c>
      <c r="AA72" s="916">
        <v>1.4339999999999999</v>
      </c>
      <c r="AB72" s="916">
        <v>8.0510000000000002</v>
      </c>
      <c r="AC72" s="915"/>
      <c r="AD72" s="919">
        <v>269.70800000000003</v>
      </c>
      <c r="AE72" s="920">
        <v>461.97800000000001</v>
      </c>
      <c r="AF72" s="920" t="s">
        <v>21</v>
      </c>
      <c r="AG72" s="920" t="s">
        <v>21</v>
      </c>
      <c r="AH72" s="921" t="s">
        <v>21</v>
      </c>
      <c r="AI72" s="921" t="s">
        <v>21</v>
      </c>
      <c r="AJ72" s="920" t="s">
        <v>21</v>
      </c>
      <c r="AK72" s="920">
        <v>461.97800000000001</v>
      </c>
      <c r="AL72" s="921" t="s">
        <v>21</v>
      </c>
      <c r="AM72" s="921" t="s">
        <v>21</v>
      </c>
      <c r="AN72" s="920"/>
      <c r="AO72" s="920" t="s">
        <v>21</v>
      </c>
      <c r="AP72" s="919">
        <v>75.14</v>
      </c>
      <c r="AQ72" s="922">
        <v>335.7432</v>
      </c>
      <c r="AR72" s="923" t="s">
        <v>21</v>
      </c>
      <c r="AS72" s="923" t="s">
        <v>21</v>
      </c>
      <c r="AT72" s="923" t="s">
        <v>21</v>
      </c>
      <c r="AU72" s="923" t="s">
        <v>21</v>
      </c>
      <c r="AV72" s="924" t="s">
        <v>21</v>
      </c>
      <c r="AW72" s="924" t="s">
        <v>21</v>
      </c>
      <c r="AX72" s="924">
        <v>335.7432</v>
      </c>
      <c r="AY72" s="924" t="s">
        <v>21</v>
      </c>
      <c r="AZ72" s="923" t="s">
        <v>21</v>
      </c>
      <c r="BA72" s="923"/>
      <c r="BB72" s="919" t="s">
        <v>21</v>
      </c>
      <c r="BC72" s="919">
        <v>11.271000000000001</v>
      </c>
      <c r="BD72" s="919" t="s">
        <v>2152</v>
      </c>
      <c r="BE72" s="925" t="s">
        <v>21</v>
      </c>
      <c r="BF72" s="926" t="s">
        <v>21</v>
      </c>
      <c r="BG72" s="925" t="s">
        <v>21</v>
      </c>
      <c r="BH72" s="926">
        <v>44.2</v>
      </c>
      <c r="BI72" s="925" t="s">
        <v>21</v>
      </c>
      <c r="BJ72" s="926" t="s">
        <v>21</v>
      </c>
      <c r="BK72" s="925" t="s">
        <v>21</v>
      </c>
      <c r="BL72" s="926" t="s">
        <v>21</v>
      </c>
      <c r="BM72" s="925" t="s">
        <v>21</v>
      </c>
      <c r="BN72" s="927"/>
      <c r="BO72" s="927"/>
      <c r="BP72" s="928" t="s">
        <v>21</v>
      </c>
      <c r="BQ72" s="928">
        <v>1</v>
      </c>
      <c r="BR72" s="928" t="s">
        <v>21</v>
      </c>
      <c r="BS72" s="928" t="s">
        <v>21</v>
      </c>
      <c r="BT72" s="928" t="s">
        <v>21</v>
      </c>
      <c r="BU72" s="928" t="s">
        <v>21</v>
      </c>
      <c r="BV72" s="929">
        <v>2.0559999999998126</v>
      </c>
      <c r="BW72" s="929">
        <v>2.5</v>
      </c>
      <c r="BX72" s="1104">
        <v>5</v>
      </c>
      <c r="BY72" s="931">
        <v>7</v>
      </c>
      <c r="BZ72" s="930">
        <v>1</v>
      </c>
      <c r="CA72" s="1074"/>
      <c r="CB72" s="930"/>
      <c r="CC72" s="930"/>
      <c r="CD72" s="925">
        <v>63.383000000000003</v>
      </c>
      <c r="CE72" s="1130">
        <v>355.85399999999998</v>
      </c>
      <c r="CF72" s="1129" t="s">
        <v>21</v>
      </c>
      <c r="CG72" s="1130" t="s">
        <v>21</v>
      </c>
      <c r="CH72" s="1130" t="s">
        <v>21</v>
      </c>
      <c r="CI72" s="1131" t="s">
        <v>21</v>
      </c>
      <c r="CJ72" s="1129" t="s">
        <v>21</v>
      </c>
      <c r="CK72" s="1130" t="s">
        <v>21</v>
      </c>
      <c r="CL72" s="1130" t="s">
        <v>21</v>
      </c>
      <c r="CM72" s="1131" t="s">
        <v>21</v>
      </c>
      <c r="CN72" s="1130">
        <v>355.85399999999998</v>
      </c>
      <c r="CP72" s="838" t="s">
        <v>21</v>
      </c>
      <c r="CQ72" s="838" t="s">
        <v>21</v>
      </c>
      <c r="CR72" s="836"/>
    </row>
    <row r="73" spans="1:96" x14ac:dyDescent="0.25">
      <c r="A73" s="935"/>
      <c r="B73" s="932"/>
      <c r="C73" s="911"/>
      <c r="D73" s="911"/>
      <c r="E73" s="912"/>
      <c r="F73" s="912"/>
      <c r="G73" s="910"/>
      <c r="H73" s="912"/>
      <c r="I73" s="912"/>
      <c r="J73" s="914"/>
      <c r="K73" s="915"/>
      <c r="L73" s="916" t="s">
        <v>21</v>
      </c>
      <c r="M73" s="916" t="s">
        <v>21</v>
      </c>
      <c r="N73" s="916" t="s">
        <v>21</v>
      </c>
      <c r="O73" s="916" t="s">
        <v>21</v>
      </c>
      <c r="P73" s="915"/>
      <c r="Q73" s="916" t="s">
        <v>21</v>
      </c>
      <c r="R73" s="917" t="s">
        <v>21</v>
      </c>
      <c r="S73" s="918" t="s">
        <v>21</v>
      </c>
      <c r="T73" s="918" t="s">
        <v>21</v>
      </c>
      <c r="U73" s="916" t="s">
        <v>21</v>
      </c>
      <c r="V73" s="916" t="s">
        <v>21</v>
      </c>
      <c r="W73" s="915"/>
      <c r="X73" s="916" t="s">
        <v>21</v>
      </c>
      <c r="Y73" s="916" t="s">
        <v>21</v>
      </c>
      <c r="Z73" s="916" t="s">
        <v>21</v>
      </c>
      <c r="AA73" s="916" t="s">
        <v>21</v>
      </c>
      <c r="AB73" s="916" t="s">
        <v>21</v>
      </c>
      <c r="AC73" s="915"/>
      <c r="AD73" s="919" t="s">
        <v>21</v>
      </c>
      <c r="AE73" s="920" t="s">
        <v>21</v>
      </c>
      <c r="AF73" s="920" t="s">
        <v>21</v>
      </c>
      <c r="AG73" s="920" t="s">
        <v>21</v>
      </c>
      <c r="AH73" s="921" t="s">
        <v>21</v>
      </c>
      <c r="AI73" s="921" t="s">
        <v>21</v>
      </c>
      <c r="AJ73" s="920" t="s">
        <v>21</v>
      </c>
      <c r="AK73" s="920" t="s">
        <v>21</v>
      </c>
      <c r="AL73" s="921" t="s">
        <v>21</v>
      </c>
      <c r="AM73" s="921" t="s">
        <v>21</v>
      </c>
      <c r="AN73" s="920"/>
      <c r="AO73" s="920" t="s">
        <v>21</v>
      </c>
      <c r="AP73" s="919" t="s">
        <v>21</v>
      </c>
      <c r="AQ73" s="922" t="s">
        <v>21</v>
      </c>
      <c r="AR73" s="923" t="s">
        <v>21</v>
      </c>
      <c r="AS73" s="923" t="s">
        <v>21</v>
      </c>
      <c r="AT73" s="923" t="s">
        <v>21</v>
      </c>
      <c r="AU73" s="923" t="s">
        <v>21</v>
      </c>
      <c r="AV73" s="924" t="s">
        <v>21</v>
      </c>
      <c r="AW73" s="924" t="s">
        <v>21</v>
      </c>
      <c r="AX73" s="924" t="s">
        <v>21</v>
      </c>
      <c r="AY73" s="924" t="s">
        <v>21</v>
      </c>
      <c r="AZ73" s="923" t="s">
        <v>21</v>
      </c>
      <c r="BA73" s="923"/>
      <c r="BB73" s="919" t="s">
        <v>21</v>
      </c>
      <c r="BC73" s="919" t="s">
        <v>21</v>
      </c>
      <c r="BD73" s="919" t="s">
        <v>21</v>
      </c>
      <c r="BE73" s="925" t="s">
        <v>21</v>
      </c>
      <c r="BF73" s="926" t="s">
        <v>21</v>
      </c>
      <c r="BG73" s="925" t="s">
        <v>21</v>
      </c>
      <c r="BH73" s="926" t="s">
        <v>21</v>
      </c>
      <c r="BI73" s="925" t="s">
        <v>21</v>
      </c>
      <c r="BJ73" s="926" t="s">
        <v>21</v>
      </c>
      <c r="BK73" s="925" t="s">
        <v>21</v>
      </c>
      <c r="BL73" s="926" t="s">
        <v>21</v>
      </c>
      <c r="BM73" s="925" t="s">
        <v>21</v>
      </c>
      <c r="BN73" s="927"/>
      <c r="BO73" s="927"/>
      <c r="BP73" s="928" t="s">
        <v>21</v>
      </c>
      <c r="BQ73" s="928" t="s">
        <v>21</v>
      </c>
      <c r="BR73" s="928" t="s">
        <v>21</v>
      </c>
      <c r="BS73" s="928" t="s">
        <v>21</v>
      </c>
      <c r="BT73" s="928" t="s">
        <v>21</v>
      </c>
      <c r="BU73" s="928" t="s">
        <v>21</v>
      </c>
      <c r="BV73" s="929" t="s">
        <v>21</v>
      </c>
      <c r="BW73" s="929" t="s">
        <v>21</v>
      </c>
      <c r="BX73" s="1104" t="s">
        <v>21</v>
      </c>
      <c r="BY73" s="931" t="s">
        <v>21</v>
      </c>
      <c r="BZ73" s="930"/>
      <c r="CA73" s="1074"/>
      <c r="CB73" s="930"/>
      <c r="CC73" s="930"/>
      <c r="CD73" s="925" t="s">
        <v>21</v>
      </c>
      <c r="CE73" s="1130" t="s">
        <v>21</v>
      </c>
      <c r="CF73" s="1129" t="s">
        <v>21</v>
      </c>
      <c r="CG73" s="1130" t="s">
        <v>21</v>
      </c>
      <c r="CH73" s="1130" t="s">
        <v>21</v>
      </c>
      <c r="CI73" s="1131" t="s">
        <v>21</v>
      </c>
      <c r="CJ73" s="1129" t="s">
        <v>21</v>
      </c>
      <c r="CK73" s="1130" t="s">
        <v>21</v>
      </c>
      <c r="CL73" s="1130" t="s">
        <v>21</v>
      </c>
      <c r="CM73" s="1131" t="s">
        <v>21</v>
      </c>
      <c r="CN73" s="1130" t="s">
        <v>21</v>
      </c>
      <c r="CP73" s="838" t="s">
        <v>21</v>
      </c>
      <c r="CQ73" s="838" t="s">
        <v>21</v>
      </c>
      <c r="CR73" s="836"/>
    </row>
    <row r="74" spans="1:96" x14ac:dyDescent="0.25">
      <c r="A74" s="935">
        <v>7</v>
      </c>
      <c r="B74" s="932" t="s">
        <v>2269</v>
      </c>
      <c r="C74" s="911">
        <v>600</v>
      </c>
      <c r="D74" s="911" t="s">
        <v>2116</v>
      </c>
      <c r="E74" s="912">
        <v>1185.5</v>
      </c>
      <c r="F74" s="912">
        <v>1183.3</v>
      </c>
      <c r="G74" s="932" t="s">
        <v>2270</v>
      </c>
      <c r="H74" s="912">
        <v>1186.22</v>
      </c>
      <c r="I74" s="912">
        <v>1183.32</v>
      </c>
      <c r="J74" s="914">
        <v>15.06</v>
      </c>
      <c r="K74" s="915"/>
      <c r="L74" s="916">
        <v>0.1</v>
      </c>
      <c r="M74" s="916">
        <v>0.06</v>
      </c>
      <c r="N74" s="916">
        <v>0.2</v>
      </c>
      <c r="O74" s="916">
        <v>5.2729999999999997</v>
      </c>
      <c r="P74" s="915"/>
      <c r="Q74" s="916">
        <v>2.81</v>
      </c>
      <c r="R74" s="917">
        <v>0.33333333333333331</v>
      </c>
      <c r="S74" s="918">
        <v>1.4</v>
      </c>
      <c r="T74" s="918">
        <v>3.2730000000000001</v>
      </c>
      <c r="U74" s="916">
        <v>5.9240000000000004</v>
      </c>
      <c r="V74" s="916">
        <v>0.92</v>
      </c>
      <c r="W74" s="915"/>
      <c r="X74" s="916">
        <v>0.28299999999999997</v>
      </c>
      <c r="Y74" s="916">
        <v>0.40699999999999997</v>
      </c>
      <c r="Z74" s="916">
        <v>6.5659999999999998</v>
      </c>
      <c r="AA74" s="916">
        <v>1.0229999999999999</v>
      </c>
      <c r="AB74" s="916">
        <v>4.9960000000000004</v>
      </c>
      <c r="AC74" s="915"/>
      <c r="AD74" s="919">
        <v>79.411000000000001</v>
      </c>
      <c r="AE74" s="920">
        <v>98.884</v>
      </c>
      <c r="AF74" s="920" t="s">
        <v>21</v>
      </c>
      <c r="AG74" s="920" t="s">
        <v>21</v>
      </c>
      <c r="AH74" s="921">
        <v>98.884</v>
      </c>
      <c r="AI74" s="921" t="s">
        <v>21</v>
      </c>
      <c r="AJ74" s="920" t="s">
        <v>21</v>
      </c>
      <c r="AK74" s="920" t="s">
        <v>21</v>
      </c>
      <c r="AL74" s="921" t="s">
        <v>21</v>
      </c>
      <c r="AM74" s="921" t="s">
        <v>21</v>
      </c>
      <c r="AN74" s="920"/>
      <c r="AO74" s="920" t="s">
        <v>21</v>
      </c>
      <c r="AP74" s="919">
        <v>21.084</v>
      </c>
      <c r="AQ74" s="922">
        <v>89.215440000000015</v>
      </c>
      <c r="AR74" s="923" t="s">
        <v>21</v>
      </c>
      <c r="AS74" s="923">
        <v>89.215440000000015</v>
      </c>
      <c r="AT74" s="923" t="s">
        <v>21</v>
      </c>
      <c r="AU74" s="923" t="s">
        <v>21</v>
      </c>
      <c r="AV74" s="924" t="s">
        <v>21</v>
      </c>
      <c r="AW74" s="924" t="s">
        <v>21</v>
      </c>
      <c r="AX74" s="924" t="s">
        <v>21</v>
      </c>
      <c r="AY74" s="924" t="s">
        <v>21</v>
      </c>
      <c r="AZ74" s="923" t="s">
        <v>21</v>
      </c>
      <c r="BA74" s="923"/>
      <c r="BB74" s="919">
        <v>2.1080000000000001</v>
      </c>
      <c r="BC74" s="919" t="s">
        <v>21</v>
      </c>
      <c r="BD74" s="919" t="s">
        <v>2142</v>
      </c>
      <c r="BE74" s="925" t="s">
        <v>21</v>
      </c>
      <c r="BF74" s="926" t="s">
        <v>21</v>
      </c>
      <c r="BG74" s="925">
        <v>15.06</v>
      </c>
      <c r="BH74" s="926" t="s">
        <v>21</v>
      </c>
      <c r="BI74" s="925" t="s">
        <v>21</v>
      </c>
      <c r="BJ74" s="926" t="s">
        <v>21</v>
      </c>
      <c r="BK74" s="925" t="s">
        <v>21</v>
      </c>
      <c r="BL74" s="926" t="s">
        <v>21</v>
      </c>
      <c r="BM74" s="925" t="s">
        <v>21</v>
      </c>
      <c r="BN74" s="927"/>
      <c r="BO74" s="927"/>
      <c r="BP74" s="928">
        <v>1</v>
      </c>
      <c r="BQ74" s="928" t="s">
        <v>21</v>
      </c>
      <c r="BR74" s="928" t="s">
        <v>21</v>
      </c>
      <c r="BS74" s="928" t="s">
        <v>21</v>
      </c>
      <c r="BT74" s="928" t="s">
        <v>21</v>
      </c>
      <c r="BU74" s="928" t="s">
        <v>21</v>
      </c>
      <c r="BV74" s="929">
        <v>0.80000000000004556</v>
      </c>
      <c r="BW74" s="929">
        <v>1</v>
      </c>
      <c r="BX74" s="1104">
        <v>2</v>
      </c>
      <c r="BY74" s="931">
        <v>4</v>
      </c>
      <c r="BZ74" s="930"/>
      <c r="CA74" s="1074">
        <v>1</v>
      </c>
      <c r="CB74" s="930"/>
      <c r="CC74" s="930"/>
      <c r="CD74" s="925">
        <v>15.406000000000001</v>
      </c>
      <c r="CE74" s="1130">
        <v>75.239999999999995</v>
      </c>
      <c r="CF74" s="1129" t="s">
        <v>21</v>
      </c>
      <c r="CG74" s="1130" t="s">
        <v>21</v>
      </c>
      <c r="CH74" s="1130" t="s">
        <v>21</v>
      </c>
      <c r="CI74" s="1131" t="s">
        <v>21</v>
      </c>
      <c r="CJ74" s="1129" t="s">
        <v>21</v>
      </c>
      <c r="CK74" s="1130">
        <v>75.239999999999995</v>
      </c>
      <c r="CL74" s="1130" t="s">
        <v>21</v>
      </c>
      <c r="CM74" s="1131" t="s">
        <v>21</v>
      </c>
      <c r="CN74" s="1130" t="s">
        <v>21</v>
      </c>
      <c r="CP74" s="838" t="s">
        <v>21</v>
      </c>
      <c r="CQ74" s="838" t="s">
        <v>21</v>
      </c>
      <c r="CR74" s="836"/>
    </row>
    <row r="75" spans="1:96" x14ac:dyDescent="0.25">
      <c r="A75" s="935" t="s">
        <v>3060</v>
      </c>
      <c r="B75" s="932" t="s">
        <v>2270</v>
      </c>
      <c r="C75" s="911">
        <v>600</v>
      </c>
      <c r="D75" s="911" t="s">
        <v>2116</v>
      </c>
      <c r="E75" s="912">
        <v>1186.22</v>
      </c>
      <c r="F75" s="912">
        <v>1183.32</v>
      </c>
      <c r="G75" s="932" t="s">
        <v>2292</v>
      </c>
      <c r="H75" s="912">
        <v>1184.3</v>
      </c>
      <c r="I75" s="912">
        <v>1182.4000000000001</v>
      </c>
      <c r="J75" s="914">
        <v>40.82</v>
      </c>
      <c r="K75" s="915"/>
      <c r="L75" s="916">
        <v>0.1</v>
      </c>
      <c r="M75" s="916">
        <v>0.06</v>
      </c>
      <c r="N75" s="916">
        <v>0.2</v>
      </c>
      <c r="O75" s="916">
        <v>5.173</v>
      </c>
      <c r="P75" s="915"/>
      <c r="Q75" s="916">
        <v>2.66</v>
      </c>
      <c r="R75" s="917">
        <v>0.33333333333333331</v>
      </c>
      <c r="S75" s="918">
        <v>1.4</v>
      </c>
      <c r="T75" s="918">
        <v>3.173</v>
      </c>
      <c r="U75" s="916">
        <v>5.6079999999999997</v>
      </c>
      <c r="V75" s="916">
        <v>0.92</v>
      </c>
      <c r="W75" s="915"/>
      <c r="X75" s="916">
        <v>0.28299999999999997</v>
      </c>
      <c r="Y75" s="916">
        <v>0.40699999999999997</v>
      </c>
      <c r="Z75" s="916">
        <v>6.0819999999999999</v>
      </c>
      <c r="AA75" s="916">
        <v>1.0229999999999999</v>
      </c>
      <c r="AB75" s="916">
        <v>4.5119999999999996</v>
      </c>
      <c r="AC75" s="915"/>
      <c r="AD75" s="919">
        <v>211.16200000000001</v>
      </c>
      <c r="AE75" s="920">
        <v>248.267</v>
      </c>
      <c r="AF75" s="920" t="s">
        <v>21</v>
      </c>
      <c r="AG75" s="920" t="s">
        <v>21</v>
      </c>
      <c r="AH75" s="921">
        <v>248.267</v>
      </c>
      <c r="AI75" s="921" t="s">
        <v>21</v>
      </c>
      <c r="AJ75" s="920" t="s">
        <v>21</v>
      </c>
      <c r="AK75" s="920" t="s">
        <v>21</v>
      </c>
      <c r="AL75" s="921" t="s">
        <v>21</v>
      </c>
      <c r="AM75" s="921" t="s">
        <v>21</v>
      </c>
      <c r="AN75" s="920"/>
      <c r="AO75" s="920" t="s">
        <v>21</v>
      </c>
      <c r="AP75" s="919">
        <v>57.148000000000003</v>
      </c>
      <c r="AQ75" s="922">
        <v>228.91855999999999</v>
      </c>
      <c r="AR75" s="923" t="s">
        <v>21</v>
      </c>
      <c r="AS75" s="923">
        <v>228.91855999999999</v>
      </c>
      <c r="AT75" s="923" t="s">
        <v>21</v>
      </c>
      <c r="AU75" s="923" t="s">
        <v>21</v>
      </c>
      <c r="AV75" s="924" t="s">
        <v>21</v>
      </c>
      <c r="AW75" s="924" t="s">
        <v>21</v>
      </c>
      <c r="AX75" s="924" t="s">
        <v>21</v>
      </c>
      <c r="AY75" s="924" t="s">
        <v>21</v>
      </c>
      <c r="AZ75" s="923" t="s">
        <v>21</v>
      </c>
      <c r="BA75" s="923"/>
      <c r="BB75" s="919">
        <v>5.7149999999999999</v>
      </c>
      <c r="BC75" s="919" t="s">
        <v>21</v>
      </c>
      <c r="BD75" s="919" t="s">
        <v>2142</v>
      </c>
      <c r="BE75" s="925" t="s">
        <v>21</v>
      </c>
      <c r="BF75" s="926" t="s">
        <v>21</v>
      </c>
      <c r="BG75" s="925">
        <v>40.82</v>
      </c>
      <c r="BH75" s="926" t="s">
        <v>21</v>
      </c>
      <c r="BI75" s="925" t="s">
        <v>21</v>
      </c>
      <c r="BJ75" s="926" t="s">
        <v>21</v>
      </c>
      <c r="BK75" s="925" t="s">
        <v>21</v>
      </c>
      <c r="BL75" s="926" t="s">
        <v>21</v>
      </c>
      <c r="BM75" s="925" t="s">
        <v>21</v>
      </c>
      <c r="BN75" s="927"/>
      <c r="BO75" s="927"/>
      <c r="BP75" s="928">
        <v>1</v>
      </c>
      <c r="BQ75" s="928" t="s">
        <v>21</v>
      </c>
      <c r="BR75" s="928" t="s">
        <v>21</v>
      </c>
      <c r="BS75" s="928" t="s">
        <v>21</v>
      </c>
      <c r="BT75" s="928" t="s">
        <v>21</v>
      </c>
      <c r="BU75" s="928" t="s">
        <v>21</v>
      </c>
      <c r="BV75" s="929">
        <v>1.500000000000091</v>
      </c>
      <c r="BW75" s="929">
        <v>2</v>
      </c>
      <c r="BX75" s="1104">
        <v>4</v>
      </c>
      <c r="BY75" s="931">
        <v>6</v>
      </c>
      <c r="BZ75" s="930"/>
      <c r="CA75" s="1074"/>
      <c r="CB75" s="930"/>
      <c r="CC75" s="930"/>
      <c r="CD75" s="925">
        <v>41.759</v>
      </c>
      <c r="CE75" s="1130">
        <v>184.18</v>
      </c>
      <c r="CF75" s="1129" t="s">
        <v>21</v>
      </c>
      <c r="CG75" s="1130" t="s">
        <v>21</v>
      </c>
      <c r="CH75" s="1130" t="s">
        <v>21</v>
      </c>
      <c r="CI75" s="1131" t="s">
        <v>21</v>
      </c>
      <c r="CJ75" s="1129" t="s">
        <v>21</v>
      </c>
      <c r="CK75" s="1130">
        <v>184.18</v>
      </c>
      <c r="CL75" s="1130" t="s">
        <v>21</v>
      </c>
      <c r="CM75" s="1131" t="s">
        <v>21</v>
      </c>
      <c r="CN75" s="1130" t="s">
        <v>21</v>
      </c>
      <c r="CP75" s="838" t="s">
        <v>21</v>
      </c>
      <c r="CQ75" s="838" t="s">
        <v>21</v>
      </c>
      <c r="CR75" s="836"/>
    </row>
    <row r="76" spans="1:96" x14ac:dyDescent="0.25">
      <c r="A76" s="935" t="s">
        <v>3065</v>
      </c>
      <c r="B76" s="932" t="s">
        <v>2292</v>
      </c>
      <c r="C76" s="911">
        <v>600</v>
      </c>
      <c r="D76" s="911" t="s">
        <v>2116</v>
      </c>
      <c r="E76" s="912">
        <v>1184.3</v>
      </c>
      <c r="F76" s="912">
        <v>1182.4000000000001</v>
      </c>
      <c r="G76" s="932" t="s">
        <v>2293</v>
      </c>
      <c r="H76" s="912">
        <v>1185.1199999999999</v>
      </c>
      <c r="I76" s="912">
        <v>1182.127</v>
      </c>
      <c r="J76" s="914">
        <v>44.57</v>
      </c>
      <c r="K76" s="915"/>
      <c r="L76" s="916">
        <v>0.1</v>
      </c>
      <c r="M76" s="916">
        <v>0.06</v>
      </c>
      <c r="N76" s="916">
        <v>0.2</v>
      </c>
      <c r="O76" s="916">
        <v>5.2040000000000006</v>
      </c>
      <c r="P76" s="915"/>
      <c r="Q76" s="916">
        <v>2.706</v>
      </c>
      <c r="R76" s="917">
        <v>0.33333333333333331</v>
      </c>
      <c r="S76" s="918">
        <v>1.4</v>
      </c>
      <c r="T76" s="918">
        <v>3.2040000000000002</v>
      </c>
      <c r="U76" s="916">
        <v>5.7050000000000001</v>
      </c>
      <c r="V76" s="916">
        <v>0.92</v>
      </c>
      <c r="W76" s="915"/>
      <c r="X76" s="916">
        <v>0.28299999999999997</v>
      </c>
      <c r="Y76" s="916">
        <v>0.40699999999999997</v>
      </c>
      <c r="Z76" s="916">
        <v>6.2290000000000001</v>
      </c>
      <c r="AA76" s="916">
        <v>1.0229999999999999</v>
      </c>
      <c r="AB76" s="916">
        <v>4.6589999999999998</v>
      </c>
      <c r="AC76" s="915"/>
      <c r="AD76" s="919">
        <v>231.94200000000001</v>
      </c>
      <c r="AE76" s="920">
        <v>277.62700000000001</v>
      </c>
      <c r="AF76" s="920" t="s">
        <v>21</v>
      </c>
      <c r="AG76" s="920" t="s">
        <v>21</v>
      </c>
      <c r="AH76" s="921">
        <v>277.62700000000001</v>
      </c>
      <c r="AI76" s="921" t="s">
        <v>21</v>
      </c>
      <c r="AJ76" s="920" t="s">
        <v>21</v>
      </c>
      <c r="AK76" s="920" t="s">
        <v>21</v>
      </c>
      <c r="AL76" s="921" t="s">
        <v>21</v>
      </c>
      <c r="AM76" s="921" t="s">
        <v>21</v>
      </c>
      <c r="AN76" s="920"/>
      <c r="AO76" s="920" t="s">
        <v>21</v>
      </c>
      <c r="AP76" s="919">
        <v>62.398000000000003</v>
      </c>
      <c r="AQ76" s="922">
        <v>254.27185</v>
      </c>
      <c r="AR76" s="923" t="s">
        <v>21</v>
      </c>
      <c r="AS76" s="923">
        <v>254.27185</v>
      </c>
      <c r="AT76" s="923" t="s">
        <v>21</v>
      </c>
      <c r="AU76" s="923" t="s">
        <v>21</v>
      </c>
      <c r="AV76" s="924" t="s">
        <v>21</v>
      </c>
      <c r="AW76" s="924" t="s">
        <v>21</v>
      </c>
      <c r="AX76" s="924" t="s">
        <v>21</v>
      </c>
      <c r="AY76" s="924" t="s">
        <v>21</v>
      </c>
      <c r="AZ76" s="923" t="s">
        <v>21</v>
      </c>
      <c r="BA76" s="923"/>
      <c r="BB76" s="919">
        <v>6.24</v>
      </c>
      <c r="BC76" s="919" t="s">
        <v>21</v>
      </c>
      <c r="BD76" s="919" t="s">
        <v>2142</v>
      </c>
      <c r="BE76" s="925" t="s">
        <v>21</v>
      </c>
      <c r="BF76" s="926" t="s">
        <v>21</v>
      </c>
      <c r="BG76" s="925">
        <v>44.57</v>
      </c>
      <c r="BH76" s="926" t="s">
        <v>21</v>
      </c>
      <c r="BI76" s="925" t="s">
        <v>21</v>
      </c>
      <c r="BJ76" s="926" t="s">
        <v>21</v>
      </c>
      <c r="BK76" s="925" t="s">
        <v>21</v>
      </c>
      <c r="BL76" s="926" t="s">
        <v>21</v>
      </c>
      <c r="BM76" s="925" t="s">
        <v>21</v>
      </c>
      <c r="BN76" s="927"/>
      <c r="BO76" s="927"/>
      <c r="BP76" s="928">
        <v>1</v>
      </c>
      <c r="BQ76" s="928" t="s">
        <v>21</v>
      </c>
      <c r="BR76" s="928" t="s">
        <v>21</v>
      </c>
      <c r="BS76" s="928" t="s">
        <v>21</v>
      </c>
      <c r="BT76" s="928" t="s">
        <v>21</v>
      </c>
      <c r="BU76" s="928" t="s">
        <v>21</v>
      </c>
      <c r="BV76" s="929">
        <v>0.49999999999986366</v>
      </c>
      <c r="BW76" s="929">
        <v>0.5</v>
      </c>
      <c r="BX76" s="1104">
        <v>1</v>
      </c>
      <c r="BY76" s="931">
        <v>3</v>
      </c>
      <c r="BZ76" s="930">
        <v>1</v>
      </c>
      <c r="CA76" s="1074"/>
      <c r="CB76" s="930"/>
      <c r="CC76" s="930"/>
      <c r="CD76" s="925">
        <v>45.594999999999999</v>
      </c>
      <c r="CE76" s="1130">
        <v>207.65199999999999</v>
      </c>
      <c r="CF76" s="1129" t="s">
        <v>21</v>
      </c>
      <c r="CG76" s="1130" t="s">
        <v>21</v>
      </c>
      <c r="CH76" s="1130" t="s">
        <v>21</v>
      </c>
      <c r="CI76" s="1131" t="s">
        <v>21</v>
      </c>
      <c r="CJ76" s="1129" t="s">
        <v>21</v>
      </c>
      <c r="CK76" s="1130">
        <v>207.65199999999999</v>
      </c>
      <c r="CL76" s="1130" t="s">
        <v>21</v>
      </c>
      <c r="CM76" s="1131" t="s">
        <v>21</v>
      </c>
      <c r="CN76" s="1130" t="s">
        <v>21</v>
      </c>
      <c r="CP76" s="838" t="s">
        <v>21</v>
      </c>
      <c r="CQ76" s="838" t="s">
        <v>21</v>
      </c>
      <c r="CR76" s="836"/>
    </row>
    <row r="77" spans="1:96" x14ac:dyDescent="0.25">
      <c r="A77" s="935" t="s">
        <v>3061</v>
      </c>
      <c r="B77" s="932" t="s">
        <v>2293</v>
      </c>
      <c r="C77" s="911">
        <v>600</v>
      </c>
      <c r="D77" s="911" t="s">
        <v>2116</v>
      </c>
      <c r="E77" s="912">
        <v>1185.1199999999999</v>
      </c>
      <c r="F77" s="912">
        <v>1182.127</v>
      </c>
      <c r="G77" s="932" t="s">
        <v>3046</v>
      </c>
      <c r="H77" s="912">
        <v>1184.81</v>
      </c>
      <c r="I77" s="912">
        <v>1181.877</v>
      </c>
      <c r="J77" s="914">
        <v>50.03</v>
      </c>
      <c r="K77" s="915"/>
      <c r="L77" s="916">
        <v>0.1</v>
      </c>
      <c r="M77" s="916">
        <v>0.06</v>
      </c>
      <c r="N77" s="916">
        <v>0.2</v>
      </c>
      <c r="O77" s="916">
        <v>5.5489999999999995</v>
      </c>
      <c r="P77" s="915"/>
      <c r="Q77" s="916">
        <v>3.2229999999999999</v>
      </c>
      <c r="R77" s="917">
        <v>0.33333333333333331</v>
      </c>
      <c r="S77" s="918">
        <v>1.4</v>
      </c>
      <c r="T77" s="918">
        <v>3.5489999999999999</v>
      </c>
      <c r="U77" s="916">
        <v>6.7949999999999999</v>
      </c>
      <c r="V77" s="916">
        <v>0.92</v>
      </c>
      <c r="W77" s="915"/>
      <c r="X77" s="916">
        <v>0.28299999999999997</v>
      </c>
      <c r="Y77" s="916">
        <v>0.40699999999999997</v>
      </c>
      <c r="Z77" s="916">
        <v>7.9749999999999996</v>
      </c>
      <c r="AA77" s="916">
        <v>1.0229999999999999</v>
      </c>
      <c r="AB77" s="916">
        <v>6.4050000000000002</v>
      </c>
      <c r="AC77" s="915"/>
      <c r="AD77" s="919">
        <v>277.61599999999999</v>
      </c>
      <c r="AE77" s="920">
        <v>398.98899999999998</v>
      </c>
      <c r="AF77" s="920" t="s">
        <v>21</v>
      </c>
      <c r="AG77" s="920" t="s">
        <v>21</v>
      </c>
      <c r="AH77" s="921">
        <v>398.98899999999998</v>
      </c>
      <c r="AI77" s="921" t="s">
        <v>21</v>
      </c>
      <c r="AJ77" s="920" t="s">
        <v>21</v>
      </c>
      <c r="AK77" s="920" t="s">
        <v>21</v>
      </c>
      <c r="AL77" s="921" t="s">
        <v>21</v>
      </c>
      <c r="AM77" s="921" t="s">
        <v>21</v>
      </c>
      <c r="AN77" s="920"/>
      <c r="AO77" s="920" t="s">
        <v>21</v>
      </c>
      <c r="AP77" s="919">
        <v>70.042000000000002</v>
      </c>
      <c r="AQ77" s="922">
        <v>339.95384999999999</v>
      </c>
      <c r="AR77" s="923" t="s">
        <v>21</v>
      </c>
      <c r="AS77" s="923">
        <v>339.95384999999999</v>
      </c>
      <c r="AT77" s="923" t="s">
        <v>21</v>
      </c>
      <c r="AU77" s="923" t="s">
        <v>21</v>
      </c>
      <c r="AV77" s="924" t="s">
        <v>21</v>
      </c>
      <c r="AW77" s="924" t="s">
        <v>21</v>
      </c>
      <c r="AX77" s="924" t="s">
        <v>21</v>
      </c>
      <c r="AY77" s="924" t="s">
        <v>21</v>
      </c>
      <c r="AZ77" s="923" t="s">
        <v>21</v>
      </c>
      <c r="BA77" s="923"/>
      <c r="BB77" s="919">
        <v>7.0039999999999996</v>
      </c>
      <c r="BC77" s="919" t="s">
        <v>21</v>
      </c>
      <c r="BD77" s="919" t="s">
        <v>2152</v>
      </c>
      <c r="BE77" s="925" t="s">
        <v>21</v>
      </c>
      <c r="BF77" s="926" t="s">
        <v>21</v>
      </c>
      <c r="BG77" s="925">
        <v>50.03</v>
      </c>
      <c r="BH77" s="926" t="s">
        <v>21</v>
      </c>
      <c r="BI77" s="925" t="s">
        <v>21</v>
      </c>
      <c r="BJ77" s="926" t="s">
        <v>21</v>
      </c>
      <c r="BK77" s="925" t="s">
        <v>21</v>
      </c>
      <c r="BL77" s="926" t="s">
        <v>21</v>
      </c>
      <c r="BM77" s="925" t="s">
        <v>21</v>
      </c>
      <c r="BN77" s="927"/>
      <c r="BO77" s="927"/>
      <c r="BP77" s="928">
        <v>1</v>
      </c>
      <c r="BQ77" s="928" t="s">
        <v>21</v>
      </c>
      <c r="BR77" s="928" t="s">
        <v>21</v>
      </c>
      <c r="BS77" s="928" t="s">
        <v>21</v>
      </c>
      <c r="BT77" s="928" t="s">
        <v>21</v>
      </c>
      <c r="BU77" s="928" t="s">
        <v>21</v>
      </c>
      <c r="BV77" s="929">
        <v>1.5929999999999382</v>
      </c>
      <c r="BW77" s="929">
        <v>2</v>
      </c>
      <c r="BX77" s="1104">
        <v>4</v>
      </c>
      <c r="BY77" s="931">
        <v>6</v>
      </c>
      <c r="BZ77" s="930">
        <v>1</v>
      </c>
      <c r="CA77" s="1074"/>
      <c r="CB77" s="930"/>
      <c r="CC77" s="930"/>
      <c r="CD77" s="925">
        <v>51.180999999999997</v>
      </c>
      <c r="CE77" s="1130">
        <v>320.44200000000001</v>
      </c>
      <c r="CF77" s="1129" t="s">
        <v>21</v>
      </c>
      <c r="CG77" s="1130" t="s">
        <v>21</v>
      </c>
      <c r="CH77" s="1130" t="s">
        <v>21</v>
      </c>
      <c r="CI77" s="1131" t="s">
        <v>21</v>
      </c>
      <c r="CJ77" s="1129" t="s">
        <v>21</v>
      </c>
      <c r="CK77" s="1130" t="s">
        <v>21</v>
      </c>
      <c r="CL77" s="1130">
        <v>320.44200000000001</v>
      </c>
      <c r="CM77" s="1131" t="s">
        <v>21</v>
      </c>
      <c r="CN77" s="1130" t="s">
        <v>21</v>
      </c>
      <c r="CP77" s="838" t="s">
        <v>21</v>
      </c>
      <c r="CQ77" s="838" t="s">
        <v>21</v>
      </c>
      <c r="CR77" s="836"/>
    </row>
    <row r="78" spans="1:96" x14ac:dyDescent="0.25">
      <c r="A78" s="935"/>
      <c r="B78" s="932"/>
      <c r="C78" s="911"/>
      <c r="D78" s="911"/>
      <c r="E78" s="912"/>
      <c r="F78" s="912"/>
      <c r="G78" s="910"/>
      <c r="H78" s="912"/>
      <c r="I78" s="912"/>
      <c r="J78" s="914"/>
      <c r="K78" s="915"/>
      <c r="L78" s="916" t="s">
        <v>21</v>
      </c>
      <c r="M78" s="916" t="s">
        <v>21</v>
      </c>
      <c r="N78" s="916" t="s">
        <v>21</v>
      </c>
      <c r="O78" s="916" t="s">
        <v>21</v>
      </c>
      <c r="P78" s="915"/>
      <c r="Q78" s="916" t="s">
        <v>21</v>
      </c>
      <c r="R78" s="917" t="s">
        <v>21</v>
      </c>
      <c r="S78" s="918" t="s">
        <v>21</v>
      </c>
      <c r="T78" s="918" t="s">
        <v>21</v>
      </c>
      <c r="U78" s="916" t="s">
        <v>21</v>
      </c>
      <c r="V78" s="916" t="s">
        <v>21</v>
      </c>
      <c r="W78" s="915"/>
      <c r="X78" s="916" t="s">
        <v>21</v>
      </c>
      <c r="Y78" s="916" t="s">
        <v>21</v>
      </c>
      <c r="Z78" s="916" t="s">
        <v>21</v>
      </c>
      <c r="AA78" s="916" t="s">
        <v>21</v>
      </c>
      <c r="AB78" s="916" t="s">
        <v>21</v>
      </c>
      <c r="AC78" s="915"/>
      <c r="AD78" s="919" t="s">
        <v>21</v>
      </c>
      <c r="AE78" s="920" t="s">
        <v>21</v>
      </c>
      <c r="AF78" s="920" t="s">
        <v>21</v>
      </c>
      <c r="AG78" s="920" t="s">
        <v>21</v>
      </c>
      <c r="AH78" s="921" t="s">
        <v>21</v>
      </c>
      <c r="AI78" s="921" t="s">
        <v>21</v>
      </c>
      <c r="AJ78" s="920" t="s">
        <v>21</v>
      </c>
      <c r="AK78" s="920" t="s">
        <v>21</v>
      </c>
      <c r="AL78" s="921" t="s">
        <v>21</v>
      </c>
      <c r="AM78" s="921" t="s">
        <v>21</v>
      </c>
      <c r="AN78" s="920"/>
      <c r="AO78" s="920" t="s">
        <v>21</v>
      </c>
      <c r="AP78" s="919" t="s">
        <v>21</v>
      </c>
      <c r="AQ78" s="922" t="s">
        <v>21</v>
      </c>
      <c r="AR78" s="923" t="s">
        <v>21</v>
      </c>
      <c r="AS78" s="923" t="s">
        <v>21</v>
      </c>
      <c r="AT78" s="923" t="s">
        <v>21</v>
      </c>
      <c r="AU78" s="923" t="s">
        <v>21</v>
      </c>
      <c r="AV78" s="924" t="s">
        <v>21</v>
      </c>
      <c r="AW78" s="924" t="s">
        <v>21</v>
      </c>
      <c r="AX78" s="924" t="s">
        <v>21</v>
      </c>
      <c r="AY78" s="924" t="s">
        <v>21</v>
      </c>
      <c r="AZ78" s="923" t="s">
        <v>21</v>
      </c>
      <c r="BA78" s="923"/>
      <c r="BB78" s="919" t="s">
        <v>21</v>
      </c>
      <c r="BC78" s="919" t="s">
        <v>21</v>
      </c>
      <c r="BD78" s="919" t="s">
        <v>21</v>
      </c>
      <c r="BE78" s="925" t="s">
        <v>21</v>
      </c>
      <c r="BF78" s="926" t="s">
        <v>21</v>
      </c>
      <c r="BG78" s="925" t="s">
        <v>21</v>
      </c>
      <c r="BH78" s="926" t="s">
        <v>21</v>
      </c>
      <c r="BI78" s="925" t="s">
        <v>21</v>
      </c>
      <c r="BJ78" s="926" t="s">
        <v>21</v>
      </c>
      <c r="BK78" s="925" t="s">
        <v>21</v>
      </c>
      <c r="BL78" s="926" t="s">
        <v>21</v>
      </c>
      <c r="BM78" s="925" t="s">
        <v>21</v>
      </c>
      <c r="BN78" s="927"/>
      <c r="BO78" s="927"/>
      <c r="BP78" s="928" t="s">
        <v>21</v>
      </c>
      <c r="BQ78" s="928" t="s">
        <v>21</v>
      </c>
      <c r="BR78" s="928" t="s">
        <v>21</v>
      </c>
      <c r="BS78" s="928" t="s">
        <v>21</v>
      </c>
      <c r="BT78" s="928" t="s">
        <v>21</v>
      </c>
      <c r="BU78" s="928" t="s">
        <v>21</v>
      </c>
      <c r="BV78" s="929" t="s">
        <v>21</v>
      </c>
      <c r="BW78" s="929" t="s">
        <v>21</v>
      </c>
      <c r="BX78" s="1104" t="s">
        <v>21</v>
      </c>
      <c r="BY78" s="931" t="s">
        <v>21</v>
      </c>
      <c r="BZ78" s="930"/>
      <c r="CA78" s="1074"/>
      <c r="CB78" s="930"/>
      <c r="CC78" s="930"/>
      <c r="CD78" s="925" t="s">
        <v>21</v>
      </c>
      <c r="CE78" s="1130" t="s">
        <v>21</v>
      </c>
      <c r="CF78" s="1129" t="s">
        <v>21</v>
      </c>
      <c r="CG78" s="1130" t="s">
        <v>21</v>
      </c>
      <c r="CH78" s="1130" t="s">
        <v>21</v>
      </c>
      <c r="CI78" s="1131" t="s">
        <v>21</v>
      </c>
      <c r="CJ78" s="1129" t="s">
        <v>21</v>
      </c>
      <c r="CK78" s="1130" t="s">
        <v>21</v>
      </c>
      <c r="CL78" s="1130" t="s">
        <v>21</v>
      </c>
      <c r="CM78" s="1131" t="s">
        <v>21</v>
      </c>
      <c r="CN78" s="1130" t="s">
        <v>21</v>
      </c>
      <c r="CP78" s="838" t="s">
        <v>21</v>
      </c>
      <c r="CQ78" s="838" t="s">
        <v>21</v>
      </c>
      <c r="CR78" s="836"/>
    </row>
    <row r="79" spans="1:96" x14ac:dyDescent="0.25">
      <c r="A79" s="935">
        <v>8</v>
      </c>
      <c r="B79" s="932" t="s">
        <v>2240</v>
      </c>
      <c r="C79" s="911">
        <v>600</v>
      </c>
      <c r="D79" s="911" t="s">
        <v>2116</v>
      </c>
      <c r="E79" s="912">
        <v>1181.8499999999999</v>
      </c>
      <c r="F79" s="912">
        <v>1179.95</v>
      </c>
      <c r="G79" s="910" t="s">
        <v>3047</v>
      </c>
      <c r="H79" s="912">
        <v>1182.18</v>
      </c>
      <c r="I79" s="912">
        <v>1179.45</v>
      </c>
      <c r="J79" s="914">
        <v>60</v>
      </c>
      <c r="K79" s="915"/>
      <c r="L79" s="916">
        <v>0.1</v>
      </c>
      <c r="M79" s="916">
        <v>0.06</v>
      </c>
      <c r="N79" s="916">
        <v>0.2</v>
      </c>
      <c r="O79" s="916">
        <v>5.117</v>
      </c>
      <c r="P79" s="915"/>
      <c r="Q79" s="916">
        <v>2.5750000000000002</v>
      </c>
      <c r="R79" s="917">
        <v>0.33333333333333331</v>
      </c>
      <c r="S79" s="918">
        <v>1.4</v>
      </c>
      <c r="T79" s="918">
        <v>3.117</v>
      </c>
      <c r="U79" s="916">
        <v>5.4290000000000003</v>
      </c>
      <c r="V79" s="916">
        <v>0.92</v>
      </c>
      <c r="W79" s="915"/>
      <c r="X79" s="916">
        <v>0.28299999999999997</v>
      </c>
      <c r="Y79" s="916">
        <v>0.40699999999999997</v>
      </c>
      <c r="Z79" s="916">
        <v>5.8159999999999998</v>
      </c>
      <c r="AA79" s="916">
        <v>1.0229999999999999</v>
      </c>
      <c r="AB79" s="916">
        <v>4.2460000000000004</v>
      </c>
      <c r="AC79" s="915"/>
      <c r="AD79" s="919">
        <v>307.02</v>
      </c>
      <c r="AE79" s="920">
        <v>348.96</v>
      </c>
      <c r="AF79" s="920" t="s">
        <v>21</v>
      </c>
      <c r="AG79" s="920" t="s">
        <v>21</v>
      </c>
      <c r="AH79" s="921">
        <v>348.96</v>
      </c>
      <c r="AI79" s="921" t="s">
        <v>21</v>
      </c>
      <c r="AJ79" s="920" t="s">
        <v>21</v>
      </c>
      <c r="AK79" s="920" t="s">
        <v>21</v>
      </c>
      <c r="AL79" s="921" t="s">
        <v>21</v>
      </c>
      <c r="AM79" s="921" t="s">
        <v>21</v>
      </c>
      <c r="AN79" s="920"/>
      <c r="AO79" s="920" t="s">
        <v>21</v>
      </c>
      <c r="AP79" s="919">
        <v>84</v>
      </c>
      <c r="AQ79" s="922">
        <v>325.74</v>
      </c>
      <c r="AR79" s="923" t="s">
        <v>21</v>
      </c>
      <c r="AS79" s="923">
        <v>325.74</v>
      </c>
      <c r="AT79" s="923" t="s">
        <v>21</v>
      </c>
      <c r="AU79" s="923" t="s">
        <v>21</v>
      </c>
      <c r="AV79" s="924" t="s">
        <v>21</v>
      </c>
      <c r="AW79" s="924" t="s">
        <v>21</v>
      </c>
      <c r="AX79" s="924" t="s">
        <v>21</v>
      </c>
      <c r="AY79" s="924" t="s">
        <v>21</v>
      </c>
      <c r="AZ79" s="923" t="s">
        <v>21</v>
      </c>
      <c r="BA79" s="923"/>
      <c r="BB79" s="919">
        <v>8.4</v>
      </c>
      <c r="BC79" s="919" t="s">
        <v>21</v>
      </c>
      <c r="BD79" s="919" t="s">
        <v>2142</v>
      </c>
      <c r="BE79" s="925" t="s">
        <v>21</v>
      </c>
      <c r="BF79" s="926" t="s">
        <v>21</v>
      </c>
      <c r="BG79" s="925">
        <v>60</v>
      </c>
      <c r="BH79" s="926" t="s">
        <v>21</v>
      </c>
      <c r="BI79" s="925" t="s">
        <v>21</v>
      </c>
      <c r="BJ79" s="926" t="s">
        <v>21</v>
      </c>
      <c r="BK79" s="925" t="s">
        <v>21</v>
      </c>
      <c r="BL79" s="926" t="s">
        <v>21</v>
      </c>
      <c r="BM79" s="925" t="s">
        <v>21</v>
      </c>
      <c r="BN79" s="927"/>
      <c r="BO79" s="927"/>
      <c r="BP79" s="928">
        <v>1</v>
      </c>
      <c r="BQ79" s="928" t="s">
        <v>21</v>
      </c>
      <c r="BR79" s="928" t="s">
        <v>21</v>
      </c>
      <c r="BS79" s="928" t="s">
        <v>21</v>
      </c>
      <c r="BT79" s="928" t="s">
        <v>21</v>
      </c>
      <c r="BU79" s="928" t="s">
        <v>21</v>
      </c>
      <c r="BV79" s="929">
        <v>0.49999999999986366</v>
      </c>
      <c r="BW79" s="929">
        <v>0.5</v>
      </c>
      <c r="BX79" s="1104">
        <v>1</v>
      </c>
      <c r="BY79" s="931">
        <v>3</v>
      </c>
      <c r="BZ79" s="930"/>
      <c r="CA79" s="1074">
        <v>1</v>
      </c>
      <c r="CB79" s="930"/>
      <c r="CC79" s="930"/>
      <c r="CD79" s="925">
        <v>61.38</v>
      </c>
      <c r="CE79" s="1130">
        <v>254.76</v>
      </c>
      <c r="CF79" s="1129" t="s">
        <v>21</v>
      </c>
      <c r="CG79" s="1130" t="s">
        <v>21</v>
      </c>
      <c r="CH79" s="1130" t="s">
        <v>21</v>
      </c>
      <c r="CI79" s="1131" t="s">
        <v>21</v>
      </c>
      <c r="CJ79" s="1129" t="s">
        <v>21</v>
      </c>
      <c r="CK79" s="1130">
        <v>254.76</v>
      </c>
      <c r="CL79" s="1130" t="s">
        <v>21</v>
      </c>
      <c r="CM79" s="1131" t="s">
        <v>21</v>
      </c>
      <c r="CN79" s="1130" t="s">
        <v>21</v>
      </c>
      <c r="CP79" s="838" t="s">
        <v>21</v>
      </c>
      <c r="CQ79" s="838" t="s">
        <v>21</v>
      </c>
      <c r="CR79" s="836"/>
    </row>
    <row r="80" spans="1:96" x14ac:dyDescent="0.25">
      <c r="A80" s="935" t="s">
        <v>3060</v>
      </c>
      <c r="B80" s="932"/>
      <c r="C80" s="911"/>
      <c r="D80" s="911"/>
      <c r="E80" s="912"/>
      <c r="F80" s="912"/>
      <c r="G80" s="910"/>
      <c r="H80" s="912"/>
      <c r="I80" s="912"/>
      <c r="J80" s="914"/>
      <c r="K80" s="915"/>
      <c r="L80" s="916" t="s">
        <v>21</v>
      </c>
      <c r="M80" s="916" t="s">
        <v>21</v>
      </c>
      <c r="N80" s="916" t="s">
        <v>21</v>
      </c>
      <c r="O80" s="916" t="s">
        <v>21</v>
      </c>
      <c r="P80" s="915"/>
      <c r="Q80" s="916" t="s">
        <v>21</v>
      </c>
      <c r="R80" s="917" t="s">
        <v>21</v>
      </c>
      <c r="S80" s="918" t="s">
        <v>21</v>
      </c>
      <c r="T80" s="918" t="s">
        <v>21</v>
      </c>
      <c r="U80" s="916" t="s">
        <v>21</v>
      </c>
      <c r="V80" s="916" t="s">
        <v>21</v>
      </c>
      <c r="W80" s="915"/>
      <c r="X80" s="916" t="s">
        <v>21</v>
      </c>
      <c r="Y80" s="916" t="s">
        <v>21</v>
      </c>
      <c r="Z80" s="916" t="s">
        <v>21</v>
      </c>
      <c r="AA80" s="916" t="s">
        <v>21</v>
      </c>
      <c r="AB80" s="916" t="s">
        <v>21</v>
      </c>
      <c r="AC80" s="915"/>
      <c r="AD80" s="919" t="s">
        <v>21</v>
      </c>
      <c r="AE80" s="920" t="s">
        <v>21</v>
      </c>
      <c r="AF80" s="920" t="s">
        <v>21</v>
      </c>
      <c r="AG80" s="920" t="s">
        <v>21</v>
      </c>
      <c r="AH80" s="921" t="s">
        <v>21</v>
      </c>
      <c r="AI80" s="921" t="s">
        <v>21</v>
      </c>
      <c r="AJ80" s="920" t="s">
        <v>21</v>
      </c>
      <c r="AK80" s="920" t="s">
        <v>21</v>
      </c>
      <c r="AL80" s="921" t="s">
        <v>21</v>
      </c>
      <c r="AM80" s="921" t="s">
        <v>21</v>
      </c>
      <c r="AN80" s="920"/>
      <c r="AO80" s="920" t="s">
        <v>21</v>
      </c>
      <c r="AP80" s="919" t="s">
        <v>21</v>
      </c>
      <c r="AQ80" s="922" t="s">
        <v>21</v>
      </c>
      <c r="AR80" s="923" t="s">
        <v>21</v>
      </c>
      <c r="AS80" s="923" t="s">
        <v>21</v>
      </c>
      <c r="AT80" s="923" t="s">
        <v>21</v>
      </c>
      <c r="AU80" s="923" t="s">
        <v>21</v>
      </c>
      <c r="AV80" s="924" t="s">
        <v>21</v>
      </c>
      <c r="AW80" s="924" t="s">
        <v>21</v>
      </c>
      <c r="AX80" s="924" t="s">
        <v>21</v>
      </c>
      <c r="AY80" s="924" t="s">
        <v>21</v>
      </c>
      <c r="AZ80" s="923" t="s">
        <v>21</v>
      </c>
      <c r="BA80" s="923"/>
      <c r="BB80" s="919" t="s">
        <v>21</v>
      </c>
      <c r="BC80" s="919" t="s">
        <v>21</v>
      </c>
      <c r="BD80" s="919" t="s">
        <v>21</v>
      </c>
      <c r="BE80" s="925" t="s">
        <v>21</v>
      </c>
      <c r="BF80" s="926" t="s">
        <v>21</v>
      </c>
      <c r="BG80" s="925" t="s">
        <v>21</v>
      </c>
      <c r="BH80" s="926" t="s">
        <v>21</v>
      </c>
      <c r="BI80" s="925" t="s">
        <v>21</v>
      </c>
      <c r="BJ80" s="926" t="s">
        <v>21</v>
      </c>
      <c r="BK80" s="925" t="s">
        <v>21</v>
      </c>
      <c r="BL80" s="926" t="s">
        <v>21</v>
      </c>
      <c r="BM80" s="925" t="s">
        <v>21</v>
      </c>
      <c r="BN80" s="927"/>
      <c r="BO80" s="927"/>
      <c r="BP80" s="928" t="s">
        <v>21</v>
      </c>
      <c r="BQ80" s="928" t="s">
        <v>21</v>
      </c>
      <c r="BR80" s="928" t="s">
        <v>21</v>
      </c>
      <c r="BS80" s="928" t="s">
        <v>21</v>
      </c>
      <c r="BT80" s="928" t="s">
        <v>21</v>
      </c>
      <c r="BU80" s="928" t="s">
        <v>21</v>
      </c>
      <c r="BV80" s="929" t="s">
        <v>21</v>
      </c>
      <c r="BW80" s="929" t="s">
        <v>21</v>
      </c>
      <c r="BX80" s="1104" t="s">
        <v>21</v>
      </c>
      <c r="BY80" s="931" t="s">
        <v>21</v>
      </c>
      <c r="BZ80" s="930"/>
      <c r="CA80" s="1074"/>
      <c r="CB80" s="930"/>
      <c r="CC80" s="930"/>
      <c r="CD80" s="925" t="s">
        <v>21</v>
      </c>
      <c r="CE80" s="1130" t="s">
        <v>21</v>
      </c>
      <c r="CF80" s="1129" t="s">
        <v>21</v>
      </c>
      <c r="CG80" s="1130" t="s">
        <v>21</v>
      </c>
      <c r="CH80" s="1130" t="s">
        <v>21</v>
      </c>
      <c r="CI80" s="1131" t="s">
        <v>21</v>
      </c>
      <c r="CJ80" s="1129" t="s">
        <v>21</v>
      </c>
      <c r="CK80" s="1130" t="s">
        <v>21</v>
      </c>
      <c r="CL80" s="1130" t="s">
        <v>21</v>
      </c>
      <c r="CM80" s="1131" t="s">
        <v>21</v>
      </c>
      <c r="CN80" s="1130" t="s">
        <v>21</v>
      </c>
      <c r="CP80" s="838" t="s">
        <v>21</v>
      </c>
      <c r="CQ80" s="838" t="s">
        <v>21</v>
      </c>
      <c r="CR80" s="836"/>
    </row>
    <row r="81" spans="1:96" x14ac:dyDescent="0.25">
      <c r="A81" s="935" t="s">
        <v>3065</v>
      </c>
      <c r="B81" s="932"/>
      <c r="C81" s="911"/>
      <c r="D81" s="911"/>
      <c r="E81" s="912"/>
      <c r="F81" s="912"/>
      <c r="G81" s="910"/>
      <c r="H81" s="912"/>
      <c r="I81" s="912"/>
      <c r="J81" s="914"/>
      <c r="K81" s="915"/>
      <c r="L81" s="916" t="s">
        <v>21</v>
      </c>
      <c r="M81" s="916" t="s">
        <v>21</v>
      </c>
      <c r="N81" s="916" t="s">
        <v>21</v>
      </c>
      <c r="O81" s="916" t="s">
        <v>21</v>
      </c>
      <c r="P81" s="915"/>
      <c r="Q81" s="916" t="s">
        <v>21</v>
      </c>
      <c r="R81" s="917" t="s">
        <v>21</v>
      </c>
      <c r="S81" s="918" t="s">
        <v>21</v>
      </c>
      <c r="T81" s="918" t="s">
        <v>21</v>
      </c>
      <c r="U81" s="916" t="s">
        <v>21</v>
      </c>
      <c r="V81" s="916" t="s">
        <v>21</v>
      </c>
      <c r="W81" s="915"/>
      <c r="X81" s="916" t="s">
        <v>21</v>
      </c>
      <c r="Y81" s="916" t="s">
        <v>21</v>
      </c>
      <c r="Z81" s="916" t="s">
        <v>21</v>
      </c>
      <c r="AA81" s="916" t="s">
        <v>21</v>
      </c>
      <c r="AB81" s="916" t="s">
        <v>21</v>
      </c>
      <c r="AC81" s="915"/>
      <c r="AD81" s="919" t="s">
        <v>21</v>
      </c>
      <c r="AE81" s="920" t="s">
        <v>21</v>
      </c>
      <c r="AF81" s="920" t="s">
        <v>21</v>
      </c>
      <c r="AG81" s="920" t="s">
        <v>21</v>
      </c>
      <c r="AH81" s="921" t="s">
        <v>21</v>
      </c>
      <c r="AI81" s="921" t="s">
        <v>21</v>
      </c>
      <c r="AJ81" s="920" t="s">
        <v>21</v>
      </c>
      <c r="AK81" s="920" t="s">
        <v>21</v>
      </c>
      <c r="AL81" s="921" t="s">
        <v>21</v>
      </c>
      <c r="AM81" s="921" t="s">
        <v>21</v>
      </c>
      <c r="AN81" s="920"/>
      <c r="AO81" s="920" t="s">
        <v>21</v>
      </c>
      <c r="AP81" s="919" t="s">
        <v>21</v>
      </c>
      <c r="AQ81" s="922" t="s">
        <v>21</v>
      </c>
      <c r="AR81" s="923" t="s">
        <v>21</v>
      </c>
      <c r="AS81" s="923" t="s">
        <v>21</v>
      </c>
      <c r="AT81" s="923" t="s">
        <v>21</v>
      </c>
      <c r="AU81" s="923" t="s">
        <v>21</v>
      </c>
      <c r="AV81" s="924" t="s">
        <v>21</v>
      </c>
      <c r="AW81" s="924" t="s">
        <v>21</v>
      </c>
      <c r="AX81" s="924" t="s">
        <v>21</v>
      </c>
      <c r="AY81" s="924" t="s">
        <v>21</v>
      </c>
      <c r="AZ81" s="923" t="s">
        <v>21</v>
      </c>
      <c r="BA81" s="923"/>
      <c r="BB81" s="919" t="s">
        <v>21</v>
      </c>
      <c r="BC81" s="919" t="s">
        <v>21</v>
      </c>
      <c r="BD81" s="919" t="s">
        <v>21</v>
      </c>
      <c r="BE81" s="925" t="s">
        <v>21</v>
      </c>
      <c r="BF81" s="926" t="s">
        <v>21</v>
      </c>
      <c r="BG81" s="925" t="s">
        <v>21</v>
      </c>
      <c r="BH81" s="926" t="s">
        <v>21</v>
      </c>
      <c r="BI81" s="925" t="s">
        <v>21</v>
      </c>
      <c r="BJ81" s="926" t="s">
        <v>21</v>
      </c>
      <c r="BK81" s="925" t="s">
        <v>21</v>
      </c>
      <c r="BL81" s="926" t="s">
        <v>21</v>
      </c>
      <c r="BM81" s="925" t="s">
        <v>21</v>
      </c>
      <c r="BN81" s="927"/>
      <c r="BO81" s="927"/>
      <c r="BP81" s="928" t="s">
        <v>21</v>
      </c>
      <c r="BQ81" s="928" t="s">
        <v>21</v>
      </c>
      <c r="BR81" s="928" t="s">
        <v>21</v>
      </c>
      <c r="BS81" s="928" t="s">
        <v>21</v>
      </c>
      <c r="BT81" s="928" t="s">
        <v>21</v>
      </c>
      <c r="BU81" s="928" t="s">
        <v>21</v>
      </c>
      <c r="BV81" s="929" t="s">
        <v>21</v>
      </c>
      <c r="BW81" s="929" t="s">
        <v>21</v>
      </c>
      <c r="BX81" s="1104" t="s">
        <v>21</v>
      </c>
      <c r="BY81" s="931" t="s">
        <v>21</v>
      </c>
      <c r="BZ81" s="930"/>
      <c r="CA81" s="1074"/>
      <c r="CB81" s="930"/>
      <c r="CC81" s="930"/>
      <c r="CD81" s="925" t="s">
        <v>21</v>
      </c>
      <c r="CE81" s="1130" t="s">
        <v>21</v>
      </c>
      <c r="CF81" s="1129" t="s">
        <v>21</v>
      </c>
      <c r="CG81" s="1130" t="s">
        <v>21</v>
      </c>
      <c r="CH81" s="1130" t="s">
        <v>21</v>
      </c>
      <c r="CI81" s="1131" t="s">
        <v>21</v>
      </c>
      <c r="CJ81" s="1129" t="s">
        <v>21</v>
      </c>
      <c r="CK81" s="1130" t="s">
        <v>21</v>
      </c>
      <c r="CL81" s="1130" t="s">
        <v>21</v>
      </c>
      <c r="CM81" s="1131" t="s">
        <v>21</v>
      </c>
      <c r="CN81" s="1130" t="s">
        <v>21</v>
      </c>
      <c r="CP81" s="838" t="s">
        <v>21</v>
      </c>
      <c r="CQ81" s="838" t="s">
        <v>21</v>
      </c>
      <c r="CR81" s="836"/>
    </row>
    <row r="82" spans="1:96" x14ac:dyDescent="0.25">
      <c r="A82" s="935" t="s">
        <v>3061</v>
      </c>
      <c r="B82" s="932"/>
      <c r="C82" s="911"/>
      <c r="D82" s="911"/>
      <c r="E82" s="912"/>
      <c r="F82" s="912"/>
      <c r="G82" s="910"/>
      <c r="H82" s="912"/>
      <c r="I82" s="912"/>
      <c r="J82" s="914"/>
      <c r="K82" s="915"/>
      <c r="L82" s="916" t="s">
        <v>21</v>
      </c>
      <c r="M82" s="916" t="s">
        <v>21</v>
      </c>
      <c r="N82" s="916" t="s">
        <v>21</v>
      </c>
      <c r="O82" s="916" t="s">
        <v>21</v>
      </c>
      <c r="P82" s="915"/>
      <c r="Q82" s="916" t="s">
        <v>21</v>
      </c>
      <c r="R82" s="917" t="s">
        <v>21</v>
      </c>
      <c r="S82" s="918" t="s">
        <v>21</v>
      </c>
      <c r="T82" s="918" t="s">
        <v>21</v>
      </c>
      <c r="U82" s="916" t="s">
        <v>21</v>
      </c>
      <c r="V82" s="916" t="s">
        <v>21</v>
      </c>
      <c r="W82" s="915"/>
      <c r="X82" s="916" t="s">
        <v>21</v>
      </c>
      <c r="Y82" s="916" t="s">
        <v>21</v>
      </c>
      <c r="Z82" s="916" t="s">
        <v>21</v>
      </c>
      <c r="AA82" s="916" t="s">
        <v>21</v>
      </c>
      <c r="AB82" s="916" t="s">
        <v>21</v>
      </c>
      <c r="AC82" s="915"/>
      <c r="AD82" s="919" t="s">
        <v>21</v>
      </c>
      <c r="AE82" s="920" t="s">
        <v>21</v>
      </c>
      <c r="AF82" s="920" t="s">
        <v>21</v>
      </c>
      <c r="AG82" s="920" t="s">
        <v>21</v>
      </c>
      <c r="AH82" s="921" t="s">
        <v>21</v>
      </c>
      <c r="AI82" s="921" t="s">
        <v>21</v>
      </c>
      <c r="AJ82" s="920" t="s">
        <v>21</v>
      </c>
      <c r="AK82" s="920" t="s">
        <v>21</v>
      </c>
      <c r="AL82" s="921" t="s">
        <v>21</v>
      </c>
      <c r="AM82" s="921" t="s">
        <v>21</v>
      </c>
      <c r="AN82" s="920"/>
      <c r="AO82" s="920" t="s">
        <v>21</v>
      </c>
      <c r="AP82" s="919" t="s">
        <v>21</v>
      </c>
      <c r="AQ82" s="922" t="s">
        <v>21</v>
      </c>
      <c r="AR82" s="923" t="s">
        <v>21</v>
      </c>
      <c r="AS82" s="923" t="s">
        <v>21</v>
      </c>
      <c r="AT82" s="923" t="s">
        <v>21</v>
      </c>
      <c r="AU82" s="923" t="s">
        <v>21</v>
      </c>
      <c r="AV82" s="924" t="s">
        <v>21</v>
      </c>
      <c r="AW82" s="924" t="s">
        <v>21</v>
      </c>
      <c r="AX82" s="924" t="s">
        <v>21</v>
      </c>
      <c r="AY82" s="924" t="s">
        <v>21</v>
      </c>
      <c r="AZ82" s="923" t="s">
        <v>21</v>
      </c>
      <c r="BA82" s="923"/>
      <c r="BB82" s="919" t="s">
        <v>21</v>
      </c>
      <c r="BC82" s="919" t="s">
        <v>21</v>
      </c>
      <c r="BD82" s="919" t="s">
        <v>21</v>
      </c>
      <c r="BE82" s="925" t="s">
        <v>21</v>
      </c>
      <c r="BF82" s="926" t="s">
        <v>21</v>
      </c>
      <c r="BG82" s="925" t="s">
        <v>21</v>
      </c>
      <c r="BH82" s="926" t="s">
        <v>21</v>
      </c>
      <c r="BI82" s="925" t="s">
        <v>21</v>
      </c>
      <c r="BJ82" s="926" t="s">
        <v>21</v>
      </c>
      <c r="BK82" s="925" t="s">
        <v>21</v>
      </c>
      <c r="BL82" s="926" t="s">
        <v>21</v>
      </c>
      <c r="BM82" s="925" t="s">
        <v>21</v>
      </c>
      <c r="BN82" s="927"/>
      <c r="BO82" s="927"/>
      <c r="BP82" s="928" t="s">
        <v>21</v>
      </c>
      <c r="BQ82" s="928" t="s">
        <v>21</v>
      </c>
      <c r="BR82" s="928" t="s">
        <v>21</v>
      </c>
      <c r="BS82" s="928" t="s">
        <v>21</v>
      </c>
      <c r="BT82" s="928" t="s">
        <v>21</v>
      </c>
      <c r="BU82" s="928" t="s">
        <v>21</v>
      </c>
      <c r="BV82" s="929" t="s">
        <v>21</v>
      </c>
      <c r="BW82" s="929" t="s">
        <v>21</v>
      </c>
      <c r="BX82" s="1104" t="s">
        <v>21</v>
      </c>
      <c r="BY82" s="931" t="s">
        <v>21</v>
      </c>
      <c r="BZ82" s="930"/>
      <c r="CA82" s="1074"/>
      <c r="CB82" s="930"/>
      <c r="CC82" s="930"/>
      <c r="CD82" s="925" t="s">
        <v>21</v>
      </c>
      <c r="CE82" s="1130" t="s">
        <v>21</v>
      </c>
      <c r="CF82" s="1129" t="s">
        <v>21</v>
      </c>
      <c r="CG82" s="1130" t="s">
        <v>21</v>
      </c>
      <c r="CH82" s="1130" t="s">
        <v>21</v>
      </c>
      <c r="CI82" s="1131" t="s">
        <v>21</v>
      </c>
      <c r="CJ82" s="1129" t="s">
        <v>21</v>
      </c>
      <c r="CK82" s="1130" t="s">
        <v>21</v>
      </c>
      <c r="CL82" s="1130" t="s">
        <v>21</v>
      </c>
      <c r="CM82" s="1131" t="s">
        <v>21</v>
      </c>
      <c r="CN82" s="1130" t="s">
        <v>21</v>
      </c>
      <c r="CP82" s="838" t="s">
        <v>21</v>
      </c>
      <c r="CQ82" s="838" t="s">
        <v>21</v>
      </c>
      <c r="CR82" s="836"/>
    </row>
    <row r="83" spans="1:96" x14ac:dyDescent="0.25">
      <c r="A83" s="935"/>
      <c r="B83" s="932"/>
      <c r="C83" s="911"/>
      <c r="D83" s="911"/>
      <c r="E83" s="912"/>
      <c r="F83" s="912"/>
      <c r="G83" s="910"/>
      <c r="H83" s="912"/>
      <c r="I83" s="912"/>
      <c r="J83" s="914"/>
      <c r="K83" s="915"/>
      <c r="L83" s="916" t="s">
        <v>21</v>
      </c>
      <c r="M83" s="916" t="s">
        <v>21</v>
      </c>
      <c r="N83" s="916" t="s">
        <v>21</v>
      </c>
      <c r="O83" s="916" t="s">
        <v>21</v>
      </c>
      <c r="P83" s="915"/>
      <c r="Q83" s="916" t="s">
        <v>21</v>
      </c>
      <c r="R83" s="917" t="s">
        <v>21</v>
      </c>
      <c r="S83" s="918" t="s">
        <v>21</v>
      </c>
      <c r="T83" s="918" t="s">
        <v>21</v>
      </c>
      <c r="U83" s="916" t="s">
        <v>21</v>
      </c>
      <c r="V83" s="916" t="s">
        <v>21</v>
      </c>
      <c r="W83" s="915"/>
      <c r="X83" s="916" t="s">
        <v>21</v>
      </c>
      <c r="Y83" s="916" t="s">
        <v>21</v>
      </c>
      <c r="Z83" s="916" t="s">
        <v>21</v>
      </c>
      <c r="AA83" s="916" t="s">
        <v>21</v>
      </c>
      <c r="AB83" s="916" t="s">
        <v>21</v>
      </c>
      <c r="AC83" s="915"/>
      <c r="AD83" s="919" t="s">
        <v>21</v>
      </c>
      <c r="AE83" s="920" t="s">
        <v>21</v>
      </c>
      <c r="AF83" s="920" t="s">
        <v>21</v>
      </c>
      <c r="AG83" s="920" t="s">
        <v>21</v>
      </c>
      <c r="AH83" s="921" t="s">
        <v>21</v>
      </c>
      <c r="AI83" s="921" t="s">
        <v>21</v>
      </c>
      <c r="AJ83" s="920" t="s">
        <v>21</v>
      </c>
      <c r="AK83" s="920" t="s">
        <v>21</v>
      </c>
      <c r="AL83" s="921" t="s">
        <v>21</v>
      </c>
      <c r="AM83" s="921" t="s">
        <v>21</v>
      </c>
      <c r="AN83" s="920"/>
      <c r="AO83" s="920" t="s">
        <v>21</v>
      </c>
      <c r="AP83" s="919" t="s">
        <v>21</v>
      </c>
      <c r="AQ83" s="922" t="s">
        <v>21</v>
      </c>
      <c r="AR83" s="923" t="s">
        <v>21</v>
      </c>
      <c r="AS83" s="923" t="s">
        <v>21</v>
      </c>
      <c r="AT83" s="923" t="s">
        <v>21</v>
      </c>
      <c r="AU83" s="923" t="s">
        <v>21</v>
      </c>
      <c r="AV83" s="924" t="s">
        <v>21</v>
      </c>
      <c r="AW83" s="924" t="s">
        <v>21</v>
      </c>
      <c r="AX83" s="924" t="s">
        <v>21</v>
      </c>
      <c r="AY83" s="924" t="s">
        <v>21</v>
      </c>
      <c r="AZ83" s="923" t="s">
        <v>21</v>
      </c>
      <c r="BA83" s="923"/>
      <c r="BB83" s="919" t="s">
        <v>21</v>
      </c>
      <c r="BC83" s="919" t="s">
        <v>21</v>
      </c>
      <c r="BD83" s="919" t="s">
        <v>21</v>
      </c>
      <c r="BE83" s="925" t="s">
        <v>21</v>
      </c>
      <c r="BF83" s="926" t="s">
        <v>21</v>
      </c>
      <c r="BG83" s="925" t="s">
        <v>21</v>
      </c>
      <c r="BH83" s="926" t="s">
        <v>21</v>
      </c>
      <c r="BI83" s="925" t="s">
        <v>21</v>
      </c>
      <c r="BJ83" s="926" t="s">
        <v>21</v>
      </c>
      <c r="BK83" s="925" t="s">
        <v>21</v>
      </c>
      <c r="BL83" s="926" t="s">
        <v>21</v>
      </c>
      <c r="BM83" s="925" t="s">
        <v>21</v>
      </c>
      <c r="BN83" s="927"/>
      <c r="BO83" s="927"/>
      <c r="BP83" s="928" t="s">
        <v>21</v>
      </c>
      <c r="BQ83" s="928" t="s">
        <v>21</v>
      </c>
      <c r="BR83" s="928" t="s">
        <v>21</v>
      </c>
      <c r="BS83" s="928" t="s">
        <v>21</v>
      </c>
      <c r="BT83" s="928" t="s">
        <v>21</v>
      </c>
      <c r="BU83" s="928" t="s">
        <v>21</v>
      </c>
      <c r="BV83" s="929" t="s">
        <v>21</v>
      </c>
      <c r="BW83" s="929" t="s">
        <v>21</v>
      </c>
      <c r="BX83" s="1104" t="s">
        <v>21</v>
      </c>
      <c r="BY83" s="931" t="s">
        <v>21</v>
      </c>
      <c r="BZ83" s="930"/>
      <c r="CA83" s="1074"/>
      <c r="CB83" s="930"/>
      <c r="CC83" s="930"/>
      <c r="CD83" s="925" t="s">
        <v>21</v>
      </c>
      <c r="CE83" s="1130" t="s">
        <v>21</v>
      </c>
      <c r="CF83" s="1129" t="s">
        <v>21</v>
      </c>
      <c r="CG83" s="1130" t="s">
        <v>21</v>
      </c>
      <c r="CH83" s="1130" t="s">
        <v>21</v>
      </c>
      <c r="CI83" s="1131" t="s">
        <v>21</v>
      </c>
      <c r="CJ83" s="1129" t="s">
        <v>21</v>
      </c>
      <c r="CK83" s="1130" t="s">
        <v>21</v>
      </c>
      <c r="CL83" s="1130" t="s">
        <v>21</v>
      </c>
      <c r="CM83" s="1131" t="s">
        <v>21</v>
      </c>
      <c r="CN83" s="1130" t="s">
        <v>21</v>
      </c>
      <c r="CP83" s="838" t="s">
        <v>21</v>
      </c>
      <c r="CQ83" s="838" t="s">
        <v>21</v>
      </c>
      <c r="CR83" s="836"/>
    </row>
    <row r="84" spans="1:96" x14ac:dyDescent="0.25">
      <c r="A84" s="935">
        <v>9</v>
      </c>
      <c r="B84" s="1900" t="s">
        <v>2243</v>
      </c>
      <c r="C84" s="911">
        <v>600</v>
      </c>
      <c r="D84" s="911" t="s">
        <v>2116</v>
      </c>
      <c r="E84" s="912">
        <v>1179</v>
      </c>
      <c r="F84" s="912">
        <v>1177.0999999999999</v>
      </c>
      <c r="G84" s="910" t="s">
        <v>2271</v>
      </c>
      <c r="H84" s="912">
        <v>1179.74</v>
      </c>
      <c r="I84" s="912">
        <v>1176.8009999999999</v>
      </c>
      <c r="J84" s="914">
        <v>29.73</v>
      </c>
      <c r="K84" s="915"/>
      <c r="L84" s="916">
        <v>0.1</v>
      </c>
      <c r="M84" s="916">
        <v>0.06</v>
      </c>
      <c r="N84" s="916">
        <v>0.2</v>
      </c>
      <c r="O84" s="916">
        <v>6.4</v>
      </c>
      <c r="P84" s="915"/>
      <c r="Q84" s="916">
        <v>2.68</v>
      </c>
      <c r="R84" s="1899">
        <v>0</v>
      </c>
      <c r="S84" s="1898">
        <v>4.4000000000000004</v>
      </c>
      <c r="T84" s="1898">
        <v>4.4000000000000004</v>
      </c>
      <c r="U84" s="916">
        <v>5.36</v>
      </c>
      <c r="V84" s="916">
        <v>0.92</v>
      </c>
      <c r="W84" s="915"/>
      <c r="X84" s="916">
        <v>0.28299999999999997</v>
      </c>
      <c r="Y84" s="916">
        <v>0.40699999999999997</v>
      </c>
      <c r="Z84" s="916">
        <v>11.792</v>
      </c>
      <c r="AA84" s="916">
        <v>3.2010000000000001</v>
      </c>
      <c r="AB84" s="916">
        <v>7.7439999999999998</v>
      </c>
      <c r="AC84" s="915"/>
      <c r="AD84" s="919">
        <v>190.27199999999999</v>
      </c>
      <c r="AE84" s="920">
        <v>350.57600000000002</v>
      </c>
      <c r="AF84" s="920" t="s">
        <v>21</v>
      </c>
      <c r="AG84" s="920" t="s">
        <v>21</v>
      </c>
      <c r="AH84" s="921" t="s">
        <v>21</v>
      </c>
      <c r="AI84" s="921" t="s">
        <v>21</v>
      </c>
      <c r="AJ84" s="920" t="s">
        <v>21</v>
      </c>
      <c r="AK84" s="920" t="s">
        <v>21</v>
      </c>
      <c r="AL84" s="921" t="s">
        <v>21</v>
      </c>
      <c r="AM84" s="921" t="s">
        <v>21</v>
      </c>
      <c r="AN84" s="920"/>
      <c r="AO84" s="920">
        <v>350.57600000000002</v>
      </c>
      <c r="AP84" s="919">
        <v>130.81200000000001</v>
      </c>
      <c r="AQ84" s="922">
        <v>159.3528</v>
      </c>
      <c r="AR84" s="923" t="s">
        <v>21</v>
      </c>
      <c r="AS84" s="923" t="s">
        <v>21</v>
      </c>
      <c r="AT84" s="923" t="s">
        <v>21</v>
      </c>
      <c r="AU84" s="923" t="s">
        <v>21</v>
      </c>
      <c r="AV84" s="924" t="s">
        <v>21</v>
      </c>
      <c r="AW84" s="924" t="s">
        <v>21</v>
      </c>
      <c r="AX84" s="924" t="s">
        <v>21</v>
      </c>
      <c r="AY84" s="924" t="s">
        <v>21</v>
      </c>
      <c r="AZ84" s="1902">
        <v>159.3528</v>
      </c>
      <c r="BA84" s="923"/>
      <c r="BB84" s="919" t="s">
        <v>21</v>
      </c>
      <c r="BC84" s="919">
        <v>13.081</v>
      </c>
      <c r="BD84" s="919" t="s">
        <v>2142</v>
      </c>
      <c r="BE84" s="925" t="s">
        <v>21</v>
      </c>
      <c r="BF84" s="926" t="s">
        <v>21</v>
      </c>
      <c r="BG84" s="925">
        <v>29.73</v>
      </c>
      <c r="BH84" s="926" t="s">
        <v>21</v>
      </c>
      <c r="BI84" s="925" t="s">
        <v>21</v>
      </c>
      <c r="BJ84" s="926" t="s">
        <v>21</v>
      </c>
      <c r="BK84" s="925" t="s">
        <v>21</v>
      </c>
      <c r="BL84" s="926" t="s">
        <v>21</v>
      </c>
      <c r="BM84" s="925" t="s">
        <v>21</v>
      </c>
      <c r="BN84" s="927"/>
      <c r="BO84" s="927"/>
      <c r="BP84" s="928">
        <v>1</v>
      </c>
      <c r="BQ84" s="928" t="s">
        <v>21</v>
      </c>
      <c r="BR84" s="928" t="s">
        <v>21</v>
      </c>
      <c r="BS84" s="928" t="s">
        <v>21</v>
      </c>
      <c r="BT84" s="928" t="s">
        <v>21</v>
      </c>
      <c r="BU84" s="928" t="s">
        <v>21</v>
      </c>
      <c r="BV84" s="929">
        <v>0.50000000000009104</v>
      </c>
      <c r="BW84" s="929">
        <v>1</v>
      </c>
      <c r="BX84" s="1104">
        <v>2</v>
      </c>
      <c r="BY84" s="931">
        <v>4</v>
      </c>
      <c r="BZ84" s="930">
        <v>1</v>
      </c>
      <c r="CA84" s="1074"/>
      <c r="CB84" s="930"/>
      <c r="CC84" s="930"/>
      <c r="CD84" s="925">
        <v>95.165999999999997</v>
      </c>
      <c r="CE84" s="1130">
        <v>230.22900000000001</v>
      </c>
      <c r="CF84" s="1129" t="s">
        <v>21</v>
      </c>
      <c r="CG84" s="1130" t="s">
        <v>21</v>
      </c>
      <c r="CH84" s="1130" t="s">
        <v>21</v>
      </c>
      <c r="CI84" s="1131" t="s">
        <v>21</v>
      </c>
      <c r="CJ84" s="1129" t="s">
        <v>21</v>
      </c>
      <c r="CK84" s="1130" t="s">
        <v>21</v>
      </c>
      <c r="CL84" s="1130" t="s">
        <v>21</v>
      </c>
      <c r="CM84" s="1131" t="s">
        <v>21</v>
      </c>
      <c r="CN84" s="1130">
        <v>230.22900000000001</v>
      </c>
      <c r="CP84" s="838" t="s">
        <v>21</v>
      </c>
      <c r="CQ84" s="838" t="s">
        <v>21</v>
      </c>
      <c r="CR84" s="836"/>
    </row>
    <row r="85" spans="1:96" x14ac:dyDescent="0.25">
      <c r="A85" s="935" t="s">
        <v>3060</v>
      </c>
      <c r="B85" s="1900" t="s">
        <v>2271</v>
      </c>
      <c r="C85" s="911">
        <v>600</v>
      </c>
      <c r="D85" s="911" t="s">
        <v>2116</v>
      </c>
      <c r="E85" s="912">
        <v>1179.74</v>
      </c>
      <c r="F85" s="912">
        <v>1176.8009999999999</v>
      </c>
      <c r="G85" s="910" t="s">
        <v>3048</v>
      </c>
      <c r="H85" s="912">
        <v>1179.68</v>
      </c>
      <c r="I85" s="912">
        <v>1176.5989999999999</v>
      </c>
      <c r="J85" s="914">
        <v>30.46</v>
      </c>
      <c r="K85" s="915"/>
      <c r="L85" s="916">
        <v>0.1</v>
      </c>
      <c r="M85" s="916">
        <v>0.06</v>
      </c>
      <c r="N85" s="916">
        <v>0.2</v>
      </c>
      <c r="O85" s="916">
        <v>6.4</v>
      </c>
      <c r="P85" s="915"/>
      <c r="Q85" s="916">
        <v>3.27</v>
      </c>
      <c r="R85" s="1899">
        <v>0</v>
      </c>
      <c r="S85" s="1898">
        <v>4.4000000000000004</v>
      </c>
      <c r="T85" s="1898">
        <v>4.4000000000000004</v>
      </c>
      <c r="U85" s="916">
        <v>6.54</v>
      </c>
      <c r="V85" s="916">
        <v>0.92</v>
      </c>
      <c r="W85" s="915"/>
      <c r="X85" s="916">
        <v>0.28299999999999997</v>
      </c>
      <c r="Y85" s="916">
        <v>0.40699999999999997</v>
      </c>
      <c r="Z85" s="916">
        <v>14.388</v>
      </c>
      <c r="AA85" s="916">
        <v>3.2010000000000001</v>
      </c>
      <c r="AB85" s="916">
        <v>10.34</v>
      </c>
      <c r="AC85" s="915"/>
      <c r="AD85" s="919">
        <v>194.94399999999999</v>
      </c>
      <c r="AE85" s="920">
        <v>438.25799999999998</v>
      </c>
      <c r="AF85" s="920" t="s">
        <v>21</v>
      </c>
      <c r="AG85" s="920" t="s">
        <v>21</v>
      </c>
      <c r="AH85" s="921" t="s">
        <v>21</v>
      </c>
      <c r="AI85" s="921" t="s">
        <v>21</v>
      </c>
      <c r="AJ85" s="920" t="s">
        <v>21</v>
      </c>
      <c r="AK85" s="920" t="s">
        <v>21</v>
      </c>
      <c r="AL85" s="921" t="s">
        <v>21</v>
      </c>
      <c r="AM85" s="921" t="s">
        <v>21</v>
      </c>
      <c r="AN85" s="920"/>
      <c r="AO85" s="920">
        <v>438.25799999999998</v>
      </c>
      <c r="AP85" s="919">
        <v>134.024</v>
      </c>
      <c r="AQ85" s="922">
        <v>199.20840000000001</v>
      </c>
      <c r="AR85" s="923" t="s">
        <v>21</v>
      </c>
      <c r="AS85" s="923" t="s">
        <v>21</v>
      </c>
      <c r="AT85" s="923" t="s">
        <v>21</v>
      </c>
      <c r="AU85" s="923" t="s">
        <v>21</v>
      </c>
      <c r="AV85" s="924" t="s">
        <v>21</v>
      </c>
      <c r="AW85" s="924" t="s">
        <v>21</v>
      </c>
      <c r="AX85" s="924" t="s">
        <v>21</v>
      </c>
      <c r="AY85" s="924" t="s">
        <v>21</v>
      </c>
      <c r="AZ85" s="1902">
        <v>199.20840000000001</v>
      </c>
      <c r="BA85" s="923"/>
      <c r="BB85" s="919" t="s">
        <v>21</v>
      </c>
      <c r="BC85" s="919">
        <v>13.401999999999999</v>
      </c>
      <c r="BD85" s="919" t="s">
        <v>2152</v>
      </c>
      <c r="BE85" s="925" t="s">
        <v>21</v>
      </c>
      <c r="BF85" s="926" t="s">
        <v>21</v>
      </c>
      <c r="BG85" s="925">
        <v>30.46</v>
      </c>
      <c r="BH85" s="926" t="s">
        <v>21</v>
      </c>
      <c r="BI85" s="925" t="s">
        <v>21</v>
      </c>
      <c r="BJ85" s="926" t="s">
        <v>21</v>
      </c>
      <c r="BK85" s="925" t="s">
        <v>21</v>
      </c>
      <c r="BL85" s="926" t="s">
        <v>21</v>
      </c>
      <c r="BM85" s="925" t="s">
        <v>21</v>
      </c>
      <c r="BN85" s="927"/>
      <c r="BO85" s="927"/>
      <c r="BP85" s="928">
        <v>1</v>
      </c>
      <c r="BQ85" s="928" t="s">
        <v>21</v>
      </c>
      <c r="BR85" s="928" t="s">
        <v>21</v>
      </c>
      <c r="BS85" s="928" t="s">
        <v>21</v>
      </c>
      <c r="BT85" s="928" t="s">
        <v>21</v>
      </c>
      <c r="BU85" s="928" t="s">
        <v>21</v>
      </c>
      <c r="BV85" s="929">
        <v>1.5390000000000783</v>
      </c>
      <c r="BW85" s="929">
        <v>2</v>
      </c>
      <c r="BX85" s="1104">
        <v>4</v>
      </c>
      <c r="BY85" s="931">
        <v>6</v>
      </c>
      <c r="BZ85" s="930">
        <v>1</v>
      </c>
      <c r="CA85" s="1074"/>
      <c r="CB85" s="930"/>
      <c r="CC85" s="930"/>
      <c r="CD85" s="925">
        <v>97.501999999999995</v>
      </c>
      <c r="CE85" s="1130">
        <v>314.95600000000002</v>
      </c>
      <c r="CF85" s="1129" t="s">
        <v>21</v>
      </c>
      <c r="CG85" s="1130" t="s">
        <v>21</v>
      </c>
      <c r="CH85" s="1130" t="s">
        <v>21</v>
      </c>
      <c r="CI85" s="1131" t="s">
        <v>21</v>
      </c>
      <c r="CJ85" s="1129" t="s">
        <v>21</v>
      </c>
      <c r="CK85" s="1130" t="s">
        <v>21</v>
      </c>
      <c r="CL85" s="1130" t="s">
        <v>21</v>
      </c>
      <c r="CM85" s="1131" t="s">
        <v>21</v>
      </c>
      <c r="CN85" s="1130">
        <v>314.95600000000002</v>
      </c>
      <c r="CP85" s="838" t="s">
        <v>21</v>
      </c>
      <c r="CQ85" s="838" t="s">
        <v>21</v>
      </c>
      <c r="CR85" s="836"/>
    </row>
    <row r="86" spans="1:96" x14ac:dyDescent="0.25">
      <c r="A86" s="935" t="s">
        <v>3065</v>
      </c>
      <c r="B86" s="932"/>
      <c r="C86" s="911"/>
      <c r="D86" s="911"/>
      <c r="E86" s="912"/>
      <c r="F86" s="912"/>
      <c r="G86" s="910"/>
      <c r="H86" s="912"/>
      <c r="I86" s="912"/>
      <c r="J86" s="914"/>
      <c r="K86" s="915"/>
      <c r="L86" s="916" t="s">
        <v>21</v>
      </c>
      <c r="M86" s="916" t="s">
        <v>21</v>
      </c>
      <c r="N86" s="916" t="s">
        <v>21</v>
      </c>
      <c r="O86" s="916" t="s">
        <v>21</v>
      </c>
      <c r="P86" s="915"/>
      <c r="Q86" s="916" t="s">
        <v>21</v>
      </c>
      <c r="R86" s="917" t="s">
        <v>21</v>
      </c>
      <c r="S86" s="918" t="s">
        <v>21</v>
      </c>
      <c r="T86" s="918" t="s">
        <v>21</v>
      </c>
      <c r="U86" s="916" t="s">
        <v>21</v>
      </c>
      <c r="V86" s="916" t="s">
        <v>21</v>
      </c>
      <c r="W86" s="915"/>
      <c r="X86" s="916" t="s">
        <v>21</v>
      </c>
      <c r="Y86" s="916" t="s">
        <v>21</v>
      </c>
      <c r="Z86" s="916" t="s">
        <v>21</v>
      </c>
      <c r="AA86" s="916" t="s">
        <v>21</v>
      </c>
      <c r="AB86" s="916" t="s">
        <v>21</v>
      </c>
      <c r="AC86" s="915"/>
      <c r="AD86" s="919" t="s">
        <v>21</v>
      </c>
      <c r="AE86" s="920" t="s">
        <v>21</v>
      </c>
      <c r="AF86" s="920" t="s">
        <v>21</v>
      </c>
      <c r="AG86" s="920" t="s">
        <v>21</v>
      </c>
      <c r="AH86" s="921" t="s">
        <v>21</v>
      </c>
      <c r="AI86" s="921" t="s">
        <v>21</v>
      </c>
      <c r="AJ86" s="920" t="s">
        <v>21</v>
      </c>
      <c r="AK86" s="920" t="s">
        <v>21</v>
      </c>
      <c r="AL86" s="921" t="s">
        <v>21</v>
      </c>
      <c r="AM86" s="921" t="s">
        <v>21</v>
      </c>
      <c r="AN86" s="920"/>
      <c r="AO86" s="920" t="s">
        <v>21</v>
      </c>
      <c r="AP86" s="919" t="s">
        <v>21</v>
      </c>
      <c r="AQ86" s="922" t="s">
        <v>21</v>
      </c>
      <c r="AR86" s="923" t="s">
        <v>21</v>
      </c>
      <c r="AS86" s="923" t="s">
        <v>21</v>
      </c>
      <c r="AT86" s="923" t="s">
        <v>21</v>
      </c>
      <c r="AU86" s="923" t="s">
        <v>21</v>
      </c>
      <c r="AV86" s="924" t="s">
        <v>21</v>
      </c>
      <c r="AW86" s="924" t="s">
        <v>21</v>
      </c>
      <c r="AX86" s="924" t="s">
        <v>21</v>
      </c>
      <c r="AY86" s="924" t="s">
        <v>21</v>
      </c>
      <c r="AZ86" s="923" t="s">
        <v>21</v>
      </c>
      <c r="BA86" s="923"/>
      <c r="BB86" s="919" t="s">
        <v>21</v>
      </c>
      <c r="BC86" s="919" t="s">
        <v>21</v>
      </c>
      <c r="BD86" s="919" t="s">
        <v>21</v>
      </c>
      <c r="BE86" s="925" t="s">
        <v>21</v>
      </c>
      <c r="BF86" s="926" t="s">
        <v>21</v>
      </c>
      <c r="BG86" s="925" t="s">
        <v>21</v>
      </c>
      <c r="BH86" s="926" t="s">
        <v>21</v>
      </c>
      <c r="BI86" s="925" t="s">
        <v>21</v>
      </c>
      <c r="BJ86" s="926" t="s">
        <v>21</v>
      </c>
      <c r="BK86" s="925" t="s">
        <v>21</v>
      </c>
      <c r="BL86" s="926" t="s">
        <v>21</v>
      </c>
      <c r="BM86" s="925" t="s">
        <v>21</v>
      </c>
      <c r="BN86" s="927"/>
      <c r="BO86" s="927"/>
      <c r="BP86" s="928" t="s">
        <v>21</v>
      </c>
      <c r="BQ86" s="928" t="s">
        <v>21</v>
      </c>
      <c r="BR86" s="928" t="s">
        <v>21</v>
      </c>
      <c r="BS86" s="928" t="s">
        <v>21</v>
      </c>
      <c r="BT86" s="928" t="s">
        <v>21</v>
      </c>
      <c r="BU86" s="928" t="s">
        <v>21</v>
      </c>
      <c r="BV86" s="929" t="s">
        <v>21</v>
      </c>
      <c r="BW86" s="929" t="s">
        <v>21</v>
      </c>
      <c r="BX86" s="1104" t="s">
        <v>21</v>
      </c>
      <c r="BY86" s="931" t="s">
        <v>21</v>
      </c>
      <c r="BZ86" s="930"/>
      <c r="CA86" s="1074"/>
      <c r="CB86" s="930"/>
      <c r="CC86" s="930"/>
      <c r="CD86" s="925" t="s">
        <v>21</v>
      </c>
      <c r="CE86" s="1130" t="s">
        <v>21</v>
      </c>
      <c r="CF86" s="1129" t="s">
        <v>21</v>
      </c>
      <c r="CG86" s="1130" t="s">
        <v>21</v>
      </c>
      <c r="CH86" s="1130" t="s">
        <v>21</v>
      </c>
      <c r="CI86" s="1131" t="s">
        <v>21</v>
      </c>
      <c r="CJ86" s="1129" t="s">
        <v>21</v>
      </c>
      <c r="CK86" s="1130" t="s">
        <v>21</v>
      </c>
      <c r="CL86" s="1130" t="s">
        <v>21</v>
      </c>
      <c r="CM86" s="1131" t="s">
        <v>21</v>
      </c>
      <c r="CN86" s="1130" t="s">
        <v>21</v>
      </c>
      <c r="CP86" s="838" t="s">
        <v>21</v>
      </c>
      <c r="CQ86" s="838" t="s">
        <v>21</v>
      </c>
      <c r="CR86" s="836"/>
    </row>
    <row r="87" spans="1:96" x14ac:dyDescent="0.25">
      <c r="A87" s="935" t="s">
        <v>3061</v>
      </c>
      <c r="B87" s="932"/>
      <c r="C87" s="911"/>
      <c r="D87" s="911"/>
      <c r="E87" s="912"/>
      <c r="F87" s="912"/>
      <c r="G87" s="910"/>
      <c r="H87" s="912"/>
      <c r="I87" s="912"/>
      <c r="J87" s="914"/>
      <c r="K87" s="915"/>
      <c r="L87" s="916" t="s">
        <v>21</v>
      </c>
      <c r="M87" s="916" t="s">
        <v>21</v>
      </c>
      <c r="N87" s="916" t="s">
        <v>21</v>
      </c>
      <c r="O87" s="916" t="s">
        <v>21</v>
      </c>
      <c r="P87" s="915"/>
      <c r="Q87" s="916" t="s">
        <v>21</v>
      </c>
      <c r="R87" s="917" t="s">
        <v>21</v>
      </c>
      <c r="S87" s="918" t="s">
        <v>21</v>
      </c>
      <c r="T87" s="918" t="s">
        <v>21</v>
      </c>
      <c r="U87" s="916" t="s">
        <v>21</v>
      </c>
      <c r="V87" s="916" t="s">
        <v>21</v>
      </c>
      <c r="W87" s="915"/>
      <c r="X87" s="916" t="s">
        <v>21</v>
      </c>
      <c r="Y87" s="916" t="s">
        <v>21</v>
      </c>
      <c r="Z87" s="916" t="s">
        <v>21</v>
      </c>
      <c r="AA87" s="916" t="s">
        <v>21</v>
      </c>
      <c r="AB87" s="916" t="s">
        <v>21</v>
      </c>
      <c r="AC87" s="915"/>
      <c r="AD87" s="919" t="s">
        <v>21</v>
      </c>
      <c r="AE87" s="920" t="s">
        <v>21</v>
      </c>
      <c r="AF87" s="920" t="s">
        <v>21</v>
      </c>
      <c r="AG87" s="920" t="s">
        <v>21</v>
      </c>
      <c r="AH87" s="921" t="s">
        <v>21</v>
      </c>
      <c r="AI87" s="921" t="s">
        <v>21</v>
      </c>
      <c r="AJ87" s="920" t="s">
        <v>21</v>
      </c>
      <c r="AK87" s="920" t="s">
        <v>21</v>
      </c>
      <c r="AL87" s="921" t="s">
        <v>21</v>
      </c>
      <c r="AM87" s="921" t="s">
        <v>21</v>
      </c>
      <c r="AN87" s="920"/>
      <c r="AO87" s="920" t="s">
        <v>21</v>
      </c>
      <c r="AP87" s="919" t="s">
        <v>21</v>
      </c>
      <c r="AQ87" s="922" t="s">
        <v>21</v>
      </c>
      <c r="AR87" s="923" t="s">
        <v>21</v>
      </c>
      <c r="AS87" s="923" t="s">
        <v>21</v>
      </c>
      <c r="AT87" s="923" t="s">
        <v>21</v>
      </c>
      <c r="AU87" s="923" t="s">
        <v>21</v>
      </c>
      <c r="AV87" s="924" t="s">
        <v>21</v>
      </c>
      <c r="AW87" s="924" t="s">
        <v>21</v>
      </c>
      <c r="AX87" s="924" t="s">
        <v>21</v>
      </c>
      <c r="AY87" s="924" t="s">
        <v>21</v>
      </c>
      <c r="AZ87" s="923" t="s">
        <v>21</v>
      </c>
      <c r="BA87" s="923"/>
      <c r="BB87" s="919" t="s">
        <v>21</v>
      </c>
      <c r="BC87" s="919" t="s">
        <v>21</v>
      </c>
      <c r="BD87" s="919" t="s">
        <v>21</v>
      </c>
      <c r="BE87" s="925" t="s">
        <v>21</v>
      </c>
      <c r="BF87" s="926" t="s">
        <v>21</v>
      </c>
      <c r="BG87" s="925" t="s">
        <v>21</v>
      </c>
      <c r="BH87" s="926" t="s">
        <v>21</v>
      </c>
      <c r="BI87" s="925" t="s">
        <v>21</v>
      </c>
      <c r="BJ87" s="926" t="s">
        <v>21</v>
      </c>
      <c r="BK87" s="925" t="s">
        <v>21</v>
      </c>
      <c r="BL87" s="926" t="s">
        <v>21</v>
      </c>
      <c r="BM87" s="925" t="s">
        <v>21</v>
      </c>
      <c r="BN87" s="927"/>
      <c r="BO87" s="927"/>
      <c r="BP87" s="928" t="s">
        <v>21</v>
      </c>
      <c r="BQ87" s="928" t="s">
        <v>21</v>
      </c>
      <c r="BR87" s="928" t="s">
        <v>21</v>
      </c>
      <c r="BS87" s="928" t="s">
        <v>21</v>
      </c>
      <c r="BT87" s="928" t="s">
        <v>21</v>
      </c>
      <c r="BU87" s="928" t="s">
        <v>21</v>
      </c>
      <c r="BV87" s="929" t="s">
        <v>21</v>
      </c>
      <c r="BW87" s="929" t="s">
        <v>21</v>
      </c>
      <c r="BX87" s="1104" t="s">
        <v>21</v>
      </c>
      <c r="BY87" s="931" t="s">
        <v>21</v>
      </c>
      <c r="BZ87" s="930"/>
      <c r="CA87" s="1074"/>
      <c r="CB87" s="930"/>
      <c r="CC87" s="930"/>
      <c r="CD87" s="925" t="s">
        <v>21</v>
      </c>
      <c r="CE87" s="1130" t="s">
        <v>21</v>
      </c>
      <c r="CF87" s="1129" t="s">
        <v>21</v>
      </c>
      <c r="CG87" s="1130" t="s">
        <v>21</v>
      </c>
      <c r="CH87" s="1130" t="s">
        <v>21</v>
      </c>
      <c r="CI87" s="1131" t="s">
        <v>21</v>
      </c>
      <c r="CJ87" s="1129" t="s">
        <v>21</v>
      </c>
      <c r="CK87" s="1130" t="s">
        <v>21</v>
      </c>
      <c r="CL87" s="1130" t="s">
        <v>21</v>
      </c>
      <c r="CM87" s="1131" t="s">
        <v>21</v>
      </c>
      <c r="CN87" s="1130" t="s">
        <v>21</v>
      </c>
      <c r="CP87" s="838" t="s">
        <v>21</v>
      </c>
      <c r="CQ87" s="838" t="s">
        <v>21</v>
      </c>
      <c r="CR87" s="836"/>
    </row>
    <row r="88" spans="1:96" x14ac:dyDescent="0.25">
      <c r="A88" s="935"/>
      <c r="B88" s="932"/>
      <c r="C88" s="911"/>
      <c r="D88" s="911"/>
      <c r="E88" s="912"/>
      <c r="F88" s="912"/>
      <c r="G88" s="910"/>
      <c r="H88" s="912"/>
      <c r="I88" s="912"/>
      <c r="J88" s="914"/>
      <c r="K88" s="915"/>
      <c r="L88" s="916" t="s">
        <v>21</v>
      </c>
      <c r="M88" s="916" t="s">
        <v>21</v>
      </c>
      <c r="N88" s="916" t="s">
        <v>21</v>
      </c>
      <c r="O88" s="916" t="s">
        <v>21</v>
      </c>
      <c r="P88" s="915"/>
      <c r="Q88" s="916" t="s">
        <v>21</v>
      </c>
      <c r="R88" s="917" t="s">
        <v>21</v>
      </c>
      <c r="S88" s="918" t="s">
        <v>21</v>
      </c>
      <c r="T88" s="918" t="s">
        <v>21</v>
      </c>
      <c r="U88" s="916" t="s">
        <v>21</v>
      </c>
      <c r="V88" s="916" t="s">
        <v>21</v>
      </c>
      <c r="W88" s="915"/>
      <c r="X88" s="916" t="s">
        <v>21</v>
      </c>
      <c r="Y88" s="916" t="s">
        <v>21</v>
      </c>
      <c r="Z88" s="916" t="s">
        <v>21</v>
      </c>
      <c r="AA88" s="916" t="s">
        <v>21</v>
      </c>
      <c r="AB88" s="916" t="s">
        <v>21</v>
      </c>
      <c r="AC88" s="915"/>
      <c r="AD88" s="919" t="s">
        <v>21</v>
      </c>
      <c r="AE88" s="920" t="s">
        <v>21</v>
      </c>
      <c r="AF88" s="920" t="s">
        <v>21</v>
      </c>
      <c r="AG88" s="920" t="s">
        <v>21</v>
      </c>
      <c r="AH88" s="921" t="s">
        <v>21</v>
      </c>
      <c r="AI88" s="921" t="s">
        <v>21</v>
      </c>
      <c r="AJ88" s="920" t="s">
        <v>21</v>
      </c>
      <c r="AK88" s="920" t="s">
        <v>21</v>
      </c>
      <c r="AL88" s="921" t="s">
        <v>21</v>
      </c>
      <c r="AM88" s="921" t="s">
        <v>21</v>
      </c>
      <c r="AN88" s="920"/>
      <c r="AO88" s="920" t="s">
        <v>21</v>
      </c>
      <c r="AP88" s="919" t="s">
        <v>21</v>
      </c>
      <c r="AQ88" s="922" t="s">
        <v>21</v>
      </c>
      <c r="AR88" s="923" t="s">
        <v>21</v>
      </c>
      <c r="AS88" s="923" t="s">
        <v>21</v>
      </c>
      <c r="AT88" s="923" t="s">
        <v>21</v>
      </c>
      <c r="AU88" s="923" t="s">
        <v>21</v>
      </c>
      <c r="AV88" s="924" t="s">
        <v>21</v>
      </c>
      <c r="AW88" s="924" t="s">
        <v>21</v>
      </c>
      <c r="AX88" s="924" t="s">
        <v>21</v>
      </c>
      <c r="AY88" s="924" t="s">
        <v>21</v>
      </c>
      <c r="AZ88" s="923" t="s">
        <v>21</v>
      </c>
      <c r="BA88" s="923"/>
      <c r="BB88" s="919" t="s">
        <v>21</v>
      </c>
      <c r="BC88" s="919" t="s">
        <v>21</v>
      </c>
      <c r="BD88" s="919" t="s">
        <v>21</v>
      </c>
      <c r="BE88" s="925" t="s">
        <v>21</v>
      </c>
      <c r="BF88" s="926" t="s">
        <v>21</v>
      </c>
      <c r="BG88" s="925" t="s">
        <v>21</v>
      </c>
      <c r="BH88" s="926" t="s">
        <v>21</v>
      </c>
      <c r="BI88" s="925" t="s">
        <v>21</v>
      </c>
      <c r="BJ88" s="926" t="s">
        <v>21</v>
      </c>
      <c r="BK88" s="925" t="s">
        <v>21</v>
      </c>
      <c r="BL88" s="926" t="s">
        <v>21</v>
      </c>
      <c r="BM88" s="925" t="s">
        <v>21</v>
      </c>
      <c r="BN88" s="927"/>
      <c r="BO88" s="927"/>
      <c r="BP88" s="928" t="s">
        <v>21</v>
      </c>
      <c r="BQ88" s="928" t="s">
        <v>21</v>
      </c>
      <c r="BR88" s="928" t="s">
        <v>21</v>
      </c>
      <c r="BS88" s="928" t="s">
        <v>21</v>
      </c>
      <c r="BT88" s="928" t="s">
        <v>21</v>
      </c>
      <c r="BU88" s="928" t="s">
        <v>21</v>
      </c>
      <c r="BV88" s="929" t="s">
        <v>21</v>
      </c>
      <c r="BW88" s="929" t="s">
        <v>21</v>
      </c>
      <c r="BX88" s="1104" t="s">
        <v>21</v>
      </c>
      <c r="BY88" s="931" t="s">
        <v>21</v>
      </c>
      <c r="BZ88" s="930"/>
      <c r="CA88" s="1074"/>
      <c r="CB88" s="930"/>
      <c r="CC88" s="930"/>
      <c r="CD88" s="925" t="s">
        <v>21</v>
      </c>
      <c r="CE88" s="1130" t="s">
        <v>21</v>
      </c>
      <c r="CF88" s="1129" t="s">
        <v>21</v>
      </c>
      <c r="CG88" s="1130" t="s">
        <v>21</v>
      </c>
      <c r="CH88" s="1130" t="s">
        <v>21</v>
      </c>
      <c r="CI88" s="1131" t="s">
        <v>21</v>
      </c>
      <c r="CJ88" s="1129" t="s">
        <v>21</v>
      </c>
      <c r="CK88" s="1130" t="s">
        <v>21</v>
      </c>
      <c r="CL88" s="1130" t="s">
        <v>21</v>
      </c>
      <c r="CM88" s="1131" t="s">
        <v>21</v>
      </c>
      <c r="CN88" s="1130" t="s">
        <v>21</v>
      </c>
      <c r="CP88" s="838" t="s">
        <v>21</v>
      </c>
      <c r="CQ88" s="838" t="s">
        <v>21</v>
      </c>
      <c r="CR88" s="836"/>
    </row>
    <row r="89" spans="1:96" s="1097" customFormat="1" x14ac:dyDescent="0.25">
      <c r="A89" s="1079" t="s">
        <v>3076</v>
      </c>
      <c r="B89" s="1078"/>
      <c r="C89" s="1076"/>
      <c r="D89" s="1076"/>
      <c r="E89" s="1077"/>
      <c r="F89" s="1077"/>
      <c r="G89" s="1078"/>
      <c r="H89" s="1077"/>
      <c r="I89" s="1077"/>
      <c r="J89" s="1080">
        <v>1807.3699999999997</v>
      </c>
      <c r="K89" s="1081"/>
      <c r="L89" s="1082"/>
      <c r="M89" s="1082"/>
      <c r="N89" s="1082"/>
      <c r="O89" s="1082"/>
      <c r="P89" s="1081"/>
      <c r="Q89" s="1082"/>
      <c r="R89" s="1083"/>
      <c r="S89" s="976"/>
      <c r="T89" s="976"/>
      <c r="U89" s="1082"/>
      <c r="V89" s="1082"/>
      <c r="W89" s="1081"/>
      <c r="X89" s="1082"/>
      <c r="Y89" s="1082"/>
      <c r="Z89" s="1082"/>
      <c r="AA89" s="1082"/>
      <c r="AB89" s="1082"/>
      <c r="AC89" s="1081"/>
      <c r="AD89" s="1084">
        <v>385.21600000000001</v>
      </c>
      <c r="AE89" s="1085">
        <v>788.83400000000006</v>
      </c>
      <c r="AF89" s="1085">
        <v>0</v>
      </c>
      <c r="AG89" s="1085">
        <v>0</v>
      </c>
      <c r="AH89" s="1086">
        <v>0</v>
      </c>
      <c r="AI89" s="1086">
        <v>0</v>
      </c>
      <c r="AJ89" s="1085">
        <v>0</v>
      </c>
      <c r="AK89" s="1085">
        <v>0</v>
      </c>
      <c r="AL89" s="1086">
        <v>0</v>
      </c>
      <c r="AM89" s="1086">
        <v>0</v>
      </c>
      <c r="AN89" s="1085">
        <v>0</v>
      </c>
      <c r="AO89" s="1085">
        <v>788.83400000000006</v>
      </c>
      <c r="AP89" s="1084">
        <v>264.83600000000001</v>
      </c>
      <c r="AQ89" s="1087" t="s">
        <v>21</v>
      </c>
      <c r="AR89" s="1088">
        <v>0</v>
      </c>
      <c r="AS89" s="1088">
        <v>0</v>
      </c>
      <c r="AT89" s="1088">
        <v>0</v>
      </c>
      <c r="AU89" s="1088">
        <v>0</v>
      </c>
      <c r="AV89" s="1089">
        <v>0</v>
      </c>
      <c r="AW89" s="1089">
        <v>0</v>
      </c>
      <c r="AX89" s="1089">
        <v>0</v>
      </c>
      <c r="AY89" s="1089">
        <v>0</v>
      </c>
      <c r="AZ89" s="1088">
        <v>358.56119999999999</v>
      </c>
      <c r="BA89" s="1088">
        <v>0</v>
      </c>
      <c r="BB89" s="1084">
        <v>0</v>
      </c>
      <c r="BC89" s="1084">
        <v>26.482999999999997</v>
      </c>
      <c r="BD89" s="1090"/>
      <c r="BE89" s="1088">
        <v>0</v>
      </c>
      <c r="BF89" s="1089">
        <v>0</v>
      </c>
      <c r="BG89" s="1088">
        <v>60.19</v>
      </c>
      <c r="BH89" s="1089">
        <v>0</v>
      </c>
      <c r="BI89" s="1088">
        <v>0</v>
      </c>
      <c r="BJ89" s="1089">
        <v>0</v>
      </c>
      <c r="BK89" s="1088">
        <v>0</v>
      </c>
      <c r="BL89" s="1089">
        <v>0</v>
      </c>
      <c r="BM89" s="1088">
        <v>0</v>
      </c>
      <c r="BN89" s="1091">
        <v>0</v>
      </c>
      <c r="BO89" s="1091">
        <v>0</v>
      </c>
      <c r="BP89" s="1092">
        <v>2</v>
      </c>
      <c r="BQ89" s="1092">
        <v>0</v>
      </c>
      <c r="BR89" s="1092">
        <v>0</v>
      </c>
      <c r="BS89" s="1092">
        <v>0</v>
      </c>
      <c r="BT89" s="1092">
        <v>0</v>
      </c>
      <c r="BU89" s="1092">
        <v>0</v>
      </c>
      <c r="BV89" s="1093">
        <v>2.0390000000001693</v>
      </c>
      <c r="BW89" s="1093">
        <v>3</v>
      </c>
      <c r="BX89" s="1105">
        <v>6</v>
      </c>
      <c r="BY89" s="1095">
        <v>10</v>
      </c>
      <c r="BZ89" s="1094">
        <v>2</v>
      </c>
      <c r="CA89" s="1094">
        <v>0</v>
      </c>
      <c r="CB89" s="1094">
        <v>0</v>
      </c>
      <c r="CC89" s="1094">
        <v>0</v>
      </c>
      <c r="CD89" s="1088">
        <v>192.66800000000001</v>
      </c>
      <c r="CE89" s="1133">
        <v>545.18500000000006</v>
      </c>
      <c r="CF89" s="1132">
        <v>0</v>
      </c>
      <c r="CG89" s="1133">
        <v>0</v>
      </c>
      <c r="CH89" s="1133">
        <v>0</v>
      </c>
      <c r="CI89" s="1134">
        <v>0</v>
      </c>
      <c r="CJ89" s="1132">
        <v>0</v>
      </c>
      <c r="CK89" s="1133">
        <v>0</v>
      </c>
      <c r="CL89" s="1133">
        <v>0</v>
      </c>
      <c r="CM89" s="1134">
        <v>0</v>
      </c>
      <c r="CN89" s="1133">
        <v>545.18500000000006</v>
      </c>
      <c r="CO89" s="1096"/>
      <c r="CP89" s="1096" t="s">
        <v>21</v>
      </c>
      <c r="CQ89" s="1096" t="s">
        <v>21</v>
      </c>
    </row>
    <row r="90" spans="1:96" x14ac:dyDescent="0.25">
      <c r="A90" s="935"/>
      <c r="B90" s="932"/>
      <c r="C90" s="911"/>
      <c r="D90" s="911"/>
      <c r="E90" s="912"/>
      <c r="F90" s="912"/>
      <c r="G90" s="910"/>
      <c r="H90" s="912"/>
      <c r="I90" s="912"/>
      <c r="J90" s="914"/>
      <c r="K90" s="915"/>
      <c r="L90" s="916" t="s">
        <v>21</v>
      </c>
      <c r="M90" s="916" t="s">
        <v>21</v>
      </c>
      <c r="N90" s="916" t="s">
        <v>21</v>
      </c>
      <c r="O90" s="916" t="s">
        <v>21</v>
      </c>
      <c r="P90" s="915"/>
      <c r="Q90" s="916" t="s">
        <v>21</v>
      </c>
      <c r="R90" s="917" t="s">
        <v>21</v>
      </c>
      <c r="S90" s="918" t="s">
        <v>21</v>
      </c>
      <c r="T90" s="918" t="s">
        <v>21</v>
      </c>
      <c r="U90" s="916" t="s">
        <v>21</v>
      </c>
      <c r="V90" s="916" t="s">
        <v>21</v>
      </c>
      <c r="W90" s="915"/>
      <c r="X90" s="916" t="s">
        <v>21</v>
      </c>
      <c r="Y90" s="916" t="s">
        <v>21</v>
      </c>
      <c r="Z90" s="916" t="s">
        <v>21</v>
      </c>
      <c r="AA90" s="916" t="s">
        <v>21</v>
      </c>
      <c r="AB90" s="916" t="s">
        <v>21</v>
      </c>
      <c r="AC90" s="915"/>
      <c r="AD90" s="919" t="s">
        <v>21</v>
      </c>
      <c r="AE90" s="920" t="s">
        <v>21</v>
      </c>
      <c r="AF90" s="920" t="s">
        <v>21</v>
      </c>
      <c r="AG90" s="920" t="s">
        <v>21</v>
      </c>
      <c r="AH90" s="921" t="s">
        <v>21</v>
      </c>
      <c r="AI90" s="921" t="s">
        <v>21</v>
      </c>
      <c r="AJ90" s="920" t="s">
        <v>21</v>
      </c>
      <c r="AK90" s="920" t="s">
        <v>21</v>
      </c>
      <c r="AL90" s="921" t="s">
        <v>21</v>
      </c>
      <c r="AM90" s="921" t="s">
        <v>21</v>
      </c>
      <c r="AN90" s="920"/>
      <c r="AO90" s="920" t="s">
        <v>21</v>
      </c>
      <c r="AP90" s="919" t="s">
        <v>21</v>
      </c>
      <c r="AQ90" s="922" t="s">
        <v>21</v>
      </c>
      <c r="AR90" s="923" t="s">
        <v>21</v>
      </c>
      <c r="AS90" s="923" t="s">
        <v>21</v>
      </c>
      <c r="AT90" s="923" t="s">
        <v>21</v>
      </c>
      <c r="AU90" s="923" t="s">
        <v>21</v>
      </c>
      <c r="AV90" s="924" t="s">
        <v>21</v>
      </c>
      <c r="AW90" s="924" t="s">
        <v>21</v>
      </c>
      <c r="AX90" s="924" t="s">
        <v>21</v>
      </c>
      <c r="AY90" s="924" t="s">
        <v>21</v>
      </c>
      <c r="AZ90" s="923" t="s">
        <v>21</v>
      </c>
      <c r="BA90" s="923"/>
      <c r="BB90" s="919" t="s">
        <v>21</v>
      </c>
      <c r="BC90" s="919" t="s">
        <v>21</v>
      </c>
      <c r="BD90" s="919" t="s">
        <v>21</v>
      </c>
      <c r="BE90" s="925" t="s">
        <v>21</v>
      </c>
      <c r="BF90" s="926" t="s">
        <v>21</v>
      </c>
      <c r="BG90" s="925" t="s">
        <v>21</v>
      </c>
      <c r="BH90" s="926" t="s">
        <v>21</v>
      </c>
      <c r="BI90" s="925" t="s">
        <v>21</v>
      </c>
      <c r="BJ90" s="926" t="s">
        <v>21</v>
      </c>
      <c r="BK90" s="925" t="s">
        <v>21</v>
      </c>
      <c r="BL90" s="926" t="s">
        <v>21</v>
      </c>
      <c r="BM90" s="925" t="s">
        <v>21</v>
      </c>
      <c r="BN90" s="927"/>
      <c r="BO90" s="927"/>
      <c r="BP90" s="928" t="s">
        <v>21</v>
      </c>
      <c r="BQ90" s="928" t="s">
        <v>21</v>
      </c>
      <c r="BR90" s="928" t="s">
        <v>21</v>
      </c>
      <c r="BS90" s="928" t="s">
        <v>21</v>
      </c>
      <c r="BT90" s="928" t="s">
        <v>21</v>
      </c>
      <c r="BU90" s="928" t="s">
        <v>21</v>
      </c>
      <c r="BV90" s="929" t="s">
        <v>21</v>
      </c>
      <c r="BW90" s="929" t="s">
        <v>21</v>
      </c>
      <c r="BX90" s="1104" t="s">
        <v>21</v>
      </c>
      <c r="BY90" s="931" t="s">
        <v>21</v>
      </c>
      <c r="BZ90" s="930"/>
      <c r="CA90" s="1074"/>
      <c r="CB90" s="930"/>
      <c r="CC90" s="930"/>
      <c r="CD90" s="925" t="s">
        <v>21</v>
      </c>
      <c r="CE90" s="1130" t="s">
        <v>21</v>
      </c>
      <c r="CF90" s="1129" t="s">
        <v>21</v>
      </c>
      <c r="CG90" s="1130" t="s">
        <v>21</v>
      </c>
      <c r="CH90" s="1130" t="s">
        <v>21</v>
      </c>
      <c r="CI90" s="1131" t="s">
        <v>21</v>
      </c>
      <c r="CJ90" s="1129" t="s">
        <v>21</v>
      </c>
      <c r="CK90" s="1130" t="s">
        <v>21</v>
      </c>
      <c r="CL90" s="1130" t="s">
        <v>21</v>
      </c>
      <c r="CM90" s="1131" t="s">
        <v>21</v>
      </c>
      <c r="CN90" s="1130" t="s">
        <v>21</v>
      </c>
      <c r="CP90" s="838" t="s">
        <v>21</v>
      </c>
      <c r="CQ90" s="838" t="s">
        <v>21</v>
      </c>
      <c r="CR90" s="836"/>
    </row>
    <row r="91" spans="1:96" x14ac:dyDescent="0.25">
      <c r="A91" s="935">
        <v>1</v>
      </c>
      <c r="B91" s="1900" t="s">
        <v>2225</v>
      </c>
      <c r="C91" s="911">
        <v>600</v>
      </c>
      <c r="D91" s="911" t="s">
        <v>2116</v>
      </c>
      <c r="E91" s="912">
        <v>1199.3399999999999</v>
      </c>
      <c r="F91" s="912">
        <v>1197.44</v>
      </c>
      <c r="G91" s="910" t="s">
        <v>2226</v>
      </c>
      <c r="H91" s="912">
        <v>1196.48</v>
      </c>
      <c r="I91" s="912">
        <v>1194.58</v>
      </c>
      <c r="J91" s="914">
        <v>38.340000000000003</v>
      </c>
      <c r="K91" s="915"/>
      <c r="L91" s="916">
        <v>0.1</v>
      </c>
      <c r="M91" s="916">
        <v>0.06</v>
      </c>
      <c r="N91" s="916">
        <v>0.2</v>
      </c>
      <c r="O91" s="916">
        <v>6.4</v>
      </c>
      <c r="P91" s="915"/>
      <c r="Q91" s="916">
        <v>2.16</v>
      </c>
      <c r="R91" s="1899">
        <v>0</v>
      </c>
      <c r="S91" s="1898">
        <v>4.4000000000000004</v>
      </c>
      <c r="T91" s="1898">
        <v>4.4000000000000004</v>
      </c>
      <c r="U91" s="916">
        <v>4.32</v>
      </c>
      <c r="V91" s="916">
        <v>0.92</v>
      </c>
      <c r="W91" s="915"/>
      <c r="X91" s="916">
        <v>0.28299999999999997</v>
      </c>
      <c r="Y91" s="916">
        <v>0.40699999999999997</v>
      </c>
      <c r="Z91" s="916">
        <v>9.5039999999999996</v>
      </c>
      <c r="AA91" s="916">
        <v>3.2010000000000001</v>
      </c>
      <c r="AB91" s="916">
        <v>5.4560000000000004</v>
      </c>
      <c r="AC91" s="915"/>
      <c r="AD91" s="919">
        <v>245.376</v>
      </c>
      <c r="AE91" s="920">
        <v>364.38299999999998</v>
      </c>
      <c r="AF91" s="920" t="s">
        <v>21</v>
      </c>
      <c r="AG91" s="920" t="s">
        <v>21</v>
      </c>
      <c r="AH91" s="921" t="s">
        <v>21</v>
      </c>
      <c r="AI91" s="921" t="s">
        <v>21</v>
      </c>
      <c r="AJ91" s="920" t="s">
        <v>21</v>
      </c>
      <c r="AK91" s="920" t="s">
        <v>21</v>
      </c>
      <c r="AL91" s="921" t="s">
        <v>21</v>
      </c>
      <c r="AM91" s="921" t="s">
        <v>21</v>
      </c>
      <c r="AN91" s="920"/>
      <c r="AO91" s="920">
        <v>364.38299999999998</v>
      </c>
      <c r="AP91" s="919">
        <v>168.696</v>
      </c>
      <c r="AQ91" s="922">
        <v>165.62880000000001</v>
      </c>
      <c r="AR91" s="923" t="s">
        <v>21</v>
      </c>
      <c r="AS91" s="923" t="s">
        <v>21</v>
      </c>
      <c r="AT91" s="923" t="s">
        <v>21</v>
      </c>
      <c r="AU91" s="923" t="s">
        <v>21</v>
      </c>
      <c r="AV91" s="924" t="s">
        <v>21</v>
      </c>
      <c r="AW91" s="924" t="s">
        <v>21</v>
      </c>
      <c r="AX91" s="924" t="s">
        <v>21</v>
      </c>
      <c r="AY91" s="924" t="s">
        <v>21</v>
      </c>
      <c r="AZ91" s="1902">
        <v>165.62880000000001</v>
      </c>
      <c r="BA91" s="923"/>
      <c r="BB91" s="919" t="s">
        <v>21</v>
      </c>
      <c r="BC91" s="919">
        <v>16.87</v>
      </c>
      <c r="BD91" s="919" t="s">
        <v>2142</v>
      </c>
      <c r="BE91" s="925" t="s">
        <v>21</v>
      </c>
      <c r="BF91" s="926" t="s">
        <v>21</v>
      </c>
      <c r="BG91" s="925">
        <v>38.340000000000003</v>
      </c>
      <c r="BH91" s="926" t="s">
        <v>21</v>
      </c>
      <c r="BI91" s="925" t="s">
        <v>21</v>
      </c>
      <c r="BJ91" s="926" t="s">
        <v>21</v>
      </c>
      <c r="BK91" s="925" t="s">
        <v>21</v>
      </c>
      <c r="BL91" s="926" t="s">
        <v>21</v>
      </c>
      <c r="BM91" s="925" t="s">
        <v>21</v>
      </c>
      <c r="BN91" s="927"/>
      <c r="BO91" s="927"/>
      <c r="BP91" s="928">
        <v>1</v>
      </c>
      <c r="BQ91" s="928" t="s">
        <v>21</v>
      </c>
      <c r="BR91" s="928" t="s">
        <v>21</v>
      </c>
      <c r="BS91" s="928" t="s">
        <v>21</v>
      </c>
      <c r="BT91" s="928" t="s">
        <v>21</v>
      </c>
      <c r="BU91" s="928" t="s">
        <v>21</v>
      </c>
      <c r="BV91" s="929">
        <v>0.49999999999986366</v>
      </c>
      <c r="BW91" s="929">
        <v>0.5</v>
      </c>
      <c r="BX91" s="1104">
        <v>1</v>
      </c>
      <c r="BY91" s="931">
        <v>3</v>
      </c>
      <c r="BZ91" s="930"/>
      <c r="CA91" s="1074">
        <v>1</v>
      </c>
      <c r="CB91" s="930"/>
      <c r="CC91" s="930"/>
      <c r="CD91" s="925">
        <v>122.726</v>
      </c>
      <c r="CE91" s="1130">
        <v>209.18299999999999</v>
      </c>
      <c r="CF91" s="1129" t="s">
        <v>21</v>
      </c>
      <c r="CG91" s="1130" t="s">
        <v>21</v>
      </c>
      <c r="CH91" s="1130" t="s">
        <v>21</v>
      </c>
      <c r="CI91" s="1131" t="s">
        <v>21</v>
      </c>
      <c r="CJ91" s="1129" t="s">
        <v>21</v>
      </c>
      <c r="CK91" s="1130" t="s">
        <v>21</v>
      </c>
      <c r="CL91" s="1130" t="s">
        <v>21</v>
      </c>
      <c r="CM91" s="1131" t="s">
        <v>21</v>
      </c>
      <c r="CN91" s="1130">
        <v>209.18299999999999</v>
      </c>
      <c r="CP91" s="838" t="s">
        <v>21</v>
      </c>
      <c r="CQ91" s="838" t="s">
        <v>21</v>
      </c>
      <c r="CR91" s="836"/>
    </row>
    <row r="92" spans="1:96" x14ac:dyDescent="0.25">
      <c r="A92" s="935" t="s">
        <v>3063</v>
      </c>
      <c r="B92" s="932" t="s">
        <v>2226</v>
      </c>
      <c r="C92" s="911">
        <v>600</v>
      </c>
      <c r="D92" s="911" t="s">
        <v>2116</v>
      </c>
      <c r="E92" s="912">
        <v>1196.48</v>
      </c>
      <c r="F92" s="912">
        <v>1194.53</v>
      </c>
      <c r="G92" s="910" t="s">
        <v>2233</v>
      </c>
      <c r="H92" s="912">
        <v>1195.96</v>
      </c>
      <c r="I92" s="912">
        <v>1194.45</v>
      </c>
      <c r="J92" s="914">
        <v>9.68</v>
      </c>
      <c r="K92" s="915"/>
      <c r="L92" s="916">
        <v>0.1</v>
      </c>
      <c r="M92" s="916">
        <v>0.06</v>
      </c>
      <c r="N92" s="916">
        <v>0.2</v>
      </c>
      <c r="O92" s="916">
        <v>4.7270000000000003</v>
      </c>
      <c r="P92" s="915"/>
      <c r="Q92" s="916">
        <v>1.99</v>
      </c>
      <c r="R92" s="917">
        <v>0.33333333333333331</v>
      </c>
      <c r="S92" s="918">
        <v>1.4</v>
      </c>
      <c r="T92" s="918">
        <v>2.7269999999999999</v>
      </c>
      <c r="U92" s="916">
        <v>4.1950000000000003</v>
      </c>
      <c r="V92" s="916">
        <v>0.92</v>
      </c>
      <c r="W92" s="915"/>
      <c r="X92" s="916">
        <v>0.28299999999999997</v>
      </c>
      <c r="Y92" s="916">
        <v>0.40699999999999997</v>
      </c>
      <c r="Z92" s="916">
        <v>4.1059999999999999</v>
      </c>
      <c r="AA92" s="916">
        <v>1.0229999999999999</v>
      </c>
      <c r="AB92" s="916">
        <v>2.536</v>
      </c>
      <c r="AC92" s="915"/>
      <c r="AD92" s="919">
        <v>45.756999999999998</v>
      </c>
      <c r="AE92" s="920">
        <v>39.746000000000002</v>
      </c>
      <c r="AF92" s="920" t="s">
        <v>21</v>
      </c>
      <c r="AG92" s="920" t="s">
        <v>21</v>
      </c>
      <c r="AH92" s="921">
        <v>39.746000000000002</v>
      </c>
      <c r="AI92" s="921" t="s">
        <v>21</v>
      </c>
      <c r="AJ92" s="920" t="s">
        <v>21</v>
      </c>
      <c r="AK92" s="920" t="s">
        <v>21</v>
      </c>
      <c r="AL92" s="921" t="s">
        <v>21</v>
      </c>
      <c r="AM92" s="921" t="s">
        <v>21</v>
      </c>
      <c r="AN92" s="920"/>
      <c r="AO92" s="920" t="s">
        <v>21</v>
      </c>
      <c r="AP92" s="919">
        <v>13.552</v>
      </c>
      <c r="AQ92" s="922">
        <v>40.607600000000005</v>
      </c>
      <c r="AR92" s="923" t="s">
        <v>21</v>
      </c>
      <c r="AS92" s="923">
        <v>40.607600000000005</v>
      </c>
      <c r="AT92" s="923" t="s">
        <v>21</v>
      </c>
      <c r="AU92" s="923" t="s">
        <v>21</v>
      </c>
      <c r="AV92" s="924" t="s">
        <v>21</v>
      </c>
      <c r="AW92" s="924" t="s">
        <v>21</v>
      </c>
      <c r="AX92" s="924" t="s">
        <v>21</v>
      </c>
      <c r="AY92" s="924" t="s">
        <v>21</v>
      </c>
      <c r="AZ92" s="923" t="s">
        <v>21</v>
      </c>
      <c r="BA92" s="923"/>
      <c r="BB92" s="919">
        <v>1.355</v>
      </c>
      <c r="BC92" s="919" t="s">
        <v>21</v>
      </c>
      <c r="BD92" s="919" t="s">
        <v>2142</v>
      </c>
      <c r="BE92" s="925" t="s">
        <v>21</v>
      </c>
      <c r="BF92" s="926" t="s">
        <v>21</v>
      </c>
      <c r="BG92" s="925">
        <v>9.68</v>
      </c>
      <c r="BH92" s="926" t="s">
        <v>21</v>
      </c>
      <c r="BI92" s="925" t="s">
        <v>21</v>
      </c>
      <c r="BJ92" s="926" t="s">
        <v>21</v>
      </c>
      <c r="BK92" s="925" t="s">
        <v>21</v>
      </c>
      <c r="BL92" s="926" t="s">
        <v>21</v>
      </c>
      <c r="BM92" s="925" t="s">
        <v>21</v>
      </c>
      <c r="BN92" s="927"/>
      <c r="BO92" s="927"/>
      <c r="BP92" s="928">
        <v>1</v>
      </c>
      <c r="BQ92" s="928" t="s">
        <v>21</v>
      </c>
      <c r="BR92" s="928" t="s">
        <v>21</v>
      </c>
      <c r="BS92" s="928" t="s">
        <v>21</v>
      </c>
      <c r="BT92" s="928" t="s">
        <v>21</v>
      </c>
      <c r="BU92" s="928" t="s">
        <v>21</v>
      </c>
      <c r="BV92" s="929">
        <v>0.55000000000004556</v>
      </c>
      <c r="BW92" s="929">
        <v>1</v>
      </c>
      <c r="BX92" s="1104">
        <v>2</v>
      </c>
      <c r="BY92" s="931">
        <v>4</v>
      </c>
      <c r="BZ92" s="930"/>
      <c r="CA92" s="1074"/>
      <c r="CB92" s="930"/>
      <c r="CC92" s="930"/>
      <c r="CD92" s="925">
        <v>9.9030000000000005</v>
      </c>
      <c r="CE92" s="1130">
        <v>24.547999999999998</v>
      </c>
      <c r="CF92" s="1129" t="s">
        <v>21</v>
      </c>
      <c r="CG92" s="1130" t="s">
        <v>21</v>
      </c>
      <c r="CH92" s="1130" t="s">
        <v>21</v>
      </c>
      <c r="CI92" s="1131" t="s">
        <v>21</v>
      </c>
      <c r="CJ92" s="1129" t="s">
        <v>21</v>
      </c>
      <c r="CK92" s="1130">
        <v>24.547999999999998</v>
      </c>
      <c r="CL92" s="1130" t="s">
        <v>21</v>
      </c>
      <c r="CM92" s="1131" t="s">
        <v>21</v>
      </c>
      <c r="CN92" s="1130" t="s">
        <v>21</v>
      </c>
      <c r="CP92" s="838" t="s">
        <v>21</v>
      </c>
      <c r="CQ92" s="838" t="s">
        <v>21</v>
      </c>
      <c r="CR92" s="836"/>
    </row>
    <row r="93" spans="1:96" x14ac:dyDescent="0.25">
      <c r="A93" s="935" t="s">
        <v>3064</v>
      </c>
      <c r="B93" s="932"/>
      <c r="C93" s="911"/>
      <c r="D93" s="911"/>
      <c r="E93" s="912"/>
      <c r="F93" s="912"/>
      <c r="G93" s="910"/>
      <c r="H93" s="912"/>
      <c r="I93" s="912"/>
      <c r="J93" s="914"/>
      <c r="K93" s="915"/>
      <c r="L93" s="916" t="s">
        <v>21</v>
      </c>
      <c r="M93" s="916" t="s">
        <v>21</v>
      </c>
      <c r="N93" s="916" t="s">
        <v>21</v>
      </c>
      <c r="O93" s="916" t="s">
        <v>21</v>
      </c>
      <c r="P93" s="915"/>
      <c r="Q93" s="916" t="s">
        <v>21</v>
      </c>
      <c r="R93" s="917" t="s">
        <v>21</v>
      </c>
      <c r="S93" s="918" t="s">
        <v>21</v>
      </c>
      <c r="T93" s="918" t="s">
        <v>21</v>
      </c>
      <c r="U93" s="916" t="s">
        <v>21</v>
      </c>
      <c r="V93" s="916" t="s">
        <v>21</v>
      </c>
      <c r="W93" s="915"/>
      <c r="X93" s="916" t="s">
        <v>21</v>
      </c>
      <c r="Y93" s="916" t="s">
        <v>21</v>
      </c>
      <c r="Z93" s="916" t="s">
        <v>21</v>
      </c>
      <c r="AA93" s="916" t="s">
        <v>21</v>
      </c>
      <c r="AB93" s="916" t="s">
        <v>21</v>
      </c>
      <c r="AC93" s="915"/>
      <c r="AD93" s="919" t="s">
        <v>21</v>
      </c>
      <c r="AE93" s="920" t="s">
        <v>21</v>
      </c>
      <c r="AF93" s="920" t="s">
        <v>21</v>
      </c>
      <c r="AG93" s="920" t="s">
        <v>21</v>
      </c>
      <c r="AH93" s="921" t="s">
        <v>21</v>
      </c>
      <c r="AI93" s="921" t="s">
        <v>21</v>
      </c>
      <c r="AJ93" s="920" t="s">
        <v>21</v>
      </c>
      <c r="AK93" s="920" t="s">
        <v>21</v>
      </c>
      <c r="AL93" s="921" t="s">
        <v>21</v>
      </c>
      <c r="AM93" s="921" t="s">
        <v>21</v>
      </c>
      <c r="AN93" s="920"/>
      <c r="AO93" s="920" t="s">
        <v>21</v>
      </c>
      <c r="AP93" s="919" t="s">
        <v>21</v>
      </c>
      <c r="AQ93" s="922" t="s">
        <v>21</v>
      </c>
      <c r="AR93" s="923" t="s">
        <v>21</v>
      </c>
      <c r="AS93" s="923" t="s">
        <v>21</v>
      </c>
      <c r="AT93" s="923" t="s">
        <v>21</v>
      </c>
      <c r="AU93" s="923" t="s">
        <v>21</v>
      </c>
      <c r="AV93" s="924" t="s">
        <v>21</v>
      </c>
      <c r="AW93" s="924" t="s">
        <v>21</v>
      </c>
      <c r="AX93" s="924" t="s">
        <v>21</v>
      </c>
      <c r="AY93" s="924" t="s">
        <v>21</v>
      </c>
      <c r="AZ93" s="923" t="s">
        <v>21</v>
      </c>
      <c r="BA93" s="923"/>
      <c r="BB93" s="919" t="s">
        <v>21</v>
      </c>
      <c r="BC93" s="919" t="s">
        <v>21</v>
      </c>
      <c r="BD93" s="919" t="s">
        <v>21</v>
      </c>
      <c r="BE93" s="925" t="s">
        <v>21</v>
      </c>
      <c r="BF93" s="926" t="s">
        <v>21</v>
      </c>
      <c r="BG93" s="925" t="s">
        <v>21</v>
      </c>
      <c r="BH93" s="926" t="s">
        <v>21</v>
      </c>
      <c r="BI93" s="925" t="s">
        <v>21</v>
      </c>
      <c r="BJ93" s="926" t="s">
        <v>21</v>
      </c>
      <c r="BK93" s="925" t="s">
        <v>21</v>
      </c>
      <c r="BL93" s="926" t="s">
        <v>21</v>
      </c>
      <c r="BM93" s="925" t="s">
        <v>21</v>
      </c>
      <c r="BN93" s="927"/>
      <c r="BO93" s="927"/>
      <c r="BP93" s="928" t="s">
        <v>21</v>
      </c>
      <c r="BQ93" s="928" t="s">
        <v>21</v>
      </c>
      <c r="BR93" s="928" t="s">
        <v>21</v>
      </c>
      <c r="BS93" s="928" t="s">
        <v>21</v>
      </c>
      <c r="BT93" s="928" t="s">
        <v>21</v>
      </c>
      <c r="BU93" s="928" t="s">
        <v>21</v>
      </c>
      <c r="BV93" s="929" t="s">
        <v>21</v>
      </c>
      <c r="BW93" s="929" t="s">
        <v>21</v>
      </c>
      <c r="BX93" s="1104" t="s">
        <v>21</v>
      </c>
      <c r="BY93" s="931" t="s">
        <v>21</v>
      </c>
      <c r="BZ93" s="930"/>
      <c r="CA93" s="1074"/>
      <c r="CB93" s="930"/>
      <c r="CC93" s="930"/>
      <c r="CD93" s="925" t="s">
        <v>21</v>
      </c>
      <c r="CE93" s="1130" t="s">
        <v>21</v>
      </c>
      <c r="CF93" s="1129" t="s">
        <v>21</v>
      </c>
      <c r="CG93" s="1130" t="s">
        <v>21</v>
      </c>
      <c r="CH93" s="1130" t="s">
        <v>21</v>
      </c>
      <c r="CI93" s="1131" t="s">
        <v>21</v>
      </c>
      <c r="CJ93" s="1129" t="s">
        <v>21</v>
      </c>
      <c r="CK93" s="1130" t="s">
        <v>21</v>
      </c>
      <c r="CL93" s="1130" t="s">
        <v>21</v>
      </c>
      <c r="CM93" s="1131" t="s">
        <v>21</v>
      </c>
      <c r="CN93" s="1130" t="s">
        <v>21</v>
      </c>
      <c r="CP93" s="838" t="s">
        <v>21</v>
      </c>
      <c r="CQ93" s="838" t="s">
        <v>21</v>
      </c>
      <c r="CR93" s="836"/>
    </row>
    <row r="94" spans="1:96" x14ac:dyDescent="0.25">
      <c r="A94" s="935">
        <v>1</v>
      </c>
      <c r="B94" s="932"/>
      <c r="C94" s="911"/>
      <c r="D94" s="911"/>
      <c r="E94" s="912"/>
      <c r="F94" s="912"/>
      <c r="G94" s="910"/>
      <c r="H94" s="912"/>
      <c r="I94" s="912"/>
      <c r="J94" s="914"/>
      <c r="K94" s="915"/>
      <c r="L94" s="916" t="s">
        <v>21</v>
      </c>
      <c r="M94" s="916" t="s">
        <v>21</v>
      </c>
      <c r="N94" s="916" t="s">
        <v>21</v>
      </c>
      <c r="O94" s="916" t="s">
        <v>21</v>
      </c>
      <c r="P94" s="915"/>
      <c r="Q94" s="916" t="s">
        <v>21</v>
      </c>
      <c r="R94" s="917" t="s">
        <v>21</v>
      </c>
      <c r="S94" s="918" t="s">
        <v>21</v>
      </c>
      <c r="T94" s="918" t="s">
        <v>21</v>
      </c>
      <c r="U94" s="916" t="s">
        <v>21</v>
      </c>
      <c r="V94" s="916" t="s">
        <v>21</v>
      </c>
      <c r="W94" s="915"/>
      <c r="X94" s="916" t="s">
        <v>21</v>
      </c>
      <c r="Y94" s="916" t="s">
        <v>21</v>
      </c>
      <c r="Z94" s="916" t="s">
        <v>21</v>
      </c>
      <c r="AA94" s="916" t="s">
        <v>21</v>
      </c>
      <c r="AB94" s="916" t="s">
        <v>21</v>
      </c>
      <c r="AC94" s="915"/>
      <c r="AD94" s="919" t="s">
        <v>21</v>
      </c>
      <c r="AE94" s="920" t="s">
        <v>21</v>
      </c>
      <c r="AF94" s="920" t="s">
        <v>21</v>
      </c>
      <c r="AG94" s="920" t="s">
        <v>21</v>
      </c>
      <c r="AH94" s="921" t="s">
        <v>21</v>
      </c>
      <c r="AI94" s="921" t="s">
        <v>21</v>
      </c>
      <c r="AJ94" s="920" t="s">
        <v>21</v>
      </c>
      <c r="AK94" s="920" t="s">
        <v>21</v>
      </c>
      <c r="AL94" s="921" t="s">
        <v>21</v>
      </c>
      <c r="AM94" s="921" t="s">
        <v>21</v>
      </c>
      <c r="AN94" s="920"/>
      <c r="AO94" s="920" t="s">
        <v>21</v>
      </c>
      <c r="AP94" s="919" t="s">
        <v>21</v>
      </c>
      <c r="AQ94" s="922" t="s">
        <v>21</v>
      </c>
      <c r="AR94" s="923" t="s">
        <v>21</v>
      </c>
      <c r="AS94" s="923" t="s">
        <v>21</v>
      </c>
      <c r="AT94" s="923" t="s">
        <v>21</v>
      </c>
      <c r="AU94" s="923" t="s">
        <v>21</v>
      </c>
      <c r="AV94" s="924" t="s">
        <v>21</v>
      </c>
      <c r="AW94" s="924" t="s">
        <v>21</v>
      </c>
      <c r="AX94" s="924" t="s">
        <v>21</v>
      </c>
      <c r="AY94" s="924" t="s">
        <v>21</v>
      </c>
      <c r="AZ94" s="923" t="s">
        <v>21</v>
      </c>
      <c r="BA94" s="923"/>
      <c r="BB94" s="919" t="s">
        <v>21</v>
      </c>
      <c r="BC94" s="919" t="s">
        <v>21</v>
      </c>
      <c r="BD94" s="919" t="s">
        <v>21</v>
      </c>
      <c r="BE94" s="925" t="s">
        <v>21</v>
      </c>
      <c r="BF94" s="926" t="s">
        <v>21</v>
      </c>
      <c r="BG94" s="925" t="s">
        <v>21</v>
      </c>
      <c r="BH94" s="926" t="s">
        <v>21</v>
      </c>
      <c r="BI94" s="925" t="s">
        <v>21</v>
      </c>
      <c r="BJ94" s="926" t="s">
        <v>21</v>
      </c>
      <c r="BK94" s="925" t="s">
        <v>21</v>
      </c>
      <c r="BL94" s="926" t="s">
        <v>21</v>
      </c>
      <c r="BM94" s="925" t="s">
        <v>21</v>
      </c>
      <c r="BN94" s="927"/>
      <c r="BO94" s="927"/>
      <c r="BP94" s="928" t="s">
        <v>21</v>
      </c>
      <c r="BQ94" s="928" t="s">
        <v>21</v>
      </c>
      <c r="BR94" s="928" t="s">
        <v>21</v>
      </c>
      <c r="BS94" s="928" t="s">
        <v>21</v>
      </c>
      <c r="BT94" s="928" t="s">
        <v>21</v>
      </c>
      <c r="BU94" s="928" t="s">
        <v>21</v>
      </c>
      <c r="BV94" s="929" t="s">
        <v>21</v>
      </c>
      <c r="BW94" s="929" t="s">
        <v>21</v>
      </c>
      <c r="BX94" s="1104" t="s">
        <v>21</v>
      </c>
      <c r="BY94" s="931" t="s">
        <v>21</v>
      </c>
      <c r="BZ94" s="930"/>
      <c r="CA94" s="1074"/>
      <c r="CB94" s="930"/>
      <c r="CC94" s="930"/>
      <c r="CD94" s="925" t="s">
        <v>21</v>
      </c>
      <c r="CE94" s="1130" t="s">
        <v>21</v>
      </c>
      <c r="CF94" s="1129" t="s">
        <v>21</v>
      </c>
      <c r="CG94" s="1130" t="s">
        <v>21</v>
      </c>
      <c r="CH94" s="1130" t="s">
        <v>21</v>
      </c>
      <c r="CI94" s="1131" t="s">
        <v>21</v>
      </c>
      <c r="CJ94" s="1129" t="s">
        <v>21</v>
      </c>
      <c r="CK94" s="1130" t="s">
        <v>21</v>
      </c>
      <c r="CL94" s="1130" t="s">
        <v>21</v>
      </c>
      <c r="CM94" s="1131" t="s">
        <v>21</v>
      </c>
      <c r="CN94" s="1130" t="s">
        <v>21</v>
      </c>
      <c r="CP94" s="838" t="s">
        <v>21</v>
      </c>
      <c r="CQ94" s="838" t="s">
        <v>21</v>
      </c>
      <c r="CR94" s="836"/>
    </row>
    <row r="95" spans="1:96" x14ac:dyDescent="0.25">
      <c r="A95" s="935"/>
      <c r="B95" s="932"/>
      <c r="C95" s="911"/>
      <c r="D95" s="911"/>
      <c r="E95" s="912"/>
      <c r="F95" s="912"/>
      <c r="G95" s="910"/>
      <c r="H95" s="912"/>
      <c r="I95" s="912"/>
      <c r="J95" s="914"/>
      <c r="K95" s="915"/>
      <c r="L95" s="916" t="s">
        <v>21</v>
      </c>
      <c r="M95" s="916" t="s">
        <v>21</v>
      </c>
      <c r="N95" s="916" t="s">
        <v>21</v>
      </c>
      <c r="O95" s="916" t="s">
        <v>21</v>
      </c>
      <c r="P95" s="915"/>
      <c r="Q95" s="916" t="s">
        <v>21</v>
      </c>
      <c r="R95" s="917" t="s">
        <v>21</v>
      </c>
      <c r="S95" s="918" t="s">
        <v>21</v>
      </c>
      <c r="T95" s="918" t="s">
        <v>21</v>
      </c>
      <c r="U95" s="916" t="s">
        <v>21</v>
      </c>
      <c r="V95" s="916" t="s">
        <v>21</v>
      </c>
      <c r="W95" s="915"/>
      <c r="X95" s="916" t="s">
        <v>21</v>
      </c>
      <c r="Y95" s="916" t="s">
        <v>21</v>
      </c>
      <c r="Z95" s="916" t="s">
        <v>21</v>
      </c>
      <c r="AA95" s="916" t="s">
        <v>21</v>
      </c>
      <c r="AB95" s="916" t="s">
        <v>21</v>
      </c>
      <c r="AC95" s="915"/>
      <c r="AD95" s="919" t="s">
        <v>21</v>
      </c>
      <c r="AE95" s="920" t="s">
        <v>21</v>
      </c>
      <c r="AF95" s="920" t="s">
        <v>21</v>
      </c>
      <c r="AG95" s="920" t="s">
        <v>21</v>
      </c>
      <c r="AH95" s="921" t="s">
        <v>21</v>
      </c>
      <c r="AI95" s="921" t="s">
        <v>21</v>
      </c>
      <c r="AJ95" s="920" t="s">
        <v>21</v>
      </c>
      <c r="AK95" s="920" t="s">
        <v>21</v>
      </c>
      <c r="AL95" s="921" t="s">
        <v>21</v>
      </c>
      <c r="AM95" s="921" t="s">
        <v>21</v>
      </c>
      <c r="AN95" s="920"/>
      <c r="AO95" s="920" t="s">
        <v>21</v>
      </c>
      <c r="AP95" s="919" t="s">
        <v>21</v>
      </c>
      <c r="AQ95" s="922" t="s">
        <v>21</v>
      </c>
      <c r="AR95" s="923" t="s">
        <v>21</v>
      </c>
      <c r="AS95" s="923" t="s">
        <v>21</v>
      </c>
      <c r="AT95" s="923" t="s">
        <v>21</v>
      </c>
      <c r="AU95" s="923" t="s">
        <v>21</v>
      </c>
      <c r="AV95" s="924" t="s">
        <v>21</v>
      </c>
      <c r="AW95" s="924" t="s">
        <v>21</v>
      </c>
      <c r="AX95" s="924" t="s">
        <v>21</v>
      </c>
      <c r="AY95" s="924" t="s">
        <v>21</v>
      </c>
      <c r="AZ95" s="923" t="s">
        <v>21</v>
      </c>
      <c r="BA95" s="923"/>
      <c r="BB95" s="919" t="s">
        <v>21</v>
      </c>
      <c r="BC95" s="919" t="s">
        <v>21</v>
      </c>
      <c r="BD95" s="919" t="s">
        <v>21</v>
      </c>
      <c r="BE95" s="925" t="s">
        <v>21</v>
      </c>
      <c r="BF95" s="926" t="s">
        <v>21</v>
      </c>
      <c r="BG95" s="925" t="s">
        <v>21</v>
      </c>
      <c r="BH95" s="926" t="s">
        <v>21</v>
      </c>
      <c r="BI95" s="925" t="s">
        <v>21</v>
      </c>
      <c r="BJ95" s="926" t="s">
        <v>21</v>
      </c>
      <c r="BK95" s="925" t="s">
        <v>21</v>
      </c>
      <c r="BL95" s="926" t="s">
        <v>21</v>
      </c>
      <c r="BM95" s="925" t="s">
        <v>21</v>
      </c>
      <c r="BN95" s="927"/>
      <c r="BO95" s="927"/>
      <c r="BP95" s="928" t="s">
        <v>21</v>
      </c>
      <c r="BQ95" s="928" t="s">
        <v>21</v>
      </c>
      <c r="BR95" s="928" t="s">
        <v>21</v>
      </c>
      <c r="BS95" s="928" t="s">
        <v>21</v>
      </c>
      <c r="BT95" s="928" t="s">
        <v>21</v>
      </c>
      <c r="BU95" s="928" t="s">
        <v>21</v>
      </c>
      <c r="BV95" s="929" t="s">
        <v>21</v>
      </c>
      <c r="BW95" s="929" t="s">
        <v>21</v>
      </c>
      <c r="BX95" s="1104" t="s">
        <v>21</v>
      </c>
      <c r="BY95" s="931" t="s">
        <v>21</v>
      </c>
      <c r="BZ95" s="930"/>
      <c r="CA95" s="1074"/>
      <c r="CB95" s="930"/>
      <c r="CC95" s="930"/>
      <c r="CD95" s="925" t="s">
        <v>21</v>
      </c>
      <c r="CE95" s="1130" t="s">
        <v>21</v>
      </c>
      <c r="CF95" s="1129" t="s">
        <v>21</v>
      </c>
      <c r="CG95" s="1130" t="s">
        <v>21</v>
      </c>
      <c r="CH95" s="1130" t="s">
        <v>21</v>
      </c>
      <c r="CI95" s="1131" t="s">
        <v>21</v>
      </c>
      <c r="CJ95" s="1129" t="s">
        <v>21</v>
      </c>
      <c r="CK95" s="1130" t="s">
        <v>21</v>
      </c>
      <c r="CL95" s="1130" t="s">
        <v>21</v>
      </c>
      <c r="CM95" s="1131" t="s">
        <v>21</v>
      </c>
      <c r="CN95" s="1130" t="s">
        <v>21</v>
      </c>
      <c r="CP95" s="838" t="s">
        <v>21</v>
      </c>
      <c r="CQ95" s="838" t="s">
        <v>21</v>
      </c>
      <c r="CR95" s="836"/>
    </row>
    <row r="96" spans="1:96" s="1097" customFormat="1" x14ac:dyDescent="0.25">
      <c r="A96" s="1079" t="s">
        <v>3078</v>
      </c>
      <c r="B96" s="1078"/>
      <c r="C96" s="1076"/>
      <c r="D96" s="1076"/>
      <c r="E96" s="1077"/>
      <c r="F96" s="1077"/>
      <c r="G96" s="1078"/>
      <c r="H96" s="1077"/>
      <c r="I96" s="1077"/>
      <c r="J96" s="1080">
        <v>48.02</v>
      </c>
      <c r="K96" s="1081"/>
      <c r="L96" s="1082"/>
      <c r="M96" s="1082"/>
      <c r="N96" s="1082"/>
      <c r="O96" s="1082"/>
      <c r="P96" s="1081"/>
      <c r="Q96" s="1082"/>
      <c r="R96" s="1083"/>
      <c r="S96" s="976"/>
      <c r="T96" s="976"/>
      <c r="U96" s="1082"/>
      <c r="V96" s="1082"/>
      <c r="W96" s="1081"/>
      <c r="X96" s="1082"/>
      <c r="Y96" s="1082"/>
      <c r="Z96" s="1082"/>
      <c r="AA96" s="1082"/>
      <c r="AB96" s="1082"/>
      <c r="AC96" s="1081"/>
      <c r="AD96" s="1084">
        <v>291.13299999999998</v>
      </c>
      <c r="AE96" s="1085">
        <v>404.12899999999996</v>
      </c>
      <c r="AF96" s="1085">
        <v>0</v>
      </c>
      <c r="AG96" s="1085">
        <v>0</v>
      </c>
      <c r="AH96" s="1086">
        <v>39.746000000000002</v>
      </c>
      <c r="AI96" s="1086">
        <v>0</v>
      </c>
      <c r="AJ96" s="1085">
        <v>0</v>
      </c>
      <c r="AK96" s="1085">
        <v>0</v>
      </c>
      <c r="AL96" s="1086">
        <v>0</v>
      </c>
      <c r="AM96" s="1086">
        <v>0</v>
      </c>
      <c r="AN96" s="1085">
        <v>0</v>
      </c>
      <c r="AO96" s="1085">
        <v>364.38299999999998</v>
      </c>
      <c r="AP96" s="1084">
        <v>182.24799999999999</v>
      </c>
      <c r="AQ96" s="1087" t="s">
        <v>21</v>
      </c>
      <c r="AR96" s="1088">
        <v>0</v>
      </c>
      <c r="AS96" s="1088">
        <v>40.607600000000005</v>
      </c>
      <c r="AT96" s="1088">
        <v>0</v>
      </c>
      <c r="AU96" s="1088">
        <v>0</v>
      </c>
      <c r="AV96" s="1089">
        <v>0</v>
      </c>
      <c r="AW96" s="1089">
        <v>0</v>
      </c>
      <c r="AX96" s="1089">
        <v>0</v>
      </c>
      <c r="AY96" s="1089">
        <v>0</v>
      </c>
      <c r="AZ96" s="1088">
        <v>165.62880000000001</v>
      </c>
      <c r="BA96" s="1088">
        <v>0</v>
      </c>
      <c r="BB96" s="1084">
        <v>1.355</v>
      </c>
      <c r="BC96" s="1084">
        <v>16.87</v>
      </c>
      <c r="BD96" s="1090"/>
      <c r="BE96" s="1088">
        <v>0</v>
      </c>
      <c r="BF96" s="1089">
        <v>0</v>
      </c>
      <c r="BG96" s="1088">
        <v>48.02</v>
      </c>
      <c r="BH96" s="1089">
        <v>0</v>
      </c>
      <c r="BI96" s="1088">
        <v>0</v>
      </c>
      <c r="BJ96" s="1089">
        <v>0</v>
      </c>
      <c r="BK96" s="1088">
        <v>0</v>
      </c>
      <c r="BL96" s="1089">
        <v>0</v>
      </c>
      <c r="BM96" s="1088">
        <v>0</v>
      </c>
      <c r="BN96" s="1091">
        <v>0</v>
      </c>
      <c r="BO96" s="1091">
        <v>0</v>
      </c>
      <c r="BP96" s="1092">
        <v>2</v>
      </c>
      <c r="BQ96" s="1092">
        <v>0</v>
      </c>
      <c r="BR96" s="1092">
        <v>0</v>
      </c>
      <c r="BS96" s="1092">
        <v>0</v>
      </c>
      <c r="BT96" s="1092">
        <v>0</v>
      </c>
      <c r="BU96" s="1092">
        <v>0</v>
      </c>
      <c r="BV96" s="1093">
        <v>1.0499999999999092</v>
      </c>
      <c r="BW96" s="1093">
        <v>1.5</v>
      </c>
      <c r="BX96" s="1105">
        <v>3</v>
      </c>
      <c r="BY96" s="1095">
        <v>7</v>
      </c>
      <c r="BZ96" s="1094">
        <v>0</v>
      </c>
      <c r="CA96" s="1094">
        <v>1</v>
      </c>
      <c r="CB96" s="1094">
        <v>0</v>
      </c>
      <c r="CC96" s="1094">
        <v>0</v>
      </c>
      <c r="CD96" s="1088">
        <v>132.62899999999999</v>
      </c>
      <c r="CE96" s="1133">
        <v>233.73099999999999</v>
      </c>
      <c r="CF96" s="1132">
        <v>0</v>
      </c>
      <c r="CG96" s="1133">
        <v>0</v>
      </c>
      <c r="CH96" s="1133">
        <v>0</v>
      </c>
      <c r="CI96" s="1134">
        <v>0</v>
      </c>
      <c r="CJ96" s="1132">
        <v>0</v>
      </c>
      <c r="CK96" s="1133">
        <v>24.547999999999998</v>
      </c>
      <c r="CL96" s="1133">
        <v>0</v>
      </c>
      <c r="CM96" s="1134">
        <v>0</v>
      </c>
      <c r="CN96" s="1133">
        <v>209.18299999999999</v>
      </c>
      <c r="CO96" s="1096"/>
      <c r="CP96" s="1096" t="s">
        <v>21</v>
      </c>
      <c r="CQ96" s="1096" t="s">
        <v>21</v>
      </c>
    </row>
    <row r="97" spans="1:96" x14ac:dyDescent="0.25">
      <c r="A97" s="935"/>
      <c r="B97" s="932"/>
      <c r="C97" s="911"/>
      <c r="D97" s="911"/>
      <c r="E97" s="912"/>
      <c r="F97" s="912"/>
      <c r="G97" s="910"/>
      <c r="H97" s="912"/>
      <c r="I97" s="912"/>
      <c r="J97" s="914"/>
      <c r="K97" s="915"/>
      <c r="L97" s="916" t="s">
        <v>21</v>
      </c>
      <c r="M97" s="916" t="s">
        <v>21</v>
      </c>
      <c r="N97" s="916" t="s">
        <v>21</v>
      </c>
      <c r="O97" s="916" t="s">
        <v>21</v>
      </c>
      <c r="P97" s="915"/>
      <c r="Q97" s="916" t="s">
        <v>21</v>
      </c>
      <c r="R97" s="917" t="s">
        <v>21</v>
      </c>
      <c r="S97" s="918" t="s">
        <v>21</v>
      </c>
      <c r="T97" s="918" t="s">
        <v>21</v>
      </c>
      <c r="U97" s="916" t="s">
        <v>21</v>
      </c>
      <c r="V97" s="916" t="s">
        <v>21</v>
      </c>
      <c r="W97" s="915"/>
      <c r="X97" s="916" t="s">
        <v>21</v>
      </c>
      <c r="Y97" s="916" t="s">
        <v>21</v>
      </c>
      <c r="Z97" s="916" t="s">
        <v>21</v>
      </c>
      <c r="AA97" s="916" t="s">
        <v>21</v>
      </c>
      <c r="AB97" s="916" t="s">
        <v>21</v>
      </c>
      <c r="AC97" s="915"/>
      <c r="AD97" s="919" t="s">
        <v>21</v>
      </c>
      <c r="AE97" s="920" t="s">
        <v>21</v>
      </c>
      <c r="AF97" s="920" t="s">
        <v>21</v>
      </c>
      <c r="AG97" s="920" t="s">
        <v>21</v>
      </c>
      <c r="AH97" s="921" t="s">
        <v>21</v>
      </c>
      <c r="AI97" s="921" t="s">
        <v>21</v>
      </c>
      <c r="AJ97" s="920" t="s">
        <v>21</v>
      </c>
      <c r="AK97" s="920" t="s">
        <v>21</v>
      </c>
      <c r="AL97" s="921" t="s">
        <v>21</v>
      </c>
      <c r="AM97" s="921" t="s">
        <v>21</v>
      </c>
      <c r="AN97" s="920"/>
      <c r="AO97" s="920" t="s">
        <v>21</v>
      </c>
      <c r="AP97" s="919" t="s">
        <v>21</v>
      </c>
      <c r="AQ97" s="922" t="s">
        <v>21</v>
      </c>
      <c r="AR97" s="923" t="s">
        <v>21</v>
      </c>
      <c r="AS97" s="923" t="s">
        <v>21</v>
      </c>
      <c r="AT97" s="923" t="s">
        <v>21</v>
      </c>
      <c r="AU97" s="923" t="s">
        <v>21</v>
      </c>
      <c r="AV97" s="924" t="s">
        <v>21</v>
      </c>
      <c r="AW97" s="924" t="s">
        <v>21</v>
      </c>
      <c r="AX97" s="924" t="s">
        <v>21</v>
      </c>
      <c r="AY97" s="924" t="s">
        <v>21</v>
      </c>
      <c r="AZ97" s="923" t="s">
        <v>21</v>
      </c>
      <c r="BA97" s="923"/>
      <c r="BB97" s="919" t="s">
        <v>21</v>
      </c>
      <c r="BC97" s="919" t="s">
        <v>21</v>
      </c>
      <c r="BD97" s="919" t="s">
        <v>21</v>
      </c>
      <c r="BE97" s="925" t="s">
        <v>21</v>
      </c>
      <c r="BF97" s="926" t="s">
        <v>21</v>
      </c>
      <c r="BG97" s="925" t="s">
        <v>21</v>
      </c>
      <c r="BH97" s="926" t="s">
        <v>21</v>
      </c>
      <c r="BI97" s="925" t="s">
        <v>21</v>
      </c>
      <c r="BJ97" s="926" t="s">
        <v>21</v>
      </c>
      <c r="BK97" s="925" t="s">
        <v>21</v>
      </c>
      <c r="BL97" s="926" t="s">
        <v>21</v>
      </c>
      <c r="BM97" s="925" t="s">
        <v>21</v>
      </c>
      <c r="BN97" s="927"/>
      <c r="BO97" s="927"/>
      <c r="BP97" s="928" t="s">
        <v>21</v>
      </c>
      <c r="BQ97" s="928" t="s">
        <v>21</v>
      </c>
      <c r="BR97" s="928" t="s">
        <v>21</v>
      </c>
      <c r="BS97" s="928" t="s">
        <v>21</v>
      </c>
      <c r="BT97" s="928" t="s">
        <v>21</v>
      </c>
      <c r="BU97" s="928" t="s">
        <v>21</v>
      </c>
      <c r="BV97" s="929" t="s">
        <v>21</v>
      </c>
      <c r="BW97" s="929" t="s">
        <v>21</v>
      </c>
      <c r="BX97" s="1104" t="s">
        <v>21</v>
      </c>
      <c r="BY97" s="931" t="s">
        <v>21</v>
      </c>
      <c r="BZ97" s="930"/>
      <c r="CA97" s="1074"/>
      <c r="CB97" s="930"/>
      <c r="CC97" s="930"/>
      <c r="CD97" s="925" t="s">
        <v>21</v>
      </c>
      <c r="CE97" s="1130" t="s">
        <v>21</v>
      </c>
      <c r="CF97" s="1129" t="s">
        <v>21</v>
      </c>
      <c r="CG97" s="1130" t="s">
        <v>21</v>
      </c>
      <c r="CH97" s="1130" t="s">
        <v>21</v>
      </c>
      <c r="CI97" s="1131" t="s">
        <v>21</v>
      </c>
      <c r="CJ97" s="1129" t="s">
        <v>21</v>
      </c>
      <c r="CK97" s="1130" t="s">
        <v>21</v>
      </c>
      <c r="CL97" s="1130" t="s">
        <v>21</v>
      </c>
      <c r="CM97" s="1131" t="s">
        <v>21</v>
      </c>
      <c r="CN97" s="1130" t="s">
        <v>21</v>
      </c>
      <c r="CP97" s="838" t="s">
        <v>21</v>
      </c>
      <c r="CQ97" s="838" t="s">
        <v>21</v>
      </c>
      <c r="CR97" s="836"/>
    </row>
    <row r="98" spans="1:96" x14ac:dyDescent="0.25">
      <c r="A98" s="935">
        <v>1</v>
      </c>
      <c r="B98" s="932" t="s">
        <v>2225</v>
      </c>
      <c r="C98" s="911">
        <v>600</v>
      </c>
      <c r="D98" s="911" t="s">
        <v>2116</v>
      </c>
      <c r="E98" s="912">
        <v>1203.69</v>
      </c>
      <c r="F98" s="912">
        <v>1201.79</v>
      </c>
      <c r="G98" s="932" t="s">
        <v>2226</v>
      </c>
      <c r="H98" s="912">
        <v>1203.58</v>
      </c>
      <c r="I98" s="912">
        <v>1201.5940000000001</v>
      </c>
      <c r="J98" s="914">
        <v>39.270000000000003</v>
      </c>
      <c r="K98" s="915"/>
      <c r="L98" s="916">
        <v>0.1</v>
      </c>
      <c r="M98" s="916">
        <v>0.06</v>
      </c>
      <c r="N98" s="916">
        <v>0.2</v>
      </c>
      <c r="O98" s="916">
        <v>4.8689999999999998</v>
      </c>
      <c r="P98" s="915"/>
      <c r="Q98" s="916">
        <v>2.2029999999999998</v>
      </c>
      <c r="R98" s="917">
        <v>0.33333333333333331</v>
      </c>
      <c r="S98" s="918">
        <v>1.4</v>
      </c>
      <c r="T98" s="918">
        <v>2.8690000000000002</v>
      </c>
      <c r="U98" s="916">
        <v>4.6440000000000001</v>
      </c>
      <c r="V98" s="916">
        <v>0.92</v>
      </c>
      <c r="W98" s="915"/>
      <c r="X98" s="916">
        <v>0.28299999999999997</v>
      </c>
      <c r="Y98" s="916">
        <v>0.40699999999999997</v>
      </c>
      <c r="Z98" s="916">
        <v>4.702</v>
      </c>
      <c r="AA98" s="916">
        <v>1.0229999999999999</v>
      </c>
      <c r="AB98" s="916">
        <v>3.1320000000000001</v>
      </c>
      <c r="AC98" s="915"/>
      <c r="AD98" s="919">
        <v>191.20599999999999</v>
      </c>
      <c r="AE98" s="920">
        <v>184.648</v>
      </c>
      <c r="AF98" s="920" t="s">
        <v>21</v>
      </c>
      <c r="AG98" s="920" t="s">
        <v>21</v>
      </c>
      <c r="AH98" s="921">
        <v>184.648</v>
      </c>
      <c r="AI98" s="921" t="s">
        <v>21</v>
      </c>
      <c r="AJ98" s="920" t="s">
        <v>21</v>
      </c>
      <c r="AK98" s="920" t="s">
        <v>21</v>
      </c>
      <c r="AL98" s="921" t="s">
        <v>21</v>
      </c>
      <c r="AM98" s="921" t="s">
        <v>21</v>
      </c>
      <c r="AN98" s="920"/>
      <c r="AO98" s="920" t="s">
        <v>21</v>
      </c>
      <c r="AP98" s="919">
        <v>54.978000000000002</v>
      </c>
      <c r="AQ98" s="922">
        <v>182.36988000000002</v>
      </c>
      <c r="AR98" s="923" t="s">
        <v>21</v>
      </c>
      <c r="AS98" s="923">
        <v>182.36988000000002</v>
      </c>
      <c r="AT98" s="923" t="s">
        <v>21</v>
      </c>
      <c r="AU98" s="923" t="s">
        <v>21</v>
      </c>
      <c r="AV98" s="924" t="s">
        <v>21</v>
      </c>
      <c r="AW98" s="924" t="s">
        <v>21</v>
      </c>
      <c r="AX98" s="924" t="s">
        <v>21</v>
      </c>
      <c r="AY98" s="924" t="s">
        <v>21</v>
      </c>
      <c r="AZ98" s="923" t="s">
        <v>21</v>
      </c>
      <c r="BA98" s="923"/>
      <c r="BB98" s="919">
        <v>5.4980000000000002</v>
      </c>
      <c r="BC98" s="919" t="s">
        <v>21</v>
      </c>
      <c r="BD98" s="919" t="s">
        <v>2142</v>
      </c>
      <c r="BE98" s="925" t="s">
        <v>21</v>
      </c>
      <c r="BF98" s="926" t="s">
        <v>21</v>
      </c>
      <c r="BG98" s="925">
        <v>39.270000000000003</v>
      </c>
      <c r="BH98" s="926" t="s">
        <v>21</v>
      </c>
      <c r="BI98" s="925" t="s">
        <v>21</v>
      </c>
      <c r="BJ98" s="926" t="s">
        <v>21</v>
      </c>
      <c r="BK98" s="925" t="s">
        <v>21</v>
      </c>
      <c r="BL98" s="926" t="s">
        <v>21</v>
      </c>
      <c r="BM98" s="925" t="s">
        <v>21</v>
      </c>
      <c r="BN98" s="927"/>
      <c r="BO98" s="927"/>
      <c r="BP98" s="928">
        <v>1</v>
      </c>
      <c r="BQ98" s="928" t="s">
        <v>21</v>
      </c>
      <c r="BR98" s="928" t="s">
        <v>21</v>
      </c>
      <c r="BS98" s="928" t="s">
        <v>21</v>
      </c>
      <c r="BT98" s="928" t="s">
        <v>21</v>
      </c>
      <c r="BU98" s="928" t="s">
        <v>21</v>
      </c>
      <c r="BV98" s="929">
        <v>0.50000000000009104</v>
      </c>
      <c r="BW98" s="929">
        <v>1</v>
      </c>
      <c r="BX98" s="1104">
        <v>2</v>
      </c>
      <c r="BY98" s="931">
        <v>4</v>
      </c>
      <c r="BZ98" s="930"/>
      <c r="CA98" s="1074">
        <v>1</v>
      </c>
      <c r="CB98" s="930"/>
      <c r="CC98" s="930"/>
      <c r="CD98" s="925">
        <v>40.173000000000002</v>
      </c>
      <c r="CE98" s="1130">
        <v>122.994</v>
      </c>
      <c r="CF98" s="1129" t="s">
        <v>21</v>
      </c>
      <c r="CG98" s="1130" t="s">
        <v>21</v>
      </c>
      <c r="CH98" s="1130" t="s">
        <v>21</v>
      </c>
      <c r="CI98" s="1131" t="s">
        <v>21</v>
      </c>
      <c r="CJ98" s="1129" t="s">
        <v>21</v>
      </c>
      <c r="CK98" s="1130">
        <v>122.994</v>
      </c>
      <c r="CL98" s="1130" t="s">
        <v>21</v>
      </c>
      <c r="CM98" s="1131" t="s">
        <v>21</v>
      </c>
      <c r="CN98" s="1130" t="s">
        <v>21</v>
      </c>
      <c r="CP98" s="838" t="s">
        <v>21</v>
      </c>
      <c r="CQ98" s="838" t="s">
        <v>21</v>
      </c>
      <c r="CR98" s="836"/>
    </row>
    <row r="99" spans="1:96" x14ac:dyDescent="0.25">
      <c r="A99" s="935" t="s">
        <v>3063</v>
      </c>
      <c r="B99" s="932" t="s">
        <v>2226</v>
      </c>
      <c r="C99" s="911">
        <v>600</v>
      </c>
      <c r="D99" s="911" t="s">
        <v>2116</v>
      </c>
      <c r="E99" s="912">
        <v>1203.58</v>
      </c>
      <c r="F99" s="912">
        <v>1201.5440000000001</v>
      </c>
      <c r="G99" s="932" t="s">
        <v>2227</v>
      </c>
      <c r="H99" s="912">
        <v>1202.98</v>
      </c>
      <c r="I99" s="912">
        <v>1201.08</v>
      </c>
      <c r="J99" s="914">
        <v>19.64</v>
      </c>
      <c r="K99" s="915"/>
      <c r="L99" s="916">
        <v>0.1</v>
      </c>
      <c r="M99" s="916">
        <v>0.06</v>
      </c>
      <c r="N99" s="916">
        <v>0.2</v>
      </c>
      <c r="O99" s="916">
        <v>4.8849999999999998</v>
      </c>
      <c r="P99" s="915"/>
      <c r="Q99" s="916">
        <v>2.2280000000000002</v>
      </c>
      <c r="R99" s="917">
        <v>0.33333333333333331</v>
      </c>
      <c r="S99" s="918">
        <v>1.4</v>
      </c>
      <c r="T99" s="918">
        <v>2.8849999999999998</v>
      </c>
      <c r="U99" s="916">
        <v>4.6970000000000001</v>
      </c>
      <c r="V99" s="916">
        <v>0.92</v>
      </c>
      <c r="W99" s="915"/>
      <c r="X99" s="916">
        <v>0.28299999999999997</v>
      </c>
      <c r="Y99" s="916">
        <v>0.40699999999999997</v>
      </c>
      <c r="Z99" s="916">
        <v>4.7729999999999997</v>
      </c>
      <c r="AA99" s="916">
        <v>1.0229999999999999</v>
      </c>
      <c r="AB99" s="916">
        <v>3.2029999999999998</v>
      </c>
      <c r="AC99" s="915"/>
      <c r="AD99" s="919">
        <v>95.941000000000003</v>
      </c>
      <c r="AE99" s="920">
        <v>93.742000000000004</v>
      </c>
      <c r="AF99" s="920" t="s">
        <v>21</v>
      </c>
      <c r="AG99" s="920" t="s">
        <v>21</v>
      </c>
      <c r="AH99" s="921">
        <v>93.742000000000004</v>
      </c>
      <c r="AI99" s="921" t="s">
        <v>21</v>
      </c>
      <c r="AJ99" s="920" t="s">
        <v>21</v>
      </c>
      <c r="AK99" s="920" t="s">
        <v>21</v>
      </c>
      <c r="AL99" s="921" t="s">
        <v>21</v>
      </c>
      <c r="AM99" s="921" t="s">
        <v>21</v>
      </c>
      <c r="AN99" s="920"/>
      <c r="AO99" s="920" t="s">
        <v>21</v>
      </c>
      <c r="AP99" s="919">
        <v>27.495999999999999</v>
      </c>
      <c r="AQ99" s="922">
        <v>92.249080000000006</v>
      </c>
      <c r="AR99" s="923" t="s">
        <v>21</v>
      </c>
      <c r="AS99" s="923">
        <v>92.249080000000006</v>
      </c>
      <c r="AT99" s="923" t="s">
        <v>21</v>
      </c>
      <c r="AU99" s="923" t="s">
        <v>21</v>
      </c>
      <c r="AV99" s="924" t="s">
        <v>21</v>
      </c>
      <c r="AW99" s="924" t="s">
        <v>21</v>
      </c>
      <c r="AX99" s="924" t="s">
        <v>21</v>
      </c>
      <c r="AY99" s="924" t="s">
        <v>21</v>
      </c>
      <c r="AZ99" s="923" t="s">
        <v>21</v>
      </c>
      <c r="BA99" s="923"/>
      <c r="BB99" s="919">
        <v>2.75</v>
      </c>
      <c r="BC99" s="919" t="s">
        <v>21</v>
      </c>
      <c r="BD99" s="919" t="s">
        <v>2142</v>
      </c>
      <c r="BE99" s="925" t="s">
        <v>21</v>
      </c>
      <c r="BF99" s="926" t="s">
        <v>21</v>
      </c>
      <c r="BG99" s="925">
        <v>19.64</v>
      </c>
      <c r="BH99" s="926" t="s">
        <v>21</v>
      </c>
      <c r="BI99" s="925" t="s">
        <v>21</v>
      </c>
      <c r="BJ99" s="926" t="s">
        <v>21</v>
      </c>
      <c r="BK99" s="925" t="s">
        <v>21</v>
      </c>
      <c r="BL99" s="926" t="s">
        <v>21</v>
      </c>
      <c r="BM99" s="925" t="s">
        <v>21</v>
      </c>
      <c r="BN99" s="927"/>
      <c r="BO99" s="927"/>
      <c r="BP99" s="928">
        <v>1</v>
      </c>
      <c r="BQ99" s="928" t="s">
        <v>21</v>
      </c>
      <c r="BR99" s="928" t="s">
        <v>21</v>
      </c>
      <c r="BS99" s="928" t="s">
        <v>21</v>
      </c>
      <c r="BT99" s="928" t="s">
        <v>21</v>
      </c>
      <c r="BU99" s="928" t="s">
        <v>21</v>
      </c>
      <c r="BV99" s="929">
        <v>0.63599999999983092</v>
      </c>
      <c r="BW99" s="929">
        <v>1</v>
      </c>
      <c r="BX99" s="1104">
        <v>2</v>
      </c>
      <c r="BY99" s="931">
        <v>4</v>
      </c>
      <c r="BZ99" s="930"/>
      <c r="CA99" s="1074"/>
      <c r="CB99" s="930">
        <v>1</v>
      </c>
      <c r="CC99" s="930"/>
      <c r="CD99" s="925">
        <v>20.091999999999999</v>
      </c>
      <c r="CE99" s="1130">
        <v>62.906999999999996</v>
      </c>
      <c r="CF99" s="1129" t="s">
        <v>21</v>
      </c>
      <c r="CG99" s="1130" t="s">
        <v>21</v>
      </c>
      <c r="CH99" s="1130" t="s">
        <v>21</v>
      </c>
      <c r="CI99" s="1131" t="s">
        <v>21</v>
      </c>
      <c r="CJ99" s="1129" t="s">
        <v>21</v>
      </c>
      <c r="CK99" s="1130">
        <v>62.906999999999996</v>
      </c>
      <c r="CL99" s="1130" t="s">
        <v>21</v>
      </c>
      <c r="CM99" s="1131" t="s">
        <v>21</v>
      </c>
      <c r="CN99" s="1130" t="s">
        <v>21</v>
      </c>
      <c r="CP99" s="838" t="s">
        <v>21</v>
      </c>
      <c r="CQ99" s="838" t="s">
        <v>21</v>
      </c>
      <c r="CR99" s="836"/>
    </row>
    <row r="100" spans="1:96" x14ac:dyDescent="0.25">
      <c r="A100" s="935" t="s">
        <v>3064</v>
      </c>
      <c r="B100" s="932" t="s">
        <v>2227</v>
      </c>
      <c r="C100" s="911">
        <v>600</v>
      </c>
      <c r="D100" s="911" t="s">
        <v>2116</v>
      </c>
      <c r="E100" s="912">
        <v>1202.98</v>
      </c>
      <c r="F100" s="912">
        <v>1201.03</v>
      </c>
      <c r="G100" s="932" t="s">
        <v>2228</v>
      </c>
      <c r="H100" s="912">
        <v>1202.5899999999999</v>
      </c>
      <c r="I100" s="912">
        <v>1200.69</v>
      </c>
      <c r="J100" s="914">
        <v>13.82</v>
      </c>
      <c r="K100" s="915"/>
      <c r="L100" s="916">
        <v>0.1</v>
      </c>
      <c r="M100" s="916">
        <v>0.06</v>
      </c>
      <c r="N100" s="916">
        <v>0.2</v>
      </c>
      <c r="O100" s="916">
        <v>4.8570000000000002</v>
      </c>
      <c r="P100" s="915"/>
      <c r="Q100" s="916">
        <v>2.1850000000000001</v>
      </c>
      <c r="R100" s="917">
        <v>0.33333333333333331</v>
      </c>
      <c r="S100" s="918">
        <v>1.4</v>
      </c>
      <c r="T100" s="918">
        <v>2.8570000000000002</v>
      </c>
      <c r="U100" s="916">
        <v>4.6059999999999999</v>
      </c>
      <c r="V100" s="916">
        <v>0.92</v>
      </c>
      <c r="W100" s="915"/>
      <c r="X100" s="916">
        <v>0.28299999999999997</v>
      </c>
      <c r="Y100" s="916">
        <v>0.40699999999999997</v>
      </c>
      <c r="Z100" s="916">
        <v>4.6509999999999998</v>
      </c>
      <c r="AA100" s="916">
        <v>1.0229999999999999</v>
      </c>
      <c r="AB100" s="916">
        <v>3.081</v>
      </c>
      <c r="AC100" s="915"/>
      <c r="AD100" s="919">
        <v>67.123999999999995</v>
      </c>
      <c r="AE100" s="920">
        <v>64.277000000000001</v>
      </c>
      <c r="AF100" s="920" t="s">
        <v>21</v>
      </c>
      <c r="AG100" s="920" t="s">
        <v>21</v>
      </c>
      <c r="AH100" s="921">
        <v>64.277000000000001</v>
      </c>
      <c r="AI100" s="921" t="s">
        <v>21</v>
      </c>
      <c r="AJ100" s="920" t="s">
        <v>21</v>
      </c>
      <c r="AK100" s="920" t="s">
        <v>21</v>
      </c>
      <c r="AL100" s="921" t="s">
        <v>21</v>
      </c>
      <c r="AM100" s="921" t="s">
        <v>21</v>
      </c>
      <c r="AN100" s="920"/>
      <c r="AO100" s="920" t="s">
        <v>21</v>
      </c>
      <c r="AP100" s="919">
        <v>19.347999999999999</v>
      </c>
      <c r="AQ100" s="922">
        <v>63.654919999999997</v>
      </c>
      <c r="AR100" s="923" t="s">
        <v>21</v>
      </c>
      <c r="AS100" s="923">
        <v>63.654919999999997</v>
      </c>
      <c r="AT100" s="923" t="s">
        <v>21</v>
      </c>
      <c r="AU100" s="923" t="s">
        <v>21</v>
      </c>
      <c r="AV100" s="924" t="s">
        <v>21</v>
      </c>
      <c r="AW100" s="924" t="s">
        <v>21</v>
      </c>
      <c r="AX100" s="924" t="s">
        <v>21</v>
      </c>
      <c r="AY100" s="924" t="s">
        <v>21</v>
      </c>
      <c r="AZ100" s="923" t="s">
        <v>21</v>
      </c>
      <c r="BA100" s="923"/>
      <c r="BB100" s="919">
        <v>1.9350000000000001</v>
      </c>
      <c r="BC100" s="919" t="s">
        <v>21</v>
      </c>
      <c r="BD100" s="919" t="s">
        <v>2142</v>
      </c>
      <c r="BE100" s="925" t="s">
        <v>21</v>
      </c>
      <c r="BF100" s="926" t="s">
        <v>21</v>
      </c>
      <c r="BG100" s="925">
        <v>13.82</v>
      </c>
      <c r="BH100" s="926" t="s">
        <v>21</v>
      </c>
      <c r="BI100" s="925" t="s">
        <v>21</v>
      </c>
      <c r="BJ100" s="926" t="s">
        <v>21</v>
      </c>
      <c r="BK100" s="925" t="s">
        <v>21</v>
      </c>
      <c r="BL100" s="926" t="s">
        <v>21</v>
      </c>
      <c r="BM100" s="925" t="s">
        <v>21</v>
      </c>
      <c r="BN100" s="927"/>
      <c r="BO100" s="927"/>
      <c r="BP100" s="928">
        <v>1</v>
      </c>
      <c r="BQ100" s="928" t="s">
        <v>21</v>
      </c>
      <c r="BR100" s="928" t="s">
        <v>21</v>
      </c>
      <c r="BS100" s="928" t="s">
        <v>21</v>
      </c>
      <c r="BT100" s="928" t="s">
        <v>21</v>
      </c>
      <c r="BU100" s="928" t="s">
        <v>21</v>
      </c>
      <c r="BV100" s="929">
        <v>0.55000000000004556</v>
      </c>
      <c r="BW100" s="929">
        <v>1</v>
      </c>
      <c r="BX100" s="1104">
        <v>2</v>
      </c>
      <c r="BY100" s="931">
        <v>4</v>
      </c>
      <c r="BZ100" s="930">
        <v>1</v>
      </c>
      <c r="CA100" s="1074"/>
      <c r="CB100" s="930"/>
      <c r="CC100" s="930"/>
      <c r="CD100" s="925">
        <v>14.138</v>
      </c>
      <c r="CE100" s="1130">
        <v>42.579000000000001</v>
      </c>
      <c r="CF100" s="1129" t="s">
        <v>21</v>
      </c>
      <c r="CG100" s="1130" t="s">
        <v>21</v>
      </c>
      <c r="CH100" s="1130" t="s">
        <v>21</v>
      </c>
      <c r="CI100" s="1131" t="s">
        <v>21</v>
      </c>
      <c r="CJ100" s="1129" t="s">
        <v>21</v>
      </c>
      <c r="CK100" s="1130">
        <v>42.579000000000001</v>
      </c>
      <c r="CL100" s="1130" t="s">
        <v>21</v>
      </c>
      <c r="CM100" s="1131" t="s">
        <v>21</v>
      </c>
      <c r="CN100" s="1130" t="s">
        <v>21</v>
      </c>
      <c r="CP100" s="838" t="s">
        <v>21</v>
      </c>
      <c r="CQ100" s="838" t="s">
        <v>21</v>
      </c>
      <c r="CR100" s="836"/>
    </row>
    <row r="101" spans="1:96" x14ac:dyDescent="0.25">
      <c r="A101" s="935">
        <v>2</v>
      </c>
      <c r="B101" s="932" t="s">
        <v>2228</v>
      </c>
      <c r="C101" s="911">
        <v>600</v>
      </c>
      <c r="D101" s="911" t="s">
        <v>2116</v>
      </c>
      <c r="E101" s="912">
        <v>1202.5899999999999</v>
      </c>
      <c r="F101" s="912">
        <v>1200.6400000000001</v>
      </c>
      <c r="G101" s="932" t="s">
        <v>2229</v>
      </c>
      <c r="H101" s="912">
        <v>1202.19</v>
      </c>
      <c r="I101" s="912">
        <v>1200.29</v>
      </c>
      <c r="J101" s="914">
        <v>15.9</v>
      </c>
      <c r="K101" s="915"/>
      <c r="L101" s="916">
        <v>0.1</v>
      </c>
      <c r="M101" s="916">
        <v>0.06</v>
      </c>
      <c r="N101" s="916">
        <v>0.2</v>
      </c>
      <c r="O101" s="916">
        <v>4.8570000000000002</v>
      </c>
      <c r="P101" s="915"/>
      <c r="Q101" s="916">
        <v>2.1850000000000001</v>
      </c>
      <c r="R101" s="917">
        <v>0.33333333333333331</v>
      </c>
      <c r="S101" s="918">
        <v>1.4</v>
      </c>
      <c r="T101" s="918">
        <v>2.8570000000000002</v>
      </c>
      <c r="U101" s="916">
        <v>4.6059999999999999</v>
      </c>
      <c r="V101" s="916">
        <v>0.92</v>
      </c>
      <c r="W101" s="915"/>
      <c r="X101" s="916">
        <v>0.28299999999999997</v>
      </c>
      <c r="Y101" s="916">
        <v>0.40699999999999997</v>
      </c>
      <c r="Z101" s="916">
        <v>4.6509999999999998</v>
      </c>
      <c r="AA101" s="916">
        <v>1.0229999999999999</v>
      </c>
      <c r="AB101" s="916">
        <v>3.081</v>
      </c>
      <c r="AC101" s="915"/>
      <c r="AD101" s="919">
        <v>77.225999999999999</v>
      </c>
      <c r="AE101" s="920">
        <v>73.950999999999993</v>
      </c>
      <c r="AF101" s="920" t="s">
        <v>21</v>
      </c>
      <c r="AG101" s="920" t="s">
        <v>21</v>
      </c>
      <c r="AH101" s="921">
        <v>73.950999999999993</v>
      </c>
      <c r="AI101" s="921" t="s">
        <v>21</v>
      </c>
      <c r="AJ101" s="920" t="s">
        <v>21</v>
      </c>
      <c r="AK101" s="920" t="s">
        <v>21</v>
      </c>
      <c r="AL101" s="921" t="s">
        <v>21</v>
      </c>
      <c r="AM101" s="921" t="s">
        <v>21</v>
      </c>
      <c r="AN101" s="920"/>
      <c r="AO101" s="920" t="s">
        <v>21</v>
      </c>
      <c r="AP101" s="919">
        <v>22.26</v>
      </c>
      <c r="AQ101" s="922">
        <v>73.235399999999998</v>
      </c>
      <c r="AR101" s="923" t="s">
        <v>21</v>
      </c>
      <c r="AS101" s="923">
        <v>73.235399999999998</v>
      </c>
      <c r="AT101" s="923" t="s">
        <v>21</v>
      </c>
      <c r="AU101" s="923" t="s">
        <v>21</v>
      </c>
      <c r="AV101" s="924" t="s">
        <v>21</v>
      </c>
      <c r="AW101" s="924" t="s">
        <v>21</v>
      </c>
      <c r="AX101" s="924" t="s">
        <v>21</v>
      </c>
      <c r="AY101" s="924" t="s">
        <v>21</v>
      </c>
      <c r="AZ101" s="923" t="s">
        <v>21</v>
      </c>
      <c r="BA101" s="923"/>
      <c r="BB101" s="919">
        <v>2.226</v>
      </c>
      <c r="BC101" s="919" t="s">
        <v>21</v>
      </c>
      <c r="BD101" s="919" t="s">
        <v>2142</v>
      </c>
      <c r="BE101" s="925" t="s">
        <v>21</v>
      </c>
      <c r="BF101" s="926" t="s">
        <v>21</v>
      </c>
      <c r="BG101" s="925">
        <v>15.9</v>
      </c>
      <c r="BH101" s="926" t="s">
        <v>21</v>
      </c>
      <c r="BI101" s="925" t="s">
        <v>21</v>
      </c>
      <c r="BJ101" s="926" t="s">
        <v>21</v>
      </c>
      <c r="BK101" s="925" t="s">
        <v>21</v>
      </c>
      <c r="BL101" s="926" t="s">
        <v>21</v>
      </c>
      <c r="BM101" s="925" t="s">
        <v>21</v>
      </c>
      <c r="BN101" s="927"/>
      <c r="BO101" s="927"/>
      <c r="BP101" s="928">
        <v>1</v>
      </c>
      <c r="BQ101" s="928" t="s">
        <v>21</v>
      </c>
      <c r="BR101" s="928" t="s">
        <v>21</v>
      </c>
      <c r="BS101" s="928" t="s">
        <v>21</v>
      </c>
      <c r="BT101" s="928" t="s">
        <v>21</v>
      </c>
      <c r="BU101" s="928" t="s">
        <v>21</v>
      </c>
      <c r="BV101" s="929">
        <v>0.54999999999981819</v>
      </c>
      <c r="BW101" s="929">
        <v>1</v>
      </c>
      <c r="BX101" s="1104">
        <v>2</v>
      </c>
      <c r="BY101" s="931">
        <v>4</v>
      </c>
      <c r="BZ101" s="930">
        <v>1</v>
      </c>
      <c r="CA101" s="1074"/>
      <c r="CB101" s="930"/>
      <c r="CC101" s="930"/>
      <c r="CD101" s="925">
        <v>16.265999999999998</v>
      </c>
      <c r="CE101" s="1130">
        <v>48.988</v>
      </c>
      <c r="CF101" s="1129" t="s">
        <v>21</v>
      </c>
      <c r="CG101" s="1130" t="s">
        <v>21</v>
      </c>
      <c r="CH101" s="1130" t="s">
        <v>21</v>
      </c>
      <c r="CI101" s="1131" t="s">
        <v>21</v>
      </c>
      <c r="CJ101" s="1129" t="s">
        <v>21</v>
      </c>
      <c r="CK101" s="1130">
        <v>48.988</v>
      </c>
      <c r="CL101" s="1130" t="s">
        <v>21</v>
      </c>
      <c r="CM101" s="1131" t="s">
        <v>21</v>
      </c>
      <c r="CN101" s="1130" t="s">
        <v>21</v>
      </c>
      <c r="CP101" s="838" t="s">
        <v>21</v>
      </c>
      <c r="CQ101" s="838" t="s">
        <v>21</v>
      </c>
      <c r="CR101" s="836"/>
    </row>
    <row r="102" spans="1:96" x14ac:dyDescent="0.25">
      <c r="A102" s="935"/>
      <c r="B102" s="932" t="s">
        <v>2229</v>
      </c>
      <c r="C102" s="911">
        <v>600</v>
      </c>
      <c r="D102" s="911" t="s">
        <v>2116</v>
      </c>
      <c r="E102" s="912">
        <v>1202.19</v>
      </c>
      <c r="F102" s="912">
        <v>1200.29</v>
      </c>
      <c r="G102" s="932" t="s">
        <v>2253</v>
      </c>
      <c r="H102" s="912">
        <v>1199.76</v>
      </c>
      <c r="I102" s="912">
        <v>1197.8599999999999</v>
      </c>
      <c r="J102" s="914">
        <v>35.96</v>
      </c>
      <c r="K102" s="915"/>
      <c r="L102" s="916">
        <v>0.1</v>
      </c>
      <c r="M102" s="916">
        <v>0.06</v>
      </c>
      <c r="N102" s="916">
        <v>0.2</v>
      </c>
      <c r="O102" s="916">
        <v>4.84</v>
      </c>
      <c r="P102" s="915"/>
      <c r="Q102" s="916">
        <v>2.16</v>
      </c>
      <c r="R102" s="917">
        <v>0.33333333333333331</v>
      </c>
      <c r="S102" s="918">
        <v>1.4</v>
      </c>
      <c r="T102" s="918">
        <v>2.84</v>
      </c>
      <c r="U102" s="916">
        <v>4.5540000000000003</v>
      </c>
      <c r="V102" s="916">
        <v>0.92</v>
      </c>
      <c r="W102" s="915"/>
      <c r="X102" s="916">
        <v>0.28299999999999997</v>
      </c>
      <c r="Y102" s="916">
        <v>0.40699999999999997</v>
      </c>
      <c r="Z102" s="916">
        <v>4.5789999999999997</v>
      </c>
      <c r="AA102" s="916">
        <v>1.0229999999999999</v>
      </c>
      <c r="AB102" s="916">
        <v>3.0089999999999999</v>
      </c>
      <c r="AC102" s="915"/>
      <c r="AD102" s="919">
        <v>174.04599999999999</v>
      </c>
      <c r="AE102" s="920">
        <v>164.661</v>
      </c>
      <c r="AF102" s="920" t="s">
        <v>21</v>
      </c>
      <c r="AG102" s="920" t="s">
        <v>21</v>
      </c>
      <c r="AH102" s="921">
        <v>164.661</v>
      </c>
      <c r="AI102" s="921" t="s">
        <v>21</v>
      </c>
      <c r="AJ102" s="920" t="s">
        <v>21</v>
      </c>
      <c r="AK102" s="920" t="s">
        <v>21</v>
      </c>
      <c r="AL102" s="921" t="s">
        <v>21</v>
      </c>
      <c r="AM102" s="921" t="s">
        <v>21</v>
      </c>
      <c r="AN102" s="920"/>
      <c r="AO102" s="920" t="s">
        <v>21</v>
      </c>
      <c r="AP102" s="919">
        <v>50.344000000000001</v>
      </c>
      <c r="AQ102" s="922">
        <v>163.76184000000001</v>
      </c>
      <c r="AR102" s="923" t="s">
        <v>21</v>
      </c>
      <c r="AS102" s="923">
        <v>163.76184000000001</v>
      </c>
      <c r="AT102" s="923" t="s">
        <v>21</v>
      </c>
      <c r="AU102" s="923" t="s">
        <v>21</v>
      </c>
      <c r="AV102" s="924" t="s">
        <v>21</v>
      </c>
      <c r="AW102" s="924" t="s">
        <v>21</v>
      </c>
      <c r="AX102" s="924" t="s">
        <v>21</v>
      </c>
      <c r="AY102" s="924" t="s">
        <v>21</v>
      </c>
      <c r="AZ102" s="923" t="s">
        <v>21</v>
      </c>
      <c r="BA102" s="923"/>
      <c r="BB102" s="919">
        <v>5.0339999999999998</v>
      </c>
      <c r="BC102" s="919" t="s">
        <v>21</v>
      </c>
      <c r="BD102" s="919" t="s">
        <v>2142</v>
      </c>
      <c r="BE102" s="925" t="s">
        <v>21</v>
      </c>
      <c r="BF102" s="926" t="s">
        <v>21</v>
      </c>
      <c r="BG102" s="925">
        <v>35.96</v>
      </c>
      <c r="BH102" s="926" t="s">
        <v>21</v>
      </c>
      <c r="BI102" s="925" t="s">
        <v>21</v>
      </c>
      <c r="BJ102" s="926" t="s">
        <v>21</v>
      </c>
      <c r="BK102" s="925" t="s">
        <v>21</v>
      </c>
      <c r="BL102" s="926" t="s">
        <v>21</v>
      </c>
      <c r="BM102" s="925" t="s">
        <v>21</v>
      </c>
      <c r="BN102" s="927"/>
      <c r="BO102" s="927"/>
      <c r="BP102" s="928">
        <v>1</v>
      </c>
      <c r="BQ102" s="928" t="s">
        <v>21</v>
      </c>
      <c r="BR102" s="928" t="s">
        <v>21</v>
      </c>
      <c r="BS102" s="928" t="s">
        <v>21</v>
      </c>
      <c r="BT102" s="928" t="s">
        <v>21</v>
      </c>
      <c r="BU102" s="928" t="s">
        <v>21</v>
      </c>
      <c r="BV102" s="929">
        <v>0.50000000000009104</v>
      </c>
      <c r="BW102" s="929">
        <v>1</v>
      </c>
      <c r="BX102" s="1104">
        <v>2</v>
      </c>
      <c r="BY102" s="931">
        <v>4</v>
      </c>
      <c r="BZ102" s="930"/>
      <c r="CA102" s="1074"/>
      <c r="CB102" s="930">
        <v>1</v>
      </c>
      <c r="CC102" s="930"/>
      <c r="CD102" s="925">
        <v>36.786999999999999</v>
      </c>
      <c r="CE102" s="1130">
        <v>108.20399999999999</v>
      </c>
      <c r="CF102" s="1129" t="s">
        <v>21</v>
      </c>
      <c r="CG102" s="1130" t="s">
        <v>21</v>
      </c>
      <c r="CH102" s="1130" t="s">
        <v>21</v>
      </c>
      <c r="CI102" s="1131" t="s">
        <v>21</v>
      </c>
      <c r="CJ102" s="1129" t="s">
        <v>21</v>
      </c>
      <c r="CK102" s="1130">
        <v>108.20399999999999</v>
      </c>
      <c r="CL102" s="1130" t="s">
        <v>21</v>
      </c>
      <c r="CM102" s="1131" t="s">
        <v>21</v>
      </c>
      <c r="CN102" s="1130" t="s">
        <v>21</v>
      </c>
      <c r="CP102" s="838" t="s">
        <v>21</v>
      </c>
      <c r="CQ102" s="838" t="s">
        <v>21</v>
      </c>
      <c r="CR102" s="836"/>
    </row>
    <row r="103" spans="1:96" x14ac:dyDescent="0.25">
      <c r="A103" s="935"/>
      <c r="B103" s="1900" t="s">
        <v>2253</v>
      </c>
      <c r="C103" s="911">
        <v>600</v>
      </c>
      <c r="D103" s="911" t="s">
        <v>2116</v>
      </c>
      <c r="E103" s="912">
        <v>1199.76</v>
      </c>
      <c r="F103" s="912">
        <v>1197.81</v>
      </c>
      <c r="G103" s="932" t="s">
        <v>2254</v>
      </c>
      <c r="H103" s="912">
        <v>1198.5899999999999</v>
      </c>
      <c r="I103" s="912">
        <v>1196.69</v>
      </c>
      <c r="J103" s="914">
        <v>20.61</v>
      </c>
      <c r="K103" s="915"/>
      <c r="L103" s="916">
        <v>0.1</v>
      </c>
      <c r="M103" s="916">
        <v>0.06</v>
      </c>
      <c r="N103" s="916">
        <v>0.2</v>
      </c>
      <c r="O103" s="916">
        <v>6</v>
      </c>
      <c r="P103" s="915"/>
      <c r="Q103" s="916">
        <v>2.1850000000000001</v>
      </c>
      <c r="R103" s="1899">
        <v>0</v>
      </c>
      <c r="S103" s="1898">
        <v>4</v>
      </c>
      <c r="T103" s="1898">
        <v>4</v>
      </c>
      <c r="U103" s="916">
        <v>4.37</v>
      </c>
      <c r="V103" s="916">
        <v>0.92</v>
      </c>
      <c r="W103" s="915"/>
      <c r="X103" s="916">
        <v>0.28299999999999997</v>
      </c>
      <c r="Y103" s="916">
        <v>0.40699999999999997</v>
      </c>
      <c r="Z103" s="916">
        <v>8.74</v>
      </c>
      <c r="AA103" s="916">
        <v>2.8730000000000002</v>
      </c>
      <c r="AB103" s="916">
        <v>5.0599999999999996</v>
      </c>
      <c r="AC103" s="915"/>
      <c r="AD103" s="919">
        <v>123.66</v>
      </c>
      <c r="AE103" s="920">
        <v>180.131</v>
      </c>
      <c r="AF103" s="920" t="s">
        <v>21</v>
      </c>
      <c r="AG103" s="920" t="s">
        <v>21</v>
      </c>
      <c r="AH103" s="921" t="s">
        <v>21</v>
      </c>
      <c r="AI103" s="921" t="s">
        <v>21</v>
      </c>
      <c r="AJ103" s="920" t="s">
        <v>21</v>
      </c>
      <c r="AK103" s="920" t="s">
        <v>21</v>
      </c>
      <c r="AL103" s="921" t="s">
        <v>21</v>
      </c>
      <c r="AM103" s="921" t="s">
        <v>21</v>
      </c>
      <c r="AN103" s="920"/>
      <c r="AO103" s="920">
        <v>180.131</v>
      </c>
      <c r="AP103" s="919">
        <v>82.44</v>
      </c>
      <c r="AQ103" s="922">
        <v>90.065700000000007</v>
      </c>
      <c r="AR103" s="923" t="s">
        <v>21</v>
      </c>
      <c r="AS103" s="923" t="s">
        <v>21</v>
      </c>
      <c r="AT103" s="923" t="s">
        <v>21</v>
      </c>
      <c r="AU103" s="923" t="s">
        <v>21</v>
      </c>
      <c r="AV103" s="924" t="s">
        <v>21</v>
      </c>
      <c r="AW103" s="924" t="s">
        <v>21</v>
      </c>
      <c r="AX103" s="924" t="s">
        <v>21</v>
      </c>
      <c r="AY103" s="924" t="s">
        <v>21</v>
      </c>
      <c r="AZ103" s="1902">
        <v>90.065700000000007</v>
      </c>
      <c r="BA103" s="923"/>
      <c r="BB103" s="919" t="s">
        <v>21</v>
      </c>
      <c r="BC103" s="919">
        <v>8.2439999999999998</v>
      </c>
      <c r="BD103" s="919" t="s">
        <v>2142</v>
      </c>
      <c r="BE103" s="925" t="s">
        <v>21</v>
      </c>
      <c r="BF103" s="926" t="s">
        <v>21</v>
      </c>
      <c r="BG103" s="925">
        <v>20.61</v>
      </c>
      <c r="BH103" s="926" t="s">
        <v>21</v>
      </c>
      <c r="BI103" s="925" t="s">
        <v>21</v>
      </c>
      <c r="BJ103" s="926" t="s">
        <v>21</v>
      </c>
      <c r="BK103" s="925" t="s">
        <v>21</v>
      </c>
      <c r="BL103" s="926" t="s">
        <v>21</v>
      </c>
      <c r="BM103" s="925" t="s">
        <v>21</v>
      </c>
      <c r="BN103" s="927"/>
      <c r="BO103" s="927"/>
      <c r="BP103" s="928">
        <v>1</v>
      </c>
      <c r="BQ103" s="928" t="s">
        <v>21</v>
      </c>
      <c r="BR103" s="928" t="s">
        <v>21</v>
      </c>
      <c r="BS103" s="928" t="s">
        <v>21</v>
      </c>
      <c r="BT103" s="928" t="s">
        <v>21</v>
      </c>
      <c r="BU103" s="928" t="s">
        <v>21</v>
      </c>
      <c r="BV103" s="929">
        <v>0.55000000000004556</v>
      </c>
      <c r="BW103" s="929">
        <v>1</v>
      </c>
      <c r="BX103" s="1104">
        <v>2</v>
      </c>
      <c r="BY103" s="931">
        <v>4</v>
      </c>
      <c r="BZ103" s="930">
        <v>1</v>
      </c>
      <c r="CA103" s="1074"/>
      <c r="CB103" s="930"/>
      <c r="CC103" s="930"/>
      <c r="CD103" s="925">
        <v>59.213000000000001</v>
      </c>
      <c r="CE103" s="1130">
        <v>104.28700000000001</v>
      </c>
      <c r="CF103" s="1129" t="s">
        <v>21</v>
      </c>
      <c r="CG103" s="1130" t="s">
        <v>21</v>
      </c>
      <c r="CH103" s="1130" t="s">
        <v>21</v>
      </c>
      <c r="CI103" s="1131" t="s">
        <v>21</v>
      </c>
      <c r="CJ103" s="1129" t="s">
        <v>21</v>
      </c>
      <c r="CK103" s="1130" t="s">
        <v>21</v>
      </c>
      <c r="CL103" s="1130" t="s">
        <v>21</v>
      </c>
      <c r="CM103" s="1131" t="s">
        <v>21</v>
      </c>
      <c r="CN103" s="1130">
        <v>104.28700000000001</v>
      </c>
      <c r="CP103" s="838" t="s">
        <v>21</v>
      </c>
      <c r="CQ103" s="838" t="s">
        <v>21</v>
      </c>
      <c r="CR103" s="836"/>
    </row>
    <row r="104" spans="1:96" x14ac:dyDescent="0.25">
      <c r="A104" s="935"/>
      <c r="B104" s="1900" t="s">
        <v>2254</v>
      </c>
      <c r="C104" s="911">
        <v>600</v>
      </c>
      <c r="D104" s="911" t="s">
        <v>2116</v>
      </c>
      <c r="E104" s="912">
        <v>1198.5899999999999</v>
      </c>
      <c r="F104" s="912">
        <v>1196.5899999999999</v>
      </c>
      <c r="G104" s="932" t="s">
        <v>2255</v>
      </c>
      <c r="H104" s="912">
        <v>1198.27</v>
      </c>
      <c r="I104" s="912">
        <v>1196.3699999999999</v>
      </c>
      <c r="J104" s="914">
        <v>10.79</v>
      </c>
      <c r="K104" s="915"/>
      <c r="L104" s="916">
        <v>0.1</v>
      </c>
      <c r="M104" s="916">
        <v>0.06</v>
      </c>
      <c r="N104" s="916">
        <v>0.2</v>
      </c>
      <c r="O104" s="916">
        <v>6</v>
      </c>
      <c r="P104" s="915"/>
      <c r="Q104" s="916">
        <v>2.21</v>
      </c>
      <c r="R104" s="1899">
        <v>0</v>
      </c>
      <c r="S104" s="1898">
        <v>4</v>
      </c>
      <c r="T104" s="1898">
        <v>4</v>
      </c>
      <c r="U104" s="916">
        <v>4.42</v>
      </c>
      <c r="V104" s="916">
        <v>0.92</v>
      </c>
      <c r="W104" s="915"/>
      <c r="X104" s="916">
        <v>0.28299999999999997</v>
      </c>
      <c r="Y104" s="916">
        <v>0.40699999999999997</v>
      </c>
      <c r="Z104" s="916">
        <v>8.84</v>
      </c>
      <c r="AA104" s="916">
        <v>2.8730000000000002</v>
      </c>
      <c r="AB104" s="916">
        <v>5.16</v>
      </c>
      <c r="AC104" s="915"/>
      <c r="AD104" s="919">
        <v>64.739999999999995</v>
      </c>
      <c r="AE104" s="920">
        <v>95.384</v>
      </c>
      <c r="AF104" s="920" t="s">
        <v>21</v>
      </c>
      <c r="AG104" s="920" t="s">
        <v>21</v>
      </c>
      <c r="AH104" s="921" t="s">
        <v>21</v>
      </c>
      <c r="AI104" s="921" t="s">
        <v>21</v>
      </c>
      <c r="AJ104" s="920" t="s">
        <v>21</v>
      </c>
      <c r="AK104" s="920" t="s">
        <v>21</v>
      </c>
      <c r="AL104" s="921" t="s">
        <v>21</v>
      </c>
      <c r="AM104" s="921" t="s">
        <v>21</v>
      </c>
      <c r="AN104" s="920"/>
      <c r="AO104" s="920">
        <v>95.384</v>
      </c>
      <c r="AP104" s="919">
        <v>43.16</v>
      </c>
      <c r="AQ104" s="922">
        <v>47.691799999999994</v>
      </c>
      <c r="AR104" s="923" t="s">
        <v>21</v>
      </c>
      <c r="AS104" s="923" t="s">
        <v>21</v>
      </c>
      <c r="AT104" s="923" t="s">
        <v>21</v>
      </c>
      <c r="AU104" s="923" t="s">
        <v>21</v>
      </c>
      <c r="AV104" s="924" t="s">
        <v>21</v>
      </c>
      <c r="AW104" s="924" t="s">
        <v>21</v>
      </c>
      <c r="AX104" s="924" t="s">
        <v>21</v>
      </c>
      <c r="AY104" s="924" t="s">
        <v>21</v>
      </c>
      <c r="AZ104" s="1902">
        <v>47.691799999999994</v>
      </c>
      <c r="BA104" s="923"/>
      <c r="BB104" s="919" t="s">
        <v>21</v>
      </c>
      <c r="BC104" s="919">
        <v>4.3159999999999998</v>
      </c>
      <c r="BD104" s="919" t="s">
        <v>2142</v>
      </c>
      <c r="BE104" s="925" t="s">
        <v>21</v>
      </c>
      <c r="BF104" s="926" t="s">
        <v>21</v>
      </c>
      <c r="BG104" s="925">
        <v>10.79</v>
      </c>
      <c r="BH104" s="926" t="s">
        <v>21</v>
      </c>
      <c r="BI104" s="925" t="s">
        <v>21</v>
      </c>
      <c r="BJ104" s="926" t="s">
        <v>21</v>
      </c>
      <c r="BK104" s="925" t="s">
        <v>21</v>
      </c>
      <c r="BL104" s="926" t="s">
        <v>21</v>
      </c>
      <c r="BM104" s="925" t="s">
        <v>21</v>
      </c>
      <c r="BN104" s="927"/>
      <c r="BO104" s="927"/>
      <c r="BP104" s="928">
        <v>1</v>
      </c>
      <c r="BQ104" s="928" t="s">
        <v>21</v>
      </c>
      <c r="BR104" s="928" t="s">
        <v>21</v>
      </c>
      <c r="BS104" s="928" t="s">
        <v>21</v>
      </c>
      <c r="BT104" s="928" t="s">
        <v>21</v>
      </c>
      <c r="BU104" s="928" t="s">
        <v>21</v>
      </c>
      <c r="BV104" s="929">
        <v>0.60000000000000009</v>
      </c>
      <c r="BW104" s="929">
        <v>1</v>
      </c>
      <c r="BX104" s="1104">
        <v>2</v>
      </c>
      <c r="BY104" s="931">
        <v>4</v>
      </c>
      <c r="BZ104" s="930">
        <v>1</v>
      </c>
      <c r="CA104" s="1074"/>
      <c r="CB104" s="930"/>
      <c r="CC104" s="930"/>
      <c r="CD104" s="925">
        <v>31</v>
      </c>
      <c r="CE104" s="1130">
        <v>55.676000000000002</v>
      </c>
      <c r="CF104" s="1129" t="s">
        <v>21</v>
      </c>
      <c r="CG104" s="1130" t="s">
        <v>21</v>
      </c>
      <c r="CH104" s="1130" t="s">
        <v>21</v>
      </c>
      <c r="CI104" s="1131" t="s">
        <v>21</v>
      </c>
      <c r="CJ104" s="1129" t="s">
        <v>21</v>
      </c>
      <c r="CK104" s="1130" t="s">
        <v>21</v>
      </c>
      <c r="CL104" s="1130" t="s">
        <v>21</v>
      </c>
      <c r="CM104" s="1131" t="s">
        <v>21</v>
      </c>
      <c r="CN104" s="1130">
        <v>55.676000000000002</v>
      </c>
      <c r="CP104" s="838" t="s">
        <v>21</v>
      </c>
      <c r="CQ104" s="838" t="s">
        <v>21</v>
      </c>
      <c r="CR104" s="836"/>
    </row>
    <row r="105" spans="1:96" x14ac:dyDescent="0.25">
      <c r="A105" s="935"/>
      <c r="B105" s="1900" t="s">
        <v>2255</v>
      </c>
      <c r="C105" s="911">
        <v>600</v>
      </c>
      <c r="D105" s="911" t="s">
        <v>2116</v>
      </c>
      <c r="E105" s="912">
        <v>1198.27</v>
      </c>
      <c r="F105" s="912">
        <v>1196.27</v>
      </c>
      <c r="G105" s="932" t="s">
        <v>2256</v>
      </c>
      <c r="H105" s="912">
        <v>1198.1099999999999</v>
      </c>
      <c r="I105" s="912">
        <v>1196.1099999999999</v>
      </c>
      <c r="J105" s="914">
        <v>11.38</v>
      </c>
      <c r="K105" s="915"/>
      <c r="L105" s="916">
        <v>0.1</v>
      </c>
      <c r="M105" s="916">
        <v>0.06</v>
      </c>
      <c r="N105" s="916">
        <v>0.2</v>
      </c>
      <c r="O105" s="916">
        <v>6</v>
      </c>
      <c r="P105" s="915"/>
      <c r="Q105" s="916">
        <v>2.2599999999999998</v>
      </c>
      <c r="R105" s="1899">
        <v>0</v>
      </c>
      <c r="S105" s="1898">
        <v>4</v>
      </c>
      <c r="T105" s="1898">
        <v>4</v>
      </c>
      <c r="U105" s="916">
        <v>4.5199999999999996</v>
      </c>
      <c r="V105" s="916">
        <v>0.92</v>
      </c>
      <c r="W105" s="915"/>
      <c r="X105" s="916">
        <v>0.28299999999999997</v>
      </c>
      <c r="Y105" s="916">
        <v>0.40699999999999997</v>
      </c>
      <c r="Z105" s="916">
        <v>9.0399999999999991</v>
      </c>
      <c r="AA105" s="916">
        <v>2.8730000000000002</v>
      </c>
      <c r="AB105" s="916">
        <v>5.36</v>
      </c>
      <c r="AC105" s="915"/>
      <c r="AD105" s="919">
        <v>68.28</v>
      </c>
      <c r="AE105" s="920">
        <v>102.875</v>
      </c>
      <c r="AF105" s="920" t="s">
        <v>21</v>
      </c>
      <c r="AG105" s="920" t="s">
        <v>21</v>
      </c>
      <c r="AH105" s="921" t="s">
        <v>21</v>
      </c>
      <c r="AI105" s="921" t="s">
        <v>21</v>
      </c>
      <c r="AJ105" s="920" t="s">
        <v>21</v>
      </c>
      <c r="AK105" s="920" t="s">
        <v>21</v>
      </c>
      <c r="AL105" s="921" t="s">
        <v>21</v>
      </c>
      <c r="AM105" s="921" t="s">
        <v>21</v>
      </c>
      <c r="AN105" s="920"/>
      <c r="AO105" s="920">
        <v>102.875</v>
      </c>
      <c r="AP105" s="919">
        <v>45.52</v>
      </c>
      <c r="AQ105" s="922">
        <v>51.437599999999996</v>
      </c>
      <c r="AR105" s="923" t="s">
        <v>21</v>
      </c>
      <c r="AS105" s="923" t="s">
        <v>21</v>
      </c>
      <c r="AT105" s="923" t="s">
        <v>21</v>
      </c>
      <c r="AU105" s="923" t="s">
        <v>21</v>
      </c>
      <c r="AV105" s="924" t="s">
        <v>21</v>
      </c>
      <c r="AW105" s="924" t="s">
        <v>21</v>
      </c>
      <c r="AX105" s="924" t="s">
        <v>21</v>
      </c>
      <c r="AY105" s="924" t="s">
        <v>21</v>
      </c>
      <c r="AZ105" s="1902">
        <v>51.437599999999996</v>
      </c>
      <c r="BA105" s="923"/>
      <c r="BB105" s="919" t="s">
        <v>21</v>
      </c>
      <c r="BC105" s="919">
        <v>4.5519999999999996</v>
      </c>
      <c r="BD105" s="919" t="s">
        <v>2142</v>
      </c>
      <c r="BE105" s="925" t="s">
        <v>21</v>
      </c>
      <c r="BF105" s="926" t="s">
        <v>21</v>
      </c>
      <c r="BG105" s="925">
        <v>11.38</v>
      </c>
      <c r="BH105" s="926" t="s">
        <v>21</v>
      </c>
      <c r="BI105" s="925" t="s">
        <v>21</v>
      </c>
      <c r="BJ105" s="926" t="s">
        <v>21</v>
      </c>
      <c r="BK105" s="925" t="s">
        <v>21</v>
      </c>
      <c r="BL105" s="926" t="s">
        <v>21</v>
      </c>
      <c r="BM105" s="925" t="s">
        <v>21</v>
      </c>
      <c r="BN105" s="927"/>
      <c r="BO105" s="927"/>
      <c r="BP105" s="928">
        <v>1</v>
      </c>
      <c r="BQ105" s="928" t="s">
        <v>21</v>
      </c>
      <c r="BR105" s="928" t="s">
        <v>21</v>
      </c>
      <c r="BS105" s="928" t="s">
        <v>21</v>
      </c>
      <c r="BT105" s="928" t="s">
        <v>21</v>
      </c>
      <c r="BU105" s="928" t="s">
        <v>21</v>
      </c>
      <c r="BV105" s="929">
        <v>0.60000000000000009</v>
      </c>
      <c r="BW105" s="929">
        <v>1</v>
      </c>
      <c r="BX105" s="1104">
        <v>2</v>
      </c>
      <c r="BY105" s="931">
        <v>4</v>
      </c>
      <c r="BZ105" s="930"/>
      <c r="CA105" s="1074"/>
      <c r="CB105" s="930"/>
      <c r="CC105" s="930"/>
      <c r="CD105" s="925">
        <v>32.695</v>
      </c>
      <c r="CE105" s="1130">
        <v>60.997</v>
      </c>
      <c r="CF105" s="1129" t="s">
        <v>21</v>
      </c>
      <c r="CG105" s="1130" t="s">
        <v>21</v>
      </c>
      <c r="CH105" s="1130" t="s">
        <v>21</v>
      </c>
      <c r="CI105" s="1131" t="s">
        <v>21</v>
      </c>
      <c r="CJ105" s="1129" t="s">
        <v>21</v>
      </c>
      <c r="CK105" s="1130" t="s">
        <v>21</v>
      </c>
      <c r="CL105" s="1130" t="s">
        <v>21</v>
      </c>
      <c r="CM105" s="1131" t="s">
        <v>21</v>
      </c>
      <c r="CN105" s="1130">
        <v>60.997</v>
      </c>
      <c r="CP105" s="838" t="s">
        <v>21</v>
      </c>
      <c r="CQ105" s="838" t="s">
        <v>21</v>
      </c>
      <c r="CR105" s="836"/>
    </row>
    <row r="106" spans="1:96" x14ac:dyDescent="0.25">
      <c r="A106" s="935"/>
      <c r="B106" s="1900" t="s">
        <v>2256</v>
      </c>
      <c r="C106" s="911">
        <v>600</v>
      </c>
      <c r="D106" s="911" t="s">
        <v>2116</v>
      </c>
      <c r="E106" s="912">
        <v>1198.1099999999999</v>
      </c>
      <c r="F106" s="912">
        <v>1196.1099999999999</v>
      </c>
      <c r="G106" s="932" t="s">
        <v>2257</v>
      </c>
      <c r="H106" s="912">
        <v>1197.55</v>
      </c>
      <c r="I106" s="912">
        <v>1195.6500000000001</v>
      </c>
      <c r="J106" s="914">
        <v>7.87</v>
      </c>
      <c r="K106" s="915"/>
      <c r="L106" s="916">
        <v>0.1</v>
      </c>
      <c r="M106" s="916">
        <v>0.06</v>
      </c>
      <c r="N106" s="916">
        <v>0.2</v>
      </c>
      <c r="O106" s="916">
        <v>6</v>
      </c>
      <c r="P106" s="915"/>
      <c r="Q106" s="916">
        <v>2.21</v>
      </c>
      <c r="R106" s="1899">
        <v>0</v>
      </c>
      <c r="S106" s="1898">
        <v>4</v>
      </c>
      <c r="T106" s="1898">
        <v>4</v>
      </c>
      <c r="U106" s="916">
        <v>4.42</v>
      </c>
      <c r="V106" s="916">
        <v>0.92</v>
      </c>
      <c r="W106" s="915"/>
      <c r="X106" s="916">
        <v>0.28299999999999997</v>
      </c>
      <c r="Y106" s="916">
        <v>0.40699999999999997</v>
      </c>
      <c r="Z106" s="916">
        <v>8.84</v>
      </c>
      <c r="AA106" s="916">
        <v>2.8730000000000002</v>
      </c>
      <c r="AB106" s="916">
        <v>5.16</v>
      </c>
      <c r="AC106" s="915"/>
      <c r="AD106" s="919">
        <v>47.22</v>
      </c>
      <c r="AE106" s="920">
        <v>69.570999999999998</v>
      </c>
      <c r="AF106" s="920" t="s">
        <v>21</v>
      </c>
      <c r="AG106" s="920" t="s">
        <v>21</v>
      </c>
      <c r="AH106" s="921" t="s">
        <v>21</v>
      </c>
      <c r="AI106" s="921" t="s">
        <v>21</v>
      </c>
      <c r="AJ106" s="920" t="s">
        <v>21</v>
      </c>
      <c r="AK106" s="920" t="s">
        <v>21</v>
      </c>
      <c r="AL106" s="921" t="s">
        <v>21</v>
      </c>
      <c r="AM106" s="921" t="s">
        <v>21</v>
      </c>
      <c r="AN106" s="920"/>
      <c r="AO106" s="920">
        <v>69.570999999999998</v>
      </c>
      <c r="AP106" s="919">
        <v>31.48</v>
      </c>
      <c r="AQ106" s="922">
        <v>34.785400000000003</v>
      </c>
      <c r="AR106" s="923" t="s">
        <v>21</v>
      </c>
      <c r="AS106" s="923" t="s">
        <v>21</v>
      </c>
      <c r="AT106" s="923" t="s">
        <v>21</v>
      </c>
      <c r="AU106" s="923" t="s">
        <v>21</v>
      </c>
      <c r="AV106" s="924" t="s">
        <v>21</v>
      </c>
      <c r="AW106" s="924" t="s">
        <v>21</v>
      </c>
      <c r="AX106" s="924" t="s">
        <v>21</v>
      </c>
      <c r="AY106" s="924" t="s">
        <v>21</v>
      </c>
      <c r="AZ106" s="1902">
        <v>34.785400000000003</v>
      </c>
      <c r="BA106" s="923"/>
      <c r="BB106" s="919" t="s">
        <v>21</v>
      </c>
      <c r="BC106" s="919">
        <v>3.1480000000000001</v>
      </c>
      <c r="BD106" s="919" t="s">
        <v>2142</v>
      </c>
      <c r="BE106" s="925" t="s">
        <v>21</v>
      </c>
      <c r="BF106" s="926" t="s">
        <v>21</v>
      </c>
      <c r="BG106" s="925">
        <v>7.87</v>
      </c>
      <c r="BH106" s="926" t="s">
        <v>21</v>
      </c>
      <c r="BI106" s="925" t="s">
        <v>21</v>
      </c>
      <c r="BJ106" s="926" t="s">
        <v>21</v>
      </c>
      <c r="BK106" s="925" t="s">
        <v>21</v>
      </c>
      <c r="BL106" s="926" t="s">
        <v>21</v>
      </c>
      <c r="BM106" s="925" t="s">
        <v>21</v>
      </c>
      <c r="BN106" s="927"/>
      <c r="BO106" s="927"/>
      <c r="BP106" s="928">
        <v>1</v>
      </c>
      <c r="BQ106" s="928" t="s">
        <v>21</v>
      </c>
      <c r="BR106" s="928" t="s">
        <v>21</v>
      </c>
      <c r="BS106" s="928" t="s">
        <v>21</v>
      </c>
      <c r="BT106" s="928" t="s">
        <v>21</v>
      </c>
      <c r="BU106" s="928" t="s">
        <v>21</v>
      </c>
      <c r="BV106" s="929">
        <v>0.60000000000000009</v>
      </c>
      <c r="BW106" s="929">
        <v>1</v>
      </c>
      <c r="BX106" s="1104">
        <v>2</v>
      </c>
      <c r="BY106" s="931">
        <v>4</v>
      </c>
      <c r="BZ106" s="930">
        <v>1</v>
      </c>
      <c r="CA106" s="1074"/>
      <c r="CB106" s="930"/>
      <c r="CC106" s="930"/>
      <c r="CD106" s="925">
        <v>22.611000000000001</v>
      </c>
      <c r="CE106" s="1130">
        <v>40.609000000000002</v>
      </c>
      <c r="CF106" s="1129" t="s">
        <v>21</v>
      </c>
      <c r="CG106" s="1130" t="s">
        <v>21</v>
      </c>
      <c r="CH106" s="1130" t="s">
        <v>21</v>
      </c>
      <c r="CI106" s="1131" t="s">
        <v>21</v>
      </c>
      <c r="CJ106" s="1129" t="s">
        <v>21</v>
      </c>
      <c r="CK106" s="1130" t="s">
        <v>21</v>
      </c>
      <c r="CL106" s="1130" t="s">
        <v>21</v>
      </c>
      <c r="CM106" s="1131" t="s">
        <v>21</v>
      </c>
      <c r="CN106" s="1130">
        <v>40.609000000000002</v>
      </c>
      <c r="CP106" s="838" t="s">
        <v>21</v>
      </c>
      <c r="CQ106" s="838" t="s">
        <v>21</v>
      </c>
      <c r="CR106" s="836"/>
    </row>
    <row r="107" spans="1:96" x14ac:dyDescent="0.25">
      <c r="A107" s="935"/>
      <c r="B107" s="1900" t="s">
        <v>2257</v>
      </c>
      <c r="C107" s="911">
        <v>600</v>
      </c>
      <c r="D107" s="911" t="s">
        <v>2116</v>
      </c>
      <c r="E107" s="912">
        <v>1197.55</v>
      </c>
      <c r="F107" s="912">
        <v>1195.5999999999999</v>
      </c>
      <c r="G107" s="932" t="s">
        <v>2258</v>
      </c>
      <c r="H107" s="912">
        <v>1195.73</v>
      </c>
      <c r="I107" s="912">
        <v>1193.83</v>
      </c>
      <c r="J107" s="914">
        <v>29.36</v>
      </c>
      <c r="K107" s="915"/>
      <c r="L107" s="916">
        <v>0.1</v>
      </c>
      <c r="M107" s="916">
        <v>0.06</v>
      </c>
      <c r="N107" s="916">
        <v>0.2</v>
      </c>
      <c r="O107" s="916">
        <v>6</v>
      </c>
      <c r="P107" s="915"/>
      <c r="Q107" s="916">
        <v>2.1850000000000001</v>
      </c>
      <c r="R107" s="1899">
        <v>0</v>
      </c>
      <c r="S107" s="1898">
        <v>4</v>
      </c>
      <c r="T107" s="1898">
        <v>4</v>
      </c>
      <c r="U107" s="916">
        <v>4.37</v>
      </c>
      <c r="V107" s="916">
        <v>0.92</v>
      </c>
      <c r="W107" s="915"/>
      <c r="X107" s="916">
        <v>0.28299999999999997</v>
      </c>
      <c r="Y107" s="916">
        <v>0.40699999999999997</v>
      </c>
      <c r="Z107" s="916">
        <v>8.74</v>
      </c>
      <c r="AA107" s="916">
        <v>2.8730000000000002</v>
      </c>
      <c r="AB107" s="916">
        <v>5.0599999999999996</v>
      </c>
      <c r="AC107" s="915"/>
      <c r="AD107" s="919">
        <v>176.16</v>
      </c>
      <c r="AE107" s="920">
        <v>256.60599999999999</v>
      </c>
      <c r="AF107" s="920" t="s">
        <v>21</v>
      </c>
      <c r="AG107" s="920" t="s">
        <v>21</v>
      </c>
      <c r="AH107" s="921" t="s">
        <v>21</v>
      </c>
      <c r="AI107" s="921" t="s">
        <v>21</v>
      </c>
      <c r="AJ107" s="920" t="s">
        <v>21</v>
      </c>
      <c r="AK107" s="920" t="s">
        <v>21</v>
      </c>
      <c r="AL107" s="921" t="s">
        <v>21</v>
      </c>
      <c r="AM107" s="921" t="s">
        <v>21</v>
      </c>
      <c r="AN107" s="920"/>
      <c r="AO107" s="920">
        <v>256.60599999999999</v>
      </c>
      <c r="AP107" s="919">
        <v>117.44</v>
      </c>
      <c r="AQ107" s="922">
        <v>128.3032</v>
      </c>
      <c r="AR107" s="923" t="s">
        <v>21</v>
      </c>
      <c r="AS107" s="923" t="s">
        <v>21</v>
      </c>
      <c r="AT107" s="923" t="s">
        <v>21</v>
      </c>
      <c r="AU107" s="923" t="s">
        <v>21</v>
      </c>
      <c r="AV107" s="924" t="s">
        <v>21</v>
      </c>
      <c r="AW107" s="924" t="s">
        <v>21</v>
      </c>
      <c r="AX107" s="924" t="s">
        <v>21</v>
      </c>
      <c r="AY107" s="924" t="s">
        <v>21</v>
      </c>
      <c r="AZ107" s="1902">
        <v>128.3032</v>
      </c>
      <c r="BA107" s="923"/>
      <c r="BB107" s="919" t="s">
        <v>21</v>
      </c>
      <c r="BC107" s="919">
        <v>11.744</v>
      </c>
      <c r="BD107" s="919" t="s">
        <v>2142</v>
      </c>
      <c r="BE107" s="925" t="s">
        <v>21</v>
      </c>
      <c r="BF107" s="926" t="s">
        <v>21</v>
      </c>
      <c r="BG107" s="925">
        <v>29.36</v>
      </c>
      <c r="BH107" s="926" t="s">
        <v>21</v>
      </c>
      <c r="BI107" s="925" t="s">
        <v>21</v>
      </c>
      <c r="BJ107" s="926" t="s">
        <v>21</v>
      </c>
      <c r="BK107" s="925" t="s">
        <v>21</v>
      </c>
      <c r="BL107" s="926" t="s">
        <v>21</v>
      </c>
      <c r="BM107" s="925" t="s">
        <v>21</v>
      </c>
      <c r="BN107" s="927"/>
      <c r="BO107" s="927"/>
      <c r="BP107" s="928">
        <v>1</v>
      </c>
      <c r="BQ107" s="928" t="s">
        <v>21</v>
      </c>
      <c r="BR107" s="928" t="s">
        <v>21</v>
      </c>
      <c r="BS107" s="928" t="s">
        <v>21</v>
      </c>
      <c r="BT107" s="928" t="s">
        <v>21</v>
      </c>
      <c r="BU107" s="928" t="s">
        <v>21</v>
      </c>
      <c r="BV107" s="929">
        <v>0.55000000000004556</v>
      </c>
      <c r="BW107" s="929">
        <v>1</v>
      </c>
      <c r="BX107" s="1104">
        <v>2</v>
      </c>
      <c r="BY107" s="931">
        <v>4</v>
      </c>
      <c r="BZ107" s="930"/>
      <c r="CA107" s="1074">
        <v>1</v>
      </c>
      <c r="CB107" s="930"/>
      <c r="CC107" s="930"/>
      <c r="CD107" s="925">
        <v>84.350999999999999</v>
      </c>
      <c r="CE107" s="1130">
        <v>148.56200000000001</v>
      </c>
      <c r="CF107" s="1129" t="s">
        <v>21</v>
      </c>
      <c r="CG107" s="1130" t="s">
        <v>21</v>
      </c>
      <c r="CH107" s="1130" t="s">
        <v>21</v>
      </c>
      <c r="CI107" s="1131" t="s">
        <v>21</v>
      </c>
      <c r="CJ107" s="1129" t="s">
        <v>21</v>
      </c>
      <c r="CK107" s="1130" t="s">
        <v>21</v>
      </c>
      <c r="CL107" s="1130" t="s">
        <v>21</v>
      </c>
      <c r="CM107" s="1131" t="s">
        <v>21</v>
      </c>
      <c r="CN107" s="1130">
        <v>148.56200000000001</v>
      </c>
      <c r="CP107" s="838" t="s">
        <v>21</v>
      </c>
      <c r="CQ107" s="838" t="s">
        <v>21</v>
      </c>
      <c r="CR107" s="836"/>
    </row>
    <row r="108" spans="1:96" x14ac:dyDescent="0.25">
      <c r="A108" s="935"/>
      <c r="B108" s="1900" t="s">
        <v>2258</v>
      </c>
      <c r="C108" s="911">
        <v>600</v>
      </c>
      <c r="D108" s="911" t="s">
        <v>2116</v>
      </c>
      <c r="E108" s="912">
        <v>1195.73</v>
      </c>
      <c r="F108" s="912">
        <v>1193.6300000000001</v>
      </c>
      <c r="G108" s="932" t="s">
        <v>2259</v>
      </c>
      <c r="H108" s="912">
        <v>1195.46</v>
      </c>
      <c r="I108" s="912">
        <v>1193.51</v>
      </c>
      <c r="J108" s="914">
        <v>7.71</v>
      </c>
      <c r="K108" s="915"/>
      <c r="L108" s="916">
        <v>0.1</v>
      </c>
      <c r="M108" s="916">
        <v>0.06</v>
      </c>
      <c r="N108" s="916">
        <v>0.2</v>
      </c>
      <c r="O108" s="916">
        <v>6</v>
      </c>
      <c r="P108" s="915"/>
      <c r="Q108" s="916">
        <v>2.2850000000000001</v>
      </c>
      <c r="R108" s="1899">
        <v>0</v>
      </c>
      <c r="S108" s="1898">
        <v>4</v>
      </c>
      <c r="T108" s="1898">
        <v>4</v>
      </c>
      <c r="U108" s="916">
        <v>4.57</v>
      </c>
      <c r="V108" s="916">
        <v>0.92</v>
      </c>
      <c r="W108" s="915"/>
      <c r="X108" s="916">
        <v>0.28299999999999997</v>
      </c>
      <c r="Y108" s="916">
        <v>0.40699999999999997</v>
      </c>
      <c r="Z108" s="916">
        <v>9.14</v>
      </c>
      <c r="AA108" s="916">
        <v>2.8730000000000002</v>
      </c>
      <c r="AB108" s="916">
        <v>5.46</v>
      </c>
      <c r="AC108" s="915"/>
      <c r="AD108" s="919">
        <v>46.26</v>
      </c>
      <c r="AE108" s="920">
        <v>70.468999999999994</v>
      </c>
      <c r="AF108" s="920" t="s">
        <v>21</v>
      </c>
      <c r="AG108" s="920" t="s">
        <v>21</v>
      </c>
      <c r="AH108" s="921" t="s">
        <v>21</v>
      </c>
      <c r="AI108" s="921" t="s">
        <v>21</v>
      </c>
      <c r="AJ108" s="920" t="s">
        <v>21</v>
      </c>
      <c r="AK108" s="920" t="s">
        <v>21</v>
      </c>
      <c r="AL108" s="921" t="s">
        <v>21</v>
      </c>
      <c r="AM108" s="921" t="s">
        <v>21</v>
      </c>
      <c r="AN108" s="920"/>
      <c r="AO108" s="920">
        <v>70.468999999999994</v>
      </c>
      <c r="AP108" s="919">
        <v>30.84</v>
      </c>
      <c r="AQ108" s="922">
        <v>35.234700000000004</v>
      </c>
      <c r="AR108" s="923" t="s">
        <v>21</v>
      </c>
      <c r="AS108" s="923" t="s">
        <v>21</v>
      </c>
      <c r="AT108" s="923" t="s">
        <v>21</v>
      </c>
      <c r="AU108" s="923" t="s">
        <v>21</v>
      </c>
      <c r="AV108" s="924" t="s">
        <v>21</v>
      </c>
      <c r="AW108" s="924" t="s">
        <v>21</v>
      </c>
      <c r="AX108" s="924" t="s">
        <v>21</v>
      </c>
      <c r="AY108" s="924" t="s">
        <v>21</v>
      </c>
      <c r="AZ108" s="1902">
        <v>35.234700000000004</v>
      </c>
      <c r="BA108" s="923"/>
      <c r="BB108" s="919" t="s">
        <v>21</v>
      </c>
      <c r="BC108" s="919">
        <v>3.0840000000000001</v>
      </c>
      <c r="BD108" s="919" t="s">
        <v>2142</v>
      </c>
      <c r="BE108" s="925" t="s">
        <v>21</v>
      </c>
      <c r="BF108" s="926" t="s">
        <v>21</v>
      </c>
      <c r="BG108" s="925">
        <v>7.71</v>
      </c>
      <c r="BH108" s="926" t="s">
        <v>21</v>
      </c>
      <c r="BI108" s="925" t="s">
        <v>21</v>
      </c>
      <c r="BJ108" s="926" t="s">
        <v>21</v>
      </c>
      <c r="BK108" s="925" t="s">
        <v>21</v>
      </c>
      <c r="BL108" s="926" t="s">
        <v>21</v>
      </c>
      <c r="BM108" s="925" t="s">
        <v>21</v>
      </c>
      <c r="BN108" s="927"/>
      <c r="BO108" s="927"/>
      <c r="BP108" s="928">
        <v>1</v>
      </c>
      <c r="BQ108" s="928" t="s">
        <v>21</v>
      </c>
      <c r="BR108" s="928" t="s">
        <v>21</v>
      </c>
      <c r="BS108" s="928" t="s">
        <v>21</v>
      </c>
      <c r="BT108" s="928" t="s">
        <v>21</v>
      </c>
      <c r="BU108" s="928" t="s">
        <v>21</v>
      </c>
      <c r="BV108" s="929">
        <v>0.69999999999990914</v>
      </c>
      <c r="BW108" s="929">
        <v>1</v>
      </c>
      <c r="BX108" s="1104">
        <v>2</v>
      </c>
      <c r="BY108" s="931">
        <v>4</v>
      </c>
      <c r="BZ108" s="930">
        <v>2</v>
      </c>
      <c r="CA108" s="1074"/>
      <c r="CB108" s="930"/>
      <c r="CC108" s="930"/>
      <c r="CD108" s="925">
        <v>22.151</v>
      </c>
      <c r="CE108" s="1130">
        <v>42.097000000000001</v>
      </c>
      <c r="CF108" s="1129" t="s">
        <v>21</v>
      </c>
      <c r="CG108" s="1130" t="s">
        <v>21</v>
      </c>
      <c r="CH108" s="1130" t="s">
        <v>21</v>
      </c>
      <c r="CI108" s="1131" t="s">
        <v>21</v>
      </c>
      <c r="CJ108" s="1129" t="s">
        <v>21</v>
      </c>
      <c r="CK108" s="1130" t="s">
        <v>21</v>
      </c>
      <c r="CL108" s="1130" t="s">
        <v>21</v>
      </c>
      <c r="CM108" s="1131" t="s">
        <v>21</v>
      </c>
      <c r="CN108" s="1130">
        <v>42.097000000000001</v>
      </c>
      <c r="CP108" s="838" t="s">
        <v>21</v>
      </c>
      <c r="CQ108" s="838" t="s">
        <v>21</v>
      </c>
      <c r="CR108" s="836"/>
    </row>
    <row r="109" spans="1:96" x14ac:dyDescent="0.25">
      <c r="A109" s="935"/>
      <c r="B109" s="1900" t="s">
        <v>2259</v>
      </c>
      <c r="C109" s="911">
        <v>600</v>
      </c>
      <c r="D109" s="911" t="s">
        <v>2116</v>
      </c>
      <c r="E109" s="912">
        <v>1195.46</v>
      </c>
      <c r="F109" s="912">
        <v>1193.51</v>
      </c>
      <c r="G109" s="932" t="s">
        <v>2260</v>
      </c>
      <c r="H109" s="912">
        <v>1195.24</v>
      </c>
      <c r="I109" s="912">
        <v>1193.3399999999999</v>
      </c>
      <c r="J109" s="914">
        <v>5.5</v>
      </c>
      <c r="K109" s="915"/>
      <c r="L109" s="916">
        <v>0.1</v>
      </c>
      <c r="M109" s="916">
        <v>0.06</v>
      </c>
      <c r="N109" s="916">
        <v>0.2</v>
      </c>
      <c r="O109" s="916">
        <v>6</v>
      </c>
      <c r="P109" s="915"/>
      <c r="Q109" s="916">
        <v>2.1850000000000001</v>
      </c>
      <c r="R109" s="1899">
        <v>0</v>
      </c>
      <c r="S109" s="1898">
        <v>4</v>
      </c>
      <c r="T109" s="1898">
        <v>4</v>
      </c>
      <c r="U109" s="916">
        <v>4.37</v>
      </c>
      <c r="V109" s="916">
        <v>0.92</v>
      </c>
      <c r="W109" s="915"/>
      <c r="X109" s="916">
        <v>0.28299999999999997</v>
      </c>
      <c r="Y109" s="916">
        <v>0.40699999999999997</v>
      </c>
      <c r="Z109" s="916">
        <v>8.74</v>
      </c>
      <c r="AA109" s="916">
        <v>2.8730000000000002</v>
      </c>
      <c r="AB109" s="916">
        <v>5.0599999999999996</v>
      </c>
      <c r="AC109" s="915"/>
      <c r="AD109" s="919">
        <v>33</v>
      </c>
      <c r="AE109" s="920">
        <v>48.07</v>
      </c>
      <c r="AF109" s="920" t="s">
        <v>21</v>
      </c>
      <c r="AG109" s="920" t="s">
        <v>21</v>
      </c>
      <c r="AH109" s="921" t="s">
        <v>21</v>
      </c>
      <c r="AI109" s="921" t="s">
        <v>21</v>
      </c>
      <c r="AJ109" s="920" t="s">
        <v>21</v>
      </c>
      <c r="AK109" s="920" t="s">
        <v>21</v>
      </c>
      <c r="AL109" s="921" t="s">
        <v>21</v>
      </c>
      <c r="AM109" s="921" t="s">
        <v>21</v>
      </c>
      <c r="AN109" s="920"/>
      <c r="AO109" s="920">
        <v>48.07</v>
      </c>
      <c r="AP109" s="919">
        <v>22</v>
      </c>
      <c r="AQ109" s="922">
        <v>24.035</v>
      </c>
      <c r="AR109" s="923" t="s">
        <v>21</v>
      </c>
      <c r="AS109" s="923" t="s">
        <v>21</v>
      </c>
      <c r="AT109" s="923" t="s">
        <v>21</v>
      </c>
      <c r="AU109" s="923" t="s">
        <v>21</v>
      </c>
      <c r="AV109" s="924" t="s">
        <v>21</v>
      </c>
      <c r="AW109" s="924" t="s">
        <v>21</v>
      </c>
      <c r="AX109" s="924" t="s">
        <v>21</v>
      </c>
      <c r="AY109" s="924" t="s">
        <v>21</v>
      </c>
      <c r="AZ109" s="1902">
        <v>24.035</v>
      </c>
      <c r="BA109" s="923"/>
      <c r="BB109" s="919" t="s">
        <v>21</v>
      </c>
      <c r="BC109" s="919">
        <v>2.2000000000000002</v>
      </c>
      <c r="BD109" s="919" t="s">
        <v>2142</v>
      </c>
      <c r="BE109" s="925" t="s">
        <v>21</v>
      </c>
      <c r="BF109" s="926" t="s">
        <v>21</v>
      </c>
      <c r="BG109" s="925">
        <v>5.5</v>
      </c>
      <c r="BH109" s="926" t="s">
        <v>21</v>
      </c>
      <c r="BI109" s="925" t="s">
        <v>21</v>
      </c>
      <c r="BJ109" s="926" t="s">
        <v>21</v>
      </c>
      <c r="BK109" s="925" t="s">
        <v>21</v>
      </c>
      <c r="BL109" s="926" t="s">
        <v>21</v>
      </c>
      <c r="BM109" s="925" t="s">
        <v>21</v>
      </c>
      <c r="BN109" s="927"/>
      <c r="BO109" s="927"/>
      <c r="BP109" s="928">
        <v>1</v>
      </c>
      <c r="BQ109" s="928" t="s">
        <v>21</v>
      </c>
      <c r="BR109" s="928" t="s">
        <v>21</v>
      </c>
      <c r="BS109" s="928" t="s">
        <v>21</v>
      </c>
      <c r="BT109" s="928" t="s">
        <v>21</v>
      </c>
      <c r="BU109" s="928" t="s">
        <v>21</v>
      </c>
      <c r="BV109" s="929">
        <v>0.55000000000004556</v>
      </c>
      <c r="BW109" s="929">
        <v>1</v>
      </c>
      <c r="BX109" s="1104">
        <v>2</v>
      </c>
      <c r="BY109" s="931">
        <v>4</v>
      </c>
      <c r="BZ109" s="930"/>
      <c r="CA109" s="1074"/>
      <c r="CB109" s="930"/>
      <c r="CC109" s="930"/>
      <c r="CD109" s="925">
        <v>15.802</v>
      </c>
      <c r="CE109" s="1130">
        <v>27.83</v>
      </c>
      <c r="CF109" s="1129" t="s">
        <v>21</v>
      </c>
      <c r="CG109" s="1130" t="s">
        <v>21</v>
      </c>
      <c r="CH109" s="1130" t="s">
        <v>21</v>
      </c>
      <c r="CI109" s="1131" t="s">
        <v>21</v>
      </c>
      <c r="CJ109" s="1129" t="s">
        <v>21</v>
      </c>
      <c r="CK109" s="1130" t="s">
        <v>21</v>
      </c>
      <c r="CL109" s="1130" t="s">
        <v>21</v>
      </c>
      <c r="CM109" s="1131" t="s">
        <v>21</v>
      </c>
      <c r="CN109" s="1130">
        <v>27.83</v>
      </c>
      <c r="CP109" s="838" t="s">
        <v>21</v>
      </c>
      <c r="CQ109" s="838" t="s">
        <v>21</v>
      </c>
      <c r="CR109" s="836"/>
    </row>
    <row r="110" spans="1:96" x14ac:dyDescent="0.25">
      <c r="A110" s="935"/>
      <c r="B110" s="1900" t="s">
        <v>2260</v>
      </c>
      <c r="C110" s="911">
        <v>600</v>
      </c>
      <c r="D110" s="911" t="s">
        <v>2116</v>
      </c>
      <c r="E110" s="912">
        <v>1195.24</v>
      </c>
      <c r="F110" s="912">
        <v>1193.3399999999999</v>
      </c>
      <c r="G110" s="932" t="s">
        <v>2261</v>
      </c>
      <c r="H110" s="912">
        <v>1194.3</v>
      </c>
      <c r="I110" s="912">
        <v>1192.4000000000001</v>
      </c>
      <c r="J110" s="914">
        <v>18.11</v>
      </c>
      <c r="K110" s="915"/>
      <c r="L110" s="916">
        <v>0.1</v>
      </c>
      <c r="M110" s="916">
        <v>0.06</v>
      </c>
      <c r="N110" s="916">
        <v>0.2</v>
      </c>
      <c r="O110" s="916">
        <v>6</v>
      </c>
      <c r="P110" s="915"/>
      <c r="Q110" s="916">
        <v>2.16</v>
      </c>
      <c r="R110" s="1899">
        <v>0</v>
      </c>
      <c r="S110" s="1898">
        <v>4</v>
      </c>
      <c r="T110" s="1898">
        <v>4</v>
      </c>
      <c r="U110" s="916">
        <v>4.32</v>
      </c>
      <c r="V110" s="916">
        <v>0.92</v>
      </c>
      <c r="W110" s="915"/>
      <c r="X110" s="916">
        <v>0.28299999999999997</v>
      </c>
      <c r="Y110" s="916">
        <v>0.40699999999999997</v>
      </c>
      <c r="Z110" s="916">
        <v>8.64</v>
      </c>
      <c r="AA110" s="916">
        <v>2.8730000000000002</v>
      </c>
      <c r="AB110" s="916">
        <v>4.96</v>
      </c>
      <c r="AC110" s="915"/>
      <c r="AD110" s="919">
        <v>108.66</v>
      </c>
      <c r="AE110" s="920">
        <v>156.47</v>
      </c>
      <c r="AF110" s="920" t="s">
        <v>21</v>
      </c>
      <c r="AG110" s="920" t="s">
        <v>21</v>
      </c>
      <c r="AH110" s="921" t="s">
        <v>21</v>
      </c>
      <c r="AI110" s="921" t="s">
        <v>21</v>
      </c>
      <c r="AJ110" s="920" t="s">
        <v>21</v>
      </c>
      <c r="AK110" s="920" t="s">
        <v>21</v>
      </c>
      <c r="AL110" s="921" t="s">
        <v>21</v>
      </c>
      <c r="AM110" s="921" t="s">
        <v>21</v>
      </c>
      <c r="AN110" s="920"/>
      <c r="AO110" s="920">
        <v>156.47</v>
      </c>
      <c r="AP110" s="919">
        <v>72.44</v>
      </c>
      <c r="AQ110" s="922">
        <v>78.235200000000006</v>
      </c>
      <c r="AR110" s="923" t="s">
        <v>21</v>
      </c>
      <c r="AS110" s="923" t="s">
        <v>21</v>
      </c>
      <c r="AT110" s="923" t="s">
        <v>21</v>
      </c>
      <c r="AU110" s="923" t="s">
        <v>21</v>
      </c>
      <c r="AV110" s="924" t="s">
        <v>21</v>
      </c>
      <c r="AW110" s="924" t="s">
        <v>21</v>
      </c>
      <c r="AX110" s="924" t="s">
        <v>21</v>
      </c>
      <c r="AY110" s="924" t="s">
        <v>21</v>
      </c>
      <c r="AZ110" s="1902">
        <v>78.235200000000006</v>
      </c>
      <c r="BA110" s="923"/>
      <c r="BB110" s="919" t="s">
        <v>21</v>
      </c>
      <c r="BC110" s="919">
        <v>7.2439999999999998</v>
      </c>
      <c r="BD110" s="919" t="s">
        <v>2142</v>
      </c>
      <c r="BE110" s="925" t="s">
        <v>21</v>
      </c>
      <c r="BF110" s="926" t="s">
        <v>21</v>
      </c>
      <c r="BG110" s="925">
        <v>18.11</v>
      </c>
      <c r="BH110" s="926" t="s">
        <v>21</v>
      </c>
      <c r="BI110" s="925" t="s">
        <v>21</v>
      </c>
      <c r="BJ110" s="926" t="s">
        <v>21</v>
      </c>
      <c r="BK110" s="925" t="s">
        <v>21</v>
      </c>
      <c r="BL110" s="926" t="s">
        <v>21</v>
      </c>
      <c r="BM110" s="925" t="s">
        <v>21</v>
      </c>
      <c r="BN110" s="927"/>
      <c r="BO110" s="927"/>
      <c r="BP110" s="928">
        <v>1</v>
      </c>
      <c r="BQ110" s="928" t="s">
        <v>21</v>
      </c>
      <c r="BR110" s="928" t="s">
        <v>21</v>
      </c>
      <c r="BS110" s="928" t="s">
        <v>21</v>
      </c>
      <c r="BT110" s="928" t="s">
        <v>21</v>
      </c>
      <c r="BU110" s="928" t="s">
        <v>21</v>
      </c>
      <c r="BV110" s="929">
        <v>0.50000000000009104</v>
      </c>
      <c r="BW110" s="929">
        <v>1</v>
      </c>
      <c r="BX110" s="1104">
        <v>2</v>
      </c>
      <c r="BY110" s="931">
        <v>4</v>
      </c>
      <c r="BZ110" s="930"/>
      <c r="CA110" s="1074"/>
      <c r="CB110" s="930"/>
      <c r="CC110" s="930"/>
      <c r="CD110" s="925">
        <v>52.03</v>
      </c>
      <c r="CE110" s="1130">
        <v>89.825999999999993</v>
      </c>
      <c r="CF110" s="1129" t="s">
        <v>21</v>
      </c>
      <c r="CG110" s="1130" t="s">
        <v>21</v>
      </c>
      <c r="CH110" s="1130" t="s">
        <v>21</v>
      </c>
      <c r="CI110" s="1131" t="s">
        <v>21</v>
      </c>
      <c r="CJ110" s="1129" t="s">
        <v>21</v>
      </c>
      <c r="CK110" s="1130" t="s">
        <v>21</v>
      </c>
      <c r="CL110" s="1130" t="s">
        <v>21</v>
      </c>
      <c r="CM110" s="1131" t="s">
        <v>21</v>
      </c>
      <c r="CN110" s="1130">
        <v>89.825999999999993</v>
      </c>
      <c r="CP110" s="838" t="s">
        <v>21</v>
      </c>
      <c r="CQ110" s="838" t="s">
        <v>21</v>
      </c>
      <c r="CR110" s="836"/>
    </row>
    <row r="111" spans="1:96" x14ac:dyDescent="0.25">
      <c r="A111" s="935"/>
      <c r="B111" s="1900" t="s">
        <v>2261</v>
      </c>
      <c r="C111" s="911">
        <v>600</v>
      </c>
      <c r="D111" s="911" t="s">
        <v>2116</v>
      </c>
      <c r="E111" s="912">
        <v>1194.3</v>
      </c>
      <c r="F111" s="912">
        <v>1192.4000000000001</v>
      </c>
      <c r="G111" s="932" t="s">
        <v>2262</v>
      </c>
      <c r="H111" s="912">
        <v>1192.05</v>
      </c>
      <c r="I111" s="912">
        <v>1190.1500000000001</v>
      </c>
      <c r="J111" s="914">
        <v>25.74</v>
      </c>
      <c r="K111" s="915"/>
      <c r="L111" s="916">
        <v>0.1</v>
      </c>
      <c r="M111" s="916">
        <v>0.06</v>
      </c>
      <c r="N111" s="916">
        <v>0.2</v>
      </c>
      <c r="O111" s="916">
        <v>6</v>
      </c>
      <c r="P111" s="915"/>
      <c r="Q111" s="916">
        <v>2.16</v>
      </c>
      <c r="R111" s="1899">
        <v>0</v>
      </c>
      <c r="S111" s="1898">
        <v>4</v>
      </c>
      <c r="T111" s="1898">
        <v>4</v>
      </c>
      <c r="U111" s="916">
        <v>4.32</v>
      </c>
      <c r="V111" s="916">
        <v>0.92</v>
      </c>
      <c r="W111" s="915"/>
      <c r="X111" s="916">
        <v>0.28299999999999997</v>
      </c>
      <c r="Y111" s="916">
        <v>0.40699999999999997</v>
      </c>
      <c r="Z111" s="916">
        <v>8.64</v>
      </c>
      <c r="AA111" s="916">
        <v>2.8730000000000002</v>
      </c>
      <c r="AB111" s="916">
        <v>4.96</v>
      </c>
      <c r="AC111" s="915"/>
      <c r="AD111" s="919">
        <v>154.44</v>
      </c>
      <c r="AE111" s="920">
        <v>222.39400000000001</v>
      </c>
      <c r="AF111" s="920" t="s">
        <v>21</v>
      </c>
      <c r="AG111" s="920" t="s">
        <v>21</v>
      </c>
      <c r="AH111" s="921" t="s">
        <v>21</v>
      </c>
      <c r="AI111" s="921" t="s">
        <v>21</v>
      </c>
      <c r="AJ111" s="920" t="s">
        <v>21</v>
      </c>
      <c r="AK111" s="920" t="s">
        <v>21</v>
      </c>
      <c r="AL111" s="921" t="s">
        <v>21</v>
      </c>
      <c r="AM111" s="921" t="s">
        <v>21</v>
      </c>
      <c r="AN111" s="920"/>
      <c r="AO111" s="920">
        <v>222.39400000000001</v>
      </c>
      <c r="AP111" s="919">
        <v>102.96</v>
      </c>
      <c r="AQ111" s="922">
        <v>111.1968</v>
      </c>
      <c r="AR111" s="923" t="s">
        <v>21</v>
      </c>
      <c r="AS111" s="923" t="s">
        <v>21</v>
      </c>
      <c r="AT111" s="923" t="s">
        <v>21</v>
      </c>
      <c r="AU111" s="923" t="s">
        <v>21</v>
      </c>
      <c r="AV111" s="924" t="s">
        <v>21</v>
      </c>
      <c r="AW111" s="924" t="s">
        <v>21</v>
      </c>
      <c r="AX111" s="924" t="s">
        <v>21</v>
      </c>
      <c r="AY111" s="924" t="s">
        <v>21</v>
      </c>
      <c r="AZ111" s="1902">
        <v>111.1968</v>
      </c>
      <c r="BA111" s="923"/>
      <c r="BB111" s="919" t="s">
        <v>21</v>
      </c>
      <c r="BC111" s="919">
        <v>10.295999999999999</v>
      </c>
      <c r="BD111" s="919" t="s">
        <v>2142</v>
      </c>
      <c r="BE111" s="925" t="s">
        <v>21</v>
      </c>
      <c r="BF111" s="926" t="s">
        <v>21</v>
      </c>
      <c r="BG111" s="925">
        <v>25.74</v>
      </c>
      <c r="BH111" s="926" t="s">
        <v>21</v>
      </c>
      <c r="BI111" s="925" t="s">
        <v>21</v>
      </c>
      <c r="BJ111" s="926" t="s">
        <v>21</v>
      </c>
      <c r="BK111" s="925" t="s">
        <v>21</v>
      </c>
      <c r="BL111" s="926" t="s">
        <v>21</v>
      </c>
      <c r="BM111" s="925" t="s">
        <v>21</v>
      </c>
      <c r="BN111" s="927"/>
      <c r="BO111" s="927"/>
      <c r="BP111" s="928">
        <v>1</v>
      </c>
      <c r="BQ111" s="928" t="s">
        <v>21</v>
      </c>
      <c r="BR111" s="928" t="s">
        <v>21</v>
      </c>
      <c r="BS111" s="928" t="s">
        <v>21</v>
      </c>
      <c r="BT111" s="928" t="s">
        <v>21</v>
      </c>
      <c r="BU111" s="928" t="s">
        <v>21</v>
      </c>
      <c r="BV111" s="929">
        <v>0.49999999999986366</v>
      </c>
      <c r="BW111" s="929">
        <v>0.5</v>
      </c>
      <c r="BX111" s="1104">
        <v>1</v>
      </c>
      <c r="BY111" s="931">
        <v>3</v>
      </c>
      <c r="BZ111" s="930"/>
      <c r="CA111" s="1074"/>
      <c r="CB111" s="930"/>
      <c r="CC111" s="930"/>
      <c r="CD111" s="925">
        <v>73.950999999999993</v>
      </c>
      <c r="CE111" s="1130">
        <v>127.67</v>
      </c>
      <c r="CF111" s="1129" t="s">
        <v>21</v>
      </c>
      <c r="CG111" s="1130" t="s">
        <v>21</v>
      </c>
      <c r="CH111" s="1130" t="s">
        <v>21</v>
      </c>
      <c r="CI111" s="1131" t="s">
        <v>21</v>
      </c>
      <c r="CJ111" s="1129" t="s">
        <v>21</v>
      </c>
      <c r="CK111" s="1130" t="s">
        <v>21</v>
      </c>
      <c r="CL111" s="1130" t="s">
        <v>21</v>
      </c>
      <c r="CM111" s="1131" t="s">
        <v>21</v>
      </c>
      <c r="CN111" s="1130">
        <v>127.67</v>
      </c>
      <c r="CP111" s="838" t="s">
        <v>21</v>
      </c>
      <c r="CQ111" s="838" t="s">
        <v>21</v>
      </c>
      <c r="CR111" s="836"/>
    </row>
    <row r="112" spans="1:96" x14ac:dyDescent="0.25">
      <c r="A112" s="935"/>
      <c r="B112" s="1900" t="s">
        <v>2262</v>
      </c>
      <c r="C112" s="911">
        <v>600</v>
      </c>
      <c r="D112" s="911" t="s">
        <v>2116</v>
      </c>
      <c r="E112" s="912">
        <v>1192.05</v>
      </c>
      <c r="F112" s="912">
        <v>1189.2</v>
      </c>
      <c r="G112" s="910" t="s">
        <v>2244</v>
      </c>
      <c r="H112" s="912">
        <v>1192.05</v>
      </c>
      <c r="I112" s="912">
        <v>1189.98</v>
      </c>
      <c r="J112" s="914">
        <v>8.7100000000000009</v>
      </c>
      <c r="K112" s="915"/>
      <c r="L112" s="916">
        <v>0.1</v>
      </c>
      <c r="M112" s="916">
        <v>0.06</v>
      </c>
      <c r="N112" s="916">
        <v>0.2</v>
      </c>
      <c r="O112" s="916">
        <v>6</v>
      </c>
      <c r="P112" s="915"/>
      <c r="Q112" s="916">
        <v>2.72</v>
      </c>
      <c r="R112" s="1899">
        <v>0</v>
      </c>
      <c r="S112" s="1898">
        <v>4</v>
      </c>
      <c r="T112" s="1898">
        <v>4</v>
      </c>
      <c r="U112" s="916">
        <v>5.44</v>
      </c>
      <c r="V112" s="916">
        <v>0.92</v>
      </c>
      <c r="W112" s="915"/>
      <c r="X112" s="916">
        <v>0.28299999999999997</v>
      </c>
      <c r="Y112" s="916">
        <v>0.40699999999999997</v>
      </c>
      <c r="Z112" s="916">
        <v>10.88</v>
      </c>
      <c r="AA112" s="916">
        <v>2.8730000000000002</v>
      </c>
      <c r="AB112" s="916">
        <v>7.2</v>
      </c>
      <c r="AC112" s="915"/>
      <c r="AD112" s="919">
        <v>52.26</v>
      </c>
      <c r="AE112" s="920">
        <v>94.765000000000001</v>
      </c>
      <c r="AF112" s="920" t="s">
        <v>21</v>
      </c>
      <c r="AG112" s="920" t="s">
        <v>21</v>
      </c>
      <c r="AH112" s="921" t="s">
        <v>21</v>
      </c>
      <c r="AI112" s="921" t="s">
        <v>21</v>
      </c>
      <c r="AJ112" s="920" t="s">
        <v>21</v>
      </c>
      <c r="AK112" s="920" t="s">
        <v>21</v>
      </c>
      <c r="AL112" s="921" t="s">
        <v>21</v>
      </c>
      <c r="AM112" s="921" t="s">
        <v>21</v>
      </c>
      <c r="AN112" s="920"/>
      <c r="AO112" s="920">
        <v>94.765000000000001</v>
      </c>
      <c r="AP112" s="919">
        <v>34.840000000000003</v>
      </c>
      <c r="AQ112" s="922">
        <v>47.382400000000011</v>
      </c>
      <c r="AR112" s="923" t="s">
        <v>21</v>
      </c>
      <c r="AS112" s="923" t="s">
        <v>21</v>
      </c>
      <c r="AT112" s="923" t="s">
        <v>21</v>
      </c>
      <c r="AU112" s="923" t="s">
        <v>21</v>
      </c>
      <c r="AV112" s="924" t="s">
        <v>21</v>
      </c>
      <c r="AW112" s="924" t="s">
        <v>21</v>
      </c>
      <c r="AX112" s="924" t="s">
        <v>21</v>
      </c>
      <c r="AY112" s="924" t="s">
        <v>21</v>
      </c>
      <c r="AZ112" s="1902">
        <v>47.382400000000011</v>
      </c>
      <c r="BA112" s="923"/>
      <c r="BB112" s="919" t="s">
        <v>21</v>
      </c>
      <c r="BC112" s="919">
        <v>3.484</v>
      </c>
      <c r="BD112" s="919" t="s">
        <v>2142</v>
      </c>
      <c r="BE112" s="925" t="s">
        <v>21</v>
      </c>
      <c r="BF112" s="926" t="s">
        <v>21</v>
      </c>
      <c r="BG112" s="925">
        <v>8.7100000000000009</v>
      </c>
      <c r="BH112" s="926" t="s">
        <v>21</v>
      </c>
      <c r="BI112" s="925" t="s">
        <v>21</v>
      </c>
      <c r="BJ112" s="926" t="s">
        <v>21</v>
      </c>
      <c r="BK112" s="925" t="s">
        <v>21</v>
      </c>
      <c r="BL112" s="926" t="s">
        <v>21</v>
      </c>
      <c r="BM112" s="925" t="s">
        <v>21</v>
      </c>
      <c r="BN112" s="927"/>
      <c r="BO112" s="927"/>
      <c r="BP112" s="928">
        <v>1</v>
      </c>
      <c r="BQ112" s="928" t="s">
        <v>21</v>
      </c>
      <c r="BR112" s="928" t="s">
        <v>21</v>
      </c>
      <c r="BS112" s="928" t="s">
        <v>21</v>
      </c>
      <c r="BT112" s="928" t="s">
        <v>21</v>
      </c>
      <c r="BU112" s="928" t="s">
        <v>21</v>
      </c>
      <c r="BV112" s="929">
        <v>1.4499999999999091</v>
      </c>
      <c r="BW112" s="929">
        <v>1.5</v>
      </c>
      <c r="BX112" s="1104">
        <v>3</v>
      </c>
      <c r="BY112" s="931">
        <v>5</v>
      </c>
      <c r="BZ112" s="930"/>
      <c r="CA112" s="1074">
        <v>1</v>
      </c>
      <c r="CB112" s="930"/>
      <c r="CC112" s="930"/>
      <c r="CD112" s="925">
        <v>25.024000000000001</v>
      </c>
      <c r="CE112" s="1130">
        <v>62.712000000000003</v>
      </c>
      <c r="CF112" s="1129" t="s">
        <v>21</v>
      </c>
      <c r="CG112" s="1130" t="s">
        <v>21</v>
      </c>
      <c r="CH112" s="1130" t="s">
        <v>21</v>
      </c>
      <c r="CI112" s="1131" t="s">
        <v>21</v>
      </c>
      <c r="CJ112" s="1129" t="s">
        <v>21</v>
      </c>
      <c r="CK112" s="1130" t="s">
        <v>21</v>
      </c>
      <c r="CL112" s="1130" t="s">
        <v>21</v>
      </c>
      <c r="CM112" s="1131" t="s">
        <v>21</v>
      </c>
      <c r="CN112" s="1130">
        <v>62.712000000000003</v>
      </c>
      <c r="CP112" s="838" t="s">
        <v>21</v>
      </c>
      <c r="CQ112" s="838" t="s">
        <v>21</v>
      </c>
      <c r="CR112" s="836"/>
    </row>
    <row r="113" spans="1:96" x14ac:dyDescent="0.25">
      <c r="A113" s="935"/>
      <c r="B113" s="932"/>
      <c r="C113" s="911"/>
      <c r="D113" s="911"/>
      <c r="E113" s="912"/>
      <c r="F113" s="912"/>
      <c r="G113" s="932"/>
      <c r="H113" s="912"/>
      <c r="I113" s="912"/>
      <c r="J113" s="914"/>
      <c r="K113" s="915"/>
      <c r="L113" s="916" t="s">
        <v>21</v>
      </c>
      <c r="M113" s="916" t="s">
        <v>21</v>
      </c>
      <c r="N113" s="916" t="s">
        <v>21</v>
      </c>
      <c r="O113" s="916" t="s">
        <v>21</v>
      </c>
      <c r="P113" s="915"/>
      <c r="Q113" s="916" t="s">
        <v>21</v>
      </c>
      <c r="R113" s="917" t="s">
        <v>21</v>
      </c>
      <c r="S113" s="918" t="s">
        <v>21</v>
      </c>
      <c r="T113" s="918" t="s">
        <v>21</v>
      </c>
      <c r="U113" s="916" t="s">
        <v>21</v>
      </c>
      <c r="V113" s="916" t="s">
        <v>21</v>
      </c>
      <c r="W113" s="915"/>
      <c r="X113" s="916" t="s">
        <v>21</v>
      </c>
      <c r="Y113" s="916" t="s">
        <v>21</v>
      </c>
      <c r="Z113" s="916" t="s">
        <v>21</v>
      </c>
      <c r="AA113" s="916" t="s">
        <v>21</v>
      </c>
      <c r="AB113" s="916" t="s">
        <v>21</v>
      </c>
      <c r="AC113" s="915"/>
      <c r="AD113" s="919" t="s">
        <v>21</v>
      </c>
      <c r="AE113" s="920" t="s">
        <v>21</v>
      </c>
      <c r="AF113" s="920" t="s">
        <v>21</v>
      </c>
      <c r="AG113" s="920" t="s">
        <v>21</v>
      </c>
      <c r="AH113" s="921" t="s">
        <v>21</v>
      </c>
      <c r="AI113" s="921" t="s">
        <v>21</v>
      </c>
      <c r="AJ113" s="920" t="s">
        <v>21</v>
      </c>
      <c r="AK113" s="920" t="s">
        <v>21</v>
      </c>
      <c r="AL113" s="921" t="s">
        <v>21</v>
      </c>
      <c r="AM113" s="921" t="s">
        <v>21</v>
      </c>
      <c r="AN113" s="920"/>
      <c r="AO113" s="920" t="s">
        <v>21</v>
      </c>
      <c r="AP113" s="919" t="s">
        <v>21</v>
      </c>
      <c r="AQ113" s="922" t="s">
        <v>21</v>
      </c>
      <c r="AR113" s="923" t="s">
        <v>21</v>
      </c>
      <c r="AS113" s="923" t="s">
        <v>21</v>
      </c>
      <c r="AT113" s="923" t="s">
        <v>21</v>
      </c>
      <c r="AU113" s="923" t="s">
        <v>21</v>
      </c>
      <c r="AV113" s="924" t="s">
        <v>21</v>
      </c>
      <c r="AW113" s="924" t="s">
        <v>21</v>
      </c>
      <c r="AX113" s="924" t="s">
        <v>21</v>
      </c>
      <c r="AY113" s="924" t="s">
        <v>21</v>
      </c>
      <c r="AZ113" s="923" t="s">
        <v>21</v>
      </c>
      <c r="BA113" s="923"/>
      <c r="BB113" s="919" t="s">
        <v>21</v>
      </c>
      <c r="BC113" s="919" t="s">
        <v>21</v>
      </c>
      <c r="BD113" s="919" t="s">
        <v>21</v>
      </c>
      <c r="BE113" s="925" t="s">
        <v>21</v>
      </c>
      <c r="BF113" s="926" t="s">
        <v>21</v>
      </c>
      <c r="BG113" s="925" t="s">
        <v>21</v>
      </c>
      <c r="BH113" s="926" t="s">
        <v>21</v>
      </c>
      <c r="BI113" s="925" t="s">
        <v>21</v>
      </c>
      <c r="BJ113" s="926" t="s">
        <v>21</v>
      </c>
      <c r="BK113" s="925" t="s">
        <v>21</v>
      </c>
      <c r="BL113" s="926" t="s">
        <v>21</v>
      </c>
      <c r="BM113" s="925" t="s">
        <v>21</v>
      </c>
      <c r="BN113" s="927"/>
      <c r="BO113" s="927"/>
      <c r="BP113" s="928" t="s">
        <v>21</v>
      </c>
      <c r="BQ113" s="928" t="s">
        <v>21</v>
      </c>
      <c r="BR113" s="928" t="s">
        <v>21</v>
      </c>
      <c r="BS113" s="928" t="s">
        <v>21</v>
      </c>
      <c r="BT113" s="928" t="s">
        <v>21</v>
      </c>
      <c r="BU113" s="928" t="s">
        <v>21</v>
      </c>
      <c r="BV113" s="929" t="s">
        <v>21</v>
      </c>
      <c r="BW113" s="929" t="s">
        <v>21</v>
      </c>
      <c r="BX113" s="1104" t="s">
        <v>21</v>
      </c>
      <c r="BY113" s="931" t="s">
        <v>21</v>
      </c>
      <c r="BZ113" s="930"/>
      <c r="CA113" s="1074"/>
      <c r="CB113" s="930"/>
      <c r="CC113" s="930"/>
      <c r="CD113" s="925" t="s">
        <v>21</v>
      </c>
      <c r="CE113" s="1130" t="s">
        <v>21</v>
      </c>
      <c r="CF113" s="1129" t="s">
        <v>21</v>
      </c>
      <c r="CG113" s="1130" t="s">
        <v>21</v>
      </c>
      <c r="CH113" s="1130" t="s">
        <v>21</v>
      </c>
      <c r="CI113" s="1131" t="s">
        <v>21</v>
      </c>
      <c r="CJ113" s="1129" t="s">
        <v>21</v>
      </c>
      <c r="CK113" s="1130" t="s">
        <v>21</v>
      </c>
      <c r="CL113" s="1130" t="s">
        <v>21</v>
      </c>
      <c r="CM113" s="1131" t="s">
        <v>21</v>
      </c>
      <c r="CN113" s="1130" t="s">
        <v>21</v>
      </c>
      <c r="CP113" s="838" t="s">
        <v>21</v>
      </c>
      <c r="CQ113" s="838" t="s">
        <v>21</v>
      </c>
      <c r="CR113" s="836"/>
    </row>
    <row r="114" spans="1:96" x14ac:dyDescent="0.25">
      <c r="A114" s="935">
        <v>2</v>
      </c>
      <c r="B114" s="1900" t="s">
        <v>2230</v>
      </c>
      <c r="C114" s="911">
        <v>600</v>
      </c>
      <c r="D114" s="911" t="s">
        <v>2116</v>
      </c>
      <c r="E114" s="912">
        <v>1201.8800000000001</v>
      </c>
      <c r="F114" s="912">
        <v>1199.98</v>
      </c>
      <c r="G114" s="932" t="s">
        <v>2273</v>
      </c>
      <c r="H114" s="912">
        <v>1200.72</v>
      </c>
      <c r="I114" s="912">
        <v>1198.82</v>
      </c>
      <c r="J114" s="914">
        <v>25.17</v>
      </c>
      <c r="K114" s="915"/>
      <c r="L114" s="916">
        <v>0.1</v>
      </c>
      <c r="M114" s="916">
        <v>0.06</v>
      </c>
      <c r="N114" s="916">
        <v>0.2</v>
      </c>
      <c r="O114" s="916">
        <v>6.4</v>
      </c>
      <c r="P114" s="915"/>
      <c r="Q114" s="916">
        <v>2.16</v>
      </c>
      <c r="R114" s="1899">
        <v>0</v>
      </c>
      <c r="S114" s="1898">
        <v>4.4000000000000004</v>
      </c>
      <c r="T114" s="1898">
        <v>4.4000000000000004</v>
      </c>
      <c r="U114" s="916">
        <v>4.32</v>
      </c>
      <c r="V114" s="916">
        <v>0.92</v>
      </c>
      <c r="W114" s="915"/>
      <c r="X114" s="916">
        <v>0.28299999999999997</v>
      </c>
      <c r="Y114" s="916">
        <v>0.40699999999999997</v>
      </c>
      <c r="Z114" s="916">
        <v>9.5039999999999996</v>
      </c>
      <c r="AA114" s="916">
        <v>3.2010000000000001</v>
      </c>
      <c r="AB114" s="916">
        <v>5.4560000000000004</v>
      </c>
      <c r="AC114" s="915"/>
      <c r="AD114" s="919">
        <v>161.08799999999999</v>
      </c>
      <c r="AE114" s="920">
        <v>239.21600000000001</v>
      </c>
      <c r="AF114" s="920" t="s">
        <v>21</v>
      </c>
      <c r="AG114" s="920" t="s">
        <v>21</v>
      </c>
      <c r="AH114" s="921" t="s">
        <v>21</v>
      </c>
      <c r="AI114" s="921" t="s">
        <v>21</v>
      </c>
      <c r="AJ114" s="920" t="s">
        <v>21</v>
      </c>
      <c r="AK114" s="920" t="s">
        <v>21</v>
      </c>
      <c r="AL114" s="921" t="s">
        <v>21</v>
      </c>
      <c r="AM114" s="921" t="s">
        <v>21</v>
      </c>
      <c r="AN114" s="920"/>
      <c r="AO114" s="920">
        <v>239.21600000000001</v>
      </c>
      <c r="AP114" s="919">
        <v>110.748</v>
      </c>
      <c r="AQ114" s="922">
        <v>108.73440000000001</v>
      </c>
      <c r="AR114" s="923" t="s">
        <v>21</v>
      </c>
      <c r="AS114" s="923" t="s">
        <v>21</v>
      </c>
      <c r="AT114" s="923" t="s">
        <v>21</v>
      </c>
      <c r="AU114" s="923" t="s">
        <v>21</v>
      </c>
      <c r="AV114" s="924" t="s">
        <v>21</v>
      </c>
      <c r="AW114" s="924" t="s">
        <v>21</v>
      </c>
      <c r="AX114" s="924" t="s">
        <v>21</v>
      </c>
      <c r="AY114" s="924" t="s">
        <v>21</v>
      </c>
      <c r="AZ114" s="1902">
        <v>108.73440000000001</v>
      </c>
      <c r="BA114" s="923"/>
      <c r="BB114" s="919" t="s">
        <v>21</v>
      </c>
      <c r="BC114" s="919">
        <v>11.074999999999999</v>
      </c>
      <c r="BD114" s="919" t="s">
        <v>2142</v>
      </c>
      <c r="BE114" s="925" t="s">
        <v>21</v>
      </c>
      <c r="BF114" s="926" t="s">
        <v>21</v>
      </c>
      <c r="BG114" s="925">
        <v>25.17</v>
      </c>
      <c r="BH114" s="926" t="s">
        <v>21</v>
      </c>
      <c r="BI114" s="925" t="s">
        <v>21</v>
      </c>
      <c r="BJ114" s="926" t="s">
        <v>21</v>
      </c>
      <c r="BK114" s="925" t="s">
        <v>21</v>
      </c>
      <c r="BL114" s="926" t="s">
        <v>21</v>
      </c>
      <c r="BM114" s="925" t="s">
        <v>21</v>
      </c>
      <c r="BN114" s="927"/>
      <c r="BO114" s="927"/>
      <c r="BP114" s="928">
        <v>1</v>
      </c>
      <c r="BQ114" s="928" t="s">
        <v>21</v>
      </c>
      <c r="BR114" s="928" t="s">
        <v>21</v>
      </c>
      <c r="BS114" s="928" t="s">
        <v>21</v>
      </c>
      <c r="BT114" s="928" t="s">
        <v>21</v>
      </c>
      <c r="BU114" s="928" t="s">
        <v>21</v>
      </c>
      <c r="BV114" s="929">
        <v>0.50000000000009104</v>
      </c>
      <c r="BW114" s="929">
        <v>1</v>
      </c>
      <c r="BX114" s="1104">
        <v>2</v>
      </c>
      <c r="BY114" s="931">
        <v>4</v>
      </c>
      <c r="BZ114" s="930"/>
      <c r="CA114" s="1074">
        <v>1</v>
      </c>
      <c r="CB114" s="930"/>
      <c r="CC114" s="930"/>
      <c r="CD114" s="925">
        <v>80.569000000000003</v>
      </c>
      <c r="CE114" s="1130">
        <v>137.328</v>
      </c>
      <c r="CF114" s="1129" t="s">
        <v>21</v>
      </c>
      <c r="CG114" s="1130" t="s">
        <v>21</v>
      </c>
      <c r="CH114" s="1130" t="s">
        <v>21</v>
      </c>
      <c r="CI114" s="1131" t="s">
        <v>21</v>
      </c>
      <c r="CJ114" s="1129" t="s">
        <v>21</v>
      </c>
      <c r="CK114" s="1130" t="s">
        <v>21</v>
      </c>
      <c r="CL114" s="1130" t="s">
        <v>21</v>
      </c>
      <c r="CM114" s="1131" t="s">
        <v>21</v>
      </c>
      <c r="CN114" s="1130">
        <v>137.328</v>
      </c>
      <c r="CP114" s="838" t="s">
        <v>21</v>
      </c>
      <c r="CQ114" s="838" t="s">
        <v>21</v>
      </c>
      <c r="CR114" s="836"/>
    </row>
    <row r="115" spans="1:96" x14ac:dyDescent="0.25">
      <c r="A115" s="935" t="s">
        <v>3063</v>
      </c>
      <c r="B115" s="932" t="s">
        <v>2273</v>
      </c>
      <c r="C115" s="911">
        <v>600</v>
      </c>
      <c r="D115" s="911" t="s">
        <v>2116</v>
      </c>
      <c r="E115" s="912">
        <v>1200.72</v>
      </c>
      <c r="F115" s="912">
        <v>1198.77</v>
      </c>
      <c r="G115" s="932" t="s">
        <v>3068</v>
      </c>
      <c r="H115" s="912">
        <v>1200.08</v>
      </c>
      <c r="I115" s="912">
        <v>1198.18</v>
      </c>
      <c r="J115" s="914">
        <v>16.28</v>
      </c>
      <c r="K115" s="915"/>
      <c r="L115" s="916">
        <v>0.1</v>
      </c>
      <c r="M115" s="916">
        <v>0.06</v>
      </c>
      <c r="N115" s="916">
        <v>0.2</v>
      </c>
      <c r="O115" s="916">
        <v>4.8570000000000002</v>
      </c>
      <c r="P115" s="915"/>
      <c r="Q115" s="916">
        <v>2.1850000000000001</v>
      </c>
      <c r="R115" s="917">
        <v>0.33333333333333331</v>
      </c>
      <c r="S115" s="918">
        <v>1.4</v>
      </c>
      <c r="T115" s="918">
        <v>2.8570000000000002</v>
      </c>
      <c r="U115" s="916">
        <v>4.6059999999999999</v>
      </c>
      <c r="V115" s="916">
        <v>0.92</v>
      </c>
      <c r="W115" s="915"/>
      <c r="X115" s="916">
        <v>0.28299999999999997</v>
      </c>
      <c r="Y115" s="916">
        <v>0.40699999999999997</v>
      </c>
      <c r="Z115" s="916">
        <v>4.6509999999999998</v>
      </c>
      <c r="AA115" s="916">
        <v>1.0229999999999999</v>
      </c>
      <c r="AB115" s="916">
        <v>3.081</v>
      </c>
      <c r="AC115" s="915"/>
      <c r="AD115" s="919">
        <v>79.072000000000003</v>
      </c>
      <c r="AE115" s="920">
        <v>75.718000000000004</v>
      </c>
      <c r="AF115" s="920" t="s">
        <v>21</v>
      </c>
      <c r="AG115" s="920" t="s">
        <v>21</v>
      </c>
      <c r="AH115" s="921">
        <v>75.718000000000004</v>
      </c>
      <c r="AI115" s="921" t="s">
        <v>21</v>
      </c>
      <c r="AJ115" s="920" t="s">
        <v>21</v>
      </c>
      <c r="AK115" s="920" t="s">
        <v>21</v>
      </c>
      <c r="AL115" s="921" t="s">
        <v>21</v>
      </c>
      <c r="AM115" s="921" t="s">
        <v>21</v>
      </c>
      <c r="AN115" s="920"/>
      <c r="AO115" s="920" t="s">
        <v>21</v>
      </c>
      <c r="AP115" s="919">
        <v>22.792000000000002</v>
      </c>
      <c r="AQ115" s="922">
        <v>74.985680000000002</v>
      </c>
      <c r="AR115" s="923" t="s">
        <v>21</v>
      </c>
      <c r="AS115" s="923">
        <v>74.985680000000002</v>
      </c>
      <c r="AT115" s="923" t="s">
        <v>21</v>
      </c>
      <c r="AU115" s="923" t="s">
        <v>21</v>
      </c>
      <c r="AV115" s="924" t="s">
        <v>21</v>
      </c>
      <c r="AW115" s="924" t="s">
        <v>21</v>
      </c>
      <c r="AX115" s="924" t="s">
        <v>21</v>
      </c>
      <c r="AY115" s="924" t="s">
        <v>21</v>
      </c>
      <c r="AZ115" s="923" t="s">
        <v>21</v>
      </c>
      <c r="BA115" s="923"/>
      <c r="BB115" s="919">
        <v>2.2789999999999999</v>
      </c>
      <c r="BC115" s="919" t="s">
        <v>21</v>
      </c>
      <c r="BD115" s="919" t="s">
        <v>2142</v>
      </c>
      <c r="BE115" s="925" t="s">
        <v>21</v>
      </c>
      <c r="BF115" s="926" t="s">
        <v>21</v>
      </c>
      <c r="BG115" s="925">
        <v>16.28</v>
      </c>
      <c r="BH115" s="926" t="s">
        <v>21</v>
      </c>
      <c r="BI115" s="925" t="s">
        <v>21</v>
      </c>
      <c r="BJ115" s="926" t="s">
        <v>21</v>
      </c>
      <c r="BK115" s="925" t="s">
        <v>21</v>
      </c>
      <c r="BL115" s="926" t="s">
        <v>21</v>
      </c>
      <c r="BM115" s="925" t="s">
        <v>21</v>
      </c>
      <c r="BN115" s="927"/>
      <c r="BO115" s="927"/>
      <c r="BP115" s="928">
        <v>1</v>
      </c>
      <c r="BQ115" s="928" t="s">
        <v>21</v>
      </c>
      <c r="BR115" s="928" t="s">
        <v>21</v>
      </c>
      <c r="BS115" s="928" t="s">
        <v>21</v>
      </c>
      <c r="BT115" s="928" t="s">
        <v>21</v>
      </c>
      <c r="BU115" s="928" t="s">
        <v>21</v>
      </c>
      <c r="BV115" s="929">
        <v>0.55000000000004556</v>
      </c>
      <c r="BW115" s="929">
        <v>1</v>
      </c>
      <c r="BX115" s="1104">
        <v>2</v>
      </c>
      <c r="BY115" s="931">
        <v>4</v>
      </c>
      <c r="BZ115" s="930"/>
      <c r="CA115" s="1074"/>
      <c r="CB115" s="930"/>
      <c r="CC115" s="930"/>
      <c r="CD115" s="925">
        <v>16.654</v>
      </c>
      <c r="CE115" s="1130">
        <v>50.158999999999999</v>
      </c>
      <c r="CF115" s="1129" t="s">
        <v>21</v>
      </c>
      <c r="CG115" s="1130" t="s">
        <v>21</v>
      </c>
      <c r="CH115" s="1130" t="s">
        <v>21</v>
      </c>
      <c r="CI115" s="1131" t="s">
        <v>21</v>
      </c>
      <c r="CJ115" s="1129" t="s">
        <v>21</v>
      </c>
      <c r="CK115" s="1130">
        <v>50.158999999999999</v>
      </c>
      <c r="CL115" s="1130" t="s">
        <v>21</v>
      </c>
      <c r="CM115" s="1131" t="s">
        <v>21</v>
      </c>
      <c r="CN115" s="1130" t="s">
        <v>21</v>
      </c>
      <c r="CP115" s="838" t="s">
        <v>21</v>
      </c>
      <c r="CQ115" s="838" t="s">
        <v>21</v>
      </c>
      <c r="CR115" s="836"/>
    </row>
    <row r="116" spans="1:96" x14ac:dyDescent="0.25">
      <c r="A116" s="935" t="s">
        <v>3065</v>
      </c>
      <c r="B116" s="932" t="s">
        <v>3068</v>
      </c>
      <c r="C116" s="911">
        <v>600</v>
      </c>
      <c r="D116" s="911" t="s">
        <v>2116</v>
      </c>
      <c r="E116" s="912">
        <v>1200.08</v>
      </c>
      <c r="F116" s="912">
        <v>1198.08</v>
      </c>
      <c r="G116" s="932" t="s">
        <v>3069</v>
      </c>
      <c r="H116" s="912">
        <v>1199.48</v>
      </c>
      <c r="I116" s="912">
        <v>1197.58</v>
      </c>
      <c r="J116" s="914">
        <v>17.399999999999999</v>
      </c>
      <c r="K116" s="915"/>
      <c r="L116" s="916">
        <v>0.1</v>
      </c>
      <c r="M116" s="916">
        <v>0.06</v>
      </c>
      <c r="N116" s="916">
        <v>0.2</v>
      </c>
      <c r="O116" s="916">
        <v>4.8730000000000002</v>
      </c>
      <c r="P116" s="915"/>
      <c r="Q116" s="916">
        <v>2.21</v>
      </c>
      <c r="R116" s="917">
        <v>0.33333333333333331</v>
      </c>
      <c r="S116" s="918">
        <v>1.4</v>
      </c>
      <c r="T116" s="918">
        <v>2.8730000000000002</v>
      </c>
      <c r="U116" s="916">
        <v>4.6589999999999998</v>
      </c>
      <c r="V116" s="916">
        <v>0.92</v>
      </c>
      <c r="W116" s="915"/>
      <c r="X116" s="916">
        <v>0.28299999999999997</v>
      </c>
      <c r="Y116" s="916">
        <v>0.40699999999999997</v>
      </c>
      <c r="Z116" s="916">
        <v>4.7220000000000004</v>
      </c>
      <c r="AA116" s="916">
        <v>1.0229999999999999</v>
      </c>
      <c r="AB116" s="916">
        <v>3.1520000000000001</v>
      </c>
      <c r="AC116" s="915"/>
      <c r="AD116" s="919">
        <v>84.79</v>
      </c>
      <c r="AE116" s="920">
        <v>82.162999999999997</v>
      </c>
      <c r="AF116" s="920" t="s">
        <v>21</v>
      </c>
      <c r="AG116" s="920" t="s">
        <v>21</v>
      </c>
      <c r="AH116" s="921">
        <v>82.162999999999997</v>
      </c>
      <c r="AI116" s="921" t="s">
        <v>21</v>
      </c>
      <c r="AJ116" s="920" t="s">
        <v>21</v>
      </c>
      <c r="AK116" s="920" t="s">
        <v>21</v>
      </c>
      <c r="AL116" s="921" t="s">
        <v>21</v>
      </c>
      <c r="AM116" s="921" t="s">
        <v>21</v>
      </c>
      <c r="AN116" s="920"/>
      <c r="AO116" s="920" t="s">
        <v>21</v>
      </c>
      <c r="AP116" s="919">
        <v>24.36</v>
      </c>
      <c r="AQ116" s="922">
        <v>81.066599999999994</v>
      </c>
      <c r="AR116" s="923" t="s">
        <v>21</v>
      </c>
      <c r="AS116" s="923">
        <v>81.066599999999994</v>
      </c>
      <c r="AT116" s="923" t="s">
        <v>21</v>
      </c>
      <c r="AU116" s="923" t="s">
        <v>21</v>
      </c>
      <c r="AV116" s="924" t="s">
        <v>21</v>
      </c>
      <c r="AW116" s="924" t="s">
        <v>21</v>
      </c>
      <c r="AX116" s="924" t="s">
        <v>21</v>
      </c>
      <c r="AY116" s="924" t="s">
        <v>21</v>
      </c>
      <c r="AZ116" s="923" t="s">
        <v>21</v>
      </c>
      <c r="BA116" s="923"/>
      <c r="BB116" s="919">
        <v>2.4359999999999999</v>
      </c>
      <c r="BC116" s="919" t="s">
        <v>21</v>
      </c>
      <c r="BD116" s="919" t="s">
        <v>2142</v>
      </c>
      <c r="BE116" s="925" t="s">
        <v>21</v>
      </c>
      <c r="BF116" s="926" t="s">
        <v>21</v>
      </c>
      <c r="BG116" s="925">
        <v>17.399999999999999</v>
      </c>
      <c r="BH116" s="926" t="s">
        <v>21</v>
      </c>
      <c r="BI116" s="925" t="s">
        <v>21</v>
      </c>
      <c r="BJ116" s="926" t="s">
        <v>21</v>
      </c>
      <c r="BK116" s="925" t="s">
        <v>21</v>
      </c>
      <c r="BL116" s="926" t="s">
        <v>21</v>
      </c>
      <c r="BM116" s="925" t="s">
        <v>21</v>
      </c>
      <c r="BN116" s="927"/>
      <c r="BO116" s="927"/>
      <c r="BP116" s="928">
        <v>1</v>
      </c>
      <c r="BQ116" s="928" t="s">
        <v>21</v>
      </c>
      <c r="BR116" s="928" t="s">
        <v>21</v>
      </c>
      <c r="BS116" s="928" t="s">
        <v>21</v>
      </c>
      <c r="BT116" s="928" t="s">
        <v>21</v>
      </c>
      <c r="BU116" s="928" t="s">
        <v>21</v>
      </c>
      <c r="BV116" s="929">
        <v>0.60000000000000009</v>
      </c>
      <c r="BW116" s="929">
        <v>1</v>
      </c>
      <c r="BX116" s="1104">
        <v>2</v>
      </c>
      <c r="BY116" s="931">
        <v>4</v>
      </c>
      <c r="BZ116" s="930">
        <v>1</v>
      </c>
      <c r="CA116" s="1074"/>
      <c r="CB116" s="930"/>
      <c r="CC116" s="930"/>
      <c r="CD116" s="925">
        <v>17.8</v>
      </c>
      <c r="CE116" s="1130">
        <v>54.844999999999999</v>
      </c>
      <c r="CF116" s="1129" t="s">
        <v>21</v>
      </c>
      <c r="CG116" s="1130" t="s">
        <v>21</v>
      </c>
      <c r="CH116" s="1130" t="s">
        <v>21</v>
      </c>
      <c r="CI116" s="1131" t="s">
        <v>21</v>
      </c>
      <c r="CJ116" s="1129" t="s">
        <v>21</v>
      </c>
      <c r="CK116" s="1130">
        <v>54.844999999999999</v>
      </c>
      <c r="CL116" s="1130" t="s">
        <v>21</v>
      </c>
      <c r="CM116" s="1131" t="s">
        <v>21</v>
      </c>
      <c r="CN116" s="1130" t="s">
        <v>21</v>
      </c>
      <c r="CP116" s="838" t="s">
        <v>21</v>
      </c>
      <c r="CQ116" s="838" t="s">
        <v>21</v>
      </c>
      <c r="CR116" s="836"/>
    </row>
    <row r="117" spans="1:96" x14ac:dyDescent="0.25">
      <c r="A117" s="935" t="s">
        <v>3064</v>
      </c>
      <c r="B117" s="932" t="s">
        <v>3069</v>
      </c>
      <c r="C117" s="911">
        <v>600</v>
      </c>
      <c r="D117" s="911" t="s">
        <v>2116</v>
      </c>
      <c r="E117" s="912">
        <v>1199.48</v>
      </c>
      <c r="F117" s="912">
        <v>1197.53</v>
      </c>
      <c r="G117" s="932" t="s">
        <v>3070</v>
      </c>
      <c r="H117" s="912">
        <v>1197.96</v>
      </c>
      <c r="I117" s="912">
        <v>1196.06</v>
      </c>
      <c r="J117" s="914">
        <v>19.41</v>
      </c>
      <c r="K117" s="915"/>
      <c r="L117" s="916">
        <v>0.1</v>
      </c>
      <c r="M117" s="916">
        <v>0.06</v>
      </c>
      <c r="N117" s="916">
        <v>0.2</v>
      </c>
      <c r="O117" s="916">
        <v>4.8570000000000002</v>
      </c>
      <c r="P117" s="915"/>
      <c r="Q117" s="916">
        <v>2.1850000000000001</v>
      </c>
      <c r="R117" s="917">
        <v>0.33333333333333331</v>
      </c>
      <c r="S117" s="918">
        <v>1.4</v>
      </c>
      <c r="T117" s="918">
        <v>2.8570000000000002</v>
      </c>
      <c r="U117" s="916">
        <v>4.6059999999999999</v>
      </c>
      <c r="V117" s="916">
        <v>0.92</v>
      </c>
      <c r="W117" s="915"/>
      <c r="X117" s="916">
        <v>0.28299999999999997</v>
      </c>
      <c r="Y117" s="916">
        <v>0.40699999999999997</v>
      </c>
      <c r="Z117" s="916">
        <v>4.6509999999999998</v>
      </c>
      <c r="AA117" s="916">
        <v>1.0229999999999999</v>
      </c>
      <c r="AB117" s="916">
        <v>3.081</v>
      </c>
      <c r="AC117" s="915"/>
      <c r="AD117" s="919">
        <v>94.274000000000001</v>
      </c>
      <c r="AE117" s="920">
        <v>90.275999999999996</v>
      </c>
      <c r="AF117" s="920" t="s">
        <v>21</v>
      </c>
      <c r="AG117" s="920" t="s">
        <v>21</v>
      </c>
      <c r="AH117" s="921">
        <v>90.275999999999996</v>
      </c>
      <c r="AI117" s="921" t="s">
        <v>21</v>
      </c>
      <c r="AJ117" s="920" t="s">
        <v>21</v>
      </c>
      <c r="AK117" s="920" t="s">
        <v>21</v>
      </c>
      <c r="AL117" s="921" t="s">
        <v>21</v>
      </c>
      <c r="AM117" s="921" t="s">
        <v>21</v>
      </c>
      <c r="AN117" s="920"/>
      <c r="AO117" s="920" t="s">
        <v>21</v>
      </c>
      <c r="AP117" s="919">
        <v>27.173999999999999</v>
      </c>
      <c r="AQ117" s="922">
        <v>89.402460000000005</v>
      </c>
      <c r="AR117" s="923" t="s">
        <v>21</v>
      </c>
      <c r="AS117" s="923">
        <v>89.402460000000005</v>
      </c>
      <c r="AT117" s="923" t="s">
        <v>21</v>
      </c>
      <c r="AU117" s="923" t="s">
        <v>21</v>
      </c>
      <c r="AV117" s="924" t="s">
        <v>21</v>
      </c>
      <c r="AW117" s="924" t="s">
        <v>21</v>
      </c>
      <c r="AX117" s="924" t="s">
        <v>21</v>
      </c>
      <c r="AY117" s="924" t="s">
        <v>21</v>
      </c>
      <c r="AZ117" s="923" t="s">
        <v>21</v>
      </c>
      <c r="BA117" s="923"/>
      <c r="BB117" s="919">
        <v>2.7170000000000001</v>
      </c>
      <c r="BC117" s="919" t="s">
        <v>21</v>
      </c>
      <c r="BD117" s="919" t="s">
        <v>2142</v>
      </c>
      <c r="BE117" s="925" t="s">
        <v>21</v>
      </c>
      <c r="BF117" s="926" t="s">
        <v>21</v>
      </c>
      <c r="BG117" s="925">
        <v>19.41</v>
      </c>
      <c r="BH117" s="926" t="s">
        <v>21</v>
      </c>
      <c r="BI117" s="925" t="s">
        <v>21</v>
      </c>
      <c r="BJ117" s="926" t="s">
        <v>21</v>
      </c>
      <c r="BK117" s="925" t="s">
        <v>21</v>
      </c>
      <c r="BL117" s="926" t="s">
        <v>21</v>
      </c>
      <c r="BM117" s="925" t="s">
        <v>21</v>
      </c>
      <c r="BN117" s="927"/>
      <c r="BO117" s="927"/>
      <c r="BP117" s="928">
        <v>1</v>
      </c>
      <c r="BQ117" s="928" t="s">
        <v>21</v>
      </c>
      <c r="BR117" s="928" t="s">
        <v>21</v>
      </c>
      <c r="BS117" s="928" t="s">
        <v>21</v>
      </c>
      <c r="BT117" s="928" t="s">
        <v>21</v>
      </c>
      <c r="BU117" s="928" t="s">
        <v>21</v>
      </c>
      <c r="BV117" s="929">
        <v>0.55000000000004556</v>
      </c>
      <c r="BW117" s="929">
        <v>1</v>
      </c>
      <c r="BX117" s="1104">
        <v>2</v>
      </c>
      <c r="BY117" s="931">
        <v>4</v>
      </c>
      <c r="BZ117" s="930">
        <v>2</v>
      </c>
      <c r="CA117" s="1074"/>
      <c r="CB117" s="930"/>
      <c r="CC117" s="930"/>
      <c r="CD117" s="925">
        <v>19.856000000000002</v>
      </c>
      <c r="CE117" s="1130">
        <v>59.802</v>
      </c>
      <c r="CF117" s="1129" t="s">
        <v>21</v>
      </c>
      <c r="CG117" s="1130" t="s">
        <v>21</v>
      </c>
      <c r="CH117" s="1130" t="s">
        <v>21</v>
      </c>
      <c r="CI117" s="1131" t="s">
        <v>21</v>
      </c>
      <c r="CJ117" s="1129" t="s">
        <v>21</v>
      </c>
      <c r="CK117" s="1130">
        <v>59.802</v>
      </c>
      <c r="CL117" s="1130" t="s">
        <v>21</v>
      </c>
      <c r="CM117" s="1131" t="s">
        <v>21</v>
      </c>
      <c r="CN117" s="1130" t="s">
        <v>21</v>
      </c>
      <c r="CP117" s="838" t="s">
        <v>21</v>
      </c>
      <c r="CQ117" s="838" t="s">
        <v>21</v>
      </c>
      <c r="CR117" s="836"/>
    </row>
    <row r="118" spans="1:96" x14ac:dyDescent="0.25">
      <c r="A118" s="935">
        <v>2</v>
      </c>
      <c r="B118" s="932" t="s">
        <v>3070</v>
      </c>
      <c r="C118" s="911">
        <v>600</v>
      </c>
      <c r="D118" s="911" t="s">
        <v>2116</v>
      </c>
      <c r="E118" s="912">
        <v>1197.96</v>
      </c>
      <c r="F118" s="912">
        <v>1196.06</v>
      </c>
      <c r="G118" s="932" t="s">
        <v>3071</v>
      </c>
      <c r="H118" s="912">
        <v>1196.5899999999999</v>
      </c>
      <c r="I118" s="912">
        <v>1194.69</v>
      </c>
      <c r="J118" s="914">
        <v>12.18</v>
      </c>
      <c r="K118" s="915"/>
      <c r="L118" s="916">
        <v>0.1</v>
      </c>
      <c r="M118" s="916">
        <v>0.06</v>
      </c>
      <c r="N118" s="916">
        <v>0.2</v>
      </c>
      <c r="O118" s="916">
        <v>4.84</v>
      </c>
      <c r="P118" s="915"/>
      <c r="Q118" s="916">
        <v>2.16</v>
      </c>
      <c r="R118" s="917">
        <v>0.33333333333333331</v>
      </c>
      <c r="S118" s="918">
        <v>1.4</v>
      </c>
      <c r="T118" s="918">
        <v>2.84</v>
      </c>
      <c r="U118" s="916">
        <v>4.5540000000000003</v>
      </c>
      <c r="V118" s="916">
        <v>0.92</v>
      </c>
      <c r="W118" s="915"/>
      <c r="X118" s="916">
        <v>0.28299999999999997</v>
      </c>
      <c r="Y118" s="916">
        <v>0.40699999999999997</v>
      </c>
      <c r="Z118" s="916">
        <v>4.5789999999999997</v>
      </c>
      <c r="AA118" s="916">
        <v>1.0229999999999999</v>
      </c>
      <c r="AB118" s="916">
        <v>3.0089999999999999</v>
      </c>
      <c r="AC118" s="915"/>
      <c r="AD118" s="919">
        <v>58.951000000000001</v>
      </c>
      <c r="AE118" s="920">
        <v>55.771999999999998</v>
      </c>
      <c r="AF118" s="920" t="s">
        <v>21</v>
      </c>
      <c r="AG118" s="920" t="s">
        <v>21</v>
      </c>
      <c r="AH118" s="921">
        <v>55.771999999999998</v>
      </c>
      <c r="AI118" s="921" t="s">
        <v>21</v>
      </c>
      <c r="AJ118" s="920" t="s">
        <v>21</v>
      </c>
      <c r="AK118" s="920" t="s">
        <v>21</v>
      </c>
      <c r="AL118" s="921" t="s">
        <v>21</v>
      </c>
      <c r="AM118" s="921" t="s">
        <v>21</v>
      </c>
      <c r="AN118" s="920"/>
      <c r="AO118" s="920" t="s">
        <v>21</v>
      </c>
      <c r="AP118" s="919">
        <v>17.052</v>
      </c>
      <c r="AQ118" s="922">
        <v>55.46772</v>
      </c>
      <c r="AR118" s="923" t="s">
        <v>21</v>
      </c>
      <c r="AS118" s="923">
        <v>55.46772</v>
      </c>
      <c r="AT118" s="923" t="s">
        <v>21</v>
      </c>
      <c r="AU118" s="923" t="s">
        <v>21</v>
      </c>
      <c r="AV118" s="924" t="s">
        <v>21</v>
      </c>
      <c r="AW118" s="924" t="s">
        <v>21</v>
      </c>
      <c r="AX118" s="924" t="s">
        <v>21</v>
      </c>
      <c r="AY118" s="924" t="s">
        <v>21</v>
      </c>
      <c r="AZ118" s="923" t="s">
        <v>21</v>
      </c>
      <c r="BA118" s="923"/>
      <c r="BB118" s="919">
        <v>1.7050000000000001</v>
      </c>
      <c r="BC118" s="919" t="s">
        <v>21</v>
      </c>
      <c r="BD118" s="919" t="s">
        <v>2142</v>
      </c>
      <c r="BE118" s="925" t="s">
        <v>21</v>
      </c>
      <c r="BF118" s="926" t="s">
        <v>21</v>
      </c>
      <c r="BG118" s="925">
        <v>12.18</v>
      </c>
      <c r="BH118" s="926" t="s">
        <v>21</v>
      </c>
      <c r="BI118" s="925" t="s">
        <v>21</v>
      </c>
      <c r="BJ118" s="926" t="s">
        <v>21</v>
      </c>
      <c r="BK118" s="925" t="s">
        <v>21</v>
      </c>
      <c r="BL118" s="926" t="s">
        <v>21</v>
      </c>
      <c r="BM118" s="925" t="s">
        <v>21</v>
      </c>
      <c r="BN118" s="927"/>
      <c r="BO118" s="927"/>
      <c r="BP118" s="928">
        <v>1</v>
      </c>
      <c r="BQ118" s="928" t="s">
        <v>21</v>
      </c>
      <c r="BR118" s="928" t="s">
        <v>21</v>
      </c>
      <c r="BS118" s="928" t="s">
        <v>21</v>
      </c>
      <c r="BT118" s="928" t="s">
        <v>21</v>
      </c>
      <c r="BU118" s="928" t="s">
        <v>21</v>
      </c>
      <c r="BV118" s="929">
        <v>0.50000000000009104</v>
      </c>
      <c r="BW118" s="929">
        <v>1</v>
      </c>
      <c r="BX118" s="1104">
        <v>2</v>
      </c>
      <c r="BY118" s="931">
        <v>4</v>
      </c>
      <c r="BZ118" s="930"/>
      <c r="CA118" s="1074">
        <v>1</v>
      </c>
      <c r="CB118" s="930"/>
      <c r="CC118" s="930"/>
      <c r="CD118" s="925">
        <v>12.46</v>
      </c>
      <c r="CE118" s="1130">
        <v>36.65</v>
      </c>
      <c r="CF118" s="1129" t="s">
        <v>21</v>
      </c>
      <c r="CG118" s="1130" t="s">
        <v>21</v>
      </c>
      <c r="CH118" s="1130" t="s">
        <v>21</v>
      </c>
      <c r="CI118" s="1131" t="s">
        <v>21</v>
      </c>
      <c r="CJ118" s="1129" t="s">
        <v>21</v>
      </c>
      <c r="CK118" s="1130">
        <v>36.65</v>
      </c>
      <c r="CL118" s="1130" t="s">
        <v>21</v>
      </c>
      <c r="CM118" s="1131" t="s">
        <v>21</v>
      </c>
      <c r="CN118" s="1130" t="s">
        <v>21</v>
      </c>
      <c r="CP118" s="838" t="s">
        <v>21</v>
      </c>
      <c r="CQ118" s="838" t="s">
        <v>21</v>
      </c>
      <c r="CR118" s="836"/>
    </row>
    <row r="119" spans="1:96" x14ac:dyDescent="0.25">
      <c r="A119" s="935"/>
      <c r="B119" s="932" t="s">
        <v>3071</v>
      </c>
      <c r="C119" s="911">
        <v>600</v>
      </c>
      <c r="D119" s="911" t="s">
        <v>2116</v>
      </c>
      <c r="E119" s="912">
        <v>1196.5899999999999</v>
      </c>
      <c r="F119" s="912">
        <v>1194.54</v>
      </c>
      <c r="G119" s="932" t="s">
        <v>3072</v>
      </c>
      <c r="H119" s="912">
        <v>1195.81</v>
      </c>
      <c r="I119" s="912">
        <v>1193.9100000000001</v>
      </c>
      <c r="J119" s="914">
        <v>19.97</v>
      </c>
      <c r="K119" s="915"/>
      <c r="L119" s="916">
        <v>0.1</v>
      </c>
      <c r="M119" s="916">
        <v>0.06</v>
      </c>
      <c r="N119" s="916">
        <v>0.2</v>
      </c>
      <c r="O119" s="916">
        <v>4.8900000000000006</v>
      </c>
      <c r="P119" s="915"/>
      <c r="Q119" s="916">
        <v>2.2349999999999999</v>
      </c>
      <c r="R119" s="917">
        <v>0.33333333333333331</v>
      </c>
      <c r="S119" s="918">
        <v>1.4</v>
      </c>
      <c r="T119" s="918">
        <v>2.89</v>
      </c>
      <c r="U119" s="916">
        <v>4.7119999999999997</v>
      </c>
      <c r="V119" s="916">
        <v>0.92</v>
      </c>
      <c r="W119" s="915"/>
      <c r="X119" s="916">
        <v>0.28299999999999997</v>
      </c>
      <c r="Y119" s="916">
        <v>0.40699999999999997</v>
      </c>
      <c r="Z119" s="916">
        <v>4.7939999999999996</v>
      </c>
      <c r="AA119" s="916">
        <v>1.0229999999999999</v>
      </c>
      <c r="AB119" s="916">
        <v>3.2240000000000002</v>
      </c>
      <c r="AC119" s="915"/>
      <c r="AD119" s="919">
        <v>97.653000000000006</v>
      </c>
      <c r="AE119" s="920">
        <v>95.736000000000004</v>
      </c>
      <c r="AF119" s="920" t="s">
        <v>21</v>
      </c>
      <c r="AG119" s="920" t="s">
        <v>21</v>
      </c>
      <c r="AH119" s="921">
        <v>95.736000000000004</v>
      </c>
      <c r="AI119" s="921" t="s">
        <v>21</v>
      </c>
      <c r="AJ119" s="920" t="s">
        <v>21</v>
      </c>
      <c r="AK119" s="920" t="s">
        <v>21</v>
      </c>
      <c r="AL119" s="921" t="s">
        <v>21</v>
      </c>
      <c r="AM119" s="921" t="s">
        <v>21</v>
      </c>
      <c r="AN119" s="920"/>
      <c r="AO119" s="920" t="s">
        <v>21</v>
      </c>
      <c r="AP119" s="919">
        <v>27.957999999999998</v>
      </c>
      <c r="AQ119" s="922">
        <v>94.098639999999989</v>
      </c>
      <c r="AR119" s="923" t="s">
        <v>21</v>
      </c>
      <c r="AS119" s="923">
        <v>94.098639999999989</v>
      </c>
      <c r="AT119" s="923" t="s">
        <v>21</v>
      </c>
      <c r="AU119" s="923" t="s">
        <v>21</v>
      </c>
      <c r="AV119" s="924" t="s">
        <v>21</v>
      </c>
      <c r="AW119" s="924" t="s">
        <v>21</v>
      </c>
      <c r="AX119" s="924" t="s">
        <v>21</v>
      </c>
      <c r="AY119" s="924" t="s">
        <v>21</v>
      </c>
      <c r="AZ119" s="923" t="s">
        <v>21</v>
      </c>
      <c r="BA119" s="923"/>
      <c r="BB119" s="919">
        <v>2.7959999999999998</v>
      </c>
      <c r="BC119" s="919" t="s">
        <v>21</v>
      </c>
      <c r="BD119" s="919" t="s">
        <v>2142</v>
      </c>
      <c r="BE119" s="925" t="s">
        <v>21</v>
      </c>
      <c r="BF119" s="926" t="s">
        <v>21</v>
      </c>
      <c r="BG119" s="925">
        <v>19.97</v>
      </c>
      <c r="BH119" s="926" t="s">
        <v>21</v>
      </c>
      <c r="BI119" s="925" t="s">
        <v>21</v>
      </c>
      <c r="BJ119" s="926" t="s">
        <v>21</v>
      </c>
      <c r="BK119" s="925" t="s">
        <v>21</v>
      </c>
      <c r="BL119" s="926" t="s">
        <v>21</v>
      </c>
      <c r="BM119" s="925" t="s">
        <v>21</v>
      </c>
      <c r="BN119" s="927"/>
      <c r="BO119" s="927"/>
      <c r="BP119" s="928">
        <v>1</v>
      </c>
      <c r="BQ119" s="928" t="s">
        <v>21</v>
      </c>
      <c r="BR119" s="928" t="s">
        <v>21</v>
      </c>
      <c r="BS119" s="928" t="s">
        <v>21</v>
      </c>
      <c r="BT119" s="928" t="s">
        <v>21</v>
      </c>
      <c r="BU119" s="928" t="s">
        <v>21</v>
      </c>
      <c r="BV119" s="929">
        <v>0.64999999999995461</v>
      </c>
      <c r="BW119" s="929">
        <v>1</v>
      </c>
      <c r="BX119" s="1104">
        <v>2</v>
      </c>
      <c r="BY119" s="931">
        <v>4</v>
      </c>
      <c r="BZ119" s="930">
        <v>1</v>
      </c>
      <c r="CA119" s="1074"/>
      <c r="CB119" s="930"/>
      <c r="CC119" s="930"/>
      <c r="CD119" s="925">
        <v>20.428999999999998</v>
      </c>
      <c r="CE119" s="1130">
        <v>64.382999999999996</v>
      </c>
      <c r="CF119" s="1129" t="s">
        <v>21</v>
      </c>
      <c r="CG119" s="1130" t="s">
        <v>21</v>
      </c>
      <c r="CH119" s="1130" t="s">
        <v>21</v>
      </c>
      <c r="CI119" s="1131" t="s">
        <v>21</v>
      </c>
      <c r="CJ119" s="1129" t="s">
        <v>21</v>
      </c>
      <c r="CK119" s="1130">
        <v>64.382999999999996</v>
      </c>
      <c r="CL119" s="1130" t="s">
        <v>21</v>
      </c>
      <c r="CM119" s="1131" t="s">
        <v>21</v>
      </c>
      <c r="CN119" s="1130" t="s">
        <v>21</v>
      </c>
      <c r="CP119" s="838" t="s">
        <v>21</v>
      </c>
      <c r="CQ119" s="838" t="s">
        <v>21</v>
      </c>
      <c r="CR119" s="836"/>
    </row>
    <row r="120" spans="1:96" x14ac:dyDescent="0.25">
      <c r="A120" s="935"/>
      <c r="B120" s="932" t="s">
        <v>3072</v>
      </c>
      <c r="C120" s="911">
        <v>600</v>
      </c>
      <c r="D120" s="911" t="s">
        <v>2116</v>
      </c>
      <c r="E120" s="912">
        <v>1195.81</v>
      </c>
      <c r="F120" s="912">
        <v>1193.9100000000001</v>
      </c>
      <c r="G120" s="910" t="s">
        <v>2262</v>
      </c>
      <c r="H120" s="912">
        <v>1192.05</v>
      </c>
      <c r="I120" s="912">
        <v>1190.1500000000001</v>
      </c>
      <c r="J120" s="914">
        <v>55.96</v>
      </c>
      <c r="K120" s="915"/>
      <c r="L120" s="916">
        <v>0.1</v>
      </c>
      <c r="M120" s="916">
        <v>0.06</v>
      </c>
      <c r="N120" s="916">
        <v>0.2</v>
      </c>
      <c r="O120" s="916">
        <v>4.84</v>
      </c>
      <c r="P120" s="915"/>
      <c r="Q120" s="916">
        <v>2.16</v>
      </c>
      <c r="R120" s="917">
        <v>0.33333333333333331</v>
      </c>
      <c r="S120" s="918">
        <v>1.4</v>
      </c>
      <c r="T120" s="918">
        <v>2.84</v>
      </c>
      <c r="U120" s="916">
        <v>4.5540000000000003</v>
      </c>
      <c r="V120" s="916">
        <v>0.92</v>
      </c>
      <c r="W120" s="915"/>
      <c r="X120" s="916">
        <v>0.28299999999999997</v>
      </c>
      <c r="Y120" s="916">
        <v>0.40699999999999997</v>
      </c>
      <c r="Z120" s="916">
        <v>4.5789999999999997</v>
      </c>
      <c r="AA120" s="916">
        <v>1.0229999999999999</v>
      </c>
      <c r="AB120" s="916">
        <v>3.0089999999999999</v>
      </c>
      <c r="AC120" s="915"/>
      <c r="AD120" s="919">
        <v>270.846</v>
      </c>
      <c r="AE120" s="920">
        <v>256.24099999999999</v>
      </c>
      <c r="AF120" s="920" t="s">
        <v>21</v>
      </c>
      <c r="AG120" s="920" t="s">
        <v>21</v>
      </c>
      <c r="AH120" s="921">
        <v>256.24099999999999</v>
      </c>
      <c r="AI120" s="921" t="s">
        <v>21</v>
      </c>
      <c r="AJ120" s="920" t="s">
        <v>21</v>
      </c>
      <c r="AK120" s="920" t="s">
        <v>21</v>
      </c>
      <c r="AL120" s="921" t="s">
        <v>21</v>
      </c>
      <c r="AM120" s="921" t="s">
        <v>21</v>
      </c>
      <c r="AN120" s="920"/>
      <c r="AO120" s="920" t="s">
        <v>21</v>
      </c>
      <c r="AP120" s="919">
        <v>78.343999999999994</v>
      </c>
      <c r="AQ120" s="922">
        <v>254.84184000000002</v>
      </c>
      <c r="AR120" s="923" t="s">
        <v>21</v>
      </c>
      <c r="AS120" s="923">
        <v>254.84184000000002</v>
      </c>
      <c r="AT120" s="923" t="s">
        <v>21</v>
      </c>
      <c r="AU120" s="923" t="s">
        <v>21</v>
      </c>
      <c r="AV120" s="924" t="s">
        <v>21</v>
      </c>
      <c r="AW120" s="924" t="s">
        <v>21</v>
      </c>
      <c r="AX120" s="924" t="s">
        <v>21</v>
      </c>
      <c r="AY120" s="924" t="s">
        <v>21</v>
      </c>
      <c r="AZ120" s="923" t="s">
        <v>21</v>
      </c>
      <c r="BA120" s="923"/>
      <c r="BB120" s="919">
        <v>7.8339999999999996</v>
      </c>
      <c r="BC120" s="919" t="s">
        <v>21</v>
      </c>
      <c r="BD120" s="919" t="s">
        <v>2142</v>
      </c>
      <c r="BE120" s="925" t="s">
        <v>21</v>
      </c>
      <c r="BF120" s="926" t="s">
        <v>21</v>
      </c>
      <c r="BG120" s="925">
        <v>55.96</v>
      </c>
      <c r="BH120" s="926" t="s">
        <v>21</v>
      </c>
      <c r="BI120" s="925" t="s">
        <v>21</v>
      </c>
      <c r="BJ120" s="926" t="s">
        <v>21</v>
      </c>
      <c r="BK120" s="925" t="s">
        <v>21</v>
      </c>
      <c r="BL120" s="926" t="s">
        <v>21</v>
      </c>
      <c r="BM120" s="925" t="s">
        <v>21</v>
      </c>
      <c r="BN120" s="927"/>
      <c r="BO120" s="927"/>
      <c r="BP120" s="928">
        <v>1</v>
      </c>
      <c r="BQ120" s="928" t="s">
        <v>21</v>
      </c>
      <c r="BR120" s="928" t="s">
        <v>21</v>
      </c>
      <c r="BS120" s="928" t="s">
        <v>21</v>
      </c>
      <c r="BT120" s="928" t="s">
        <v>21</v>
      </c>
      <c r="BU120" s="928" t="s">
        <v>21</v>
      </c>
      <c r="BV120" s="929">
        <v>0.49999999999986366</v>
      </c>
      <c r="BW120" s="929">
        <v>0.5</v>
      </c>
      <c r="BX120" s="1104">
        <v>1</v>
      </c>
      <c r="BY120" s="931">
        <v>3</v>
      </c>
      <c r="BZ120" s="930">
        <v>2</v>
      </c>
      <c r="CA120" s="1074"/>
      <c r="CB120" s="930"/>
      <c r="CC120" s="930"/>
      <c r="CD120" s="925">
        <v>57.247</v>
      </c>
      <c r="CE120" s="1130">
        <v>168.38399999999999</v>
      </c>
      <c r="CF120" s="1129" t="s">
        <v>21</v>
      </c>
      <c r="CG120" s="1130" t="s">
        <v>21</v>
      </c>
      <c r="CH120" s="1130" t="s">
        <v>21</v>
      </c>
      <c r="CI120" s="1131" t="s">
        <v>21</v>
      </c>
      <c r="CJ120" s="1129" t="s">
        <v>21</v>
      </c>
      <c r="CK120" s="1130">
        <v>168.38399999999999</v>
      </c>
      <c r="CL120" s="1130" t="s">
        <v>21</v>
      </c>
      <c r="CM120" s="1131" t="s">
        <v>21</v>
      </c>
      <c r="CN120" s="1130" t="s">
        <v>21</v>
      </c>
      <c r="CP120" s="838" t="s">
        <v>21</v>
      </c>
      <c r="CQ120" s="838" t="s">
        <v>21</v>
      </c>
      <c r="CR120" s="836"/>
    </row>
    <row r="121" spans="1:96" x14ac:dyDescent="0.25">
      <c r="A121" s="935"/>
      <c r="B121" s="932"/>
      <c r="C121" s="911"/>
      <c r="D121" s="911"/>
      <c r="E121" s="912"/>
      <c r="F121" s="912"/>
      <c r="G121" s="932"/>
      <c r="H121" s="912"/>
      <c r="I121" s="912"/>
      <c r="J121" s="914"/>
      <c r="K121" s="915"/>
      <c r="L121" s="916" t="s">
        <v>21</v>
      </c>
      <c r="M121" s="916" t="s">
        <v>21</v>
      </c>
      <c r="N121" s="916" t="s">
        <v>21</v>
      </c>
      <c r="O121" s="916" t="s">
        <v>21</v>
      </c>
      <c r="P121" s="915"/>
      <c r="Q121" s="916" t="s">
        <v>21</v>
      </c>
      <c r="R121" s="917" t="s">
        <v>21</v>
      </c>
      <c r="S121" s="918" t="s">
        <v>21</v>
      </c>
      <c r="T121" s="918" t="s">
        <v>21</v>
      </c>
      <c r="U121" s="916" t="s">
        <v>21</v>
      </c>
      <c r="V121" s="916" t="s">
        <v>21</v>
      </c>
      <c r="W121" s="915"/>
      <c r="X121" s="916" t="s">
        <v>21</v>
      </c>
      <c r="Y121" s="916" t="s">
        <v>21</v>
      </c>
      <c r="Z121" s="916" t="s">
        <v>21</v>
      </c>
      <c r="AA121" s="916" t="s">
        <v>21</v>
      </c>
      <c r="AB121" s="916" t="s">
        <v>21</v>
      </c>
      <c r="AC121" s="915"/>
      <c r="AD121" s="919" t="s">
        <v>21</v>
      </c>
      <c r="AE121" s="920" t="s">
        <v>21</v>
      </c>
      <c r="AF121" s="920" t="s">
        <v>21</v>
      </c>
      <c r="AG121" s="920" t="s">
        <v>21</v>
      </c>
      <c r="AH121" s="921" t="s">
        <v>21</v>
      </c>
      <c r="AI121" s="921" t="s">
        <v>21</v>
      </c>
      <c r="AJ121" s="920" t="s">
        <v>21</v>
      </c>
      <c r="AK121" s="920" t="s">
        <v>21</v>
      </c>
      <c r="AL121" s="921" t="s">
        <v>21</v>
      </c>
      <c r="AM121" s="921" t="s">
        <v>21</v>
      </c>
      <c r="AN121" s="920"/>
      <c r="AO121" s="920" t="s">
        <v>21</v>
      </c>
      <c r="AP121" s="919" t="s">
        <v>21</v>
      </c>
      <c r="AQ121" s="922" t="s">
        <v>21</v>
      </c>
      <c r="AR121" s="923" t="s">
        <v>21</v>
      </c>
      <c r="AS121" s="923" t="s">
        <v>21</v>
      </c>
      <c r="AT121" s="923" t="s">
        <v>21</v>
      </c>
      <c r="AU121" s="923" t="s">
        <v>21</v>
      </c>
      <c r="AV121" s="924" t="s">
        <v>21</v>
      </c>
      <c r="AW121" s="924" t="s">
        <v>21</v>
      </c>
      <c r="AX121" s="924" t="s">
        <v>21</v>
      </c>
      <c r="AY121" s="924" t="s">
        <v>21</v>
      </c>
      <c r="AZ121" s="923" t="s">
        <v>21</v>
      </c>
      <c r="BA121" s="923"/>
      <c r="BB121" s="919" t="s">
        <v>21</v>
      </c>
      <c r="BC121" s="919" t="s">
        <v>21</v>
      </c>
      <c r="BD121" s="919" t="s">
        <v>21</v>
      </c>
      <c r="BE121" s="925" t="s">
        <v>21</v>
      </c>
      <c r="BF121" s="926" t="s">
        <v>21</v>
      </c>
      <c r="BG121" s="925" t="s">
        <v>21</v>
      </c>
      <c r="BH121" s="926" t="s">
        <v>21</v>
      </c>
      <c r="BI121" s="925" t="s">
        <v>21</v>
      </c>
      <c r="BJ121" s="926" t="s">
        <v>21</v>
      </c>
      <c r="BK121" s="925" t="s">
        <v>21</v>
      </c>
      <c r="BL121" s="926" t="s">
        <v>21</v>
      </c>
      <c r="BM121" s="925" t="s">
        <v>21</v>
      </c>
      <c r="BN121" s="927"/>
      <c r="BO121" s="927"/>
      <c r="BP121" s="928" t="s">
        <v>21</v>
      </c>
      <c r="BQ121" s="928" t="s">
        <v>21</v>
      </c>
      <c r="BR121" s="928" t="s">
        <v>21</v>
      </c>
      <c r="BS121" s="928" t="s">
        <v>21</v>
      </c>
      <c r="BT121" s="928" t="s">
        <v>21</v>
      </c>
      <c r="BU121" s="928" t="s">
        <v>21</v>
      </c>
      <c r="BV121" s="929" t="s">
        <v>21</v>
      </c>
      <c r="BW121" s="929" t="s">
        <v>21</v>
      </c>
      <c r="BX121" s="1104" t="s">
        <v>21</v>
      </c>
      <c r="BY121" s="931" t="s">
        <v>21</v>
      </c>
      <c r="BZ121" s="930"/>
      <c r="CA121" s="1074"/>
      <c r="CB121" s="930"/>
      <c r="CC121" s="930"/>
      <c r="CD121" s="925" t="s">
        <v>21</v>
      </c>
      <c r="CE121" s="1130" t="s">
        <v>21</v>
      </c>
      <c r="CF121" s="1129" t="s">
        <v>21</v>
      </c>
      <c r="CG121" s="1130" t="s">
        <v>21</v>
      </c>
      <c r="CH121" s="1130" t="s">
        <v>21</v>
      </c>
      <c r="CI121" s="1131" t="s">
        <v>21</v>
      </c>
      <c r="CJ121" s="1129" t="s">
        <v>21</v>
      </c>
      <c r="CK121" s="1130" t="s">
        <v>21</v>
      </c>
      <c r="CL121" s="1130" t="s">
        <v>21</v>
      </c>
      <c r="CM121" s="1131" t="s">
        <v>21</v>
      </c>
      <c r="CN121" s="1130" t="s">
        <v>21</v>
      </c>
      <c r="CP121" s="838" t="s">
        <v>21</v>
      </c>
      <c r="CQ121" s="838" t="s">
        <v>21</v>
      </c>
      <c r="CR121" s="836"/>
    </row>
    <row r="122" spans="1:96" x14ac:dyDescent="0.25">
      <c r="A122" s="935">
        <v>3</v>
      </c>
      <c r="B122" s="932" t="s">
        <v>2231</v>
      </c>
      <c r="C122" s="911">
        <v>600</v>
      </c>
      <c r="D122" s="911" t="s">
        <v>2116</v>
      </c>
      <c r="E122" s="912">
        <v>1200.27</v>
      </c>
      <c r="F122" s="912">
        <v>1198.3699999999999</v>
      </c>
      <c r="G122" s="910" t="s">
        <v>3068</v>
      </c>
      <c r="H122" s="912">
        <v>1200.08</v>
      </c>
      <c r="I122" s="912">
        <v>1198.18</v>
      </c>
      <c r="J122" s="914">
        <v>7.13</v>
      </c>
      <c r="K122" s="915"/>
      <c r="L122" s="916">
        <v>0.1</v>
      </c>
      <c r="M122" s="916">
        <v>0.06</v>
      </c>
      <c r="N122" s="916">
        <v>0.2</v>
      </c>
      <c r="O122" s="916">
        <v>4.84</v>
      </c>
      <c r="P122" s="915"/>
      <c r="Q122" s="916">
        <v>2.16</v>
      </c>
      <c r="R122" s="917">
        <v>0.33333333333333331</v>
      </c>
      <c r="S122" s="918">
        <v>1.4</v>
      </c>
      <c r="T122" s="918">
        <v>2.84</v>
      </c>
      <c r="U122" s="916">
        <v>4.5540000000000003</v>
      </c>
      <c r="V122" s="916">
        <v>0.92</v>
      </c>
      <c r="W122" s="915"/>
      <c r="X122" s="916">
        <v>0.28299999999999997</v>
      </c>
      <c r="Y122" s="916">
        <v>0.40699999999999997</v>
      </c>
      <c r="Z122" s="916">
        <v>4.5789999999999997</v>
      </c>
      <c r="AA122" s="916">
        <v>1.0229999999999999</v>
      </c>
      <c r="AB122" s="916">
        <v>3.0089999999999999</v>
      </c>
      <c r="AC122" s="915"/>
      <c r="AD122" s="919">
        <v>34.509</v>
      </c>
      <c r="AE122" s="920">
        <v>32.648000000000003</v>
      </c>
      <c r="AF122" s="920" t="s">
        <v>21</v>
      </c>
      <c r="AG122" s="920" t="s">
        <v>21</v>
      </c>
      <c r="AH122" s="921">
        <v>32.648000000000003</v>
      </c>
      <c r="AI122" s="921" t="s">
        <v>21</v>
      </c>
      <c r="AJ122" s="920" t="s">
        <v>21</v>
      </c>
      <c r="AK122" s="920" t="s">
        <v>21</v>
      </c>
      <c r="AL122" s="921" t="s">
        <v>21</v>
      </c>
      <c r="AM122" s="921" t="s">
        <v>21</v>
      </c>
      <c r="AN122" s="920"/>
      <c r="AO122" s="920" t="s">
        <v>21</v>
      </c>
      <c r="AP122" s="919">
        <v>9.9819999999999993</v>
      </c>
      <c r="AQ122" s="922">
        <v>32.470019999999998</v>
      </c>
      <c r="AR122" s="923" t="s">
        <v>21</v>
      </c>
      <c r="AS122" s="923">
        <v>32.470019999999998</v>
      </c>
      <c r="AT122" s="923" t="s">
        <v>21</v>
      </c>
      <c r="AU122" s="923" t="s">
        <v>21</v>
      </c>
      <c r="AV122" s="924" t="s">
        <v>21</v>
      </c>
      <c r="AW122" s="924" t="s">
        <v>21</v>
      </c>
      <c r="AX122" s="924" t="s">
        <v>21</v>
      </c>
      <c r="AY122" s="924" t="s">
        <v>21</v>
      </c>
      <c r="AZ122" s="923" t="s">
        <v>21</v>
      </c>
      <c r="BA122" s="923"/>
      <c r="BB122" s="919">
        <v>0.998</v>
      </c>
      <c r="BC122" s="919" t="s">
        <v>21</v>
      </c>
      <c r="BD122" s="919" t="s">
        <v>2142</v>
      </c>
      <c r="BE122" s="925" t="s">
        <v>21</v>
      </c>
      <c r="BF122" s="926" t="s">
        <v>21</v>
      </c>
      <c r="BG122" s="925">
        <v>7.13</v>
      </c>
      <c r="BH122" s="926" t="s">
        <v>21</v>
      </c>
      <c r="BI122" s="925" t="s">
        <v>21</v>
      </c>
      <c r="BJ122" s="926" t="s">
        <v>21</v>
      </c>
      <c r="BK122" s="925" t="s">
        <v>21</v>
      </c>
      <c r="BL122" s="926" t="s">
        <v>21</v>
      </c>
      <c r="BM122" s="925" t="s">
        <v>21</v>
      </c>
      <c r="BN122" s="927"/>
      <c r="BO122" s="927"/>
      <c r="BP122" s="928">
        <v>1</v>
      </c>
      <c r="BQ122" s="928" t="s">
        <v>21</v>
      </c>
      <c r="BR122" s="928" t="s">
        <v>21</v>
      </c>
      <c r="BS122" s="928" t="s">
        <v>21</v>
      </c>
      <c r="BT122" s="928" t="s">
        <v>21</v>
      </c>
      <c r="BU122" s="928" t="s">
        <v>21</v>
      </c>
      <c r="BV122" s="929">
        <v>0.50000000000009104</v>
      </c>
      <c r="BW122" s="929">
        <v>1</v>
      </c>
      <c r="BX122" s="1104">
        <v>2</v>
      </c>
      <c r="BY122" s="931">
        <v>4</v>
      </c>
      <c r="BZ122" s="930"/>
      <c r="CA122" s="1074">
        <v>1</v>
      </c>
      <c r="CB122" s="930"/>
      <c r="CC122" s="930"/>
      <c r="CD122" s="925">
        <v>7.2939999999999996</v>
      </c>
      <c r="CE122" s="1130">
        <v>21.454000000000001</v>
      </c>
      <c r="CF122" s="1129" t="s">
        <v>21</v>
      </c>
      <c r="CG122" s="1130" t="s">
        <v>21</v>
      </c>
      <c r="CH122" s="1130" t="s">
        <v>21</v>
      </c>
      <c r="CI122" s="1131" t="s">
        <v>21</v>
      </c>
      <c r="CJ122" s="1129" t="s">
        <v>21</v>
      </c>
      <c r="CK122" s="1130">
        <v>21.454000000000001</v>
      </c>
      <c r="CL122" s="1130" t="s">
        <v>21</v>
      </c>
      <c r="CM122" s="1131" t="s">
        <v>21</v>
      </c>
      <c r="CN122" s="1130" t="s">
        <v>21</v>
      </c>
      <c r="CP122" s="838" t="s">
        <v>21</v>
      </c>
      <c r="CQ122" s="838" t="s">
        <v>21</v>
      </c>
      <c r="CR122" s="836"/>
    </row>
    <row r="123" spans="1:96" x14ac:dyDescent="0.25">
      <c r="A123" s="935" t="s">
        <v>3063</v>
      </c>
      <c r="B123" s="932"/>
      <c r="C123" s="911"/>
      <c r="D123" s="911"/>
      <c r="E123" s="912"/>
      <c r="F123" s="912"/>
      <c r="G123" s="910"/>
      <c r="H123" s="912"/>
      <c r="I123" s="912"/>
      <c r="J123" s="914"/>
      <c r="K123" s="915"/>
      <c r="L123" s="916" t="s">
        <v>21</v>
      </c>
      <c r="M123" s="916" t="s">
        <v>21</v>
      </c>
      <c r="N123" s="916" t="s">
        <v>21</v>
      </c>
      <c r="O123" s="916" t="s">
        <v>21</v>
      </c>
      <c r="P123" s="915"/>
      <c r="Q123" s="916" t="s">
        <v>21</v>
      </c>
      <c r="R123" s="917" t="s">
        <v>21</v>
      </c>
      <c r="S123" s="918" t="s">
        <v>21</v>
      </c>
      <c r="T123" s="918" t="s">
        <v>21</v>
      </c>
      <c r="U123" s="916" t="s">
        <v>21</v>
      </c>
      <c r="V123" s="916" t="s">
        <v>21</v>
      </c>
      <c r="W123" s="915"/>
      <c r="X123" s="916" t="s">
        <v>21</v>
      </c>
      <c r="Y123" s="916" t="s">
        <v>21</v>
      </c>
      <c r="Z123" s="916" t="s">
        <v>21</v>
      </c>
      <c r="AA123" s="916" t="s">
        <v>21</v>
      </c>
      <c r="AB123" s="916" t="s">
        <v>21</v>
      </c>
      <c r="AC123" s="915"/>
      <c r="AD123" s="919" t="s">
        <v>21</v>
      </c>
      <c r="AE123" s="920" t="s">
        <v>21</v>
      </c>
      <c r="AF123" s="920" t="s">
        <v>21</v>
      </c>
      <c r="AG123" s="920" t="s">
        <v>21</v>
      </c>
      <c r="AH123" s="921" t="s">
        <v>21</v>
      </c>
      <c r="AI123" s="921" t="s">
        <v>21</v>
      </c>
      <c r="AJ123" s="920" t="s">
        <v>21</v>
      </c>
      <c r="AK123" s="920" t="s">
        <v>21</v>
      </c>
      <c r="AL123" s="921" t="s">
        <v>21</v>
      </c>
      <c r="AM123" s="921" t="s">
        <v>21</v>
      </c>
      <c r="AN123" s="920"/>
      <c r="AO123" s="920" t="s">
        <v>21</v>
      </c>
      <c r="AP123" s="919" t="s">
        <v>21</v>
      </c>
      <c r="AQ123" s="922" t="s">
        <v>21</v>
      </c>
      <c r="AR123" s="923" t="s">
        <v>21</v>
      </c>
      <c r="AS123" s="923" t="s">
        <v>21</v>
      </c>
      <c r="AT123" s="923" t="s">
        <v>21</v>
      </c>
      <c r="AU123" s="923" t="s">
        <v>21</v>
      </c>
      <c r="AV123" s="924" t="s">
        <v>21</v>
      </c>
      <c r="AW123" s="924" t="s">
        <v>21</v>
      </c>
      <c r="AX123" s="924" t="s">
        <v>21</v>
      </c>
      <c r="AY123" s="924" t="s">
        <v>21</v>
      </c>
      <c r="AZ123" s="923" t="s">
        <v>21</v>
      </c>
      <c r="BA123" s="923"/>
      <c r="BB123" s="919" t="s">
        <v>21</v>
      </c>
      <c r="BC123" s="919" t="s">
        <v>21</v>
      </c>
      <c r="BD123" s="919" t="s">
        <v>21</v>
      </c>
      <c r="BE123" s="925" t="s">
        <v>21</v>
      </c>
      <c r="BF123" s="926" t="s">
        <v>21</v>
      </c>
      <c r="BG123" s="925" t="s">
        <v>21</v>
      </c>
      <c r="BH123" s="926" t="s">
        <v>21</v>
      </c>
      <c r="BI123" s="925" t="s">
        <v>21</v>
      </c>
      <c r="BJ123" s="926" t="s">
        <v>21</v>
      </c>
      <c r="BK123" s="925" t="s">
        <v>21</v>
      </c>
      <c r="BL123" s="926" t="s">
        <v>21</v>
      </c>
      <c r="BM123" s="925" t="s">
        <v>21</v>
      </c>
      <c r="BN123" s="927"/>
      <c r="BO123" s="927"/>
      <c r="BP123" s="928" t="s">
        <v>21</v>
      </c>
      <c r="BQ123" s="928" t="s">
        <v>21</v>
      </c>
      <c r="BR123" s="928" t="s">
        <v>21</v>
      </c>
      <c r="BS123" s="928" t="s">
        <v>21</v>
      </c>
      <c r="BT123" s="928" t="s">
        <v>21</v>
      </c>
      <c r="BU123" s="928" t="s">
        <v>21</v>
      </c>
      <c r="BV123" s="929" t="s">
        <v>21</v>
      </c>
      <c r="BW123" s="929" t="s">
        <v>21</v>
      </c>
      <c r="BX123" s="1104" t="s">
        <v>21</v>
      </c>
      <c r="BY123" s="931" t="s">
        <v>21</v>
      </c>
      <c r="BZ123" s="930"/>
      <c r="CA123" s="1074"/>
      <c r="CB123" s="930"/>
      <c r="CC123" s="930"/>
      <c r="CD123" s="925" t="s">
        <v>21</v>
      </c>
      <c r="CE123" s="1130" t="s">
        <v>21</v>
      </c>
      <c r="CF123" s="1129" t="s">
        <v>21</v>
      </c>
      <c r="CG123" s="1130" t="s">
        <v>21</v>
      </c>
      <c r="CH123" s="1130" t="s">
        <v>21</v>
      </c>
      <c r="CI123" s="1131" t="s">
        <v>21</v>
      </c>
      <c r="CJ123" s="1129" t="s">
        <v>21</v>
      </c>
      <c r="CK123" s="1130" t="s">
        <v>21</v>
      </c>
      <c r="CL123" s="1130" t="s">
        <v>21</v>
      </c>
      <c r="CM123" s="1131" t="s">
        <v>21</v>
      </c>
      <c r="CN123" s="1130" t="s">
        <v>21</v>
      </c>
      <c r="CP123" s="838" t="s">
        <v>21</v>
      </c>
      <c r="CQ123" s="838" t="s">
        <v>21</v>
      </c>
      <c r="CR123" s="836"/>
    </row>
    <row r="124" spans="1:96" x14ac:dyDescent="0.25">
      <c r="A124" s="935" t="s">
        <v>3073</v>
      </c>
      <c r="B124" s="932"/>
      <c r="C124" s="911"/>
      <c r="D124" s="911"/>
      <c r="E124" s="912"/>
      <c r="F124" s="912"/>
      <c r="G124" s="910"/>
      <c r="H124" s="912"/>
      <c r="I124" s="912"/>
      <c r="J124" s="914"/>
      <c r="K124" s="915"/>
      <c r="L124" s="916" t="s">
        <v>21</v>
      </c>
      <c r="M124" s="916" t="s">
        <v>21</v>
      </c>
      <c r="N124" s="916" t="s">
        <v>21</v>
      </c>
      <c r="O124" s="916" t="s">
        <v>21</v>
      </c>
      <c r="P124" s="915"/>
      <c r="Q124" s="916" t="s">
        <v>21</v>
      </c>
      <c r="R124" s="917" t="s">
        <v>21</v>
      </c>
      <c r="S124" s="918" t="s">
        <v>21</v>
      </c>
      <c r="T124" s="918" t="s">
        <v>21</v>
      </c>
      <c r="U124" s="916" t="s">
        <v>21</v>
      </c>
      <c r="V124" s="916" t="s">
        <v>21</v>
      </c>
      <c r="W124" s="915"/>
      <c r="X124" s="916" t="s">
        <v>21</v>
      </c>
      <c r="Y124" s="916" t="s">
        <v>21</v>
      </c>
      <c r="Z124" s="916" t="s">
        <v>21</v>
      </c>
      <c r="AA124" s="916" t="s">
        <v>21</v>
      </c>
      <c r="AB124" s="916" t="s">
        <v>21</v>
      </c>
      <c r="AC124" s="915"/>
      <c r="AD124" s="919" t="s">
        <v>21</v>
      </c>
      <c r="AE124" s="920" t="s">
        <v>21</v>
      </c>
      <c r="AF124" s="920" t="s">
        <v>21</v>
      </c>
      <c r="AG124" s="920" t="s">
        <v>21</v>
      </c>
      <c r="AH124" s="921" t="s">
        <v>21</v>
      </c>
      <c r="AI124" s="921" t="s">
        <v>21</v>
      </c>
      <c r="AJ124" s="920" t="s">
        <v>21</v>
      </c>
      <c r="AK124" s="920" t="s">
        <v>21</v>
      </c>
      <c r="AL124" s="921" t="s">
        <v>21</v>
      </c>
      <c r="AM124" s="921" t="s">
        <v>21</v>
      </c>
      <c r="AN124" s="920"/>
      <c r="AO124" s="920" t="s">
        <v>21</v>
      </c>
      <c r="AP124" s="919" t="s">
        <v>21</v>
      </c>
      <c r="AQ124" s="922" t="s">
        <v>21</v>
      </c>
      <c r="AR124" s="923" t="s">
        <v>21</v>
      </c>
      <c r="AS124" s="923" t="s">
        <v>21</v>
      </c>
      <c r="AT124" s="923" t="s">
        <v>21</v>
      </c>
      <c r="AU124" s="923" t="s">
        <v>21</v>
      </c>
      <c r="AV124" s="924" t="s">
        <v>21</v>
      </c>
      <c r="AW124" s="924" t="s">
        <v>21</v>
      </c>
      <c r="AX124" s="924" t="s">
        <v>21</v>
      </c>
      <c r="AY124" s="924" t="s">
        <v>21</v>
      </c>
      <c r="AZ124" s="923" t="s">
        <v>21</v>
      </c>
      <c r="BA124" s="923"/>
      <c r="BB124" s="919" t="s">
        <v>21</v>
      </c>
      <c r="BC124" s="919" t="s">
        <v>21</v>
      </c>
      <c r="BD124" s="919" t="s">
        <v>21</v>
      </c>
      <c r="BE124" s="925" t="s">
        <v>21</v>
      </c>
      <c r="BF124" s="926" t="s">
        <v>21</v>
      </c>
      <c r="BG124" s="925" t="s">
        <v>21</v>
      </c>
      <c r="BH124" s="926" t="s">
        <v>21</v>
      </c>
      <c r="BI124" s="925" t="s">
        <v>21</v>
      </c>
      <c r="BJ124" s="926" t="s">
        <v>21</v>
      </c>
      <c r="BK124" s="925" t="s">
        <v>21</v>
      </c>
      <c r="BL124" s="926" t="s">
        <v>21</v>
      </c>
      <c r="BM124" s="925" t="s">
        <v>21</v>
      </c>
      <c r="BN124" s="927"/>
      <c r="BO124" s="927"/>
      <c r="BP124" s="928" t="s">
        <v>21</v>
      </c>
      <c r="BQ124" s="928" t="s">
        <v>21</v>
      </c>
      <c r="BR124" s="928" t="s">
        <v>21</v>
      </c>
      <c r="BS124" s="928" t="s">
        <v>21</v>
      </c>
      <c r="BT124" s="928" t="s">
        <v>21</v>
      </c>
      <c r="BU124" s="928" t="s">
        <v>21</v>
      </c>
      <c r="BV124" s="929" t="s">
        <v>21</v>
      </c>
      <c r="BW124" s="929" t="s">
        <v>21</v>
      </c>
      <c r="BX124" s="1104" t="s">
        <v>21</v>
      </c>
      <c r="BY124" s="931" t="s">
        <v>21</v>
      </c>
      <c r="BZ124" s="930"/>
      <c r="CA124" s="1074"/>
      <c r="CB124" s="930"/>
      <c r="CC124" s="930"/>
      <c r="CD124" s="925" t="s">
        <v>21</v>
      </c>
      <c r="CE124" s="1130" t="s">
        <v>21</v>
      </c>
      <c r="CF124" s="1129" t="s">
        <v>21</v>
      </c>
      <c r="CG124" s="1130" t="s">
        <v>21</v>
      </c>
      <c r="CH124" s="1130" t="s">
        <v>21</v>
      </c>
      <c r="CI124" s="1131" t="s">
        <v>21</v>
      </c>
      <c r="CJ124" s="1129" t="s">
        <v>21</v>
      </c>
      <c r="CK124" s="1130" t="s">
        <v>21</v>
      </c>
      <c r="CL124" s="1130" t="s">
        <v>21</v>
      </c>
      <c r="CM124" s="1131" t="s">
        <v>21</v>
      </c>
      <c r="CN124" s="1130" t="s">
        <v>21</v>
      </c>
      <c r="CP124" s="838" t="s">
        <v>21</v>
      </c>
      <c r="CQ124" s="838" t="s">
        <v>21</v>
      </c>
      <c r="CR124" s="836"/>
    </row>
    <row r="125" spans="1:96" x14ac:dyDescent="0.25">
      <c r="A125" s="935" t="s">
        <v>3064</v>
      </c>
      <c r="B125" s="932"/>
      <c r="C125" s="911"/>
      <c r="D125" s="911"/>
      <c r="E125" s="912"/>
      <c r="F125" s="912"/>
      <c r="G125" s="910"/>
      <c r="H125" s="912"/>
      <c r="I125" s="912"/>
      <c r="J125" s="914"/>
      <c r="K125" s="915"/>
      <c r="L125" s="916" t="s">
        <v>21</v>
      </c>
      <c r="M125" s="916" t="s">
        <v>21</v>
      </c>
      <c r="N125" s="916" t="s">
        <v>21</v>
      </c>
      <c r="O125" s="916" t="s">
        <v>21</v>
      </c>
      <c r="P125" s="915"/>
      <c r="Q125" s="916" t="s">
        <v>21</v>
      </c>
      <c r="R125" s="917" t="s">
        <v>21</v>
      </c>
      <c r="S125" s="918" t="s">
        <v>21</v>
      </c>
      <c r="T125" s="918" t="s">
        <v>21</v>
      </c>
      <c r="U125" s="916" t="s">
        <v>21</v>
      </c>
      <c r="V125" s="916" t="s">
        <v>21</v>
      </c>
      <c r="W125" s="915"/>
      <c r="X125" s="916" t="s">
        <v>21</v>
      </c>
      <c r="Y125" s="916" t="s">
        <v>21</v>
      </c>
      <c r="Z125" s="916" t="s">
        <v>21</v>
      </c>
      <c r="AA125" s="916" t="s">
        <v>21</v>
      </c>
      <c r="AB125" s="916" t="s">
        <v>21</v>
      </c>
      <c r="AC125" s="915"/>
      <c r="AD125" s="919" t="s">
        <v>21</v>
      </c>
      <c r="AE125" s="920" t="s">
        <v>21</v>
      </c>
      <c r="AF125" s="920" t="s">
        <v>21</v>
      </c>
      <c r="AG125" s="920" t="s">
        <v>21</v>
      </c>
      <c r="AH125" s="921" t="s">
        <v>21</v>
      </c>
      <c r="AI125" s="921" t="s">
        <v>21</v>
      </c>
      <c r="AJ125" s="920" t="s">
        <v>21</v>
      </c>
      <c r="AK125" s="920" t="s">
        <v>21</v>
      </c>
      <c r="AL125" s="921" t="s">
        <v>21</v>
      </c>
      <c r="AM125" s="921" t="s">
        <v>21</v>
      </c>
      <c r="AN125" s="920"/>
      <c r="AO125" s="920" t="s">
        <v>21</v>
      </c>
      <c r="AP125" s="919" t="s">
        <v>21</v>
      </c>
      <c r="AQ125" s="922" t="s">
        <v>21</v>
      </c>
      <c r="AR125" s="923" t="s">
        <v>21</v>
      </c>
      <c r="AS125" s="923" t="s">
        <v>21</v>
      </c>
      <c r="AT125" s="923" t="s">
        <v>21</v>
      </c>
      <c r="AU125" s="923" t="s">
        <v>21</v>
      </c>
      <c r="AV125" s="924" t="s">
        <v>21</v>
      </c>
      <c r="AW125" s="924" t="s">
        <v>21</v>
      </c>
      <c r="AX125" s="924" t="s">
        <v>21</v>
      </c>
      <c r="AY125" s="924" t="s">
        <v>21</v>
      </c>
      <c r="AZ125" s="923" t="s">
        <v>21</v>
      </c>
      <c r="BA125" s="923"/>
      <c r="BB125" s="919" t="s">
        <v>21</v>
      </c>
      <c r="BC125" s="919" t="s">
        <v>21</v>
      </c>
      <c r="BD125" s="919" t="s">
        <v>21</v>
      </c>
      <c r="BE125" s="925" t="s">
        <v>21</v>
      </c>
      <c r="BF125" s="926" t="s">
        <v>21</v>
      </c>
      <c r="BG125" s="925" t="s">
        <v>21</v>
      </c>
      <c r="BH125" s="926" t="s">
        <v>21</v>
      </c>
      <c r="BI125" s="925" t="s">
        <v>21</v>
      </c>
      <c r="BJ125" s="926" t="s">
        <v>21</v>
      </c>
      <c r="BK125" s="925" t="s">
        <v>21</v>
      </c>
      <c r="BL125" s="926" t="s">
        <v>21</v>
      </c>
      <c r="BM125" s="925" t="s">
        <v>21</v>
      </c>
      <c r="BN125" s="927"/>
      <c r="BO125" s="927"/>
      <c r="BP125" s="928" t="s">
        <v>21</v>
      </c>
      <c r="BQ125" s="928" t="s">
        <v>21</v>
      </c>
      <c r="BR125" s="928" t="s">
        <v>21</v>
      </c>
      <c r="BS125" s="928" t="s">
        <v>21</v>
      </c>
      <c r="BT125" s="928" t="s">
        <v>21</v>
      </c>
      <c r="BU125" s="928" t="s">
        <v>21</v>
      </c>
      <c r="BV125" s="929" t="s">
        <v>21</v>
      </c>
      <c r="BW125" s="929" t="s">
        <v>21</v>
      </c>
      <c r="BX125" s="1104" t="s">
        <v>21</v>
      </c>
      <c r="BY125" s="931" t="s">
        <v>21</v>
      </c>
      <c r="BZ125" s="930"/>
      <c r="CA125" s="1074"/>
      <c r="CB125" s="930"/>
      <c r="CC125" s="930"/>
      <c r="CD125" s="925" t="s">
        <v>21</v>
      </c>
      <c r="CE125" s="1130" t="s">
        <v>21</v>
      </c>
      <c r="CF125" s="1129" t="s">
        <v>21</v>
      </c>
      <c r="CG125" s="1130" t="s">
        <v>21</v>
      </c>
      <c r="CH125" s="1130" t="s">
        <v>21</v>
      </c>
      <c r="CI125" s="1131" t="s">
        <v>21</v>
      </c>
      <c r="CJ125" s="1129" t="s">
        <v>21</v>
      </c>
      <c r="CK125" s="1130" t="s">
        <v>21</v>
      </c>
      <c r="CL125" s="1130" t="s">
        <v>21</v>
      </c>
      <c r="CM125" s="1131" t="s">
        <v>21</v>
      </c>
      <c r="CN125" s="1130" t="s">
        <v>21</v>
      </c>
      <c r="CP125" s="838" t="s">
        <v>21</v>
      </c>
      <c r="CQ125" s="838" t="s">
        <v>21</v>
      </c>
      <c r="CR125" s="836"/>
    </row>
    <row r="126" spans="1:96" x14ac:dyDescent="0.25">
      <c r="A126" s="935">
        <v>2</v>
      </c>
      <c r="B126" s="932"/>
      <c r="C126" s="911"/>
      <c r="D126" s="911"/>
      <c r="E126" s="912"/>
      <c r="F126" s="912"/>
      <c r="G126" s="910"/>
      <c r="H126" s="912"/>
      <c r="I126" s="912"/>
      <c r="J126" s="914"/>
      <c r="K126" s="915"/>
      <c r="L126" s="916" t="s">
        <v>21</v>
      </c>
      <c r="M126" s="916" t="s">
        <v>21</v>
      </c>
      <c r="N126" s="916" t="s">
        <v>21</v>
      </c>
      <c r="O126" s="916" t="s">
        <v>21</v>
      </c>
      <c r="P126" s="915"/>
      <c r="Q126" s="916" t="s">
        <v>21</v>
      </c>
      <c r="R126" s="917" t="s">
        <v>21</v>
      </c>
      <c r="S126" s="918" t="s">
        <v>21</v>
      </c>
      <c r="T126" s="918" t="s">
        <v>21</v>
      </c>
      <c r="U126" s="916" t="s">
        <v>21</v>
      </c>
      <c r="V126" s="916" t="s">
        <v>21</v>
      </c>
      <c r="W126" s="915"/>
      <c r="X126" s="916" t="s">
        <v>21</v>
      </c>
      <c r="Y126" s="916" t="s">
        <v>21</v>
      </c>
      <c r="Z126" s="916" t="s">
        <v>21</v>
      </c>
      <c r="AA126" s="916" t="s">
        <v>21</v>
      </c>
      <c r="AB126" s="916" t="s">
        <v>21</v>
      </c>
      <c r="AC126" s="915"/>
      <c r="AD126" s="919" t="s">
        <v>21</v>
      </c>
      <c r="AE126" s="920" t="s">
        <v>21</v>
      </c>
      <c r="AF126" s="920" t="s">
        <v>21</v>
      </c>
      <c r="AG126" s="920" t="s">
        <v>21</v>
      </c>
      <c r="AH126" s="921" t="s">
        <v>21</v>
      </c>
      <c r="AI126" s="921" t="s">
        <v>21</v>
      </c>
      <c r="AJ126" s="920" t="s">
        <v>21</v>
      </c>
      <c r="AK126" s="920" t="s">
        <v>21</v>
      </c>
      <c r="AL126" s="921" t="s">
        <v>21</v>
      </c>
      <c r="AM126" s="921" t="s">
        <v>21</v>
      </c>
      <c r="AN126" s="920"/>
      <c r="AO126" s="920" t="s">
        <v>21</v>
      </c>
      <c r="AP126" s="919" t="s">
        <v>21</v>
      </c>
      <c r="AQ126" s="922" t="s">
        <v>21</v>
      </c>
      <c r="AR126" s="923" t="s">
        <v>21</v>
      </c>
      <c r="AS126" s="923" t="s">
        <v>21</v>
      </c>
      <c r="AT126" s="923" t="s">
        <v>21</v>
      </c>
      <c r="AU126" s="923" t="s">
        <v>21</v>
      </c>
      <c r="AV126" s="924" t="s">
        <v>21</v>
      </c>
      <c r="AW126" s="924" t="s">
        <v>21</v>
      </c>
      <c r="AX126" s="924" t="s">
        <v>21</v>
      </c>
      <c r="AY126" s="924" t="s">
        <v>21</v>
      </c>
      <c r="AZ126" s="923" t="s">
        <v>21</v>
      </c>
      <c r="BA126" s="923"/>
      <c r="BB126" s="919" t="s">
        <v>21</v>
      </c>
      <c r="BC126" s="919" t="s">
        <v>21</v>
      </c>
      <c r="BD126" s="919" t="s">
        <v>21</v>
      </c>
      <c r="BE126" s="925" t="s">
        <v>21</v>
      </c>
      <c r="BF126" s="926" t="s">
        <v>21</v>
      </c>
      <c r="BG126" s="925" t="s">
        <v>21</v>
      </c>
      <c r="BH126" s="926" t="s">
        <v>21</v>
      </c>
      <c r="BI126" s="925" t="s">
        <v>21</v>
      </c>
      <c r="BJ126" s="926" t="s">
        <v>21</v>
      </c>
      <c r="BK126" s="925" t="s">
        <v>21</v>
      </c>
      <c r="BL126" s="926" t="s">
        <v>21</v>
      </c>
      <c r="BM126" s="925" t="s">
        <v>21</v>
      </c>
      <c r="BN126" s="927"/>
      <c r="BO126" s="927"/>
      <c r="BP126" s="928" t="s">
        <v>21</v>
      </c>
      <c r="BQ126" s="928" t="s">
        <v>21</v>
      </c>
      <c r="BR126" s="928" t="s">
        <v>21</v>
      </c>
      <c r="BS126" s="928" t="s">
        <v>21</v>
      </c>
      <c r="BT126" s="928" t="s">
        <v>21</v>
      </c>
      <c r="BU126" s="928" t="s">
        <v>21</v>
      </c>
      <c r="BV126" s="929" t="s">
        <v>21</v>
      </c>
      <c r="BW126" s="929" t="s">
        <v>21</v>
      </c>
      <c r="BX126" s="1104" t="s">
        <v>21</v>
      </c>
      <c r="BY126" s="931" t="s">
        <v>21</v>
      </c>
      <c r="BZ126" s="930"/>
      <c r="CA126" s="1074"/>
      <c r="CB126" s="930"/>
      <c r="CC126" s="930"/>
      <c r="CD126" s="925" t="s">
        <v>21</v>
      </c>
      <c r="CE126" s="1130" t="s">
        <v>21</v>
      </c>
      <c r="CF126" s="1129" t="s">
        <v>21</v>
      </c>
      <c r="CG126" s="1130" t="s">
        <v>21</v>
      </c>
      <c r="CH126" s="1130" t="s">
        <v>21</v>
      </c>
      <c r="CI126" s="1131" t="s">
        <v>21</v>
      </c>
      <c r="CJ126" s="1129" t="s">
        <v>21</v>
      </c>
      <c r="CK126" s="1130" t="s">
        <v>21</v>
      </c>
      <c r="CL126" s="1130" t="s">
        <v>21</v>
      </c>
      <c r="CM126" s="1131" t="s">
        <v>21</v>
      </c>
      <c r="CN126" s="1130" t="s">
        <v>21</v>
      </c>
      <c r="CP126" s="838" t="s">
        <v>21</v>
      </c>
      <c r="CQ126" s="838" t="s">
        <v>21</v>
      </c>
      <c r="CR126" s="836"/>
    </row>
    <row r="127" spans="1:96" x14ac:dyDescent="0.25">
      <c r="A127" s="935"/>
      <c r="B127" s="932"/>
      <c r="C127" s="911"/>
      <c r="D127" s="911"/>
      <c r="E127" s="912"/>
      <c r="F127" s="912"/>
      <c r="G127" s="910"/>
      <c r="H127" s="912"/>
      <c r="I127" s="912"/>
      <c r="J127" s="914"/>
      <c r="K127" s="915"/>
      <c r="L127" s="916" t="s">
        <v>21</v>
      </c>
      <c r="M127" s="916" t="s">
        <v>21</v>
      </c>
      <c r="N127" s="916" t="s">
        <v>21</v>
      </c>
      <c r="O127" s="916" t="s">
        <v>21</v>
      </c>
      <c r="P127" s="915"/>
      <c r="Q127" s="916" t="s">
        <v>21</v>
      </c>
      <c r="R127" s="917" t="s">
        <v>21</v>
      </c>
      <c r="S127" s="918" t="s">
        <v>21</v>
      </c>
      <c r="T127" s="918" t="s">
        <v>21</v>
      </c>
      <c r="U127" s="916" t="s">
        <v>21</v>
      </c>
      <c r="V127" s="916" t="s">
        <v>21</v>
      </c>
      <c r="W127" s="915"/>
      <c r="X127" s="916" t="s">
        <v>21</v>
      </c>
      <c r="Y127" s="916" t="s">
        <v>21</v>
      </c>
      <c r="Z127" s="916" t="s">
        <v>21</v>
      </c>
      <c r="AA127" s="916" t="s">
        <v>21</v>
      </c>
      <c r="AB127" s="916" t="s">
        <v>21</v>
      </c>
      <c r="AC127" s="915"/>
      <c r="AD127" s="919" t="s">
        <v>21</v>
      </c>
      <c r="AE127" s="920" t="s">
        <v>21</v>
      </c>
      <c r="AF127" s="920" t="s">
        <v>21</v>
      </c>
      <c r="AG127" s="920" t="s">
        <v>21</v>
      </c>
      <c r="AH127" s="921" t="s">
        <v>21</v>
      </c>
      <c r="AI127" s="921" t="s">
        <v>21</v>
      </c>
      <c r="AJ127" s="920" t="s">
        <v>21</v>
      </c>
      <c r="AK127" s="920" t="s">
        <v>21</v>
      </c>
      <c r="AL127" s="921" t="s">
        <v>21</v>
      </c>
      <c r="AM127" s="921" t="s">
        <v>21</v>
      </c>
      <c r="AN127" s="920"/>
      <c r="AO127" s="920" t="s">
        <v>21</v>
      </c>
      <c r="AP127" s="919" t="s">
        <v>21</v>
      </c>
      <c r="AQ127" s="922" t="s">
        <v>21</v>
      </c>
      <c r="AR127" s="923" t="s">
        <v>21</v>
      </c>
      <c r="AS127" s="923" t="s">
        <v>21</v>
      </c>
      <c r="AT127" s="923" t="s">
        <v>21</v>
      </c>
      <c r="AU127" s="923" t="s">
        <v>21</v>
      </c>
      <c r="AV127" s="924" t="s">
        <v>21</v>
      </c>
      <c r="AW127" s="924" t="s">
        <v>21</v>
      </c>
      <c r="AX127" s="924" t="s">
        <v>21</v>
      </c>
      <c r="AY127" s="924" t="s">
        <v>21</v>
      </c>
      <c r="AZ127" s="923" t="s">
        <v>21</v>
      </c>
      <c r="BA127" s="923"/>
      <c r="BB127" s="919" t="s">
        <v>21</v>
      </c>
      <c r="BC127" s="919" t="s">
        <v>21</v>
      </c>
      <c r="BD127" s="919" t="s">
        <v>21</v>
      </c>
      <c r="BE127" s="925" t="s">
        <v>21</v>
      </c>
      <c r="BF127" s="926" t="s">
        <v>21</v>
      </c>
      <c r="BG127" s="925" t="s">
        <v>21</v>
      </c>
      <c r="BH127" s="926" t="s">
        <v>21</v>
      </c>
      <c r="BI127" s="925" t="s">
        <v>21</v>
      </c>
      <c r="BJ127" s="926" t="s">
        <v>21</v>
      </c>
      <c r="BK127" s="925" t="s">
        <v>21</v>
      </c>
      <c r="BL127" s="926" t="s">
        <v>21</v>
      </c>
      <c r="BM127" s="925" t="s">
        <v>21</v>
      </c>
      <c r="BN127" s="927"/>
      <c r="BO127" s="927"/>
      <c r="BP127" s="928" t="s">
        <v>21</v>
      </c>
      <c r="BQ127" s="928" t="s">
        <v>21</v>
      </c>
      <c r="BR127" s="928" t="s">
        <v>21</v>
      </c>
      <c r="BS127" s="928" t="s">
        <v>21</v>
      </c>
      <c r="BT127" s="928" t="s">
        <v>21</v>
      </c>
      <c r="BU127" s="928" t="s">
        <v>21</v>
      </c>
      <c r="BV127" s="929" t="s">
        <v>21</v>
      </c>
      <c r="BW127" s="929" t="s">
        <v>21</v>
      </c>
      <c r="BX127" s="1104" t="s">
        <v>21</v>
      </c>
      <c r="BY127" s="931" t="s">
        <v>21</v>
      </c>
      <c r="BZ127" s="930"/>
      <c r="CA127" s="1074"/>
      <c r="CB127" s="930"/>
      <c r="CC127" s="930"/>
      <c r="CD127" s="925" t="s">
        <v>21</v>
      </c>
      <c r="CE127" s="1130" t="s">
        <v>21</v>
      </c>
      <c r="CF127" s="1129" t="s">
        <v>21</v>
      </c>
      <c r="CG127" s="1130" t="s">
        <v>21</v>
      </c>
      <c r="CH127" s="1130" t="s">
        <v>21</v>
      </c>
      <c r="CI127" s="1131" t="s">
        <v>21</v>
      </c>
      <c r="CJ127" s="1129" t="s">
        <v>21</v>
      </c>
      <c r="CK127" s="1130" t="s">
        <v>21</v>
      </c>
      <c r="CL127" s="1130" t="s">
        <v>21</v>
      </c>
      <c r="CM127" s="1131" t="s">
        <v>21</v>
      </c>
      <c r="CN127" s="1130" t="s">
        <v>21</v>
      </c>
      <c r="CP127" s="838" t="s">
        <v>21</v>
      </c>
      <c r="CQ127" s="838" t="s">
        <v>21</v>
      </c>
      <c r="CR127" s="836"/>
    </row>
    <row r="128" spans="1:96" x14ac:dyDescent="0.25">
      <c r="A128" s="935">
        <v>4</v>
      </c>
      <c r="B128" s="1901" t="s">
        <v>2234</v>
      </c>
      <c r="C128" s="935">
        <v>600</v>
      </c>
      <c r="D128" s="935" t="s">
        <v>2116</v>
      </c>
      <c r="E128" s="936">
        <v>1199.6500000000001</v>
      </c>
      <c r="F128" s="936">
        <v>1197.75</v>
      </c>
      <c r="G128" s="937" t="s">
        <v>3069</v>
      </c>
      <c r="H128" s="936">
        <v>1199.48</v>
      </c>
      <c r="I128" s="936">
        <v>1197.58</v>
      </c>
      <c r="J128" s="914">
        <v>30.58</v>
      </c>
      <c r="K128" s="915"/>
      <c r="L128" s="916">
        <v>0.1</v>
      </c>
      <c r="M128" s="916">
        <v>0.06</v>
      </c>
      <c r="N128" s="916">
        <v>0.2</v>
      </c>
      <c r="O128" s="916">
        <v>6.4</v>
      </c>
      <c r="P128" s="915"/>
      <c r="Q128" s="916">
        <v>2.16</v>
      </c>
      <c r="R128" s="1899">
        <v>0</v>
      </c>
      <c r="S128" s="1898">
        <v>4.4000000000000004</v>
      </c>
      <c r="T128" s="1898">
        <v>4.4000000000000004</v>
      </c>
      <c r="U128" s="916">
        <v>4.32</v>
      </c>
      <c r="V128" s="916">
        <v>0.92</v>
      </c>
      <c r="W128" s="915"/>
      <c r="X128" s="916">
        <v>0.28299999999999997</v>
      </c>
      <c r="Y128" s="916">
        <v>0.40699999999999997</v>
      </c>
      <c r="Z128" s="916">
        <v>9.5039999999999996</v>
      </c>
      <c r="AA128" s="916">
        <v>3.2010000000000001</v>
      </c>
      <c r="AB128" s="916">
        <v>5.4560000000000004</v>
      </c>
      <c r="AC128" s="915"/>
      <c r="AD128" s="919">
        <v>195.71199999999999</v>
      </c>
      <c r="AE128" s="920">
        <v>290.63200000000001</v>
      </c>
      <c r="AF128" s="920" t="s">
        <v>21</v>
      </c>
      <c r="AG128" s="920" t="s">
        <v>21</v>
      </c>
      <c r="AH128" s="921" t="s">
        <v>21</v>
      </c>
      <c r="AI128" s="921" t="s">
        <v>21</v>
      </c>
      <c r="AJ128" s="920" t="s">
        <v>21</v>
      </c>
      <c r="AK128" s="920" t="s">
        <v>21</v>
      </c>
      <c r="AL128" s="921" t="s">
        <v>21</v>
      </c>
      <c r="AM128" s="921" t="s">
        <v>21</v>
      </c>
      <c r="AN128" s="920"/>
      <c r="AO128" s="920">
        <v>290.63200000000001</v>
      </c>
      <c r="AP128" s="919">
        <v>134.55199999999999</v>
      </c>
      <c r="AQ128" s="922">
        <v>132.10560000000001</v>
      </c>
      <c r="AR128" s="923" t="s">
        <v>21</v>
      </c>
      <c r="AS128" s="923" t="s">
        <v>21</v>
      </c>
      <c r="AT128" s="923" t="s">
        <v>21</v>
      </c>
      <c r="AU128" s="923" t="s">
        <v>21</v>
      </c>
      <c r="AV128" s="924" t="s">
        <v>21</v>
      </c>
      <c r="AW128" s="924" t="s">
        <v>21</v>
      </c>
      <c r="AX128" s="924" t="s">
        <v>21</v>
      </c>
      <c r="AY128" s="924" t="s">
        <v>21</v>
      </c>
      <c r="AZ128" s="1902">
        <v>132.10560000000001</v>
      </c>
      <c r="BA128" s="923"/>
      <c r="BB128" s="919" t="s">
        <v>21</v>
      </c>
      <c r="BC128" s="919">
        <v>13.455</v>
      </c>
      <c r="BD128" s="919" t="s">
        <v>2142</v>
      </c>
      <c r="BE128" s="925" t="s">
        <v>21</v>
      </c>
      <c r="BF128" s="926" t="s">
        <v>21</v>
      </c>
      <c r="BG128" s="925">
        <v>30.58</v>
      </c>
      <c r="BH128" s="926" t="s">
        <v>21</v>
      </c>
      <c r="BI128" s="925" t="s">
        <v>21</v>
      </c>
      <c r="BJ128" s="926" t="s">
        <v>21</v>
      </c>
      <c r="BK128" s="925" t="s">
        <v>21</v>
      </c>
      <c r="BL128" s="926" t="s">
        <v>21</v>
      </c>
      <c r="BM128" s="925" t="s">
        <v>21</v>
      </c>
      <c r="BN128" s="927"/>
      <c r="BO128" s="927"/>
      <c r="BP128" s="928">
        <v>1</v>
      </c>
      <c r="BQ128" s="928" t="s">
        <v>21</v>
      </c>
      <c r="BR128" s="928" t="s">
        <v>21</v>
      </c>
      <c r="BS128" s="928" t="s">
        <v>21</v>
      </c>
      <c r="BT128" s="928" t="s">
        <v>21</v>
      </c>
      <c r="BU128" s="928" t="s">
        <v>21</v>
      </c>
      <c r="BV128" s="929">
        <v>0.50000000000009104</v>
      </c>
      <c r="BW128" s="929">
        <v>1</v>
      </c>
      <c r="BX128" s="1104">
        <v>2</v>
      </c>
      <c r="BY128" s="931">
        <v>4</v>
      </c>
      <c r="BZ128" s="930"/>
      <c r="CA128" s="1074">
        <v>1</v>
      </c>
      <c r="CB128" s="930"/>
      <c r="CC128" s="930"/>
      <c r="CD128" s="925">
        <v>97.887</v>
      </c>
      <c r="CE128" s="1130">
        <v>166.84399999999999</v>
      </c>
      <c r="CF128" s="1129" t="s">
        <v>21</v>
      </c>
      <c r="CG128" s="1130" t="s">
        <v>21</v>
      </c>
      <c r="CH128" s="1130" t="s">
        <v>21</v>
      </c>
      <c r="CI128" s="1131" t="s">
        <v>21</v>
      </c>
      <c r="CJ128" s="1129" t="s">
        <v>21</v>
      </c>
      <c r="CK128" s="1130" t="s">
        <v>21</v>
      </c>
      <c r="CL128" s="1130" t="s">
        <v>21</v>
      </c>
      <c r="CM128" s="1131" t="s">
        <v>21</v>
      </c>
      <c r="CN128" s="1130">
        <v>166.84399999999999</v>
      </c>
      <c r="CP128" s="838" t="s">
        <v>21</v>
      </c>
      <c r="CQ128" s="838" t="s">
        <v>21</v>
      </c>
      <c r="CR128" s="836"/>
    </row>
    <row r="129" spans="1:96" x14ac:dyDescent="0.25">
      <c r="A129" s="935" t="s">
        <v>3063</v>
      </c>
      <c r="B129" s="1180"/>
      <c r="C129" s="935"/>
      <c r="D129" s="935"/>
      <c r="E129" s="936"/>
      <c r="F129" s="936"/>
      <c r="G129" s="937"/>
      <c r="H129" s="936"/>
      <c r="I129" s="936"/>
      <c r="J129" s="914"/>
      <c r="K129" s="915"/>
      <c r="L129" s="916" t="s">
        <v>21</v>
      </c>
      <c r="M129" s="916" t="s">
        <v>21</v>
      </c>
      <c r="N129" s="916" t="s">
        <v>21</v>
      </c>
      <c r="O129" s="916" t="s">
        <v>21</v>
      </c>
      <c r="P129" s="915"/>
      <c r="Q129" s="916" t="s">
        <v>21</v>
      </c>
      <c r="R129" s="917" t="s">
        <v>21</v>
      </c>
      <c r="S129" s="918" t="s">
        <v>21</v>
      </c>
      <c r="T129" s="918" t="s">
        <v>21</v>
      </c>
      <c r="U129" s="916" t="s">
        <v>21</v>
      </c>
      <c r="V129" s="916" t="s">
        <v>21</v>
      </c>
      <c r="W129" s="915"/>
      <c r="X129" s="916" t="s">
        <v>21</v>
      </c>
      <c r="Y129" s="916" t="s">
        <v>21</v>
      </c>
      <c r="Z129" s="916" t="s">
        <v>21</v>
      </c>
      <c r="AA129" s="916" t="s">
        <v>21</v>
      </c>
      <c r="AB129" s="916" t="s">
        <v>21</v>
      </c>
      <c r="AC129" s="915"/>
      <c r="AD129" s="919" t="s">
        <v>21</v>
      </c>
      <c r="AE129" s="920" t="s">
        <v>21</v>
      </c>
      <c r="AF129" s="920" t="s">
        <v>21</v>
      </c>
      <c r="AG129" s="920" t="s">
        <v>21</v>
      </c>
      <c r="AH129" s="921" t="s">
        <v>21</v>
      </c>
      <c r="AI129" s="921" t="s">
        <v>21</v>
      </c>
      <c r="AJ129" s="920" t="s">
        <v>21</v>
      </c>
      <c r="AK129" s="920" t="s">
        <v>21</v>
      </c>
      <c r="AL129" s="921" t="s">
        <v>21</v>
      </c>
      <c r="AM129" s="921" t="s">
        <v>21</v>
      </c>
      <c r="AN129" s="920"/>
      <c r="AO129" s="920" t="s">
        <v>21</v>
      </c>
      <c r="AP129" s="919" t="s">
        <v>21</v>
      </c>
      <c r="AQ129" s="922" t="s">
        <v>21</v>
      </c>
      <c r="AR129" s="923" t="s">
        <v>21</v>
      </c>
      <c r="AS129" s="923" t="s">
        <v>21</v>
      </c>
      <c r="AT129" s="923" t="s">
        <v>21</v>
      </c>
      <c r="AU129" s="923" t="s">
        <v>21</v>
      </c>
      <c r="AV129" s="924" t="s">
        <v>21</v>
      </c>
      <c r="AW129" s="924" t="s">
        <v>21</v>
      </c>
      <c r="AX129" s="924" t="s">
        <v>21</v>
      </c>
      <c r="AY129" s="924" t="s">
        <v>21</v>
      </c>
      <c r="AZ129" s="923" t="s">
        <v>21</v>
      </c>
      <c r="BA129" s="923"/>
      <c r="BB129" s="919" t="s">
        <v>21</v>
      </c>
      <c r="BC129" s="919" t="s">
        <v>21</v>
      </c>
      <c r="BD129" s="919" t="s">
        <v>21</v>
      </c>
      <c r="BE129" s="925" t="s">
        <v>21</v>
      </c>
      <c r="BF129" s="926" t="s">
        <v>21</v>
      </c>
      <c r="BG129" s="925" t="s">
        <v>21</v>
      </c>
      <c r="BH129" s="926" t="s">
        <v>21</v>
      </c>
      <c r="BI129" s="925" t="s">
        <v>21</v>
      </c>
      <c r="BJ129" s="926" t="s">
        <v>21</v>
      </c>
      <c r="BK129" s="925" t="s">
        <v>21</v>
      </c>
      <c r="BL129" s="926" t="s">
        <v>21</v>
      </c>
      <c r="BM129" s="925" t="s">
        <v>21</v>
      </c>
      <c r="BN129" s="927"/>
      <c r="BO129" s="927"/>
      <c r="BP129" s="928" t="s">
        <v>21</v>
      </c>
      <c r="BQ129" s="928" t="s">
        <v>21</v>
      </c>
      <c r="BR129" s="928" t="s">
        <v>21</v>
      </c>
      <c r="BS129" s="928" t="s">
        <v>21</v>
      </c>
      <c r="BT129" s="928" t="s">
        <v>21</v>
      </c>
      <c r="BU129" s="928" t="s">
        <v>21</v>
      </c>
      <c r="BV129" s="929" t="s">
        <v>21</v>
      </c>
      <c r="BW129" s="929" t="s">
        <v>21</v>
      </c>
      <c r="BX129" s="1104" t="s">
        <v>21</v>
      </c>
      <c r="BY129" s="931" t="s">
        <v>21</v>
      </c>
      <c r="BZ129" s="930"/>
      <c r="CA129" s="1074"/>
      <c r="CB129" s="930"/>
      <c r="CC129" s="930"/>
      <c r="CD129" s="925" t="s">
        <v>21</v>
      </c>
      <c r="CE129" s="1130" t="s">
        <v>21</v>
      </c>
      <c r="CF129" s="1129" t="s">
        <v>21</v>
      </c>
      <c r="CG129" s="1130" t="s">
        <v>21</v>
      </c>
      <c r="CH129" s="1130" t="s">
        <v>21</v>
      </c>
      <c r="CI129" s="1131" t="s">
        <v>21</v>
      </c>
      <c r="CJ129" s="1129" t="s">
        <v>21</v>
      </c>
      <c r="CK129" s="1130" t="s">
        <v>21</v>
      </c>
      <c r="CL129" s="1130" t="s">
        <v>21</v>
      </c>
      <c r="CM129" s="1131" t="s">
        <v>21</v>
      </c>
      <c r="CN129" s="1130" t="s">
        <v>21</v>
      </c>
      <c r="CP129" s="838" t="s">
        <v>21</v>
      </c>
      <c r="CQ129" s="838" t="s">
        <v>21</v>
      </c>
      <c r="CR129" s="836"/>
    </row>
    <row r="130" spans="1:96" x14ac:dyDescent="0.25">
      <c r="A130" s="935" t="s">
        <v>3073</v>
      </c>
      <c r="B130" s="1180"/>
      <c r="C130" s="935"/>
      <c r="D130" s="935"/>
      <c r="E130" s="936"/>
      <c r="F130" s="936"/>
      <c r="G130" s="937"/>
      <c r="H130" s="936"/>
      <c r="I130" s="936"/>
      <c r="J130" s="914"/>
      <c r="K130" s="915"/>
      <c r="L130" s="916" t="s">
        <v>21</v>
      </c>
      <c r="M130" s="916" t="s">
        <v>21</v>
      </c>
      <c r="N130" s="916" t="s">
        <v>21</v>
      </c>
      <c r="O130" s="916" t="s">
        <v>21</v>
      </c>
      <c r="P130" s="915"/>
      <c r="Q130" s="916" t="s">
        <v>21</v>
      </c>
      <c r="R130" s="917" t="s">
        <v>21</v>
      </c>
      <c r="S130" s="918" t="s">
        <v>21</v>
      </c>
      <c r="T130" s="918" t="s">
        <v>21</v>
      </c>
      <c r="U130" s="916" t="s">
        <v>21</v>
      </c>
      <c r="V130" s="916" t="s">
        <v>21</v>
      </c>
      <c r="W130" s="915"/>
      <c r="X130" s="916" t="s">
        <v>21</v>
      </c>
      <c r="Y130" s="916" t="s">
        <v>21</v>
      </c>
      <c r="Z130" s="916" t="s">
        <v>21</v>
      </c>
      <c r="AA130" s="916" t="s">
        <v>21</v>
      </c>
      <c r="AB130" s="916" t="s">
        <v>21</v>
      </c>
      <c r="AC130" s="915"/>
      <c r="AD130" s="919" t="s">
        <v>21</v>
      </c>
      <c r="AE130" s="920" t="s">
        <v>21</v>
      </c>
      <c r="AF130" s="920" t="s">
        <v>21</v>
      </c>
      <c r="AG130" s="920" t="s">
        <v>21</v>
      </c>
      <c r="AH130" s="921" t="s">
        <v>21</v>
      </c>
      <c r="AI130" s="921" t="s">
        <v>21</v>
      </c>
      <c r="AJ130" s="920" t="s">
        <v>21</v>
      </c>
      <c r="AK130" s="920" t="s">
        <v>21</v>
      </c>
      <c r="AL130" s="921" t="s">
        <v>21</v>
      </c>
      <c r="AM130" s="921" t="s">
        <v>21</v>
      </c>
      <c r="AN130" s="920"/>
      <c r="AO130" s="920" t="s">
        <v>21</v>
      </c>
      <c r="AP130" s="919" t="s">
        <v>21</v>
      </c>
      <c r="AQ130" s="922" t="s">
        <v>21</v>
      </c>
      <c r="AR130" s="923" t="s">
        <v>21</v>
      </c>
      <c r="AS130" s="923" t="s">
        <v>21</v>
      </c>
      <c r="AT130" s="923" t="s">
        <v>21</v>
      </c>
      <c r="AU130" s="923" t="s">
        <v>21</v>
      </c>
      <c r="AV130" s="924" t="s">
        <v>21</v>
      </c>
      <c r="AW130" s="924" t="s">
        <v>21</v>
      </c>
      <c r="AX130" s="924" t="s">
        <v>21</v>
      </c>
      <c r="AY130" s="924" t="s">
        <v>21</v>
      </c>
      <c r="AZ130" s="923" t="s">
        <v>21</v>
      </c>
      <c r="BA130" s="923"/>
      <c r="BB130" s="919" t="s">
        <v>21</v>
      </c>
      <c r="BC130" s="919" t="s">
        <v>21</v>
      </c>
      <c r="BD130" s="919" t="s">
        <v>21</v>
      </c>
      <c r="BE130" s="925" t="s">
        <v>21</v>
      </c>
      <c r="BF130" s="926" t="s">
        <v>21</v>
      </c>
      <c r="BG130" s="925" t="s">
        <v>21</v>
      </c>
      <c r="BH130" s="926" t="s">
        <v>21</v>
      </c>
      <c r="BI130" s="925" t="s">
        <v>21</v>
      </c>
      <c r="BJ130" s="926" t="s">
        <v>21</v>
      </c>
      <c r="BK130" s="925" t="s">
        <v>21</v>
      </c>
      <c r="BL130" s="926" t="s">
        <v>21</v>
      </c>
      <c r="BM130" s="925" t="s">
        <v>21</v>
      </c>
      <c r="BN130" s="927"/>
      <c r="BO130" s="927"/>
      <c r="BP130" s="928" t="s">
        <v>21</v>
      </c>
      <c r="BQ130" s="928" t="s">
        <v>21</v>
      </c>
      <c r="BR130" s="928" t="s">
        <v>21</v>
      </c>
      <c r="BS130" s="928" t="s">
        <v>21</v>
      </c>
      <c r="BT130" s="928" t="s">
        <v>21</v>
      </c>
      <c r="BU130" s="928" t="s">
        <v>21</v>
      </c>
      <c r="BV130" s="929" t="s">
        <v>21</v>
      </c>
      <c r="BW130" s="929" t="s">
        <v>21</v>
      </c>
      <c r="BX130" s="1104" t="s">
        <v>21</v>
      </c>
      <c r="BY130" s="931" t="s">
        <v>21</v>
      </c>
      <c r="BZ130" s="930"/>
      <c r="CA130" s="1074"/>
      <c r="CB130" s="930"/>
      <c r="CC130" s="930"/>
      <c r="CD130" s="925" t="s">
        <v>21</v>
      </c>
      <c r="CE130" s="1130" t="s">
        <v>21</v>
      </c>
      <c r="CF130" s="1129" t="s">
        <v>21</v>
      </c>
      <c r="CG130" s="1130" t="s">
        <v>21</v>
      </c>
      <c r="CH130" s="1130" t="s">
        <v>21</v>
      </c>
      <c r="CI130" s="1131" t="s">
        <v>21</v>
      </c>
      <c r="CJ130" s="1129" t="s">
        <v>21</v>
      </c>
      <c r="CK130" s="1130" t="s">
        <v>21</v>
      </c>
      <c r="CL130" s="1130" t="s">
        <v>21</v>
      </c>
      <c r="CM130" s="1131" t="s">
        <v>21</v>
      </c>
      <c r="CN130" s="1130" t="s">
        <v>21</v>
      </c>
      <c r="CP130" s="838" t="s">
        <v>21</v>
      </c>
      <c r="CQ130" s="838" t="s">
        <v>21</v>
      </c>
      <c r="CR130" s="836"/>
    </row>
    <row r="131" spans="1:96" x14ac:dyDescent="0.25">
      <c r="A131" s="935" t="s">
        <v>3064</v>
      </c>
      <c r="B131" s="1180"/>
      <c r="C131" s="935"/>
      <c r="D131" s="935"/>
      <c r="E131" s="936"/>
      <c r="F131" s="936"/>
      <c r="G131" s="937"/>
      <c r="H131" s="936"/>
      <c r="I131" s="936"/>
      <c r="J131" s="914"/>
      <c r="K131" s="915"/>
      <c r="L131" s="916" t="s">
        <v>21</v>
      </c>
      <c r="M131" s="916" t="s">
        <v>21</v>
      </c>
      <c r="N131" s="916" t="s">
        <v>21</v>
      </c>
      <c r="O131" s="916" t="s">
        <v>21</v>
      </c>
      <c r="P131" s="915"/>
      <c r="Q131" s="916" t="s">
        <v>21</v>
      </c>
      <c r="R131" s="917" t="s">
        <v>21</v>
      </c>
      <c r="S131" s="918" t="s">
        <v>21</v>
      </c>
      <c r="T131" s="918" t="s">
        <v>21</v>
      </c>
      <c r="U131" s="916" t="s">
        <v>21</v>
      </c>
      <c r="V131" s="916" t="s">
        <v>21</v>
      </c>
      <c r="W131" s="915"/>
      <c r="X131" s="916" t="s">
        <v>21</v>
      </c>
      <c r="Y131" s="916" t="s">
        <v>21</v>
      </c>
      <c r="Z131" s="916" t="s">
        <v>21</v>
      </c>
      <c r="AA131" s="916" t="s">
        <v>21</v>
      </c>
      <c r="AB131" s="916" t="s">
        <v>21</v>
      </c>
      <c r="AC131" s="915"/>
      <c r="AD131" s="919" t="s">
        <v>21</v>
      </c>
      <c r="AE131" s="920" t="s">
        <v>21</v>
      </c>
      <c r="AF131" s="920" t="s">
        <v>21</v>
      </c>
      <c r="AG131" s="920" t="s">
        <v>21</v>
      </c>
      <c r="AH131" s="921" t="s">
        <v>21</v>
      </c>
      <c r="AI131" s="921" t="s">
        <v>21</v>
      </c>
      <c r="AJ131" s="920" t="s">
        <v>21</v>
      </c>
      <c r="AK131" s="920" t="s">
        <v>21</v>
      </c>
      <c r="AL131" s="921" t="s">
        <v>21</v>
      </c>
      <c r="AM131" s="921" t="s">
        <v>21</v>
      </c>
      <c r="AN131" s="920"/>
      <c r="AO131" s="920" t="s">
        <v>21</v>
      </c>
      <c r="AP131" s="919" t="s">
        <v>21</v>
      </c>
      <c r="AQ131" s="922" t="s">
        <v>21</v>
      </c>
      <c r="AR131" s="923" t="s">
        <v>21</v>
      </c>
      <c r="AS131" s="923" t="s">
        <v>21</v>
      </c>
      <c r="AT131" s="923" t="s">
        <v>21</v>
      </c>
      <c r="AU131" s="923" t="s">
        <v>21</v>
      </c>
      <c r="AV131" s="924" t="s">
        <v>21</v>
      </c>
      <c r="AW131" s="924" t="s">
        <v>21</v>
      </c>
      <c r="AX131" s="924" t="s">
        <v>21</v>
      </c>
      <c r="AY131" s="924" t="s">
        <v>21</v>
      </c>
      <c r="AZ131" s="923" t="s">
        <v>21</v>
      </c>
      <c r="BA131" s="923"/>
      <c r="BB131" s="919" t="s">
        <v>21</v>
      </c>
      <c r="BC131" s="919" t="s">
        <v>21</v>
      </c>
      <c r="BD131" s="919" t="s">
        <v>21</v>
      </c>
      <c r="BE131" s="925" t="s">
        <v>21</v>
      </c>
      <c r="BF131" s="926" t="s">
        <v>21</v>
      </c>
      <c r="BG131" s="925" t="s">
        <v>21</v>
      </c>
      <c r="BH131" s="926" t="s">
        <v>21</v>
      </c>
      <c r="BI131" s="925" t="s">
        <v>21</v>
      </c>
      <c r="BJ131" s="926" t="s">
        <v>21</v>
      </c>
      <c r="BK131" s="925" t="s">
        <v>21</v>
      </c>
      <c r="BL131" s="926" t="s">
        <v>21</v>
      </c>
      <c r="BM131" s="925" t="s">
        <v>21</v>
      </c>
      <c r="BN131" s="927"/>
      <c r="BO131" s="927"/>
      <c r="BP131" s="928" t="s">
        <v>21</v>
      </c>
      <c r="BQ131" s="928" t="s">
        <v>21</v>
      </c>
      <c r="BR131" s="928" t="s">
        <v>21</v>
      </c>
      <c r="BS131" s="928" t="s">
        <v>21</v>
      </c>
      <c r="BT131" s="928" t="s">
        <v>21</v>
      </c>
      <c r="BU131" s="928" t="s">
        <v>21</v>
      </c>
      <c r="BV131" s="929" t="s">
        <v>21</v>
      </c>
      <c r="BW131" s="929" t="s">
        <v>21</v>
      </c>
      <c r="BX131" s="1104" t="s">
        <v>21</v>
      </c>
      <c r="BY131" s="931" t="s">
        <v>21</v>
      </c>
      <c r="BZ131" s="930"/>
      <c r="CA131" s="1074"/>
      <c r="CB131" s="930"/>
      <c r="CC131" s="930"/>
      <c r="CD131" s="925" t="s">
        <v>21</v>
      </c>
      <c r="CE131" s="1130" t="s">
        <v>21</v>
      </c>
      <c r="CF131" s="1129" t="s">
        <v>21</v>
      </c>
      <c r="CG131" s="1130" t="s">
        <v>21</v>
      </c>
      <c r="CH131" s="1130" t="s">
        <v>21</v>
      </c>
      <c r="CI131" s="1131" t="s">
        <v>21</v>
      </c>
      <c r="CJ131" s="1129" t="s">
        <v>21</v>
      </c>
      <c r="CK131" s="1130" t="s">
        <v>21</v>
      </c>
      <c r="CL131" s="1130" t="s">
        <v>21</v>
      </c>
      <c r="CM131" s="1131" t="s">
        <v>21</v>
      </c>
      <c r="CN131" s="1130" t="s">
        <v>21</v>
      </c>
      <c r="CP131" s="838" t="s">
        <v>21</v>
      </c>
      <c r="CQ131" s="838" t="s">
        <v>21</v>
      </c>
      <c r="CR131" s="836"/>
    </row>
    <row r="132" spans="1:96" x14ac:dyDescent="0.25">
      <c r="A132" s="935">
        <v>2</v>
      </c>
      <c r="B132" s="1180"/>
      <c r="C132" s="935"/>
      <c r="D132" s="935"/>
      <c r="E132" s="936"/>
      <c r="F132" s="936"/>
      <c r="G132" s="937"/>
      <c r="H132" s="936"/>
      <c r="I132" s="936"/>
      <c r="J132" s="914"/>
      <c r="K132" s="915"/>
      <c r="L132" s="916" t="s">
        <v>21</v>
      </c>
      <c r="M132" s="916" t="s">
        <v>21</v>
      </c>
      <c r="N132" s="916" t="s">
        <v>21</v>
      </c>
      <c r="O132" s="916" t="s">
        <v>21</v>
      </c>
      <c r="P132" s="915"/>
      <c r="Q132" s="916" t="s">
        <v>21</v>
      </c>
      <c r="R132" s="917" t="s">
        <v>21</v>
      </c>
      <c r="S132" s="918" t="s">
        <v>21</v>
      </c>
      <c r="T132" s="918" t="s">
        <v>21</v>
      </c>
      <c r="U132" s="916" t="s">
        <v>21</v>
      </c>
      <c r="V132" s="916" t="s">
        <v>21</v>
      </c>
      <c r="W132" s="915"/>
      <c r="X132" s="916" t="s">
        <v>21</v>
      </c>
      <c r="Y132" s="916" t="s">
        <v>21</v>
      </c>
      <c r="Z132" s="916" t="s">
        <v>21</v>
      </c>
      <c r="AA132" s="916" t="s">
        <v>21</v>
      </c>
      <c r="AB132" s="916" t="s">
        <v>21</v>
      </c>
      <c r="AC132" s="915"/>
      <c r="AD132" s="919" t="s">
        <v>21</v>
      </c>
      <c r="AE132" s="920" t="s">
        <v>21</v>
      </c>
      <c r="AF132" s="920" t="s">
        <v>21</v>
      </c>
      <c r="AG132" s="920" t="s">
        <v>21</v>
      </c>
      <c r="AH132" s="921" t="s">
        <v>21</v>
      </c>
      <c r="AI132" s="921" t="s">
        <v>21</v>
      </c>
      <c r="AJ132" s="920" t="s">
        <v>21</v>
      </c>
      <c r="AK132" s="920" t="s">
        <v>21</v>
      </c>
      <c r="AL132" s="921" t="s">
        <v>21</v>
      </c>
      <c r="AM132" s="921" t="s">
        <v>21</v>
      </c>
      <c r="AN132" s="920"/>
      <c r="AO132" s="920" t="s">
        <v>21</v>
      </c>
      <c r="AP132" s="919" t="s">
        <v>21</v>
      </c>
      <c r="AQ132" s="922" t="s">
        <v>21</v>
      </c>
      <c r="AR132" s="923" t="s">
        <v>21</v>
      </c>
      <c r="AS132" s="923" t="s">
        <v>21</v>
      </c>
      <c r="AT132" s="923" t="s">
        <v>21</v>
      </c>
      <c r="AU132" s="923" t="s">
        <v>21</v>
      </c>
      <c r="AV132" s="924" t="s">
        <v>21</v>
      </c>
      <c r="AW132" s="924" t="s">
        <v>21</v>
      </c>
      <c r="AX132" s="924" t="s">
        <v>21</v>
      </c>
      <c r="AY132" s="924" t="s">
        <v>21</v>
      </c>
      <c r="AZ132" s="923" t="s">
        <v>21</v>
      </c>
      <c r="BA132" s="923"/>
      <c r="BB132" s="919" t="s">
        <v>21</v>
      </c>
      <c r="BC132" s="919" t="s">
        <v>21</v>
      </c>
      <c r="BD132" s="919" t="s">
        <v>21</v>
      </c>
      <c r="BE132" s="925" t="s">
        <v>21</v>
      </c>
      <c r="BF132" s="926" t="s">
        <v>21</v>
      </c>
      <c r="BG132" s="925" t="s">
        <v>21</v>
      </c>
      <c r="BH132" s="926" t="s">
        <v>21</v>
      </c>
      <c r="BI132" s="925" t="s">
        <v>21</v>
      </c>
      <c r="BJ132" s="926" t="s">
        <v>21</v>
      </c>
      <c r="BK132" s="925" t="s">
        <v>21</v>
      </c>
      <c r="BL132" s="926" t="s">
        <v>21</v>
      </c>
      <c r="BM132" s="925" t="s">
        <v>21</v>
      </c>
      <c r="BN132" s="927"/>
      <c r="BO132" s="927"/>
      <c r="BP132" s="928" t="s">
        <v>21</v>
      </c>
      <c r="BQ132" s="928" t="s">
        <v>21</v>
      </c>
      <c r="BR132" s="928" t="s">
        <v>21</v>
      </c>
      <c r="BS132" s="928" t="s">
        <v>21</v>
      </c>
      <c r="BT132" s="928" t="s">
        <v>21</v>
      </c>
      <c r="BU132" s="928" t="s">
        <v>21</v>
      </c>
      <c r="BV132" s="929" t="s">
        <v>21</v>
      </c>
      <c r="BW132" s="929" t="s">
        <v>21</v>
      </c>
      <c r="BX132" s="1104" t="s">
        <v>21</v>
      </c>
      <c r="BY132" s="931" t="s">
        <v>21</v>
      </c>
      <c r="BZ132" s="930"/>
      <c r="CA132" s="1074"/>
      <c r="CB132" s="930"/>
      <c r="CC132" s="930"/>
      <c r="CD132" s="925" t="s">
        <v>21</v>
      </c>
      <c r="CE132" s="1130" t="s">
        <v>21</v>
      </c>
      <c r="CF132" s="1129" t="s">
        <v>21</v>
      </c>
      <c r="CG132" s="1130" t="s">
        <v>21</v>
      </c>
      <c r="CH132" s="1130" t="s">
        <v>21</v>
      </c>
      <c r="CI132" s="1131" t="s">
        <v>21</v>
      </c>
      <c r="CJ132" s="1129" t="s">
        <v>21</v>
      </c>
      <c r="CK132" s="1130" t="s">
        <v>21</v>
      </c>
      <c r="CL132" s="1130" t="s">
        <v>21</v>
      </c>
      <c r="CM132" s="1131" t="s">
        <v>21</v>
      </c>
      <c r="CN132" s="1130" t="s">
        <v>21</v>
      </c>
      <c r="CP132" s="838" t="s">
        <v>21</v>
      </c>
      <c r="CQ132" s="838" t="s">
        <v>21</v>
      </c>
      <c r="CR132" s="836"/>
    </row>
    <row r="133" spans="1:96" x14ac:dyDescent="0.25">
      <c r="A133" s="935"/>
      <c r="B133" s="1180"/>
      <c r="C133" s="935"/>
      <c r="D133" s="935"/>
      <c r="E133" s="936"/>
      <c r="F133" s="936"/>
      <c r="G133" s="937"/>
      <c r="H133" s="936"/>
      <c r="I133" s="936"/>
      <c r="J133" s="914"/>
      <c r="K133" s="915"/>
      <c r="L133" s="916" t="s">
        <v>21</v>
      </c>
      <c r="M133" s="916" t="s">
        <v>21</v>
      </c>
      <c r="N133" s="916" t="s">
        <v>21</v>
      </c>
      <c r="O133" s="916" t="s">
        <v>21</v>
      </c>
      <c r="P133" s="915"/>
      <c r="Q133" s="916" t="s">
        <v>21</v>
      </c>
      <c r="R133" s="917" t="s">
        <v>21</v>
      </c>
      <c r="S133" s="918" t="s">
        <v>21</v>
      </c>
      <c r="T133" s="918" t="s">
        <v>21</v>
      </c>
      <c r="U133" s="916" t="s">
        <v>21</v>
      </c>
      <c r="V133" s="916" t="s">
        <v>21</v>
      </c>
      <c r="W133" s="915"/>
      <c r="X133" s="916" t="s">
        <v>21</v>
      </c>
      <c r="Y133" s="916" t="s">
        <v>21</v>
      </c>
      <c r="Z133" s="916" t="s">
        <v>21</v>
      </c>
      <c r="AA133" s="916" t="s">
        <v>21</v>
      </c>
      <c r="AB133" s="916" t="s">
        <v>21</v>
      </c>
      <c r="AC133" s="915"/>
      <c r="AD133" s="919" t="s">
        <v>21</v>
      </c>
      <c r="AE133" s="920" t="s">
        <v>21</v>
      </c>
      <c r="AF133" s="920" t="s">
        <v>21</v>
      </c>
      <c r="AG133" s="920" t="s">
        <v>21</v>
      </c>
      <c r="AH133" s="921" t="s">
        <v>21</v>
      </c>
      <c r="AI133" s="921" t="s">
        <v>21</v>
      </c>
      <c r="AJ133" s="920" t="s">
        <v>21</v>
      </c>
      <c r="AK133" s="920" t="s">
        <v>21</v>
      </c>
      <c r="AL133" s="921" t="s">
        <v>21</v>
      </c>
      <c r="AM133" s="921" t="s">
        <v>21</v>
      </c>
      <c r="AN133" s="920"/>
      <c r="AO133" s="920" t="s">
        <v>21</v>
      </c>
      <c r="AP133" s="919" t="s">
        <v>21</v>
      </c>
      <c r="AQ133" s="922" t="s">
        <v>21</v>
      </c>
      <c r="AR133" s="923" t="s">
        <v>21</v>
      </c>
      <c r="AS133" s="923" t="s">
        <v>21</v>
      </c>
      <c r="AT133" s="923" t="s">
        <v>21</v>
      </c>
      <c r="AU133" s="923" t="s">
        <v>21</v>
      </c>
      <c r="AV133" s="924" t="s">
        <v>21</v>
      </c>
      <c r="AW133" s="924" t="s">
        <v>21</v>
      </c>
      <c r="AX133" s="924" t="s">
        <v>21</v>
      </c>
      <c r="AY133" s="924" t="s">
        <v>21</v>
      </c>
      <c r="AZ133" s="923" t="s">
        <v>21</v>
      </c>
      <c r="BA133" s="923"/>
      <c r="BB133" s="919" t="s">
        <v>21</v>
      </c>
      <c r="BC133" s="919" t="s">
        <v>21</v>
      </c>
      <c r="BD133" s="919" t="s">
        <v>21</v>
      </c>
      <c r="BE133" s="925" t="s">
        <v>21</v>
      </c>
      <c r="BF133" s="926" t="s">
        <v>21</v>
      </c>
      <c r="BG133" s="925" t="s">
        <v>21</v>
      </c>
      <c r="BH133" s="926" t="s">
        <v>21</v>
      </c>
      <c r="BI133" s="925" t="s">
        <v>21</v>
      </c>
      <c r="BJ133" s="926" t="s">
        <v>21</v>
      </c>
      <c r="BK133" s="925" t="s">
        <v>21</v>
      </c>
      <c r="BL133" s="926" t="s">
        <v>21</v>
      </c>
      <c r="BM133" s="925" t="s">
        <v>21</v>
      </c>
      <c r="BN133" s="927"/>
      <c r="BO133" s="927"/>
      <c r="BP133" s="928" t="s">
        <v>21</v>
      </c>
      <c r="BQ133" s="928" t="s">
        <v>21</v>
      </c>
      <c r="BR133" s="928" t="s">
        <v>21</v>
      </c>
      <c r="BS133" s="928" t="s">
        <v>21</v>
      </c>
      <c r="BT133" s="928" t="s">
        <v>21</v>
      </c>
      <c r="BU133" s="928" t="s">
        <v>21</v>
      </c>
      <c r="BV133" s="929" t="s">
        <v>21</v>
      </c>
      <c r="BW133" s="929" t="s">
        <v>21</v>
      </c>
      <c r="BX133" s="1104" t="s">
        <v>21</v>
      </c>
      <c r="BY133" s="931" t="s">
        <v>21</v>
      </c>
      <c r="BZ133" s="930"/>
      <c r="CA133" s="1074"/>
      <c r="CB133" s="930"/>
      <c r="CC133" s="930"/>
      <c r="CD133" s="925" t="s">
        <v>21</v>
      </c>
      <c r="CE133" s="1130" t="s">
        <v>21</v>
      </c>
      <c r="CF133" s="1129" t="s">
        <v>21</v>
      </c>
      <c r="CG133" s="1130" t="s">
        <v>21</v>
      </c>
      <c r="CH133" s="1130" t="s">
        <v>21</v>
      </c>
      <c r="CI133" s="1131" t="s">
        <v>21</v>
      </c>
      <c r="CJ133" s="1129" t="s">
        <v>21</v>
      </c>
      <c r="CK133" s="1130" t="s">
        <v>21</v>
      </c>
      <c r="CL133" s="1130" t="s">
        <v>21</v>
      </c>
      <c r="CM133" s="1131" t="s">
        <v>21</v>
      </c>
      <c r="CN133" s="1130" t="s">
        <v>21</v>
      </c>
      <c r="CP133" s="838" t="s">
        <v>21</v>
      </c>
      <c r="CQ133" s="838" t="s">
        <v>21</v>
      </c>
      <c r="CR133" s="836"/>
    </row>
    <row r="134" spans="1:96" x14ac:dyDescent="0.25">
      <c r="A134" s="935">
        <v>5</v>
      </c>
      <c r="B134" s="1180" t="s">
        <v>2235</v>
      </c>
      <c r="C134" s="935">
        <v>600</v>
      </c>
      <c r="D134" s="935" t="s">
        <v>2116</v>
      </c>
      <c r="E134" s="936">
        <v>1201.43</v>
      </c>
      <c r="F134" s="936">
        <v>1199.53</v>
      </c>
      <c r="G134" s="1180" t="s">
        <v>2267</v>
      </c>
      <c r="H134" s="936">
        <v>1199.81</v>
      </c>
      <c r="I134" s="936">
        <v>1197.9100000000001</v>
      </c>
      <c r="J134" s="914">
        <v>35.119999999999997</v>
      </c>
      <c r="K134" s="915"/>
      <c r="L134" s="916">
        <v>0.1</v>
      </c>
      <c r="M134" s="916">
        <v>0.06</v>
      </c>
      <c r="N134" s="916">
        <v>0.2</v>
      </c>
      <c r="O134" s="916">
        <v>4.84</v>
      </c>
      <c r="P134" s="915"/>
      <c r="Q134" s="916">
        <v>2.16</v>
      </c>
      <c r="R134" s="917">
        <v>0.33333333333333331</v>
      </c>
      <c r="S134" s="918">
        <v>1.4</v>
      </c>
      <c r="T134" s="918">
        <v>2.84</v>
      </c>
      <c r="U134" s="916">
        <v>4.5540000000000003</v>
      </c>
      <c r="V134" s="916">
        <v>0.92</v>
      </c>
      <c r="W134" s="915"/>
      <c r="X134" s="916">
        <v>0.28299999999999997</v>
      </c>
      <c r="Y134" s="916">
        <v>0.40699999999999997</v>
      </c>
      <c r="Z134" s="916">
        <v>4.5789999999999997</v>
      </c>
      <c r="AA134" s="916">
        <v>1.0229999999999999</v>
      </c>
      <c r="AB134" s="916">
        <v>3.0089999999999999</v>
      </c>
      <c r="AC134" s="915"/>
      <c r="AD134" s="919">
        <v>169.98099999999999</v>
      </c>
      <c r="AE134" s="920">
        <v>160.81399999999999</v>
      </c>
      <c r="AF134" s="920" t="s">
        <v>21</v>
      </c>
      <c r="AG134" s="920" t="s">
        <v>21</v>
      </c>
      <c r="AH134" s="921">
        <v>160.81399999999999</v>
      </c>
      <c r="AI134" s="921" t="s">
        <v>21</v>
      </c>
      <c r="AJ134" s="920" t="s">
        <v>21</v>
      </c>
      <c r="AK134" s="920" t="s">
        <v>21</v>
      </c>
      <c r="AL134" s="921" t="s">
        <v>21</v>
      </c>
      <c r="AM134" s="921" t="s">
        <v>21</v>
      </c>
      <c r="AN134" s="920"/>
      <c r="AO134" s="920" t="s">
        <v>21</v>
      </c>
      <c r="AP134" s="919">
        <v>49.167999999999999</v>
      </c>
      <c r="AQ134" s="922">
        <v>159.93647999999999</v>
      </c>
      <c r="AR134" s="923" t="s">
        <v>21</v>
      </c>
      <c r="AS134" s="923">
        <v>159.93647999999999</v>
      </c>
      <c r="AT134" s="923" t="s">
        <v>21</v>
      </c>
      <c r="AU134" s="923" t="s">
        <v>21</v>
      </c>
      <c r="AV134" s="924" t="s">
        <v>21</v>
      </c>
      <c r="AW134" s="924" t="s">
        <v>21</v>
      </c>
      <c r="AX134" s="924" t="s">
        <v>21</v>
      </c>
      <c r="AY134" s="924" t="s">
        <v>21</v>
      </c>
      <c r="AZ134" s="923" t="s">
        <v>21</v>
      </c>
      <c r="BA134" s="923"/>
      <c r="BB134" s="919">
        <v>4.9169999999999998</v>
      </c>
      <c r="BC134" s="919" t="s">
        <v>21</v>
      </c>
      <c r="BD134" s="919" t="s">
        <v>2142</v>
      </c>
      <c r="BE134" s="925" t="s">
        <v>21</v>
      </c>
      <c r="BF134" s="926" t="s">
        <v>21</v>
      </c>
      <c r="BG134" s="925">
        <v>35.119999999999997</v>
      </c>
      <c r="BH134" s="926" t="s">
        <v>21</v>
      </c>
      <c r="BI134" s="925" t="s">
        <v>21</v>
      </c>
      <c r="BJ134" s="926" t="s">
        <v>21</v>
      </c>
      <c r="BK134" s="925" t="s">
        <v>21</v>
      </c>
      <c r="BL134" s="926" t="s">
        <v>21</v>
      </c>
      <c r="BM134" s="925" t="s">
        <v>21</v>
      </c>
      <c r="BN134" s="927"/>
      <c r="BO134" s="927"/>
      <c r="BP134" s="928">
        <v>1</v>
      </c>
      <c r="BQ134" s="928" t="s">
        <v>21</v>
      </c>
      <c r="BR134" s="928" t="s">
        <v>21</v>
      </c>
      <c r="BS134" s="928" t="s">
        <v>21</v>
      </c>
      <c r="BT134" s="928" t="s">
        <v>21</v>
      </c>
      <c r="BU134" s="928" t="s">
        <v>21</v>
      </c>
      <c r="BV134" s="929">
        <v>0.50000000000009104</v>
      </c>
      <c r="BW134" s="929">
        <v>1</v>
      </c>
      <c r="BX134" s="1104">
        <v>2</v>
      </c>
      <c r="BY134" s="931">
        <v>4</v>
      </c>
      <c r="BZ134" s="930"/>
      <c r="CA134" s="1074">
        <v>1</v>
      </c>
      <c r="CB134" s="930"/>
      <c r="CC134" s="930"/>
      <c r="CD134" s="925">
        <v>35.927999999999997</v>
      </c>
      <c r="CE134" s="1130">
        <v>105.676</v>
      </c>
      <c r="CF134" s="1129" t="s">
        <v>21</v>
      </c>
      <c r="CG134" s="1130" t="s">
        <v>21</v>
      </c>
      <c r="CH134" s="1130" t="s">
        <v>21</v>
      </c>
      <c r="CI134" s="1131" t="s">
        <v>21</v>
      </c>
      <c r="CJ134" s="1129" t="s">
        <v>21</v>
      </c>
      <c r="CK134" s="1130">
        <v>105.676</v>
      </c>
      <c r="CL134" s="1130" t="s">
        <v>21</v>
      </c>
      <c r="CM134" s="1131" t="s">
        <v>21</v>
      </c>
      <c r="CN134" s="1130" t="s">
        <v>21</v>
      </c>
      <c r="CP134" s="838" t="s">
        <v>21</v>
      </c>
      <c r="CQ134" s="838" t="s">
        <v>21</v>
      </c>
      <c r="CR134" s="836"/>
    </row>
    <row r="135" spans="1:96" x14ac:dyDescent="0.25">
      <c r="A135" s="935" t="s">
        <v>3063</v>
      </c>
      <c r="B135" s="1180" t="s">
        <v>2267</v>
      </c>
      <c r="C135" s="935">
        <v>600</v>
      </c>
      <c r="D135" s="935" t="s">
        <v>2116</v>
      </c>
      <c r="E135" s="936">
        <v>1199.81</v>
      </c>
      <c r="F135" s="936">
        <v>1197.8599999999999</v>
      </c>
      <c r="G135" s="1180" t="s">
        <v>2268</v>
      </c>
      <c r="H135" s="936">
        <v>1197</v>
      </c>
      <c r="I135" s="936">
        <v>1195.0999999999999</v>
      </c>
      <c r="J135" s="914">
        <v>39.99</v>
      </c>
      <c r="K135" s="915"/>
      <c r="L135" s="916">
        <v>0.1</v>
      </c>
      <c r="M135" s="916">
        <v>0.06</v>
      </c>
      <c r="N135" s="916">
        <v>0.2</v>
      </c>
      <c r="O135" s="916">
        <v>4.8570000000000002</v>
      </c>
      <c r="P135" s="915"/>
      <c r="Q135" s="916">
        <v>2.1850000000000001</v>
      </c>
      <c r="R135" s="917">
        <v>0.33333333333333331</v>
      </c>
      <c r="S135" s="918">
        <v>1.4</v>
      </c>
      <c r="T135" s="918">
        <v>2.8570000000000002</v>
      </c>
      <c r="U135" s="916">
        <v>4.6059999999999999</v>
      </c>
      <c r="V135" s="916">
        <v>0.92</v>
      </c>
      <c r="W135" s="915"/>
      <c r="X135" s="916">
        <v>0.28299999999999997</v>
      </c>
      <c r="Y135" s="916">
        <v>0.40699999999999997</v>
      </c>
      <c r="Z135" s="916">
        <v>4.6509999999999998</v>
      </c>
      <c r="AA135" s="916">
        <v>1.0229999999999999</v>
      </c>
      <c r="AB135" s="916">
        <v>3.081</v>
      </c>
      <c r="AC135" s="915"/>
      <c r="AD135" s="919">
        <v>194.23099999999999</v>
      </c>
      <c r="AE135" s="920">
        <v>185.99299999999999</v>
      </c>
      <c r="AF135" s="920" t="s">
        <v>21</v>
      </c>
      <c r="AG135" s="920" t="s">
        <v>21</v>
      </c>
      <c r="AH135" s="921">
        <v>185.99299999999999</v>
      </c>
      <c r="AI135" s="921" t="s">
        <v>21</v>
      </c>
      <c r="AJ135" s="920" t="s">
        <v>21</v>
      </c>
      <c r="AK135" s="920" t="s">
        <v>21</v>
      </c>
      <c r="AL135" s="921" t="s">
        <v>21</v>
      </c>
      <c r="AM135" s="921" t="s">
        <v>21</v>
      </c>
      <c r="AN135" s="920"/>
      <c r="AO135" s="920" t="s">
        <v>21</v>
      </c>
      <c r="AP135" s="919">
        <v>55.985999999999997</v>
      </c>
      <c r="AQ135" s="922">
        <v>184.19394</v>
      </c>
      <c r="AR135" s="923" t="s">
        <v>21</v>
      </c>
      <c r="AS135" s="923">
        <v>184.19394</v>
      </c>
      <c r="AT135" s="923" t="s">
        <v>21</v>
      </c>
      <c r="AU135" s="923" t="s">
        <v>21</v>
      </c>
      <c r="AV135" s="924" t="s">
        <v>21</v>
      </c>
      <c r="AW135" s="924" t="s">
        <v>21</v>
      </c>
      <c r="AX135" s="924" t="s">
        <v>21</v>
      </c>
      <c r="AY135" s="924" t="s">
        <v>21</v>
      </c>
      <c r="AZ135" s="923" t="s">
        <v>21</v>
      </c>
      <c r="BA135" s="923"/>
      <c r="BB135" s="919">
        <v>5.5990000000000002</v>
      </c>
      <c r="BC135" s="919" t="s">
        <v>21</v>
      </c>
      <c r="BD135" s="919" t="s">
        <v>2142</v>
      </c>
      <c r="BE135" s="925" t="s">
        <v>21</v>
      </c>
      <c r="BF135" s="926" t="s">
        <v>21</v>
      </c>
      <c r="BG135" s="925">
        <v>39.99</v>
      </c>
      <c r="BH135" s="926" t="s">
        <v>21</v>
      </c>
      <c r="BI135" s="925" t="s">
        <v>21</v>
      </c>
      <c r="BJ135" s="926" t="s">
        <v>21</v>
      </c>
      <c r="BK135" s="925" t="s">
        <v>21</v>
      </c>
      <c r="BL135" s="926" t="s">
        <v>21</v>
      </c>
      <c r="BM135" s="925" t="s">
        <v>21</v>
      </c>
      <c r="BN135" s="927"/>
      <c r="BO135" s="927"/>
      <c r="BP135" s="928">
        <v>1</v>
      </c>
      <c r="BQ135" s="928" t="s">
        <v>21</v>
      </c>
      <c r="BR135" s="928" t="s">
        <v>21</v>
      </c>
      <c r="BS135" s="928" t="s">
        <v>21</v>
      </c>
      <c r="BT135" s="928" t="s">
        <v>21</v>
      </c>
      <c r="BU135" s="928" t="s">
        <v>21</v>
      </c>
      <c r="BV135" s="929">
        <v>0.55000000000004556</v>
      </c>
      <c r="BW135" s="929">
        <v>1</v>
      </c>
      <c r="BX135" s="1104">
        <v>2</v>
      </c>
      <c r="BY135" s="931">
        <v>4</v>
      </c>
      <c r="BZ135" s="930">
        <v>1</v>
      </c>
      <c r="CA135" s="1074"/>
      <c r="CB135" s="930"/>
      <c r="CC135" s="930"/>
      <c r="CD135" s="925">
        <v>40.909999999999997</v>
      </c>
      <c r="CE135" s="1130">
        <v>123.209</v>
      </c>
      <c r="CF135" s="1129" t="s">
        <v>21</v>
      </c>
      <c r="CG135" s="1130" t="s">
        <v>21</v>
      </c>
      <c r="CH135" s="1130" t="s">
        <v>21</v>
      </c>
      <c r="CI135" s="1131" t="s">
        <v>21</v>
      </c>
      <c r="CJ135" s="1129" t="s">
        <v>21</v>
      </c>
      <c r="CK135" s="1130">
        <v>123.209</v>
      </c>
      <c r="CL135" s="1130" t="s">
        <v>21</v>
      </c>
      <c r="CM135" s="1131" t="s">
        <v>21</v>
      </c>
      <c r="CN135" s="1130" t="s">
        <v>21</v>
      </c>
      <c r="CP135" s="838" t="s">
        <v>21</v>
      </c>
      <c r="CQ135" s="838" t="s">
        <v>21</v>
      </c>
      <c r="CR135" s="836"/>
    </row>
    <row r="136" spans="1:96" x14ac:dyDescent="0.25">
      <c r="A136" s="935" t="s">
        <v>3073</v>
      </c>
      <c r="B136" s="1180" t="s">
        <v>2268</v>
      </c>
      <c r="C136" s="935">
        <v>600</v>
      </c>
      <c r="D136" s="935" t="s">
        <v>2116</v>
      </c>
      <c r="E136" s="936">
        <v>1197</v>
      </c>
      <c r="F136" s="936">
        <v>1195</v>
      </c>
      <c r="G136" s="937" t="s">
        <v>3071</v>
      </c>
      <c r="H136" s="936">
        <v>1196.5899999999999</v>
      </c>
      <c r="I136" s="936">
        <v>1194.69</v>
      </c>
      <c r="J136" s="914">
        <v>29.2</v>
      </c>
      <c r="K136" s="915"/>
      <c r="L136" s="916">
        <v>0.1</v>
      </c>
      <c r="M136" s="916">
        <v>0.06</v>
      </c>
      <c r="N136" s="916">
        <v>0.2</v>
      </c>
      <c r="O136" s="916">
        <v>4.8730000000000002</v>
      </c>
      <c r="P136" s="915"/>
      <c r="Q136" s="916">
        <v>2.21</v>
      </c>
      <c r="R136" s="917">
        <v>0.33333333333333331</v>
      </c>
      <c r="S136" s="918">
        <v>1.4</v>
      </c>
      <c r="T136" s="918">
        <v>2.8730000000000002</v>
      </c>
      <c r="U136" s="916">
        <v>4.6589999999999998</v>
      </c>
      <c r="V136" s="916">
        <v>0.92</v>
      </c>
      <c r="W136" s="915"/>
      <c r="X136" s="916">
        <v>0.28299999999999997</v>
      </c>
      <c r="Y136" s="916">
        <v>0.40699999999999997</v>
      </c>
      <c r="Z136" s="916">
        <v>4.7220000000000004</v>
      </c>
      <c r="AA136" s="916">
        <v>1.0229999999999999</v>
      </c>
      <c r="AB136" s="916">
        <v>3.1520000000000001</v>
      </c>
      <c r="AC136" s="915"/>
      <c r="AD136" s="919">
        <v>142.292</v>
      </c>
      <c r="AE136" s="920">
        <v>137.88200000000001</v>
      </c>
      <c r="AF136" s="920" t="s">
        <v>21</v>
      </c>
      <c r="AG136" s="920" t="s">
        <v>21</v>
      </c>
      <c r="AH136" s="921">
        <v>137.88200000000001</v>
      </c>
      <c r="AI136" s="921" t="s">
        <v>21</v>
      </c>
      <c r="AJ136" s="920" t="s">
        <v>21</v>
      </c>
      <c r="AK136" s="920" t="s">
        <v>21</v>
      </c>
      <c r="AL136" s="921" t="s">
        <v>21</v>
      </c>
      <c r="AM136" s="921" t="s">
        <v>21</v>
      </c>
      <c r="AN136" s="920"/>
      <c r="AO136" s="920" t="s">
        <v>21</v>
      </c>
      <c r="AP136" s="919">
        <v>40.880000000000003</v>
      </c>
      <c r="AQ136" s="922">
        <v>136.0428</v>
      </c>
      <c r="AR136" s="923" t="s">
        <v>21</v>
      </c>
      <c r="AS136" s="923">
        <v>136.0428</v>
      </c>
      <c r="AT136" s="923" t="s">
        <v>21</v>
      </c>
      <c r="AU136" s="923" t="s">
        <v>21</v>
      </c>
      <c r="AV136" s="924" t="s">
        <v>21</v>
      </c>
      <c r="AW136" s="924" t="s">
        <v>21</v>
      </c>
      <c r="AX136" s="924" t="s">
        <v>21</v>
      </c>
      <c r="AY136" s="924" t="s">
        <v>21</v>
      </c>
      <c r="AZ136" s="923" t="s">
        <v>21</v>
      </c>
      <c r="BA136" s="923"/>
      <c r="BB136" s="919">
        <v>4.0880000000000001</v>
      </c>
      <c r="BC136" s="919" t="s">
        <v>21</v>
      </c>
      <c r="BD136" s="919" t="s">
        <v>2142</v>
      </c>
      <c r="BE136" s="925" t="s">
        <v>21</v>
      </c>
      <c r="BF136" s="926" t="s">
        <v>21</v>
      </c>
      <c r="BG136" s="925">
        <v>29.2</v>
      </c>
      <c r="BH136" s="926" t="s">
        <v>21</v>
      </c>
      <c r="BI136" s="925" t="s">
        <v>21</v>
      </c>
      <c r="BJ136" s="926" t="s">
        <v>21</v>
      </c>
      <c r="BK136" s="925" t="s">
        <v>21</v>
      </c>
      <c r="BL136" s="926" t="s">
        <v>21</v>
      </c>
      <c r="BM136" s="925" t="s">
        <v>21</v>
      </c>
      <c r="BN136" s="927"/>
      <c r="BO136" s="927"/>
      <c r="BP136" s="928">
        <v>1</v>
      </c>
      <c r="BQ136" s="928" t="s">
        <v>21</v>
      </c>
      <c r="BR136" s="928" t="s">
        <v>21</v>
      </c>
      <c r="BS136" s="928" t="s">
        <v>21</v>
      </c>
      <c r="BT136" s="928" t="s">
        <v>21</v>
      </c>
      <c r="BU136" s="928" t="s">
        <v>21</v>
      </c>
      <c r="BV136" s="929">
        <v>0.60000000000000009</v>
      </c>
      <c r="BW136" s="929">
        <v>1</v>
      </c>
      <c r="BX136" s="1104">
        <v>2</v>
      </c>
      <c r="BY136" s="931">
        <v>4</v>
      </c>
      <c r="BZ136" s="930">
        <v>2</v>
      </c>
      <c r="CA136" s="1074"/>
      <c r="CB136" s="930"/>
      <c r="CC136" s="930"/>
      <c r="CD136" s="925">
        <v>29.872</v>
      </c>
      <c r="CE136" s="1130">
        <v>92.037999999999997</v>
      </c>
      <c r="CF136" s="1129" t="s">
        <v>21</v>
      </c>
      <c r="CG136" s="1130" t="s">
        <v>21</v>
      </c>
      <c r="CH136" s="1130" t="s">
        <v>21</v>
      </c>
      <c r="CI136" s="1131" t="s">
        <v>21</v>
      </c>
      <c r="CJ136" s="1129" t="s">
        <v>21</v>
      </c>
      <c r="CK136" s="1130">
        <v>92.037999999999997</v>
      </c>
      <c r="CL136" s="1130" t="s">
        <v>21</v>
      </c>
      <c r="CM136" s="1131" t="s">
        <v>21</v>
      </c>
      <c r="CN136" s="1130" t="s">
        <v>21</v>
      </c>
      <c r="CP136" s="838" t="s">
        <v>21</v>
      </c>
      <c r="CQ136" s="838" t="s">
        <v>21</v>
      </c>
      <c r="CR136" s="836"/>
    </row>
    <row r="137" spans="1:96" x14ac:dyDescent="0.25">
      <c r="A137" s="935" t="s">
        <v>3064</v>
      </c>
      <c r="B137" s="1180"/>
      <c r="C137" s="935"/>
      <c r="D137" s="935"/>
      <c r="E137" s="936"/>
      <c r="F137" s="936"/>
      <c r="G137" s="937"/>
      <c r="H137" s="936"/>
      <c r="I137" s="936"/>
      <c r="J137" s="914"/>
      <c r="K137" s="915"/>
      <c r="L137" s="916" t="s">
        <v>21</v>
      </c>
      <c r="M137" s="916" t="s">
        <v>21</v>
      </c>
      <c r="N137" s="916" t="s">
        <v>21</v>
      </c>
      <c r="O137" s="916" t="s">
        <v>21</v>
      </c>
      <c r="P137" s="915"/>
      <c r="Q137" s="916" t="s">
        <v>21</v>
      </c>
      <c r="R137" s="917" t="s">
        <v>21</v>
      </c>
      <c r="S137" s="918" t="s">
        <v>21</v>
      </c>
      <c r="T137" s="918" t="s">
        <v>21</v>
      </c>
      <c r="U137" s="916" t="s">
        <v>21</v>
      </c>
      <c r="V137" s="916" t="s">
        <v>21</v>
      </c>
      <c r="W137" s="915"/>
      <c r="X137" s="916" t="s">
        <v>21</v>
      </c>
      <c r="Y137" s="916" t="s">
        <v>21</v>
      </c>
      <c r="Z137" s="916" t="s">
        <v>21</v>
      </c>
      <c r="AA137" s="916" t="s">
        <v>21</v>
      </c>
      <c r="AB137" s="916" t="s">
        <v>21</v>
      </c>
      <c r="AC137" s="915"/>
      <c r="AD137" s="919" t="s">
        <v>21</v>
      </c>
      <c r="AE137" s="920" t="s">
        <v>21</v>
      </c>
      <c r="AF137" s="920" t="s">
        <v>21</v>
      </c>
      <c r="AG137" s="920" t="s">
        <v>21</v>
      </c>
      <c r="AH137" s="921" t="s">
        <v>21</v>
      </c>
      <c r="AI137" s="921" t="s">
        <v>21</v>
      </c>
      <c r="AJ137" s="920" t="s">
        <v>21</v>
      </c>
      <c r="AK137" s="920" t="s">
        <v>21</v>
      </c>
      <c r="AL137" s="921" t="s">
        <v>21</v>
      </c>
      <c r="AM137" s="921" t="s">
        <v>21</v>
      </c>
      <c r="AN137" s="920"/>
      <c r="AO137" s="920" t="s">
        <v>21</v>
      </c>
      <c r="AP137" s="919" t="s">
        <v>21</v>
      </c>
      <c r="AQ137" s="922" t="s">
        <v>21</v>
      </c>
      <c r="AR137" s="923" t="s">
        <v>21</v>
      </c>
      <c r="AS137" s="923" t="s">
        <v>21</v>
      </c>
      <c r="AT137" s="923" t="s">
        <v>21</v>
      </c>
      <c r="AU137" s="923" t="s">
        <v>21</v>
      </c>
      <c r="AV137" s="924" t="s">
        <v>21</v>
      </c>
      <c r="AW137" s="924" t="s">
        <v>21</v>
      </c>
      <c r="AX137" s="924" t="s">
        <v>21</v>
      </c>
      <c r="AY137" s="924" t="s">
        <v>21</v>
      </c>
      <c r="AZ137" s="923" t="s">
        <v>21</v>
      </c>
      <c r="BA137" s="923"/>
      <c r="BB137" s="919" t="s">
        <v>21</v>
      </c>
      <c r="BC137" s="919" t="s">
        <v>21</v>
      </c>
      <c r="BD137" s="919" t="s">
        <v>21</v>
      </c>
      <c r="BE137" s="925" t="s">
        <v>21</v>
      </c>
      <c r="BF137" s="926" t="s">
        <v>21</v>
      </c>
      <c r="BG137" s="925" t="s">
        <v>21</v>
      </c>
      <c r="BH137" s="926" t="s">
        <v>21</v>
      </c>
      <c r="BI137" s="925" t="s">
        <v>21</v>
      </c>
      <c r="BJ137" s="926" t="s">
        <v>21</v>
      </c>
      <c r="BK137" s="925" t="s">
        <v>21</v>
      </c>
      <c r="BL137" s="926" t="s">
        <v>21</v>
      </c>
      <c r="BM137" s="925" t="s">
        <v>21</v>
      </c>
      <c r="BN137" s="927"/>
      <c r="BO137" s="927"/>
      <c r="BP137" s="928" t="s">
        <v>21</v>
      </c>
      <c r="BQ137" s="928" t="s">
        <v>21</v>
      </c>
      <c r="BR137" s="928" t="s">
        <v>21</v>
      </c>
      <c r="BS137" s="928" t="s">
        <v>21</v>
      </c>
      <c r="BT137" s="928" t="s">
        <v>21</v>
      </c>
      <c r="BU137" s="928" t="s">
        <v>21</v>
      </c>
      <c r="BV137" s="929" t="s">
        <v>21</v>
      </c>
      <c r="BW137" s="929" t="s">
        <v>21</v>
      </c>
      <c r="BX137" s="1104" t="s">
        <v>21</v>
      </c>
      <c r="BY137" s="931" t="s">
        <v>21</v>
      </c>
      <c r="BZ137" s="930"/>
      <c r="CA137" s="1074"/>
      <c r="CB137" s="930"/>
      <c r="CC137" s="930"/>
      <c r="CD137" s="925" t="s">
        <v>21</v>
      </c>
      <c r="CE137" s="1130" t="s">
        <v>21</v>
      </c>
      <c r="CF137" s="1129" t="s">
        <v>21</v>
      </c>
      <c r="CG137" s="1130" t="s">
        <v>21</v>
      </c>
      <c r="CH137" s="1130" t="s">
        <v>21</v>
      </c>
      <c r="CI137" s="1131" t="s">
        <v>21</v>
      </c>
      <c r="CJ137" s="1129" t="s">
        <v>21</v>
      </c>
      <c r="CK137" s="1130" t="s">
        <v>21</v>
      </c>
      <c r="CL137" s="1130" t="s">
        <v>21</v>
      </c>
      <c r="CM137" s="1131" t="s">
        <v>21</v>
      </c>
      <c r="CN137" s="1130" t="s">
        <v>21</v>
      </c>
      <c r="CP137" s="838" t="s">
        <v>21</v>
      </c>
      <c r="CQ137" s="838" t="s">
        <v>21</v>
      </c>
      <c r="CR137" s="836"/>
    </row>
    <row r="138" spans="1:96" x14ac:dyDescent="0.25">
      <c r="A138" s="935">
        <v>2</v>
      </c>
      <c r="B138" s="1180"/>
      <c r="C138" s="935"/>
      <c r="D138" s="935"/>
      <c r="E138" s="936"/>
      <c r="F138" s="936"/>
      <c r="G138" s="937"/>
      <c r="H138" s="936"/>
      <c r="I138" s="936"/>
      <c r="J138" s="914"/>
      <c r="K138" s="915"/>
      <c r="L138" s="916" t="s">
        <v>21</v>
      </c>
      <c r="M138" s="916" t="s">
        <v>21</v>
      </c>
      <c r="N138" s="916" t="s">
        <v>21</v>
      </c>
      <c r="O138" s="916" t="s">
        <v>21</v>
      </c>
      <c r="P138" s="915"/>
      <c r="Q138" s="916" t="s">
        <v>21</v>
      </c>
      <c r="R138" s="917" t="s">
        <v>21</v>
      </c>
      <c r="S138" s="918" t="s">
        <v>21</v>
      </c>
      <c r="T138" s="918" t="s">
        <v>21</v>
      </c>
      <c r="U138" s="916" t="s">
        <v>21</v>
      </c>
      <c r="V138" s="916" t="s">
        <v>21</v>
      </c>
      <c r="W138" s="915"/>
      <c r="X138" s="916" t="s">
        <v>21</v>
      </c>
      <c r="Y138" s="916" t="s">
        <v>21</v>
      </c>
      <c r="Z138" s="916" t="s">
        <v>21</v>
      </c>
      <c r="AA138" s="916" t="s">
        <v>21</v>
      </c>
      <c r="AB138" s="916" t="s">
        <v>21</v>
      </c>
      <c r="AC138" s="915"/>
      <c r="AD138" s="919" t="s">
        <v>21</v>
      </c>
      <c r="AE138" s="920" t="s">
        <v>21</v>
      </c>
      <c r="AF138" s="920" t="s">
        <v>21</v>
      </c>
      <c r="AG138" s="920" t="s">
        <v>21</v>
      </c>
      <c r="AH138" s="921" t="s">
        <v>21</v>
      </c>
      <c r="AI138" s="921" t="s">
        <v>21</v>
      </c>
      <c r="AJ138" s="920" t="s">
        <v>21</v>
      </c>
      <c r="AK138" s="920" t="s">
        <v>21</v>
      </c>
      <c r="AL138" s="921" t="s">
        <v>21</v>
      </c>
      <c r="AM138" s="921" t="s">
        <v>21</v>
      </c>
      <c r="AN138" s="920"/>
      <c r="AO138" s="920" t="s">
        <v>21</v>
      </c>
      <c r="AP138" s="919" t="s">
        <v>21</v>
      </c>
      <c r="AQ138" s="922" t="s">
        <v>21</v>
      </c>
      <c r="AR138" s="923" t="s">
        <v>21</v>
      </c>
      <c r="AS138" s="923" t="s">
        <v>21</v>
      </c>
      <c r="AT138" s="923" t="s">
        <v>21</v>
      </c>
      <c r="AU138" s="923" t="s">
        <v>21</v>
      </c>
      <c r="AV138" s="924" t="s">
        <v>21</v>
      </c>
      <c r="AW138" s="924" t="s">
        <v>21</v>
      </c>
      <c r="AX138" s="924" t="s">
        <v>21</v>
      </c>
      <c r="AY138" s="924" t="s">
        <v>21</v>
      </c>
      <c r="AZ138" s="923" t="s">
        <v>21</v>
      </c>
      <c r="BA138" s="923"/>
      <c r="BB138" s="919" t="s">
        <v>21</v>
      </c>
      <c r="BC138" s="919" t="s">
        <v>21</v>
      </c>
      <c r="BD138" s="919" t="s">
        <v>21</v>
      </c>
      <c r="BE138" s="925" t="s">
        <v>21</v>
      </c>
      <c r="BF138" s="926" t="s">
        <v>21</v>
      </c>
      <c r="BG138" s="925" t="s">
        <v>21</v>
      </c>
      <c r="BH138" s="926" t="s">
        <v>21</v>
      </c>
      <c r="BI138" s="925" t="s">
        <v>21</v>
      </c>
      <c r="BJ138" s="926" t="s">
        <v>21</v>
      </c>
      <c r="BK138" s="925" t="s">
        <v>21</v>
      </c>
      <c r="BL138" s="926" t="s">
        <v>21</v>
      </c>
      <c r="BM138" s="925" t="s">
        <v>21</v>
      </c>
      <c r="BN138" s="927"/>
      <c r="BO138" s="927"/>
      <c r="BP138" s="928" t="s">
        <v>21</v>
      </c>
      <c r="BQ138" s="928" t="s">
        <v>21</v>
      </c>
      <c r="BR138" s="928" t="s">
        <v>21</v>
      </c>
      <c r="BS138" s="928" t="s">
        <v>21</v>
      </c>
      <c r="BT138" s="928" t="s">
        <v>21</v>
      </c>
      <c r="BU138" s="928" t="s">
        <v>21</v>
      </c>
      <c r="BV138" s="929" t="s">
        <v>21</v>
      </c>
      <c r="BW138" s="929" t="s">
        <v>21</v>
      </c>
      <c r="BX138" s="1104" t="s">
        <v>21</v>
      </c>
      <c r="BY138" s="931" t="s">
        <v>21</v>
      </c>
      <c r="BZ138" s="930"/>
      <c r="CA138" s="1074"/>
      <c r="CB138" s="930"/>
      <c r="CC138" s="930"/>
      <c r="CD138" s="925" t="s">
        <v>21</v>
      </c>
      <c r="CE138" s="1130" t="s">
        <v>21</v>
      </c>
      <c r="CF138" s="1129" t="s">
        <v>21</v>
      </c>
      <c r="CG138" s="1130" t="s">
        <v>21</v>
      </c>
      <c r="CH138" s="1130" t="s">
        <v>21</v>
      </c>
      <c r="CI138" s="1131" t="s">
        <v>21</v>
      </c>
      <c r="CJ138" s="1129" t="s">
        <v>21</v>
      </c>
      <c r="CK138" s="1130" t="s">
        <v>21</v>
      </c>
      <c r="CL138" s="1130" t="s">
        <v>21</v>
      </c>
      <c r="CM138" s="1131" t="s">
        <v>21</v>
      </c>
      <c r="CN138" s="1130" t="s">
        <v>21</v>
      </c>
      <c r="CP138" s="838" t="s">
        <v>21</v>
      </c>
      <c r="CQ138" s="838" t="s">
        <v>21</v>
      </c>
      <c r="CR138" s="836"/>
    </row>
    <row r="139" spans="1:96" x14ac:dyDescent="0.25">
      <c r="A139" s="935"/>
      <c r="B139" s="1180"/>
      <c r="C139" s="935"/>
      <c r="D139" s="935"/>
      <c r="E139" s="936"/>
      <c r="F139" s="936"/>
      <c r="G139" s="937"/>
      <c r="H139" s="936"/>
      <c r="I139" s="936"/>
      <c r="J139" s="914"/>
      <c r="K139" s="915"/>
      <c r="L139" s="916" t="s">
        <v>21</v>
      </c>
      <c r="M139" s="916" t="s">
        <v>21</v>
      </c>
      <c r="N139" s="916" t="s">
        <v>21</v>
      </c>
      <c r="O139" s="916" t="s">
        <v>21</v>
      </c>
      <c r="P139" s="915"/>
      <c r="Q139" s="916" t="s">
        <v>21</v>
      </c>
      <c r="R139" s="917" t="s">
        <v>21</v>
      </c>
      <c r="S139" s="918" t="s">
        <v>21</v>
      </c>
      <c r="T139" s="918" t="s">
        <v>21</v>
      </c>
      <c r="U139" s="916" t="s">
        <v>21</v>
      </c>
      <c r="V139" s="916" t="s">
        <v>21</v>
      </c>
      <c r="W139" s="915"/>
      <c r="X139" s="916" t="s">
        <v>21</v>
      </c>
      <c r="Y139" s="916" t="s">
        <v>21</v>
      </c>
      <c r="Z139" s="916" t="s">
        <v>21</v>
      </c>
      <c r="AA139" s="916" t="s">
        <v>21</v>
      </c>
      <c r="AB139" s="916" t="s">
        <v>21</v>
      </c>
      <c r="AC139" s="915"/>
      <c r="AD139" s="919" t="s">
        <v>21</v>
      </c>
      <c r="AE139" s="920" t="s">
        <v>21</v>
      </c>
      <c r="AF139" s="920" t="s">
        <v>21</v>
      </c>
      <c r="AG139" s="920" t="s">
        <v>21</v>
      </c>
      <c r="AH139" s="921" t="s">
        <v>21</v>
      </c>
      <c r="AI139" s="921" t="s">
        <v>21</v>
      </c>
      <c r="AJ139" s="920" t="s">
        <v>21</v>
      </c>
      <c r="AK139" s="920" t="s">
        <v>21</v>
      </c>
      <c r="AL139" s="921" t="s">
        <v>21</v>
      </c>
      <c r="AM139" s="921" t="s">
        <v>21</v>
      </c>
      <c r="AN139" s="920"/>
      <c r="AO139" s="920" t="s">
        <v>21</v>
      </c>
      <c r="AP139" s="919" t="s">
        <v>21</v>
      </c>
      <c r="AQ139" s="922" t="s">
        <v>21</v>
      </c>
      <c r="AR139" s="923" t="s">
        <v>21</v>
      </c>
      <c r="AS139" s="923" t="s">
        <v>21</v>
      </c>
      <c r="AT139" s="923" t="s">
        <v>21</v>
      </c>
      <c r="AU139" s="923" t="s">
        <v>21</v>
      </c>
      <c r="AV139" s="924" t="s">
        <v>21</v>
      </c>
      <c r="AW139" s="924" t="s">
        <v>21</v>
      </c>
      <c r="AX139" s="924" t="s">
        <v>21</v>
      </c>
      <c r="AY139" s="924" t="s">
        <v>21</v>
      </c>
      <c r="AZ139" s="923" t="s">
        <v>21</v>
      </c>
      <c r="BA139" s="923"/>
      <c r="BB139" s="919" t="s">
        <v>21</v>
      </c>
      <c r="BC139" s="919" t="s">
        <v>21</v>
      </c>
      <c r="BD139" s="919" t="s">
        <v>21</v>
      </c>
      <c r="BE139" s="925" t="s">
        <v>21</v>
      </c>
      <c r="BF139" s="926" t="s">
        <v>21</v>
      </c>
      <c r="BG139" s="925" t="s">
        <v>21</v>
      </c>
      <c r="BH139" s="926" t="s">
        <v>21</v>
      </c>
      <c r="BI139" s="925" t="s">
        <v>21</v>
      </c>
      <c r="BJ139" s="926" t="s">
        <v>21</v>
      </c>
      <c r="BK139" s="925" t="s">
        <v>21</v>
      </c>
      <c r="BL139" s="926" t="s">
        <v>21</v>
      </c>
      <c r="BM139" s="925" t="s">
        <v>21</v>
      </c>
      <c r="BN139" s="927"/>
      <c r="BO139" s="927"/>
      <c r="BP139" s="928" t="s">
        <v>21</v>
      </c>
      <c r="BQ139" s="928" t="s">
        <v>21</v>
      </c>
      <c r="BR139" s="928" t="s">
        <v>21</v>
      </c>
      <c r="BS139" s="928" t="s">
        <v>21</v>
      </c>
      <c r="BT139" s="928" t="s">
        <v>21</v>
      </c>
      <c r="BU139" s="928" t="s">
        <v>21</v>
      </c>
      <c r="BV139" s="929" t="s">
        <v>21</v>
      </c>
      <c r="BW139" s="929" t="s">
        <v>21</v>
      </c>
      <c r="BX139" s="1104" t="s">
        <v>21</v>
      </c>
      <c r="BY139" s="931" t="s">
        <v>21</v>
      </c>
      <c r="BZ139" s="930"/>
      <c r="CA139" s="1074"/>
      <c r="CB139" s="930"/>
      <c r="CC139" s="930"/>
      <c r="CD139" s="925" t="s">
        <v>21</v>
      </c>
      <c r="CE139" s="1130" t="s">
        <v>21</v>
      </c>
      <c r="CF139" s="1129" t="s">
        <v>21</v>
      </c>
      <c r="CG139" s="1130" t="s">
        <v>21</v>
      </c>
      <c r="CH139" s="1130" t="s">
        <v>21</v>
      </c>
      <c r="CI139" s="1131" t="s">
        <v>21</v>
      </c>
      <c r="CJ139" s="1129" t="s">
        <v>21</v>
      </c>
      <c r="CK139" s="1130" t="s">
        <v>21</v>
      </c>
      <c r="CL139" s="1130" t="s">
        <v>21</v>
      </c>
      <c r="CM139" s="1131" t="s">
        <v>21</v>
      </c>
      <c r="CN139" s="1130" t="s">
        <v>21</v>
      </c>
      <c r="CP139" s="838" t="s">
        <v>21</v>
      </c>
      <c r="CQ139" s="838" t="s">
        <v>21</v>
      </c>
      <c r="CR139" s="836"/>
    </row>
    <row r="140" spans="1:96" x14ac:dyDescent="0.25">
      <c r="A140" s="935">
        <v>6</v>
      </c>
      <c r="B140" s="1180" t="s">
        <v>2236</v>
      </c>
      <c r="C140" s="935">
        <v>600</v>
      </c>
      <c r="D140" s="935" t="s">
        <v>2116</v>
      </c>
      <c r="E140" s="936">
        <v>1199.8</v>
      </c>
      <c r="F140" s="936">
        <v>1197.9000000000001</v>
      </c>
      <c r="G140" s="937" t="s">
        <v>2237</v>
      </c>
      <c r="H140" s="936">
        <v>1197.24</v>
      </c>
      <c r="I140" s="936">
        <v>1195.3399999999999</v>
      </c>
      <c r="J140" s="914">
        <v>37.83</v>
      </c>
      <c r="K140" s="915"/>
      <c r="L140" s="916">
        <v>0.1</v>
      </c>
      <c r="M140" s="916">
        <v>0.06</v>
      </c>
      <c r="N140" s="916">
        <v>0.2</v>
      </c>
      <c r="O140" s="916">
        <v>4.84</v>
      </c>
      <c r="P140" s="915"/>
      <c r="Q140" s="916">
        <v>2.16</v>
      </c>
      <c r="R140" s="917">
        <v>0.33333333333333331</v>
      </c>
      <c r="S140" s="918">
        <v>1.4</v>
      </c>
      <c r="T140" s="918">
        <v>2.84</v>
      </c>
      <c r="U140" s="916">
        <v>4.5540000000000003</v>
      </c>
      <c r="V140" s="916">
        <v>0.92</v>
      </c>
      <c r="W140" s="915"/>
      <c r="X140" s="916">
        <v>0.28299999999999997</v>
      </c>
      <c r="Y140" s="916">
        <v>0.40699999999999997</v>
      </c>
      <c r="Z140" s="916">
        <v>4.5789999999999997</v>
      </c>
      <c r="AA140" s="916">
        <v>1.0229999999999999</v>
      </c>
      <c r="AB140" s="916">
        <v>3.0089999999999999</v>
      </c>
      <c r="AC140" s="915"/>
      <c r="AD140" s="919">
        <v>183.09700000000001</v>
      </c>
      <c r="AE140" s="920">
        <v>173.22399999999999</v>
      </c>
      <c r="AF140" s="920" t="s">
        <v>21</v>
      </c>
      <c r="AG140" s="920" t="s">
        <v>21</v>
      </c>
      <c r="AH140" s="921">
        <v>173.22399999999999</v>
      </c>
      <c r="AI140" s="921" t="s">
        <v>21</v>
      </c>
      <c r="AJ140" s="920" t="s">
        <v>21</v>
      </c>
      <c r="AK140" s="920" t="s">
        <v>21</v>
      </c>
      <c r="AL140" s="921" t="s">
        <v>21</v>
      </c>
      <c r="AM140" s="921" t="s">
        <v>21</v>
      </c>
      <c r="AN140" s="920"/>
      <c r="AO140" s="920" t="s">
        <v>21</v>
      </c>
      <c r="AP140" s="919">
        <v>52.962000000000003</v>
      </c>
      <c r="AQ140" s="922">
        <v>172.27781999999999</v>
      </c>
      <c r="AR140" s="923" t="s">
        <v>21</v>
      </c>
      <c r="AS140" s="923">
        <v>172.27781999999999</v>
      </c>
      <c r="AT140" s="923" t="s">
        <v>21</v>
      </c>
      <c r="AU140" s="923" t="s">
        <v>21</v>
      </c>
      <c r="AV140" s="924" t="s">
        <v>21</v>
      </c>
      <c r="AW140" s="924" t="s">
        <v>21</v>
      </c>
      <c r="AX140" s="924" t="s">
        <v>21</v>
      </c>
      <c r="AY140" s="924" t="s">
        <v>21</v>
      </c>
      <c r="AZ140" s="923" t="s">
        <v>21</v>
      </c>
      <c r="BA140" s="923"/>
      <c r="BB140" s="919">
        <v>5.2960000000000003</v>
      </c>
      <c r="BC140" s="919" t="s">
        <v>21</v>
      </c>
      <c r="BD140" s="919" t="s">
        <v>2142</v>
      </c>
      <c r="BE140" s="925" t="s">
        <v>21</v>
      </c>
      <c r="BF140" s="926" t="s">
        <v>21</v>
      </c>
      <c r="BG140" s="925">
        <v>37.83</v>
      </c>
      <c r="BH140" s="926" t="s">
        <v>21</v>
      </c>
      <c r="BI140" s="925" t="s">
        <v>21</v>
      </c>
      <c r="BJ140" s="926" t="s">
        <v>21</v>
      </c>
      <c r="BK140" s="925" t="s">
        <v>21</v>
      </c>
      <c r="BL140" s="926" t="s">
        <v>21</v>
      </c>
      <c r="BM140" s="925" t="s">
        <v>21</v>
      </c>
      <c r="BN140" s="927"/>
      <c r="BO140" s="927"/>
      <c r="BP140" s="928">
        <v>1</v>
      </c>
      <c r="BQ140" s="928" t="s">
        <v>21</v>
      </c>
      <c r="BR140" s="928" t="s">
        <v>21</v>
      </c>
      <c r="BS140" s="928" t="s">
        <v>21</v>
      </c>
      <c r="BT140" s="928" t="s">
        <v>21</v>
      </c>
      <c r="BU140" s="928" t="s">
        <v>21</v>
      </c>
      <c r="BV140" s="929">
        <v>0.49999999999986366</v>
      </c>
      <c r="BW140" s="929">
        <v>0.5</v>
      </c>
      <c r="BX140" s="1104">
        <v>1</v>
      </c>
      <c r="BY140" s="931">
        <v>3</v>
      </c>
      <c r="BZ140" s="930">
        <v>1</v>
      </c>
      <c r="CA140" s="1074"/>
      <c r="CB140" s="930"/>
      <c r="CC140" s="930"/>
      <c r="CD140" s="925">
        <v>38.700000000000003</v>
      </c>
      <c r="CE140" s="1130">
        <v>113.83</v>
      </c>
      <c r="CF140" s="1129" t="s">
        <v>21</v>
      </c>
      <c r="CG140" s="1130" t="s">
        <v>21</v>
      </c>
      <c r="CH140" s="1130" t="s">
        <v>21</v>
      </c>
      <c r="CI140" s="1131" t="s">
        <v>21</v>
      </c>
      <c r="CJ140" s="1129" t="s">
        <v>21</v>
      </c>
      <c r="CK140" s="1130">
        <v>113.83</v>
      </c>
      <c r="CL140" s="1130" t="s">
        <v>21</v>
      </c>
      <c r="CM140" s="1131" t="s">
        <v>21</v>
      </c>
      <c r="CN140" s="1130" t="s">
        <v>21</v>
      </c>
      <c r="CP140" s="838" t="s">
        <v>21</v>
      </c>
      <c r="CQ140" s="838" t="s">
        <v>21</v>
      </c>
      <c r="CR140" s="836"/>
    </row>
    <row r="141" spans="1:96" x14ac:dyDescent="0.25">
      <c r="A141" s="935" t="s">
        <v>3063</v>
      </c>
      <c r="B141" s="1180" t="s">
        <v>2237</v>
      </c>
      <c r="C141" s="935">
        <v>600</v>
      </c>
      <c r="D141" s="935" t="s">
        <v>2116</v>
      </c>
      <c r="E141" s="936">
        <v>1197.24</v>
      </c>
      <c r="F141" s="936">
        <v>1195.29</v>
      </c>
      <c r="G141" s="937" t="s">
        <v>3072</v>
      </c>
      <c r="H141" s="936">
        <v>1195.81</v>
      </c>
      <c r="I141" s="936">
        <v>1193.9100000000001</v>
      </c>
      <c r="J141" s="914">
        <v>30.56</v>
      </c>
      <c r="K141" s="915"/>
      <c r="L141" s="916">
        <v>0.1</v>
      </c>
      <c r="M141" s="916">
        <v>0.06</v>
      </c>
      <c r="N141" s="916">
        <v>0.2</v>
      </c>
      <c r="O141" s="916">
        <v>4.8570000000000002</v>
      </c>
      <c r="P141" s="915"/>
      <c r="Q141" s="916">
        <v>2.1850000000000001</v>
      </c>
      <c r="R141" s="917">
        <v>0.33333333333333331</v>
      </c>
      <c r="S141" s="918">
        <v>1.4</v>
      </c>
      <c r="T141" s="918">
        <v>2.8570000000000002</v>
      </c>
      <c r="U141" s="916">
        <v>4.6059999999999999</v>
      </c>
      <c r="V141" s="916">
        <v>0.92</v>
      </c>
      <c r="W141" s="915"/>
      <c r="X141" s="916">
        <v>0.28299999999999997</v>
      </c>
      <c r="Y141" s="916">
        <v>0.40699999999999997</v>
      </c>
      <c r="Z141" s="916">
        <v>4.6509999999999998</v>
      </c>
      <c r="AA141" s="916">
        <v>1.0229999999999999</v>
      </c>
      <c r="AB141" s="916">
        <v>3.081</v>
      </c>
      <c r="AC141" s="915"/>
      <c r="AD141" s="919">
        <v>148.43</v>
      </c>
      <c r="AE141" s="920">
        <v>142.13499999999999</v>
      </c>
      <c r="AF141" s="920" t="s">
        <v>21</v>
      </c>
      <c r="AG141" s="920" t="s">
        <v>21</v>
      </c>
      <c r="AH141" s="921">
        <v>142.13499999999999</v>
      </c>
      <c r="AI141" s="921" t="s">
        <v>21</v>
      </c>
      <c r="AJ141" s="920" t="s">
        <v>21</v>
      </c>
      <c r="AK141" s="920" t="s">
        <v>21</v>
      </c>
      <c r="AL141" s="921" t="s">
        <v>21</v>
      </c>
      <c r="AM141" s="921" t="s">
        <v>21</v>
      </c>
      <c r="AN141" s="920"/>
      <c r="AO141" s="920" t="s">
        <v>21</v>
      </c>
      <c r="AP141" s="919">
        <v>42.783999999999999</v>
      </c>
      <c r="AQ141" s="922">
        <v>140.75935999999999</v>
      </c>
      <c r="AR141" s="923" t="s">
        <v>21</v>
      </c>
      <c r="AS141" s="923">
        <v>140.75935999999999</v>
      </c>
      <c r="AT141" s="923" t="s">
        <v>21</v>
      </c>
      <c r="AU141" s="923" t="s">
        <v>21</v>
      </c>
      <c r="AV141" s="924" t="s">
        <v>21</v>
      </c>
      <c r="AW141" s="924" t="s">
        <v>21</v>
      </c>
      <c r="AX141" s="924" t="s">
        <v>21</v>
      </c>
      <c r="AY141" s="924" t="s">
        <v>21</v>
      </c>
      <c r="AZ141" s="923" t="s">
        <v>21</v>
      </c>
      <c r="BA141" s="923"/>
      <c r="BB141" s="919">
        <v>4.2779999999999996</v>
      </c>
      <c r="BC141" s="919" t="s">
        <v>21</v>
      </c>
      <c r="BD141" s="919" t="s">
        <v>2142</v>
      </c>
      <c r="BE141" s="925" t="s">
        <v>21</v>
      </c>
      <c r="BF141" s="926" t="s">
        <v>21</v>
      </c>
      <c r="BG141" s="925">
        <v>30.56</v>
      </c>
      <c r="BH141" s="926" t="s">
        <v>21</v>
      </c>
      <c r="BI141" s="925" t="s">
        <v>21</v>
      </c>
      <c r="BJ141" s="926" t="s">
        <v>21</v>
      </c>
      <c r="BK141" s="925" t="s">
        <v>21</v>
      </c>
      <c r="BL141" s="926" t="s">
        <v>21</v>
      </c>
      <c r="BM141" s="925" t="s">
        <v>21</v>
      </c>
      <c r="BN141" s="927"/>
      <c r="BO141" s="927"/>
      <c r="BP141" s="928">
        <v>1</v>
      </c>
      <c r="BQ141" s="928" t="s">
        <v>21</v>
      </c>
      <c r="BR141" s="928" t="s">
        <v>21</v>
      </c>
      <c r="BS141" s="928" t="s">
        <v>21</v>
      </c>
      <c r="BT141" s="928" t="s">
        <v>21</v>
      </c>
      <c r="BU141" s="928" t="s">
        <v>21</v>
      </c>
      <c r="BV141" s="929">
        <v>0.55000000000004556</v>
      </c>
      <c r="BW141" s="929">
        <v>1</v>
      </c>
      <c r="BX141" s="1104">
        <v>2</v>
      </c>
      <c r="BY141" s="931">
        <v>4</v>
      </c>
      <c r="BZ141" s="930">
        <v>1</v>
      </c>
      <c r="CA141" s="1074"/>
      <c r="CB141" s="930"/>
      <c r="CC141" s="930"/>
      <c r="CD141" s="925">
        <v>31.263000000000002</v>
      </c>
      <c r="CE141" s="1130">
        <v>94.155000000000001</v>
      </c>
      <c r="CF141" s="1129" t="s">
        <v>21</v>
      </c>
      <c r="CG141" s="1130" t="s">
        <v>21</v>
      </c>
      <c r="CH141" s="1130" t="s">
        <v>21</v>
      </c>
      <c r="CI141" s="1131" t="s">
        <v>21</v>
      </c>
      <c r="CJ141" s="1129" t="s">
        <v>21</v>
      </c>
      <c r="CK141" s="1130">
        <v>94.155000000000001</v>
      </c>
      <c r="CL141" s="1130" t="s">
        <v>21</v>
      </c>
      <c r="CM141" s="1131" t="s">
        <v>21</v>
      </c>
      <c r="CN141" s="1130" t="s">
        <v>21</v>
      </c>
      <c r="CP141" s="838" t="s">
        <v>21</v>
      </c>
      <c r="CQ141" s="838" t="s">
        <v>21</v>
      </c>
      <c r="CR141" s="836"/>
    </row>
    <row r="142" spans="1:96" x14ac:dyDescent="0.25">
      <c r="A142" s="935" t="s">
        <v>3073</v>
      </c>
      <c r="B142" s="1180"/>
      <c r="C142" s="935"/>
      <c r="D142" s="935"/>
      <c r="E142" s="936"/>
      <c r="F142" s="936"/>
      <c r="G142" s="937"/>
      <c r="H142" s="936"/>
      <c r="I142" s="936"/>
      <c r="J142" s="914"/>
      <c r="K142" s="915"/>
      <c r="L142" s="916" t="s">
        <v>21</v>
      </c>
      <c r="M142" s="916" t="s">
        <v>21</v>
      </c>
      <c r="N142" s="916" t="s">
        <v>21</v>
      </c>
      <c r="O142" s="916" t="s">
        <v>21</v>
      </c>
      <c r="P142" s="915"/>
      <c r="Q142" s="916" t="s">
        <v>21</v>
      </c>
      <c r="R142" s="917" t="s">
        <v>21</v>
      </c>
      <c r="S142" s="918" t="s">
        <v>21</v>
      </c>
      <c r="T142" s="918" t="s">
        <v>21</v>
      </c>
      <c r="U142" s="916" t="s">
        <v>21</v>
      </c>
      <c r="V142" s="916" t="s">
        <v>21</v>
      </c>
      <c r="W142" s="915"/>
      <c r="X142" s="916" t="s">
        <v>21</v>
      </c>
      <c r="Y142" s="916" t="s">
        <v>21</v>
      </c>
      <c r="Z142" s="916" t="s">
        <v>21</v>
      </c>
      <c r="AA142" s="916" t="s">
        <v>21</v>
      </c>
      <c r="AB142" s="916" t="s">
        <v>21</v>
      </c>
      <c r="AC142" s="915"/>
      <c r="AD142" s="919" t="s">
        <v>21</v>
      </c>
      <c r="AE142" s="920" t="s">
        <v>21</v>
      </c>
      <c r="AF142" s="920" t="s">
        <v>21</v>
      </c>
      <c r="AG142" s="920" t="s">
        <v>21</v>
      </c>
      <c r="AH142" s="921" t="s">
        <v>21</v>
      </c>
      <c r="AI142" s="921" t="s">
        <v>21</v>
      </c>
      <c r="AJ142" s="920" t="s">
        <v>21</v>
      </c>
      <c r="AK142" s="920" t="s">
        <v>21</v>
      </c>
      <c r="AL142" s="921" t="s">
        <v>21</v>
      </c>
      <c r="AM142" s="921" t="s">
        <v>21</v>
      </c>
      <c r="AN142" s="920"/>
      <c r="AO142" s="920" t="s">
        <v>21</v>
      </c>
      <c r="AP142" s="919" t="s">
        <v>21</v>
      </c>
      <c r="AQ142" s="922" t="s">
        <v>21</v>
      </c>
      <c r="AR142" s="923" t="s">
        <v>21</v>
      </c>
      <c r="AS142" s="923" t="s">
        <v>21</v>
      </c>
      <c r="AT142" s="923" t="s">
        <v>21</v>
      </c>
      <c r="AU142" s="923" t="s">
        <v>21</v>
      </c>
      <c r="AV142" s="924" t="s">
        <v>21</v>
      </c>
      <c r="AW142" s="924" t="s">
        <v>21</v>
      </c>
      <c r="AX142" s="924" t="s">
        <v>21</v>
      </c>
      <c r="AY142" s="924" t="s">
        <v>21</v>
      </c>
      <c r="AZ142" s="923" t="s">
        <v>21</v>
      </c>
      <c r="BA142" s="923"/>
      <c r="BB142" s="919" t="s">
        <v>21</v>
      </c>
      <c r="BC142" s="919" t="s">
        <v>21</v>
      </c>
      <c r="BD142" s="919" t="s">
        <v>21</v>
      </c>
      <c r="BE142" s="925" t="s">
        <v>21</v>
      </c>
      <c r="BF142" s="926" t="s">
        <v>21</v>
      </c>
      <c r="BG142" s="925" t="s">
        <v>21</v>
      </c>
      <c r="BH142" s="926" t="s">
        <v>21</v>
      </c>
      <c r="BI142" s="925" t="s">
        <v>21</v>
      </c>
      <c r="BJ142" s="926" t="s">
        <v>21</v>
      </c>
      <c r="BK142" s="925" t="s">
        <v>21</v>
      </c>
      <c r="BL142" s="926" t="s">
        <v>21</v>
      </c>
      <c r="BM142" s="925" t="s">
        <v>21</v>
      </c>
      <c r="BN142" s="927"/>
      <c r="BO142" s="927"/>
      <c r="BP142" s="928" t="s">
        <v>21</v>
      </c>
      <c r="BQ142" s="928" t="s">
        <v>21</v>
      </c>
      <c r="BR142" s="928" t="s">
        <v>21</v>
      </c>
      <c r="BS142" s="928" t="s">
        <v>21</v>
      </c>
      <c r="BT142" s="928" t="s">
        <v>21</v>
      </c>
      <c r="BU142" s="928" t="s">
        <v>21</v>
      </c>
      <c r="BV142" s="929" t="s">
        <v>21</v>
      </c>
      <c r="BW142" s="929" t="s">
        <v>21</v>
      </c>
      <c r="BX142" s="1104" t="s">
        <v>21</v>
      </c>
      <c r="BY142" s="931" t="s">
        <v>21</v>
      </c>
      <c r="BZ142" s="930"/>
      <c r="CA142" s="1074"/>
      <c r="CB142" s="930"/>
      <c r="CC142" s="930"/>
      <c r="CD142" s="925" t="s">
        <v>21</v>
      </c>
      <c r="CE142" s="1130" t="s">
        <v>21</v>
      </c>
      <c r="CF142" s="1129" t="s">
        <v>21</v>
      </c>
      <c r="CG142" s="1130" t="s">
        <v>21</v>
      </c>
      <c r="CH142" s="1130" t="s">
        <v>21</v>
      </c>
      <c r="CI142" s="1131" t="s">
        <v>21</v>
      </c>
      <c r="CJ142" s="1129" t="s">
        <v>21</v>
      </c>
      <c r="CK142" s="1130" t="s">
        <v>21</v>
      </c>
      <c r="CL142" s="1130" t="s">
        <v>21</v>
      </c>
      <c r="CM142" s="1131" t="s">
        <v>21</v>
      </c>
      <c r="CN142" s="1130" t="s">
        <v>21</v>
      </c>
      <c r="CP142" s="838" t="s">
        <v>21</v>
      </c>
      <c r="CQ142" s="838" t="s">
        <v>21</v>
      </c>
      <c r="CR142" s="836"/>
    </row>
    <row r="143" spans="1:96" x14ac:dyDescent="0.25">
      <c r="A143" s="935" t="s">
        <v>3064</v>
      </c>
      <c r="B143" s="1180"/>
      <c r="C143" s="935"/>
      <c r="D143" s="935"/>
      <c r="E143" s="936"/>
      <c r="F143" s="936"/>
      <c r="G143" s="937"/>
      <c r="H143" s="936"/>
      <c r="I143" s="936"/>
      <c r="J143" s="914"/>
      <c r="K143" s="915"/>
      <c r="L143" s="916" t="s">
        <v>21</v>
      </c>
      <c r="M143" s="916" t="s">
        <v>21</v>
      </c>
      <c r="N143" s="916" t="s">
        <v>21</v>
      </c>
      <c r="O143" s="916" t="s">
        <v>21</v>
      </c>
      <c r="P143" s="915"/>
      <c r="Q143" s="916" t="s">
        <v>21</v>
      </c>
      <c r="R143" s="917" t="s">
        <v>21</v>
      </c>
      <c r="S143" s="918" t="s">
        <v>21</v>
      </c>
      <c r="T143" s="918" t="s">
        <v>21</v>
      </c>
      <c r="U143" s="916" t="s">
        <v>21</v>
      </c>
      <c r="V143" s="916" t="s">
        <v>21</v>
      </c>
      <c r="W143" s="915"/>
      <c r="X143" s="916" t="s">
        <v>21</v>
      </c>
      <c r="Y143" s="916" t="s">
        <v>21</v>
      </c>
      <c r="Z143" s="916" t="s">
        <v>21</v>
      </c>
      <c r="AA143" s="916" t="s">
        <v>21</v>
      </c>
      <c r="AB143" s="916" t="s">
        <v>21</v>
      </c>
      <c r="AC143" s="915"/>
      <c r="AD143" s="919" t="s">
        <v>21</v>
      </c>
      <c r="AE143" s="920" t="s">
        <v>21</v>
      </c>
      <c r="AF143" s="920" t="s">
        <v>21</v>
      </c>
      <c r="AG143" s="920" t="s">
        <v>21</v>
      </c>
      <c r="AH143" s="921" t="s">
        <v>21</v>
      </c>
      <c r="AI143" s="921" t="s">
        <v>21</v>
      </c>
      <c r="AJ143" s="920" t="s">
        <v>21</v>
      </c>
      <c r="AK143" s="920" t="s">
        <v>21</v>
      </c>
      <c r="AL143" s="921" t="s">
        <v>21</v>
      </c>
      <c r="AM143" s="921" t="s">
        <v>21</v>
      </c>
      <c r="AN143" s="920"/>
      <c r="AO143" s="920" t="s">
        <v>21</v>
      </c>
      <c r="AP143" s="919" t="s">
        <v>21</v>
      </c>
      <c r="AQ143" s="922" t="s">
        <v>21</v>
      </c>
      <c r="AR143" s="923" t="s">
        <v>21</v>
      </c>
      <c r="AS143" s="923" t="s">
        <v>21</v>
      </c>
      <c r="AT143" s="923" t="s">
        <v>21</v>
      </c>
      <c r="AU143" s="923" t="s">
        <v>21</v>
      </c>
      <c r="AV143" s="924" t="s">
        <v>21</v>
      </c>
      <c r="AW143" s="924" t="s">
        <v>21</v>
      </c>
      <c r="AX143" s="924" t="s">
        <v>21</v>
      </c>
      <c r="AY143" s="924" t="s">
        <v>21</v>
      </c>
      <c r="AZ143" s="923" t="s">
        <v>21</v>
      </c>
      <c r="BA143" s="923"/>
      <c r="BB143" s="919" t="s">
        <v>21</v>
      </c>
      <c r="BC143" s="919" t="s">
        <v>21</v>
      </c>
      <c r="BD143" s="919" t="s">
        <v>21</v>
      </c>
      <c r="BE143" s="925" t="s">
        <v>21</v>
      </c>
      <c r="BF143" s="926" t="s">
        <v>21</v>
      </c>
      <c r="BG143" s="925" t="s">
        <v>21</v>
      </c>
      <c r="BH143" s="926" t="s">
        <v>21</v>
      </c>
      <c r="BI143" s="925" t="s">
        <v>21</v>
      </c>
      <c r="BJ143" s="926" t="s">
        <v>21</v>
      </c>
      <c r="BK143" s="925" t="s">
        <v>21</v>
      </c>
      <c r="BL143" s="926" t="s">
        <v>21</v>
      </c>
      <c r="BM143" s="925" t="s">
        <v>21</v>
      </c>
      <c r="BN143" s="927"/>
      <c r="BO143" s="927"/>
      <c r="BP143" s="928" t="s">
        <v>21</v>
      </c>
      <c r="BQ143" s="928" t="s">
        <v>21</v>
      </c>
      <c r="BR143" s="928" t="s">
        <v>21</v>
      </c>
      <c r="BS143" s="928" t="s">
        <v>21</v>
      </c>
      <c r="BT143" s="928" t="s">
        <v>21</v>
      </c>
      <c r="BU143" s="928" t="s">
        <v>21</v>
      </c>
      <c r="BV143" s="929" t="s">
        <v>21</v>
      </c>
      <c r="BW143" s="929" t="s">
        <v>21</v>
      </c>
      <c r="BX143" s="1104" t="s">
        <v>21</v>
      </c>
      <c r="BY143" s="931" t="s">
        <v>21</v>
      </c>
      <c r="BZ143" s="930"/>
      <c r="CA143" s="1074"/>
      <c r="CB143" s="930"/>
      <c r="CC143" s="930"/>
      <c r="CD143" s="925" t="s">
        <v>21</v>
      </c>
      <c r="CE143" s="1130" t="s">
        <v>21</v>
      </c>
      <c r="CF143" s="1129" t="s">
        <v>21</v>
      </c>
      <c r="CG143" s="1130" t="s">
        <v>21</v>
      </c>
      <c r="CH143" s="1130" t="s">
        <v>21</v>
      </c>
      <c r="CI143" s="1131" t="s">
        <v>21</v>
      </c>
      <c r="CJ143" s="1129" t="s">
        <v>21</v>
      </c>
      <c r="CK143" s="1130" t="s">
        <v>21</v>
      </c>
      <c r="CL143" s="1130" t="s">
        <v>21</v>
      </c>
      <c r="CM143" s="1131" t="s">
        <v>21</v>
      </c>
      <c r="CN143" s="1130" t="s">
        <v>21</v>
      </c>
      <c r="CP143" s="838" t="s">
        <v>21</v>
      </c>
      <c r="CQ143" s="838" t="s">
        <v>21</v>
      </c>
      <c r="CR143" s="836"/>
    </row>
    <row r="144" spans="1:96" x14ac:dyDescent="0.25">
      <c r="A144" s="935">
        <v>2</v>
      </c>
      <c r="B144" s="1180"/>
      <c r="C144" s="935"/>
      <c r="D144" s="935"/>
      <c r="E144" s="936"/>
      <c r="F144" s="936"/>
      <c r="G144" s="937"/>
      <c r="H144" s="936"/>
      <c r="I144" s="936"/>
      <c r="J144" s="914"/>
      <c r="K144" s="915"/>
      <c r="L144" s="916" t="s">
        <v>21</v>
      </c>
      <c r="M144" s="916" t="s">
        <v>21</v>
      </c>
      <c r="N144" s="916" t="s">
        <v>21</v>
      </c>
      <c r="O144" s="916" t="s">
        <v>21</v>
      </c>
      <c r="P144" s="915"/>
      <c r="Q144" s="916" t="s">
        <v>21</v>
      </c>
      <c r="R144" s="917" t="s">
        <v>21</v>
      </c>
      <c r="S144" s="918" t="s">
        <v>21</v>
      </c>
      <c r="T144" s="918" t="s">
        <v>21</v>
      </c>
      <c r="U144" s="916" t="s">
        <v>21</v>
      </c>
      <c r="V144" s="916" t="s">
        <v>21</v>
      </c>
      <c r="W144" s="915"/>
      <c r="X144" s="916" t="s">
        <v>21</v>
      </c>
      <c r="Y144" s="916" t="s">
        <v>21</v>
      </c>
      <c r="Z144" s="916" t="s">
        <v>21</v>
      </c>
      <c r="AA144" s="916" t="s">
        <v>21</v>
      </c>
      <c r="AB144" s="916" t="s">
        <v>21</v>
      </c>
      <c r="AC144" s="915"/>
      <c r="AD144" s="919" t="s">
        <v>21</v>
      </c>
      <c r="AE144" s="920" t="s">
        <v>21</v>
      </c>
      <c r="AF144" s="920" t="s">
        <v>21</v>
      </c>
      <c r="AG144" s="920" t="s">
        <v>21</v>
      </c>
      <c r="AH144" s="921" t="s">
        <v>21</v>
      </c>
      <c r="AI144" s="921" t="s">
        <v>21</v>
      </c>
      <c r="AJ144" s="920" t="s">
        <v>21</v>
      </c>
      <c r="AK144" s="920" t="s">
        <v>21</v>
      </c>
      <c r="AL144" s="921" t="s">
        <v>21</v>
      </c>
      <c r="AM144" s="921" t="s">
        <v>21</v>
      </c>
      <c r="AN144" s="920"/>
      <c r="AO144" s="920" t="s">
        <v>21</v>
      </c>
      <c r="AP144" s="919" t="s">
        <v>21</v>
      </c>
      <c r="AQ144" s="922" t="s">
        <v>21</v>
      </c>
      <c r="AR144" s="923" t="s">
        <v>21</v>
      </c>
      <c r="AS144" s="923" t="s">
        <v>21</v>
      </c>
      <c r="AT144" s="923" t="s">
        <v>21</v>
      </c>
      <c r="AU144" s="923" t="s">
        <v>21</v>
      </c>
      <c r="AV144" s="924" t="s">
        <v>21</v>
      </c>
      <c r="AW144" s="924" t="s">
        <v>21</v>
      </c>
      <c r="AX144" s="924" t="s">
        <v>21</v>
      </c>
      <c r="AY144" s="924" t="s">
        <v>21</v>
      </c>
      <c r="AZ144" s="923" t="s">
        <v>21</v>
      </c>
      <c r="BA144" s="923"/>
      <c r="BB144" s="919" t="s">
        <v>21</v>
      </c>
      <c r="BC144" s="919" t="s">
        <v>21</v>
      </c>
      <c r="BD144" s="919" t="s">
        <v>21</v>
      </c>
      <c r="BE144" s="925" t="s">
        <v>21</v>
      </c>
      <c r="BF144" s="926" t="s">
        <v>21</v>
      </c>
      <c r="BG144" s="925" t="s">
        <v>21</v>
      </c>
      <c r="BH144" s="926" t="s">
        <v>21</v>
      </c>
      <c r="BI144" s="925" t="s">
        <v>21</v>
      </c>
      <c r="BJ144" s="926" t="s">
        <v>21</v>
      </c>
      <c r="BK144" s="925" t="s">
        <v>21</v>
      </c>
      <c r="BL144" s="926" t="s">
        <v>21</v>
      </c>
      <c r="BM144" s="925" t="s">
        <v>21</v>
      </c>
      <c r="BN144" s="927"/>
      <c r="BO144" s="927"/>
      <c r="BP144" s="928" t="s">
        <v>21</v>
      </c>
      <c r="BQ144" s="928" t="s">
        <v>21</v>
      </c>
      <c r="BR144" s="928" t="s">
        <v>21</v>
      </c>
      <c r="BS144" s="928" t="s">
        <v>21</v>
      </c>
      <c r="BT144" s="928" t="s">
        <v>21</v>
      </c>
      <c r="BU144" s="928" t="s">
        <v>21</v>
      </c>
      <c r="BV144" s="929" t="s">
        <v>21</v>
      </c>
      <c r="BW144" s="929" t="s">
        <v>21</v>
      </c>
      <c r="BX144" s="1104" t="s">
        <v>21</v>
      </c>
      <c r="BY144" s="931" t="s">
        <v>21</v>
      </c>
      <c r="BZ144" s="930"/>
      <c r="CA144" s="1074"/>
      <c r="CB144" s="930"/>
      <c r="CC144" s="930"/>
      <c r="CD144" s="925" t="s">
        <v>21</v>
      </c>
      <c r="CE144" s="1130" t="s">
        <v>21</v>
      </c>
      <c r="CF144" s="1129" t="s">
        <v>21</v>
      </c>
      <c r="CG144" s="1130" t="s">
        <v>21</v>
      </c>
      <c r="CH144" s="1130" t="s">
        <v>21</v>
      </c>
      <c r="CI144" s="1131" t="s">
        <v>21</v>
      </c>
      <c r="CJ144" s="1129" t="s">
        <v>21</v>
      </c>
      <c r="CK144" s="1130" t="s">
        <v>21</v>
      </c>
      <c r="CL144" s="1130" t="s">
        <v>21</v>
      </c>
      <c r="CM144" s="1131" t="s">
        <v>21</v>
      </c>
      <c r="CN144" s="1130" t="s">
        <v>21</v>
      </c>
      <c r="CP144" s="838" t="s">
        <v>21</v>
      </c>
      <c r="CQ144" s="838" t="s">
        <v>21</v>
      </c>
      <c r="CR144" s="836"/>
    </row>
    <row r="145" spans="1:96" x14ac:dyDescent="0.25">
      <c r="A145" s="935"/>
      <c r="B145" s="1180"/>
      <c r="C145" s="935"/>
      <c r="D145" s="935"/>
      <c r="E145" s="936"/>
      <c r="F145" s="936"/>
      <c r="G145" s="1180"/>
      <c r="H145" s="936"/>
      <c r="I145" s="936"/>
      <c r="J145" s="914"/>
      <c r="K145" s="915"/>
      <c r="L145" s="916" t="s">
        <v>21</v>
      </c>
      <c r="M145" s="916" t="s">
        <v>21</v>
      </c>
      <c r="N145" s="916" t="s">
        <v>21</v>
      </c>
      <c r="O145" s="916" t="s">
        <v>21</v>
      </c>
      <c r="P145" s="915"/>
      <c r="Q145" s="916" t="s">
        <v>21</v>
      </c>
      <c r="R145" s="917" t="s">
        <v>21</v>
      </c>
      <c r="S145" s="918" t="s">
        <v>21</v>
      </c>
      <c r="T145" s="918" t="s">
        <v>21</v>
      </c>
      <c r="U145" s="916" t="s">
        <v>21</v>
      </c>
      <c r="V145" s="916" t="s">
        <v>21</v>
      </c>
      <c r="W145" s="915"/>
      <c r="X145" s="916" t="s">
        <v>21</v>
      </c>
      <c r="Y145" s="916" t="s">
        <v>21</v>
      </c>
      <c r="Z145" s="916" t="s">
        <v>21</v>
      </c>
      <c r="AA145" s="916" t="s">
        <v>21</v>
      </c>
      <c r="AB145" s="916" t="s">
        <v>21</v>
      </c>
      <c r="AC145" s="915"/>
      <c r="AD145" s="919" t="s">
        <v>21</v>
      </c>
      <c r="AE145" s="920" t="s">
        <v>21</v>
      </c>
      <c r="AF145" s="920" t="s">
        <v>21</v>
      </c>
      <c r="AG145" s="920" t="s">
        <v>21</v>
      </c>
      <c r="AH145" s="921" t="s">
        <v>21</v>
      </c>
      <c r="AI145" s="921" t="s">
        <v>21</v>
      </c>
      <c r="AJ145" s="920" t="s">
        <v>21</v>
      </c>
      <c r="AK145" s="920" t="s">
        <v>21</v>
      </c>
      <c r="AL145" s="921" t="s">
        <v>21</v>
      </c>
      <c r="AM145" s="921" t="s">
        <v>21</v>
      </c>
      <c r="AN145" s="920"/>
      <c r="AO145" s="920" t="s">
        <v>21</v>
      </c>
      <c r="AP145" s="919" t="s">
        <v>21</v>
      </c>
      <c r="AQ145" s="922" t="s">
        <v>21</v>
      </c>
      <c r="AR145" s="923" t="s">
        <v>21</v>
      </c>
      <c r="AS145" s="923" t="s">
        <v>21</v>
      </c>
      <c r="AT145" s="923" t="s">
        <v>21</v>
      </c>
      <c r="AU145" s="923" t="s">
        <v>21</v>
      </c>
      <c r="AV145" s="924" t="s">
        <v>21</v>
      </c>
      <c r="AW145" s="924" t="s">
        <v>21</v>
      </c>
      <c r="AX145" s="924" t="s">
        <v>21</v>
      </c>
      <c r="AY145" s="924" t="s">
        <v>21</v>
      </c>
      <c r="AZ145" s="923" t="s">
        <v>21</v>
      </c>
      <c r="BA145" s="923"/>
      <c r="BB145" s="919" t="s">
        <v>21</v>
      </c>
      <c r="BC145" s="919" t="s">
        <v>21</v>
      </c>
      <c r="BD145" s="919" t="s">
        <v>21</v>
      </c>
      <c r="BE145" s="925" t="s">
        <v>21</v>
      </c>
      <c r="BF145" s="926" t="s">
        <v>21</v>
      </c>
      <c r="BG145" s="925" t="s">
        <v>21</v>
      </c>
      <c r="BH145" s="926" t="s">
        <v>21</v>
      </c>
      <c r="BI145" s="925" t="s">
        <v>21</v>
      </c>
      <c r="BJ145" s="926" t="s">
        <v>21</v>
      </c>
      <c r="BK145" s="925" t="s">
        <v>21</v>
      </c>
      <c r="BL145" s="926" t="s">
        <v>21</v>
      </c>
      <c r="BM145" s="925" t="s">
        <v>21</v>
      </c>
      <c r="BN145" s="927"/>
      <c r="BO145" s="927"/>
      <c r="BP145" s="928" t="s">
        <v>21</v>
      </c>
      <c r="BQ145" s="928" t="s">
        <v>21</v>
      </c>
      <c r="BR145" s="928" t="s">
        <v>21</v>
      </c>
      <c r="BS145" s="928" t="s">
        <v>21</v>
      </c>
      <c r="BT145" s="928" t="s">
        <v>21</v>
      </c>
      <c r="BU145" s="928" t="s">
        <v>21</v>
      </c>
      <c r="BV145" s="929" t="s">
        <v>21</v>
      </c>
      <c r="BW145" s="929" t="s">
        <v>21</v>
      </c>
      <c r="BX145" s="1104" t="s">
        <v>21</v>
      </c>
      <c r="BY145" s="931" t="s">
        <v>21</v>
      </c>
      <c r="BZ145" s="930"/>
      <c r="CA145" s="1074"/>
      <c r="CB145" s="930"/>
      <c r="CC145" s="930"/>
      <c r="CD145" s="925" t="s">
        <v>21</v>
      </c>
      <c r="CE145" s="1130" t="s">
        <v>21</v>
      </c>
      <c r="CF145" s="1129" t="s">
        <v>21</v>
      </c>
      <c r="CG145" s="1130" t="s">
        <v>21</v>
      </c>
      <c r="CH145" s="1130" t="s">
        <v>21</v>
      </c>
      <c r="CI145" s="1131" t="s">
        <v>21</v>
      </c>
      <c r="CJ145" s="1129" t="s">
        <v>21</v>
      </c>
      <c r="CK145" s="1130" t="s">
        <v>21</v>
      </c>
      <c r="CL145" s="1130" t="s">
        <v>21</v>
      </c>
      <c r="CM145" s="1131" t="s">
        <v>21</v>
      </c>
      <c r="CN145" s="1130" t="s">
        <v>21</v>
      </c>
      <c r="CP145" s="838" t="s">
        <v>21</v>
      </c>
      <c r="CQ145" s="838" t="s">
        <v>21</v>
      </c>
      <c r="CR145" s="836"/>
    </row>
    <row r="146" spans="1:96" x14ac:dyDescent="0.25">
      <c r="A146" s="1079" t="s">
        <v>3077</v>
      </c>
      <c r="B146" s="1180"/>
      <c r="C146" s="935"/>
      <c r="D146" s="935"/>
      <c r="E146" s="936"/>
      <c r="F146" s="936"/>
      <c r="G146" s="1180"/>
      <c r="H146" s="936"/>
      <c r="I146" s="936"/>
      <c r="J146" s="1080">
        <v>647.15</v>
      </c>
      <c r="K146" s="915"/>
      <c r="L146" s="916" t="s">
        <v>21</v>
      </c>
      <c r="M146" s="916" t="s">
        <v>21</v>
      </c>
      <c r="N146" s="916" t="s">
        <v>21</v>
      </c>
      <c r="O146" s="916" t="s">
        <v>21</v>
      </c>
      <c r="P146" s="915"/>
      <c r="Q146" s="916" t="s">
        <v>21</v>
      </c>
      <c r="R146" s="917" t="s">
        <v>21</v>
      </c>
      <c r="S146" s="918" t="s">
        <v>21</v>
      </c>
      <c r="T146" s="918" t="s">
        <v>21</v>
      </c>
      <c r="U146" s="916" t="s">
        <v>21</v>
      </c>
      <c r="V146" s="916" t="s">
        <v>21</v>
      </c>
      <c r="W146" s="915"/>
      <c r="X146" s="916" t="s">
        <v>21</v>
      </c>
      <c r="Y146" s="916" t="s">
        <v>21</v>
      </c>
      <c r="Z146" s="916" t="s">
        <v>21</v>
      </c>
      <c r="AA146" s="916" t="s">
        <v>21</v>
      </c>
      <c r="AB146" s="916" t="s">
        <v>21</v>
      </c>
      <c r="AC146" s="915"/>
      <c r="AD146" s="1084">
        <v>3395.148999999999</v>
      </c>
      <c r="AE146" s="1085">
        <v>3896.4639999999999</v>
      </c>
      <c r="AF146" s="1085">
        <v>0</v>
      </c>
      <c r="AG146" s="1085">
        <v>0</v>
      </c>
      <c r="AH146" s="1086">
        <v>2069.8809999999999</v>
      </c>
      <c r="AI146" s="1086">
        <v>0</v>
      </c>
      <c r="AJ146" s="1085">
        <v>0</v>
      </c>
      <c r="AK146" s="1085">
        <v>0</v>
      </c>
      <c r="AL146" s="1086">
        <v>0</v>
      </c>
      <c r="AM146" s="1086">
        <v>0</v>
      </c>
      <c r="AN146" s="1085">
        <v>0</v>
      </c>
      <c r="AO146" s="1085">
        <v>1826.5830000000005</v>
      </c>
      <c r="AP146" s="1084">
        <v>1452.288</v>
      </c>
      <c r="AQ146" s="1087" t="s">
        <v>21</v>
      </c>
      <c r="AR146" s="1088">
        <v>0</v>
      </c>
      <c r="AS146" s="1088">
        <v>2050.81448</v>
      </c>
      <c r="AT146" s="1088">
        <v>0</v>
      </c>
      <c r="AU146" s="1088">
        <v>0</v>
      </c>
      <c r="AV146" s="1089">
        <v>0</v>
      </c>
      <c r="AW146" s="1089">
        <v>0</v>
      </c>
      <c r="AX146" s="1089">
        <v>0</v>
      </c>
      <c r="AY146" s="1089">
        <v>0</v>
      </c>
      <c r="AZ146" s="1088">
        <v>889.20780000000002</v>
      </c>
      <c r="BA146" s="1088">
        <v>0</v>
      </c>
      <c r="BB146" s="1084">
        <v>62.385999999999989</v>
      </c>
      <c r="BC146" s="1084">
        <v>82.841999999999999</v>
      </c>
      <c r="BD146" s="919" t="b">
        <v>0</v>
      </c>
      <c r="BE146" s="1088">
        <v>0</v>
      </c>
      <c r="BF146" s="1089">
        <v>0</v>
      </c>
      <c r="BG146" s="1088">
        <v>647.15</v>
      </c>
      <c r="BH146" s="1089">
        <v>0</v>
      </c>
      <c r="BI146" s="1088">
        <v>0</v>
      </c>
      <c r="BJ146" s="1089">
        <v>0</v>
      </c>
      <c r="BK146" s="1088">
        <v>0</v>
      </c>
      <c r="BL146" s="1089">
        <v>0</v>
      </c>
      <c r="BM146" s="1088">
        <v>0</v>
      </c>
      <c r="BN146" s="1091">
        <v>0</v>
      </c>
      <c r="BO146" s="1091">
        <v>0</v>
      </c>
      <c r="BP146" s="1092">
        <v>29</v>
      </c>
      <c r="BQ146" s="1092">
        <v>0</v>
      </c>
      <c r="BR146" s="1092">
        <v>0</v>
      </c>
      <c r="BS146" s="1092">
        <v>0</v>
      </c>
      <c r="BT146" s="1092">
        <v>0</v>
      </c>
      <c r="BU146" s="1092">
        <v>0</v>
      </c>
      <c r="BV146" s="1093">
        <v>16.886000000000099</v>
      </c>
      <c r="BW146" s="1093">
        <v>28</v>
      </c>
      <c r="BX146" s="1105">
        <v>56</v>
      </c>
      <c r="BY146" s="1095">
        <v>114</v>
      </c>
      <c r="BZ146" s="1094">
        <v>18</v>
      </c>
      <c r="CA146" s="1094">
        <v>8</v>
      </c>
      <c r="CB146" s="1094">
        <v>2</v>
      </c>
      <c r="CC146" s="1094">
        <v>0</v>
      </c>
      <c r="CD146" s="1088">
        <v>1053.153</v>
      </c>
      <c r="CE146" s="1133">
        <v>2434.6950000000002</v>
      </c>
      <c r="CF146" s="1132">
        <v>0</v>
      </c>
      <c r="CG146" s="1133">
        <v>0</v>
      </c>
      <c r="CH146" s="1133">
        <v>0</v>
      </c>
      <c r="CI146" s="1134">
        <v>0</v>
      </c>
      <c r="CJ146" s="1132">
        <v>0</v>
      </c>
      <c r="CK146" s="1133">
        <v>1370.2570000000001</v>
      </c>
      <c r="CL146" s="1133">
        <v>0</v>
      </c>
      <c r="CM146" s="1134">
        <v>0</v>
      </c>
      <c r="CN146" s="1133">
        <v>1064.4379999999999</v>
      </c>
      <c r="CP146" s="838" t="s">
        <v>21</v>
      </c>
      <c r="CQ146" s="838" t="s">
        <v>21</v>
      </c>
      <c r="CR146" s="836"/>
    </row>
    <row r="147" spans="1:96" x14ac:dyDescent="0.25">
      <c r="A147" s="935"/>
      <c r="B147" s="1180"/>
      <c r="C147" s="935"/>
      <c r="D147" s="935"/>
      <c r="E147" s="936"/>
      <c r="F147" s="936"/>
      <c r="G147" s="937"/>
      <c r="H147" s="936"/>
      <c r="I147" s="936"/>
      <c r="J147" s="914"/>
      <c r="K147" s="915"/>
      <c r="L147" s="916" t="s">
        <v>21</v>
      </c>
      <c r="M147" s="916" t="s">
        <v>21</v>
      </c>
      <c r="N147" s="916" t="s">
        <v>21</v>
      </c>
      <c r="O147" s="916" t="s">
        <v>21</v>
      </c>
      <c r="P147" s="915"/>
      <c r="Q147" s="916" t="s">
        <v>21</v>
      </c>
      <c r="R147" s="917" t="s">
        <v>21</v>
      </c>
      <c r="S147" s="918" t="s">
        <v>21</v>
      </c>
      <c r="T147" s="918" t="s">
        <v>21</v>
      </c>
      <c r="U147" s="916" t="s">
        <v>21</v>
      </c>
      <c r="V147" s="916" t="s">
        <v>21</v>
      </c>
      <c r="W147" s="915"/>
      <c r="X147" s="916" t="s">
        <v>21</v>
      </c>
      <c r="Y147" s="916" t="s">
        <v>21</v>
      </c>
      <c r="Z147" s="916" t="s">
        <v>21</v>
      </c>
      <c r="AA147" s="916" t="s">
        <v>21</v>
      </c>
      <c r="AB147" s="916" t="s">
        <v>21</v>
      </c>
      <c r="AC147" s="915"/>
      <c r="AD147" s="919" t="s">
        <v>21</v>
      </c>
      <c r="AE147" s="920" t="s">
        <v>21</v>
      </c>
      <c r="AF147" s="920" t="s">
        <v>21</v>
      </c>
      <c r="AG147" s="920" t="s">
        <v>21</v>
      </c>
      <c r="AH147" s="921" t="s">
        <v>21</v>
      </c>
      <c r="AI147" s="921" t="s">
        <v>21</v>
      </c>
      <c r="AJ147" s="920" t="s">
        <v>21</v>
      </c>
      <c r="AK147" s="920" t="s">
        <v>21</v>
      </c>
      <c r="AL147" s="921" t="s">
        <v>21</v>
      </c>
      <c r="AM147" s="921" t="s">
        <v>21</v>
      </c>
      <c r="AN147" s="920"/>
      <c r="AO147" s="920" t="s">
        <v>21</v>
      </c>
      <c r="AP147" s="919" t="s">
        <v>21</v>
      </c>
      <c r="AQ147" s="922" t="s">
        <v>21</v>
      </c>
      <c r="AR147" s="923" t="s">
        <v>21</v>
      </c>
      <c r="AS147" s="923" t="s">
        <v>21</v>
      </c>
      <c r="AT147" s="923" t="s">
        <v>21</v>
      </c>
      <c r="AU147" s="923" t="s">
        <v>21</v>
      </c>
      <c r="AV147" s="924" t="s">
        <v>21</v>
      </c>
      <c r="AW147" s="924" t="s">
        <v>21</v>
      </c>
      <c r="AX147" s="924" t="s">
        <v>21</v>
      </c>
      <c r="AY147" s="924" t="s">
        <v>21</v>
      </c>
      <c r="AZ147" s="923" t="s">
        <v>21</v>
      </c>
      <c r="BA147" s="923"/>
      <c r="BB147" s="919" t="s">
        <v>21</v>
      </c>
      <c r="BC147" s="919" t="s">
        <v>21</v>
      </c>
      <c r="BD147" s="919" t="s">
        <v>21</v>
      </c>
      <c r="BE147" s="925" t="s">
        <v>21</v>
      </c>
      <c r="BF147" s="926" t="s">
        <v>21</v>
      </c>
      <c r="BG147" s="925" t="s">
        <v>21</v>
      </c>
      <c r="BH147" s="926" t="s">
        <v>21</v>
      </c>
      <c r="BI147" s="925" t="s">
        <v>21</v>
      </c>
      <c r="BJ147" s="926" t="s">
        <v>21</v>
      </c>
      <c r="BK147" s="925" t="s">
        <v>21</v>
      </c>
      <c r="BL147" s="926" t="s">
        <v>21</v>
      </c>
      <c r="BM147" s="925" t="s">
        <v>21</v>
      </c>
      <c r="BN147" s="927"/>
      <c r="BO147" s="927"/>
      <c r="BP147" s="928" t="s">
        <v>21</v>
      </c>
      <c r="BQ147" s="928" t="s">
        <v>21</v>
      </c>
      <c r="BR147" s="928" t="s">
        <v>21</v>
      </c>
      <c r="BS147" s="928" t="s">
        <v>21</v>
      </c>
      <c r="BT147" s="928" t="s">
        <v>21</v>
      </c>
      <c r="BU147" s="928" t="s">
        <v>21</v>
      </c>
      <c r="BV147" s="929" t="s">
        <v>21</v>
      </c>
      <c r="BW147" s="929" t="s">
        <v>21</v>
      </c>
      <c r="BX147" s="1104" t="s">
        <v>21</v>
      </c>
      <c r="BY147" s="931" t="s">
        <v>21</v>
      </c>
      <c r="BZ147" s="930"/>
      <c r="CA147" s="1074"/>
      <c r="CB147" s="930"/>
      <c r="CC147" s="930"/>
      <c r="CD147" s="925" t="s">
        <v>21</v>
      </c>
      <c r="CE147" s="1130" t="s">
        <v>21</v>
      </c>
      <c r="CF147" s="1129" t="s">
        <v>21</v>
      </c>
      <c r="CG147" s="1130" t="s">
        <v>21</v>
      </c>
      <c r="CH147" s="1130" t="s">
        <v>21</v>
      </c>
      <c r="CI147" s="1131" t="s">
        <v>21</v>
      </c>
      <c r="CJ147" s="1129" t="s">
        <v>21</v>
      </c>
      <c r="CK147" s="1130" t="s">
        <v>21</v>
      </c>
      <c r="CL147" s="1130" t="s">
        <v>21</v>
      </c>
      <c r="CM147" s="1131" t="s">
        <v>21</v>
      </c>
      <c r="CN147" s="1130" t="s">
        <v>21</v>
      </c>
      <c r="CP147" s="838" t="s">
        <v>21</v>
      </c>
      <c r="CQ147" s="838" t="s">
        <v>21</v>
      </c>
      <c r="CR147" s="836"/>
    </row>
    <row r="148" spans="1:96" x14ac:dyDescent="0.25">
      <c r="A148" s="935">
        <v>1</v>
      </c>
      <c r="B148" s="1901" t="s">
        <v>2225</v>
      </c>
      <c r="C148" s="935">
        <v>600</v>
      </c>
      <c r="D148" s="935" t="s">
        <v>2116</v>
      </c>
      <c r="E148" s="936">
        <v>1199</v>
      </c>
      <c r="F148" s="936">
        <v>1197.0999999999999</v>
      </c>
      <c r="G148" s="937" t="s">
        <v>2226</v>
      </c>
      <c r="H148" s="936">
        <v>1198</v>
      </c>
      <c r="I148" s="936">
        <v>1196.0999999999999</v>
      </c>
      <c r="J148" s="914">
        <v>30.76</v>
      </c>
      <c r="K148" s="915"/>
      <c r="L148" s="916">
        <v>0.1</v>
      </c>
      <c r="M148" s="916">
        <v>0.06</v>
      </c>
      <c r="N148" s="916">
        <v>0.2</v>
      </c>
      <c r="O148" s="916">
        <v>5</v>
      </c>
      <c r="P148" s="915"/>
      <c r="Q148" s="916">
        <v>2.16</v>
      </c>
      <c r="R148" s="1899">
        <v>0</v>
      </c>
      <c r="S148" s="1898">
        <v>3</v>
      </c>
      <c r="T148" s="1898">
        <v>3</v>
      </c>
      <c r="U148" s="916">
        <v>4.32</v>
      </c>
      <c r="V148" s="916">
        <v>0.92</v>
      </c>
      <c r="W148" s="915"/>
      <c r="X148" s="916">
        <v>0.28299999999999997</v>
      </c>
      <c r="Y148" s="916">
        <v>0.40699999999999997</v>
      </c>
      <c r="Z148" s="916">
        <v>6.48</v>
      </c>
      <c r="AA148" s="916">
        <v>2.0529999999999999</v>
      </c>
      <c r="AB148" s="916">
        <v>3.72</v>
      </c>
      <c r="AC148" s="915"/>
      <c r="AD148" s="919">
        <v>153.80000000000001</v>
      </c>
      <c r="AE148" s="920">
        <v>199.32499999999999</v>
      </c>
      <c r="AF148" s="920" t="s">
        <v>21</v>
      </c>
      <c r="AG148" s="920" t="s">
        <v>21</v>
      </c>
      <c r="AH148" s="921" t="s">
        <v>21</v>
      </c>
      <c r="AI148" s="921" t="s">
        <v>21</v>
      </c>
      <c r="AJ148" s="920" t="s">
        <v>21</v>
      </c>
      <c r="AK148" s="920" t="s">
        <v>21</v>
      </c>
      <c r="AL148" s="921" t="s">
        <v>21</v>
      </c>
      <c r="AM148" s="921" t="s">
        <v>21</v>
      </c>
      <c r="AN148" s="920"/>
      <c r="AO148" s="920">
        <v>199.32499999999999</v>
      </c>
      <c r="AP148" s="919">
        <v>92.28</v>
      </c>
      <c r="AQ148" s="922">
        <v>132.88320000000002</v>
      </c>
      <c r="AR148" s="923" t="s">
        <v>21</v>
      </c>
      <c r="AS148" s="923" t="s">
        <v>21</v>
      </c>
      <c r="AT148" s="923" t="s">
        <v>21</v>
      </c>
      <c r="AU148" s="923" t="s">
        <v>21</v>
      </c>
      <c r="AV148" s="924" t="s">
        <v>21</v>
      </c>
      <c r="AW148" s="924" t="s">
        <v>21</v>
      </c>
      <c r="AX148" s="924" t="s">
        <v>21</v>
      </c>
      <c r="AY148" s="924" t="s">
        <v>21</v>
      </c>
      <c r="AZ148" s="1902">
        <v>132.88320000000002</v>
      </c>
      <c r="BA148" s="923"/>
      <c r="BB148" s="919" t="s">
        <v>21</v>
      </c>
      <c r="BC148" s="919">
        <v>9.2279999999999998</v>
      </c>
      <c r="BD148" s="919" t="s">
        <v>2142</v>
      </c>
      <c r="BE148" s="925" t="s">
        <v>21</v>
      </c>
      <c r="BF148" s="926" t="s">
        <v>21</v>
      </c>
      <c r="BG148" s="925">
        <v>30.76</v>
      </c>
      <c r="BH148" s="926" t="s">
        <v>21</v>
      </c>
      <c r="BI148" s="925" t="s">
        <v>21</v>
      </c>
      <c r="BJ148" s="926" t="s">
        <v>21</v>
      </c>
      <c r="BK148" s="925" t="s">
        <v>21</v>
      </c>
      <c r="BL148" s="926" t="s">
        <v>21</v>
      </c>
      <c r="BM148" s="925" t="s">
        <v>21</v>
      </c>
      <c r="BN148" s="927"/>
      <c r="BO148" s="927"/>
      <c r="BP148" s="928">
        <v>1</v>
      </c>
      <c r="BQ148" s="928" t="s">
        <v>21</v>
      </c>
      <c r="BR148" s="928" t="s">
        <v>21</v>
      </c>
      <c r="BS148" s="928" t="s">
        <v>21</v>
      </c>
      <c r="BT148" s="928" t="s">
        <v>21</v>
      </c>
      <c r="BU148" s="928" t="s">
        <v>21</v>
      </c>
      <c r="BV148" s="929">
        <v>0.50000000000009104</v>
      </c>
      <c r="BW148" s="929">
        <v>1</v>
      </c>
      <c r="BX148" s="1104">
        <v>2</v>
      </c>
      <c r="BY148" s="931">
        <v>4</v>
      </c>
      <c r="BZ148" s="930"/>
      <c r="CA148" s="1074">
        <v>1</v>
      </c>
      <c r="CB148" s="930"/>
      <c r="CC148" s="930"/>
      <c r="CD148" s="925">
        <v>63.15</v>
      </c>
      <c r="CE148" s="1130">
        <v>114.42700000000001</v>
      </c>
      <c r="CF148" s="1129" t="s">
        <v>21</v>
      </c>
      <c r="CG148" s="1130" t="s">
        <v>21</v>
      </c>
      <c r="CH148" s="1130" t="s">
        <v>21</v>
      </c>
      <c r="CI148" s="1131" t="s">
        <v>21</v>
      </c>
      <c r="CJ148" s="1129" t="s">
        <v>21</v>
      </c>
      <c r="CK148" s="1130" t="s">
        <v>21</v>
      </c>
      <c r="CL148" s="1130" t="s">
        <v>21</v>
      </c>
      <c r="CM148" s="1131" t="s">
        <v>21</v>
      </c>
      <c r="CN148" s="1130">
        <v>114.42700000000001</v>
      </c>
      <c r="CP148" s="838" t="s">
        <v>21</v>
      </c>
      <c r="CQ148" s="838" t="s">
        <v>21</v>
      </c>
      <c r="CR148" s="836"/>
    </row>
    <row r="149" spans="1:96" x14ac:dyDescent="0.25">
      <c r="A149" s="935" t="s">
        <v>3060</v>
      </c>
      <c r="B149" s="1180" t="s">
        <v>2226</v>
      </c>
      <c r="C149" s="935">
        <v>600</v>
      </c>
      <c r="D149" s="935" t="s">
        <v>2116</v>
      </c>
      <c r="E149" s="936">
        <v>1198</v>
      </c>
      <c r="F149" s="936">
        <v>1195.95</v>
      </c>
      <c r="G149" s="1180" t="s">
        <v>2233</v>
      </c>
      <c r="H149" s="936">
        <v>1195.4000000000001</v>
      </c>
      <c r="I149" s="936">
        <v>1194.07</v>
      </c>
      <c r="J149" s="914">
        <v>7.3</v>
      </c>
      <c r="K149" s="915"/>
      <c r="L149" s="916">
        <v>0.1</v>
      </c>
      <c r="M149" s="916">
        <v>0.06</v>
      </c>
      <c r="N149" s="916">
        <v>0.2</v>
      </c>
      <c r="O149" s="916">
        <v>4.7</v>
      </c>
      <c r="P149" s="915"/>
      <c r="Q149" s="916">
        <v>1.95</v>
      </c>
      <c r="R149" s="917">
        <v>0.33333333333333331</v>
      </c>
      <c r="S149" s="918">
        <v>1.4</v>
      </c>
      <c r="T149" s="918">
        <v>2.7</v>
      </c>
      <c r="U149" s="916">
        <v>4.1109999999999998</v>
      </c>
      <c r="V149" s="916">
        <v>0.92</v>
      </c>
      <c r="W149" s="915"/>
      <c r="X149" s="916">
        <v>0.28299999999999997</v>
      </c>
      <c r="Y149" s="916">
        <v>0.40699999999999997</v>
      </c>
      <c r="Z149" s="916">
        <v>3.9980000000000002</v>
      </c>
      <c r="AA149" s="916">
        <v>1.0229999999999999</v>
      </c>
      <c r="AB149" s="916">
        <v>2.4279999999999999</v>
      </c>
      <c r="AC149" s="915"/>
      <c r="AD149" s="919">
        <v>34.31</v>
      </c>
      <c r="AE149" s="920">
        <v>29.184999999999999</v>
      </c>
      <c r="AF149" s="920" t="s">
        <v>21</v>
      </c>
      <c r="AG149" s="920" t="s">
        <v>21</v>
      </c>
      <c r="AH149" s="921">
        <v>29.184999999999999</v>
      </c>
      <c r="AI149" s="921" t="s">
        <v>21</v>
      </c>
      <c r="AJ149" s="920" t="s">
        <v>21</v>
      </c>
      <c r="AK149" s="920" t="s">
        <v>21</v>
      </c>
      <c r="AL149" s="921" t="s">
        <v>21</v>
      </c>
      <c r="AM149" s="921" t="s">
        <v>21</v>
      </c>
      <c r="AN149" s="920"/>
      <c r="AO149" s="920" t="s">
        <v>21</v>
      </c>
      <c r="AP149" s="919">
        <v>10.220000000000001</v>
      </c>
      <c r="AQ149" s="922">
        <v>30.010299999999997</v>
      </c>
      <c r="AR149" s="923" t="s">
        <v>21</v>
      </c>
      <c r="AS149" s="923">
        <v>30.010299999999997</v>
      </c>
      <c r="AT149" s="923" t="s">
        <v>21</v>
      </c>
      <c r="AU149" s="923" t="s">
        <v>21</v>
      </c>
      <c r="AV149" s="924" t="s">
        <v>21</v>
      </c>
      <c r="AW149" s="924" t="s">
        <v>21</v>
      </c>
      <c r="AX149" s="924" t="s">
        <v>21</v>
      </c>
      <c r="AY149" s="924" t="s">
        <v>21</v>
      </c>
      <c r="AZ149" s="923" t="s">
        <v>21</v>
      </c>
      <c r="BA149" s="923"/>
      <c r="BB149" s="919">
        <v>1.022</v>
      </c>
      <c r="BC149" s="919" t="s">
        <v>21</v>
      </c>
      <c r="BD149" s="919" t="s">
        <v>2142</v>
      </c>
      <c r="BE149" s="925" t="s">
        <v>21</v>
      </c>
      <c r="BF149" s="926" t="s">
        <v>21</v>
      </c>
      <c r="BG149" s="925">
        <v>7.3</v>
      </c>
      <c r="BH149" s="926" t="s">
        <v>21</v>
      </c>
      <c r="BI149" s="925" t="s">
        <v>21</v>
      </c>
      <c r="BJ149" s="926" t="s">
        <v>21</v>
      </c>
      <c r="BK149" s="925" t="s">
        <v>21</v>
      </c>
      <c r="BL149" s="926" t="s">
        <v>21</v>
      </c>
      <c r="BM149" s="925" t="s">
        <v>21</v>
      </c>
      <c r="BN149" s="927"/>
      <c r="BO149" s="927"/>
      <c r="BP149" s="928">
        <v>1</v>
      </c>
      <c r="BQ149" s="928" t="s">
        <v>21</v>
      </c>
      <c r="BR149" s="928" t="s">
        <v>21</v>
      </c>
      <c r="BS149" s="928" t="s">
        <v>21</v>
      </c>
      <c r="BT149" s="928" t="s">
        <v>21</v>
      </c>
      <c r="BU149" s="928" t="s">
        <v>21</v>
      </c>
      <c r="BV149" s="929">
        <v>0.64999999999995461</v>
      </c>
      <c r="BW149" s="929">
        <v>1</v>
      </c>
      <c r="BX149" s="1104">
        <v>2</v>
      </c>
      <c r="BY149" s="931">
        <v>4</v>
      </c>
      <c r="BZ149" s="930"/>
      <c r="CA149" s="1074"/>
      <c r="CB149" s="930"/>
      <c r="CC149" s="930"/>
      <c r="CD149" s="925">
        <v>7.468</v>
      </c>
      <c r="CE149" s="1130">
        <v>17.724</v>
      </c>
      <c r="CF149" s="1129" t="s">
        <v>21</v>
      </c>
      <c r="CG149" s="1130" t="s">
        <v>21</v>
      </c>
      <c r="CH149" s="1130" t="s">
        <v>21</v>
      </c>
      <c r="CI149" s="1131" t="s">
        <v>21</v>
      </c>
      <c r="CJ149" s="1129" t="s">
        <v>21</v>
      </c>
      <c r="CK149" s="1130">
        <v>17.724</v>
      </c>
      <c r="CL149" s="1130" t="s">
        <v>21</v>
      </c>
      <c r="CM149" s="1131" t="s">
        <v>21</v>
      </c>
      <c r="CN149" s="1130" t="s">
        <v>21</v>
      </c>
      <c r="CP149" s="838" t="s">
        <v>21</v>
      </c>
      <c r="CQ149" s="838" t="s">
        <v>21</v>
      </c>
      <c r="CR149" s="836"/>
    </row>
    <row r="150" spans="1:96" x14ac:dyDescent="0.25">
      <c r="A150" s="935" t="s">
        <v>3074</v>
      </c>
      <c r="B150" s="1180"/>
      <c r="C150" s="935"/>
      <c r="D150" s="935"/>
      <c r="E150" s="936"/>
      <c r="F150" s="936"/>
      <c r="G150" s="1180"/>
      <c r="H150" s="936"/>
      <c r="I150" s="936"/>
      <c r="J150" s="914"/>
      <c r="K150" s="915"/>
      <c r="L150" s="916" t="s">
        <v>21</v>
      </c>
      <c r="M150" s="916" t="s">
        <v>21</v>
      </c>
      <c r="N150" s="916" t="s">
        <v>21</v>
      </c>
      <c r="O150" s="916" t="s">
        <v>21</v>
      </c>
      <c r="P150" s="915"/>
      <c r="Q150" s="916" t="s">
        <v>21</v>
      </c>
      <c r="R150" s="917" t="s">
        <v>21</v>
      </c>
      <c r="S150" s="918" t="s">
        <v>21</v>
      </c>
      <c r="T150" s="918" t="s">
        <v>21</v>
      </c>
      <c r="U150" s="916" t="s">
        <v>21</v>
      </c>
      <c r="V150" s="916" t="s">
        <v>21</v>
      </c>
      <c r="W150" s="915"/>
      <c r="X150" s="916" t="s">
        <v>21</v>
      </c>
      <c r="Y150" s="916" t="s">
        <v>21</v>
      </c>
      <c r="Z150" s="916" t="s">
        <v>21</v>
      </c>
      <c r="AA150" s="916" t="s">
        <v>21</v>
      </c>
      <c r="AB150" s="916" t="s">
        <v>21</v>
      </c>
      <c r="AC150" s="915"/>
      <c r="AD150" s="919" t="s">
        <v>21</v>
      </c>
      <c r="AE150" s="920" t="s">
        <v>21</v>
      </c>
      <c r="AF150" s="920" t="s">
        <v>21</v>
      </c>
      <c r="AG150" s="920" t="s">
        <v>21</v>
      </c>
      <c r="AH150" s="921" t="s">
        <v>21</v>
      </c>
      <c r="AI150" s="921" t="s">
        <v>21</v>
      </c>
      <c r="AJ150" s="920" t="s">
        <v>21</v>
      </c>
      <c r="AK150" s="920" t="s">
        <v>21</v>
      </c>
      <c r="AL150" s="921" t="s">
        <v>21</v>
      </c>
      <c r="AM150" s="921" t="s">
        <v>21</v>
      </c>
      <c r="AN150" s="920"/>
      <c r="AO150" s="920" t="s">
        <v>21</v>
      </c>
      <c r="AP150" s="919" t="s">
        <v>21</v>
      </c>
      <c r="AQ150" s="922" t="s">
        <v>21</v>
      </c>
      <c r="AR150" s="923" t="s">
        <v>21</v>
      </c>
      <c r="AS150" s="923" t="s">
        <v>21</v>
      </c>
      <c r="AT150" s="923" t="s">
        <v>21</v>
      </c>
      <c r="AU150" s="923" t="s">
        <v>21</v>
      </c>
      <c r="AV150" s="924" t="s">
        <v>21</v>
      </c>
      <c r="AW150" s="924" t="s">
        <v>21</v>
      </c>
      <c r="AX150" s="924" t="s">
        <v>21</v>
      </c>
      <c r="AY150" s="924" t="s">
        <v>21</v>
      </c>
      <c r="AZ150" s="923" t="s">
        <v>21</v>
      </c>
      <c r="BA150" s="923"/>
      <c r="BB150" s="919" t="s">
        <v>21</v>
      </c>
      <c r="BC150" s="919" t="s">
        <v>21</v>
      </c>
      <c r="BD150" s="919" t="s">
        <v>21</v>
      </c>
      <c r="BE150" s="925" t="s">
        <v>21</v>
      </c>
      <c r="BF150" s="926" t="s">
        <v>21</v>
      </c>
      <c r="BG150" s="925" t="s">
        <v>21</v>
      </c>
      <c r="BH150" s="926" t="s">
        <v>21</v>
      </c>
      <c r="BI150" s="925" t="s">
        <v>21</v>
      </c>
      <c r="BJ150" s="926" t="s">
        <v>21</v>
      </c>
      <c r="BK150" s="925" t="s">
        <v>21</v>
      </c>
      <c r="BL150" s="926" t="s">
        <v>21</v>
      </c>
      <c r="BM150" s="925" t="s">
        <v>21</v>
      </c>
      <c r="BN150" s="927"/>
      <c r="BO150" s="927"/>
      <c r="BP150" s="928" t="s">
        <v>21</v>
      </c>
      <c r="BQ150" s="928" t="s">
        <v>21</v>
      </c>
      <c r="BR150" s="928" t="s">
        <v>21</v>
      </c>
      <c r="BS150" s="928" t="s">
        <v>21</v>
      </c>
      <c r="BT150" s="928" t="s">
        <v>21</v>
      </c>
      <c r="BU150" s="928" t="s">
        <v>21</v>
      </c>
      <c r="BV150" s="929" t="s">
        <v>21</v>
      </c>
      <c r="BW150" s="929" t="s">
        <v>21</v>
      </c>
      <c r="BX150" s="1104" t="s">
        <v>21</v>
      </c>
      <c r="BY150" s="931" t="s">
        <v>21</v>
      </c>
      <c r="BZ150" s="930"/>
      <c r="CA150" s="1074"/>
      <c r="CB150" s="930"/>
      <c r="CC150" s="930"/>
      <c r="CD150" s="925" t="s">
        <v>21</v>
      </c>
      <c r="CE150" s="1130" t="s">
        <v>21</v>
      </c>
      <c r="CF150" s="1129" t="s">
        <v>21</v>
      </c>
      <c r="CG150" s="1130" t="s">
        <v>21</v>
      </c>
      <c r="CH150" s="1130" t="s">
        <v>21</v>
      </c>
      <c r="CI150" s="1131" t="s">
        <v>21</v>
      </c>
      <c r="CJ150" s="1129" t="s">
        <v>21</v>
      </c>
      <c r="CK150" s="1130" t="s">
        <v>21</v>
      </c>
      <c r="CL150" s="1130" t="s">
        <v>21</v>
      </c>
      <c r="CM150" s="1131" t="s">
        <v>21</v>
      </c>
      <c r="CN150" s="1130" t="s">
        <v>21</v>
      </c>
      <c r="CP150" s="838" t="s">
        <v>21</v>
      </c>
      <c r="CQ150" s="838" t="s">
        <v>21</v>
      </c>
      <c r="CR150" s="836"/>
    </row>
    <row r="151" spans="1:96" x14ac:dyDescent="0.25">
      <c r="A151" s="935"/>
      <c r="B151" s="1180"/>
      <c r="C151" s="935"/>
      <c r="D151" s="935"/>
      <c r="E151" s="936"/>
      <c r="F151" s="936"/>
      <c r="G151" s="1180"/>
      <c r="H151" s="936"/>
      <c r="I151" s="936"/>
      <c r="J151" s="914"/>
      <c r="K151" s="915"/>
      <c r="L151" s="916" t="s">
        <v>21</v>
      </c>
      <c r="M151" s="916" t="s">
        <v>21</v>
      </c>
      <c r="N151" s="916" t="s">
        <v>21</v>
      </c>
      <c r="O151" s="916" t="s">
        <v>21</v>
      </c>
      <c r="P151" s="915"/>
      <c r="Q151" s="916" t="s">
        <v>21</v>
      </c>
      <c r="R151" s="917" t="s">
        <v>21</v>
      </c>
      <c r="S151" s="918" t="s">
        <v>21</v>
      </c>
      <c r="T151" s="918" t="s">
        <v>21</v>
      </c>
      <c r="U151" s="916" t="s">
        <v>21</v>
      </c>
      <c r="V151" s="916" t="s">
        <v>21</v>
      </c>
      <c r="W151" s="915"/>
      <c r="X151" s="916" t="s">
        <v>21</v>
      </c>
      <c r="Y151" s="916" t="s">
        <v>21</v>
      </c>
      <c r="Z151" s="916" t="s">
        <v>21</v>
      </c>
      <c r="AA151" s="916" t="s">
        <v>21</v>
      </c>
      <c r="AB151" s="916" t="s">
        <v>21</v>
      </c>
      <c r="AC151" s="915"/>
      <c r="AD151" s="919" t="s">
        <v>21</v>
      </c>
      <c r="AE151" s="920" t="s">
        <v>21</v>
      </c>
      <c r="AF151" s="920" t="s">
        <v>21</v>
      </c>
      <c r="AG151" s="920" t="s">
        <v>21</v>
      </c>
      <c r="AH151" s="921" t="s">
        <v>21</v>
      </c>
      <c r="AI151" s="921" t="s">
        <v>21</v>
      </c>
      <c r="AJ151" s="920" t="s">
        <v>21</v>
      </c>
      <c r="AK151" s="920" t="s">
        <v>21</v>
      </c>
      <c r="AL151" s="921" t="s">
        <v>21</v>
      </c>
      <c r="AM151" s="921" t="s">
        <v>21</v>
      </c>
      <c r="AN151" s="920"/>
      <c r="AO151" s="920" t="s">
        <v>21</v>
      </c>
      <c r="AP151" s="919" t="s">
        <v>21</v>
      </c>
      <c r="AQ151" s="922" t="s">
        <v>21</v>
      </c>
      <c r="AR151" s="923" t="s">
        <v>21</v>
      </c>
      <c r="AS151" s="923" t="s">
        <v>21</v>
      </c>
      <c r="AT151" s="923" t="s">
        <v>21</v>
      </c>
      <c r="AU151" s="923" t="s">
        <v>21</v>
      </c>
      <c r="AV151" s="924" t="s">
        <v>21</v>
      </c>
      <c r="AW151" s="924" t="s">
        <v>21</v>
      </c>
      <c r="AX151" s="924" t="s">
        <v>21</v>
      </c>
      <c r="AY151" s="924" t="s">
        <v>21</v>
      </c>
      <c r="AZ151" s="923" t="s">
        <v>21</v>
      </c>
      <c r="BA151" s="923"/>
      <c r="BB151" s="919" t="s">
        <v>21</v>
      </c>
      <c r="BC151" s="919" t="s">
        <v>21</v>
      </c>
      <c r="BD151" s="919" t="s">
        <v>21</v>
      </c>
      <c r="BE151" s="925" t="s">
        <v>21</v>
      </c>
      <c r="BF151" s="926" t="s">
        <v>21</v>
      </c>
      <c r="BG151" s="925" t="s">
        <v>21</v>
      </c>
      <c r="BH151" s="926" t="s">
        <v>21</v>
      </c>
      <c r="BI151" s="925" t="s">
        <v>21</v>
      </c>
      <c r="BJ151" s="926" t="s">
        <v>21</v>
      </c>
      <c r="BK151" s="925" t="s">
        <v>21</v>
      </c>
      <c r="BL151" s="926" t="s">
        <v>21</v>
      </c>
      <c r="BM151" s="925" t="s">
        <v>21</v>
      </c>
      <c r="BN151" s="927"/>
      <c r="BO151" s="927"/>
      <c r="BP151" s="928" t="s">
        <v>21</v>
      </c>
      <c r="BQ151" s="928" t="s">
        <v>21</v>
      </c>
      <c r="BR151" s="928" t="s">
        <v>21</v>
      </c>
      <c r="BS151" s="928" t="s">
        <v>21</v>
      </c>
      <c r="BT151" s="928" t="s">
        <v>21</v>
      </c>
      <c r="BU151" s="928" t="s">
        <v>21</v>
      </c>
      <c r="BV151" s="929" t="s">
        <v>21</v>
      </c>
      <c r="BW151" s="929" t="s">
        <v>21</v>
      </c>
      <c r="BX151" s="1104" t="s">
        <v>21</v>
      </c>
      <c r="BY151" s="931" t="s">
        <v>21</v>
      </c>
      <c r="BZ151" s="930"/>
      <c r="CA151" s="1074"/>
      <c r="CB151" s="930"/>
      <c r="CC151" s="930"/>
      <c r="CD151" s="925" t="s">
        <v>21</v>
      </c>
      <c r="CE151" s="1130" t="s">
        <v>21</v>
      </c>
      <c r="CF151" s="1129" t="s">
        <v>21</v>
      </c>
      <c r="CG151" s="1130" t="s">
        <v>21</v>
      </c>
      <c r="CH151" s="1130" t="s">
        <v>21</v>
      </c>
      <c r="CI151" s="1131" t="s">
        <v>21</v>
      </c>
      <c r="CJ151" s="1129" t="s">
        <v>21</v>
      </c>
      <c r="CK151" s="1130" t="s">
        <v>21</v>
      </c>
      <c r="CL151" s="1130" t="s">
        <v>21</v>
      </c>
      <c r="CM151" s="1131" t="s">
        <v>21</v>
      </c>
      <c r="CN151" s="1130" t="s">
        <v>21</v>
      </c>
      <c r="CP151" s="838" t="s">
        <v>21</v>
      </c>
      <c r="CQ151" s="838" t="s">
        <v>21</v>
      </c>
      <c r="CR151" s="836"/>
    </row>
    <row r="152" spans="1:96" x14ac:dyDescent="0.25">
      <c r="A152" s="1079" t="s">
        <v>3079</v>
      </c>
      <c r="B152" s="1180"/>
      <c r="C152" s="935"/>
      <c r="D152" s="935"/>
      <c r="E152" s="936"/>
      <c r="F152" s="936"/>
      <c r="G152" s="1180"/>
      <c r="H152" s="936"/>
      <c r="I152" s="936"/>
      <c r="J152" s="1080">
        <v>38.06</v>
      </c>
      <c r="K152" s="915"/>
      <c r="L152" s="916" t="s">
        <v>21</v>
      </c>
      <c r="M152" s="916" t="s">
        <v>21</v>
      </c>
      <c r="N152" s="916" t="s">
        <v>21</v>
      </c>
      <c r="O152" s="916" t="s">
        <v>21</v>
      </c>
      <c r="P152" s="915"/>
      <c r="Q152" s="916" t="s">
        <v>21</v>
      </c>
      <c r="R152" s="917" t="s">
        <v>21</v>
      </c>
      <c r="S152" s="918" t="s">
        <v>21</v>
      </c>
      <c r="T152" s="918" t="s">
        <v>21</v>
      </c>
      <c r="U152" s="916" t="s">
        <v>21</v>
      </c>
      <c r="V152" s="916" t="s">
        <v>21</v>
      </c>
      <c r="W152" s="915"/>
      <c r="X152" s="916" t="s">
        <v>21</v>
      </c>
      <c r="Y152" s="916" t="s">
        <v>21</v>
      </c>
      <c r="Z152" s="916" t="s">
        <v>21</v>
      </c>
      <c r="AA152" s="916" t="s">
        <v>21</v>
      </c>
      <c r="AB152" s="916" t="s">
        <v>21</v>
      </c>
      <c r="AC152" s="915"/>
      <c r="AD152" s="1084">
        <v>188.11</v>
      </c>
      <c r="AE152" s="1085">
        <v>228.51</v>
      </c>
      <c r="AF152" s="1085">
        <v>0</v>
      </c>
      <c r="AG152" s="1085">
        <v>0</v>
      </c>
      <c r="AH152" s="1086">
        <v>29.184999999999999</v>
      </c>
      <c r="AI152" s="1086">
        <v>0</v>
      </c>
      <c r="AJ152" s="1085">
        <v>0</v>
      </c>
      <c r="AK152" s="1085">
        <v>0</v>
      </c>
      <c r="AL152" s="1086">
        <v>0</v>
      </c>
      <c r="AM152" s="1086">
        <v>0</v>
      </c>
      <c r="AN152" s="1085">
        <v>0</v>
      </c>
      <c r="AO152" s="1085">
        <v>199.32499999999999</v>
      </c>
      <c r="AP152" s="1084">
        <v>102.5</v>
      </c>
      <c r="AQ152" s="1087" t="s">
        <v>21</v>
      </c>
      <c r="AR152" s="1088">
        <v>0</v>
      </c>
      <c r="AS152" s="1088">
        <v>30.010299999999997</v>
      </c>
      <c r="AT152" s="1088">
        <v>0</v>
      </c>
      <c r="AU152" s="1088">
        <v>0</v>
      </c>
      <c r="AV152" s="1089">
        <v>0</v>
      </c>
      <c r="AW152" s="1089">
        <v>0</v>
      </c>
      <c r="AX152" s="1089">
        <v>0</v>
      </c>
      <c r="AY152" s="1089">
        <v>0</v>
      </c>
      <c r="AZ152" s="1088">
        <v>132.88320000000002</v>
      </c>
      <c r="BA152" s="1088">
        <v>0</v>
      </c>
      <c r="BB152" s="1084">
        <v>1.022</v>
      </c>
      <c r="BC152" s="1084">
        <v>9.2279999999999998</v>
      </c>
      <c r="BD152" s="919" t="b">
        <v>0</v>
      </c>
      <c r="BE152" s="1088">
        <v>0</v>
      </c>
      <c r="BF152" s="1089">
        <v>0</v>
      </c>
      <c r="BG152" s="1088">
        <v>38.06</v>
      </c>
      <c r="BH152" s="1089">
        <v>0</v>
      </c>
      <c r="BI152" s="1088">
        <v>0</v>
      </c>
      <c r="BJ152" s="1089">
        <v>0</v>
      </c>
      <c r="BK152" s="1088">
        <v>0</v>
      </c>
      <c r="BL152" s="1089">
        <v>0</v>
      </c>
      <c r="BM152" s="1088">
        <v>0</v>
      </c>
      <c r="BN152" s="1091">
        <v>0</v>
      </c>
      <c r="BO152" s="1091">
        <v>0</v>
      </c>
      <c r="BP152" s="1092">
        <v>2</v>
      </c>
      <c r="BQ152" s="1092">
        <v>0</v>
      </c>
      <c r="BR152" s="1092">
        <v>0</v>
      </c>
      <c r="BS152" s="1092">
        <v>0</v>
      </c>
      <c r="BT152" s="1092">
        <v>0</v>
      </c>
      <c r="BU152" s="1092">
        <v>0</v>
      </c>
      <c r="BV152" s="1093">
        <v>1.1500000000000457</v>
      </c>
      <c r="BW152" s="1093">
        <v>2</v>
      </c>
      <c r="BX152" s="1105">
        <v>4</v>
      </c>
      <c r="BY152" s="1095">
        <v>8</v>
      </c>
      <c r="BZ152" s="1094">
        <v>0</v>
      </c>
      <c r="CA152" s="1094">
        <v>1</v>
      </c>
      <c r="CB152" s="1094">
        <v>0</v>
      </c>
      <c r="CC152" s="1094">
        <v>0</v>
      </c>
      <c r="CD152" s="1088">
        <v>70.617999999999995</v>
      </c>
      <c r="CE152" s="1133">
        <v>132.15100000000001</v>
      </c>
      <c r="CF152" s="1132">
        <v>0</v>
      </c>
      <c r="CG152" s="1133">
        <v>0</v>
      </c>
      <c r="CH152" s="1133">
        <v>0</v>
      </c>
      <c r="CI152" s="1134">
        <v>0</v>
      </c>
      <c r="CJ152" s="1132">
        <v>0</v>
      </c>
      <c r="CK152" s="1133">
        <v>17.724</v>
      </c>
      <c r="CL152" s="1133">
        <v>0</v>
      </c>
      <c r="CM152" s="1134">
        <v>0</v>
      </c>
      <c r="CN152" s="1133">
        <v>114.42700000000001</v>
      </c>
      <c r="CP152" s="838" t="s">
        <v>21</v>
      </c>
      <c r="CQ152" s="838" t="s">
        <v>21</v>
      </c>
      <c r="CR152" s="836"/>
    </row>
    <row r="153" spans="1:96" x14ac:dyDescent="0.25">
      <c r="A153" s="935"/>
      <c r="B153" s="1180"/>
      <c r="C153" s="935"/>
      <c r="D153" s="935"/>
      <c r="E153" s="936"/>
      <c r="F153" s="936"/>
      <c r="G153" s="1180"/>
      <c r="H153" s="936"/>
      <c r="I153" s="936"/>
      <c r="J153" s="914"/>
      <c r="K153" s="915"/>
      <c r="L153" s="916" t="s">
        <v>21</v>
      </c>
      <c r="M153" s="916" t="s">
        <v>21</v>
      </c>
      <c r="N153" s="916" t="s">
        <v>21</v>
      </c>
      <c r="O153" s="916" t="s">
        <v>21</v>
      </c>
      <c r="P153" s="915"/>
      <c r="Q153" s="916" t="s">
        <v>21</v>
      </c>
      <c r="R153" s="917" t="s">
        <v>21</v>
      </c>
      <c r="S153" s="918" t="s">
        <v>21</v>
      </c>
      <c r="T153" s="918" t="s">
        <v>21</v>
      </c>
      <c r="U153" s="916" t="s">
        <v>21</v>
      </c>
      <c r="V153" s="916" t="s">
        <v>21</v>
      </c>
      <c r="W153" s="915"/>
      <c r="X153" s="916" t="s">
        <v>21</v>
      </c>
      <c r="Y153" s="916" t="s">
        <v>21</v>
      </c>
      <c r="Z153" s="916" t="s">
        <v>21</v>
      </c>
      <c r="AA153" s="916" t="s">
        <v>21</v>
      </c>
      <c r="AB153" s="916" t="s">
        <v>21</v>
      </c>
      <c r="AC153" s="915"/>
      <c r="AD153" s="919" t="s">
        <v>21</v>
      </c>
      <c r="AE153" s="920" t="s">
        <v>21</v>
      </c>
      <c r="AF153" s="920" t="s">
        <v>21</v>
      </c>
      <c r="AG153" s="920" t="s">
        <v>21</v>
      </c>
      <c r="AH153" s="921" t="s">
        <v>21</v>
      </c>
      <c r="AI153" s="921" t="s">
        <v>21</v>
      </c>
      <c r="AJ153" s="920" t="s">
        <v>21</v>
      </c>
      <c r="AK153" s="920" t="s">
        <v>21</v>
      </c>
      <c r="AL153" s="921" t="s">
        <v>21</v>
      </c>
      <c r="AM153" s="921" t="s">
        <v>21</v>
      </c>
      <c r="AN153" s="920"/>
      <c r="AO153" s="920" t="s">
        <v>21</v>
      </c>
      <c r="AP153" s="919" t="s">
        <v>21</v>
      </c>
      <c r="AQ153" s="922" t="s">
        <v>21</v>
      </c>
      <c r="AR153" s="923" t="s">
        <v>21</v>
      </c>
      <c r="AS153" s="923" t="s">
        <v>21</v>
      </c>
      <c r="AT153" s="923" t="s">
        <v>21</v>
      </c>
      <c r="AU153" s="923" t="s">
        <v>21</v>
      </c>
      <c r="AV153" s="924" t="s">
        <v>21</v>
      </c>
      <c r="AW153" s="924" t="s">
        <v>21</v>
      </c>
      <c r="AX153" s="924" t="s">
        <v>21</v>
      </c>
      <c r="AY153" s="924" t="s">
        <v>21</v>
      </c>
      <c r="AZ153" s="923" t="s">
        <v>21</v>
      </c>
      <c r="BA153" s="923"/>
      <c r="BB153" s="919" t="s">
        <v>21</v>
      </c>
      <c r="BC153" s="919" t="s">
        <v>21</v>
      </c>
      <c r="BD153" s="919" t="s">
        <v>21</v>
      </c>
      <c r="BE153" s="925" t="s">
        <v>21</v>
      </c>
      <c r="BF153" s="926" t="s">
        <v>21</v>
      </c>
      <c r="BG153" s="925" t="s">
        <v>21</v>
      </c>
      <c r="BH153" s="926" t="s">
        <v>21</v>
      </c>
      <c r="BI153" s="925" t="s">
        <v>21</v>
      </c>
      <c r="BJ153" s="926" t="s">
        <v>21</v>
      </c>
      <c r="BK153" s="925" t="s">
        <v>21</v>
      </c>
      <c r="BL153" s="926" t="s">
        <v>21</v>
      </c>
      <c r="BM153" s="925" t="s">
        <v>21</v>
      </c>
      <c r="BN153" s="927"/>
      <c r="BO153" s="927"/>
      <c r="BP153" s="928" t="s">
        <v>21</v>
      </c>
      <c r="BQ153" s="928" t="s">
        <v>21</v>
      </c>
      <c r="BR153" s="928" t="s">
        <v>21</v>
      </c>
      <c r="BS153" s="928" t="s">
        <v>21</v>
      </c>
      <c r="BT153" s="928" t="s">
        <v>21</v>
      </c>
      <c r="BU153" s="928" t="s">
        <v>21</v>
      </c>
      <c r="BV153" s="929" t="s">
        <v>21</v>
      </c>
      <c r="BW153" s="929" t="s">
        <v>21</v>
      </c>
      <c r="BX153" s="1104" t="s">
        <v>21</v>
      </c>
      <c r="BY153" s="931" t="s">
        <v>21</v>
      </c>
      <c r="BZ153" s="930"/>
      <c r="CA153" s="1074"/>
      <c r="CB153" s="930"/>
      <c r="CC153" s="930"/>
      <c r="CD153" s="925" t="s">
        <v>21</v>
      </c>
      <c r="CE153" s="1130" t="s">
        <v>21</v>
      </c>
      <c r="CF153" s="1129" t="s">
        <v>21</v>
      </c>
      <c r="CG153" s="1130" t="s">
        <v>21</v>
      </c>
      <c r="CH153" s="1130" t="s">
        <v>21</v>
      </c>
      <c r="CI153" s="1131" t="s">
        <v>21</v>
      </c>
      <c r="CJ153" s="1129" t="s">
        <v>21</v>
      </c>
      <c r="CK153" s="1130" t="s">
        <v>21</v>
      </c>
      <c r="CL153" s="1130" t="s">
        <v>21</v>
      </c>
      <c r="CM153" s="1131" t="s">
        <v>21</v>
      </c>
      <c r="CN153" s="1130" t="s">
        <v>21</v>
      </c>
      <c r="CP153" s="838" t="s">
        <v>21</v>
      </c>
      <c r="CQ153" s="838" t="s">
        <v>21</v>
      </c>
      <c r="CR153" s="836"/>
    </row>
    <row r="154" spans="1:96" x14ac:dyDescent="0.25">
      <c r="A154" s="935">
        <v>1</v>
      </c>
      <c r="B154" s="1180" t="s">
        <v>2225</v>
      </c>
      <c r="C154" s="935">
        <v>600</v>
      </c>
      <c r="D154" s="935" t="s">
        <v>2116</v>
      </c>
      <c r="E154" s="936">
        <v>1202.51</v>
      </c>
      <c r="F154" s="936">
        <v>1200.6099999999999</v>
      </c>
      <c r="G154" s="1180" t="s">
        <v>2226</v>
      </c>
      <c r="H154" s="936">
        <v>1202.42</v>
      </c>
      <c r="I154" s="936">
        <v>1200.52</v>
      </c>
      <c r="J154" s="914">
        <v>17.34</v>
      </c>
      <c r="K154" s="915"/>
      <c r="L154" s="916">
        <v>0.1</v>
      </c>
      <c r="M154" s="916">
        <v>0.06</v>
      </c>
      <c r="N154" s="916">
        <v>0.2</v>
      </c>
      <c r="O154" s="916">
        <v>4.84</v>
      </c>
      <c r="P154" s="915"/>
      <c r="Q154" s="916">
        <v>2.16</v>
      </c>
      <c r="R154" s="917">
        <v>0.33333333333333331</v>
      </c>
      <c r="S154" s="918">
        <v>1.4</v>
      </c>
      <c r="T154" s="918">
        <v>2.84</v>
      </c>
      <c r="U154" s="916">
        <v>4.5540000000000003</v>
      </c>
      <c r="V154" s="916">
        <v>0.92</v>
      </c>
      <c r="W154" s="915"/>
      <c r="X154" s="916">
        <v>0.28299999999999997</v>
      </c>
      <c r="Y154" s="916">
        <v>0.40699999999999997</v>
      </c>
      <c r="Z154" s="916">
        <v>4.5789999999999997</v>
      </c>
      <c r="AA154" s="916">
        <v>1.0229999999999999</v>
      </c>
      <c r="AB154" s="916">
        <v>3.0089999999999999</v>
      </c>
      <c r="AC154" s="915"/>
      <c r="AD154" s="919">
        <v>83.926000000000002</v>
      </c>
      <c r="AE154" s="920">
        <v>79.400000000000006</v>
      </c>
      <c r="AF154" s="920" t="s">
        <v>21</v>
      </c>
      <c r="AG154" s="920" t="s">
        <v>21</v>
      </c>
      <c r="AH154" s="921">
        <v>79.400000000000006</v>
      </c>
      <c r="AI154" s="921" t="s">
        <v>21</v>
      </c>
      <c r="AJ154" s="920" t="s">
        <v>21</v>
      </c>
      <c r="AK154" s="920" t="s">
        <v>21</v>
      </c>
      <c r="AL154" s="921" t="s">
        <v>21</v>
      </c>
      <c r="AM154" s="921" t="s">
        <v>21</v>
      </c>
      <c r="AN154" s="920"/>
      <c r="AO154" s="920" t="s">
        <v>21</v>
      </c>
      <c r="AP154" s="919">
        <v>24.276</v>
      </c>
      <c r="AQ154" s="922">
        <v>78.966360000000009</v>
      </c>
      <c r="AR154" s="923" t="s">
        <v>21</v>
      </c>
      <c r="AS154" s="923">
        <v>78.966360000000009</v>
      </c>
      <c r="AT154" s="923" t="s">
        <v>21</v>
      </c>
      <c r="AU154" s="923" t="s">
        <v>21</v>
      </c>
      <c r="AV154" s="924" t="s">
        <v>21</v>
      </c>
      <c r="AW154" s="924" t="s">
        <v>21</v>
      </c>
      <c r="AX154" s="924" t="s">
        <v>21</v>
      </c>
      <c r="AY154" s="924" t="s">
        <v>21</v>
      </c>
      <c r="AZ154" s="923" t="s">
        <v>21</v>
      </c>
      <c r="BA154" s="923"/>
      <c r="BB154" s="919">
        <v>2.4279999999999999</v>
      </c>
      <c r="BC154" s="919" t="s">
        <v>21</v>
      </c>
      <c r="BD154" s="919" t="s">
        <v>2142</v>
      </c>
      <c r="BE154" s="925" t="s">
        <v>21</v>
      </c>
      <c r="BF154" s="926" t="s">
        <v>21</v>
      </c>
      <c r="BG154" s="925">
        <v>17.34</v>
      </c>
      <c r="BH154" s="926" t="s">
        <v>21</v>
      </c>
      <c r="BI154" s="925" t="s">
        <v>21</v>
      </c>
      <c r="BJ154" s="926" t="s">
        <v>21</v>
      </c>
      <c r="BK154" s="925" t="s">
        <v>21</v>
      </c>
      <c r="BL154" s="926" t="s">
        <v>21</v>
      </c>
      <c r="BM154" s="925" t="s">
        <v>21</v>
      </c>
      <c r="BN154" s="927"/>
      <c r="BO154" s="927"/>
      <c r="BP154" s="928">
        <v>1</v>
      </c>
      <c r="BQ154" s="928" t="s">
        <v>21</v>
      </c>
      <c r="BR154" s="928" t="s">
        <v>21</v>
      </c>
      <c r="BS154" s="928" t="s">
        <v>21</v>
      </c>
      <c r="BT154" s="928" t="s">
        <v>21</v>
      </c>
      <c r="BU154" s="928" t="s">
        <v>21</v>
      </c>
      <c r="BV154" s="929">
        <v>0.50000000000009104</v>
      </c>
      <c r="BW154" s="929">
        <v>1</v>
      </c>
      <c r="BX154" s="1104">
        <v>2</v>
      </c>
      <c r="BY154" s="931">
        <v>4</v>
      </c>
      <c r="BZ154" s="930"/>
      <c r="CA154" s="1074"/>
      <c r="CB154" s="930">
        <v>1</v>
      </c>
      <c r="CC154" s="930"/>
      <c r="CD154" s="925">
        <v>17.739000000000001</v>
      </c>
      <c r="CE154" s="1130">
        <v>52.176000000000002</v>
      </c>
      <c r="CF154" s="1129" t="s">
        <v>21</v>
      </c>
      <c r="CG154" s="1130" t="s">
        <v>21</v>
      </c>
      <c r="CH154" s="1130" t="s">
        <v>21</v>
      </c>
      <c r="CI154" s="1131" t="s">
        <v>21</v>
      </c>
      <c r="CJ154" s="1129" t="s">
        <v>21</v>
      </c>
      <c r="CK154" s="1130">
        <v>52.176000000000002</v>
      </c>
      <c r="CL154" s="1130" t="s">
        <v>21</v>
      </c>
      <c r="CM154" s="1131" t="s">
        <v>21</v>
      </c>
      <c r="CN154" s="1130" t="s">
        <v>21</v>
      </c>
      <c r="CP154" s="838" t="s">
        <v>21</v>
      </c>
      <c r="CQ154" s="838" t="s">
        <v>21</v>
      </c>
      <c r="CR154" s="836"/>
    </row>
    <row r="155" spans="1:96" x14ac:dyDescent="0.25">
      <c r="A155" s="935" t="s">
        <v>3060</v>
      </c>
      <c r="B155" s="1180" t="s">
        <v>2226</v>
      </c>
      <c r="C155" s="935">
        <v>600</v>
      </c>
      <c r="D155" s="935" t="s">
        <v>2116</v>
      </c>
      <c r="E155" s="936">
        <v>1202.42</v>
      </c>
      <c r="F155" s="936">
        <v>1200.52</v>
      </c>
      <c r="G155" s="1180" t="s">
        <v>2227</v>
      </c>
      <c r="H155" s="936">
        <v>1202.17</v>
      </c>
      <c r="I155" s="936">
        <v>1200.27</v>
      </c>
      <c r="J155" s="914">
        <v>46.04</v>
      </c>
      <c r="K155" s="915"/>
      <c r="L155" s="916">
        <v>0.1</v>
      </c>
      <c r="M155" s="916">
        <v>0.06</v>
      </c>
      <c r="N155" s="916">
        <v>0.2</v>
      </c>
      <c r="O155" s="916">
        <v>4.84</v>
      </c>
      <c r="P155" s="915"/>
      <c r="Q155" s="916">
        <v>2.16</v>
      </c>
      <c r="R155" s="917">
        <v>0.33333333333333331</v>
      </c>
      <c r="S155" s="918">
        <v>1.4</v>
      </c>
      <c r="T155" s="918">
        <v>2.84</v>
      </c>
      <c r="U155" s="916">
        <v>4.5540000000000003</v>
      </c>
      <c r="V155" s="916">
        <v>0.92</v>
      </c>
      <c r="W155" s="915"/>
      <c r="X155" s="916">
        <v>0.28299999999999997</v>
      </c>
      <c r="Y155" s="916">
        <v>0.40699999999999997</v>
      </c>
      <c r="Z155" s="916">
        <v>4.5789999999999997</v>
      </c>
      <c r="AA155" s="916">
        <v>1.0229999999999999</v>
      </c>
      <c r="AB155" s="916">
        <v>3.0089999999999999</v>
      </c>
      <c r="AC155" s="915"/>
      <c r="AD155" s="919">
        <v>222.834</v>
      </c>
      <c r="AE155" s="920">
        <v>210.81700000000001</v>
      </c>
      <c r="AF155" s="920" t="s">
        <v>21</v>
      </c>
      <c r="AG155" s="920" t="s">
        <v>21</v>
      </c>
      <c r="AH155" s="921">
        <v>210.81700000000001</v>
      </c>
      <c r="AI155" s="921" t="s">
        <v>21</v>
      </c>
      <c r="AJ155" s="920" t="s">
        <v>21</v>
      </c>
      <c r="AK155" s="920" t="s">
        <v>21</v>
      </c>
      <c r="AL155" s="921" t="s">
        <v>21</v>
      </c>
      <c r="AM155" s="921" t="s">
        <v>21</v>
      </c>
      <c r="AN155" s="920"/>
      <c r="AO155" s="920" t="s">
        <v>21</v>
      </c>
      <c r="AP155" s="919">
        <v>64.456000000000003</v>
      </c>
      <c r="AQ155" s="922">
        <v>209.66616000000002</v>
      </c>
      <c r="AR155" s="923" t="s">
        <v>21</v>
      </c>
      <c r="AS155" s="923">
        <v>209.66616000000002</v>
      </c>
      <c r="AT155" s="923" t="s">
        <v>21</v>
      </c>
      <c r="AU155" s="923" t="s">
        <v>21</v>
      </c>
      <c r="AV155" s="924" t="s">
        <v>21</v>
      </c>
      <c r="AW155" s="924" t="s">
        <v>21</v>
      </c>
      <c r="AX155" s="924" t="s">
        <v>21</v>
      </c>
      <c r="AY155" s="924" t="s">
        <v>21</v>
      </c>
      <c r="AZ155" s="923" t="s">
        <v>21</v>
      </c>
      <c r="BA155" s="923"/>
      <c r="BB155" s="919">
        <v>6.4459999999999997</v>
      </c>
      <c r="BC155" s="919" t="s">
        <v>21</v>
      </c>
      <c r="BD155" s="919" t="s">
        <v>2142</v>
      </c>
      <c r="BE155" s="925" t="s">
        <v>21</v>
      </c>
      <c r="BF155" s="926" t="s">
        <v>21</v>
      </c>
      <c r="BG155" s="925">
        <v>46.04</v>
      </c>
      <c r="BH155" s="926" t="s">
        <v>21</v>
      </c>
      <c r="BI155" s="925" t="s">
        <v>21</v>
      </c>
      <c r="BJ155" s="926" t="s">
        <v>21</v>
      </c>
      <c r="BK155" s="925" t="s">
        <v>21</v>
      </c>
      <c r="BL155" s="926" t="s">
        <v>21</v>
      </c>
      <c r="BM155" s="925" t="s">
        <v>21</v>
      </c>
      <c r="BN155" s="927"/>
      <c r="BO155" s="927"/>
      <c r="BP155" s="928">
        <v>1</v>
      </c>
      <c r="BQ155" s="928" t="s">
        <v>21</v>
      </c>
      <c r="BR155" s="928" t="s">
        <v>21</v>
      </c>
      <c r="BS155" s="928" t="s">
        <v>21</v>
      </c>
      <c r="BT155" s="928" t="s">
        <v>21</v>
      </c>
      <c r="BU155" s="928" t="s">
        <v>21</v>
      </c>
      <c r="BV155" s="929">
        <v>0.50000000000009104</v>
      </c>
      <c r="BW155" s="929">
        <v>1</v>
      </c>
      <c r="BX155" s="1104">
        <v>2</v>
      </c>
      <c r="BY155" s="931">
        <v>4</v>
      </c>
      <c r="BZ155" s="930">
        <v>1</v>
      </c>
      <c r="CA155" s="1074"/>
      <c r="CB155" s="930"/>
      <c r="CC155" s="930"/>
      <c r="CD155" s="925">
        <v>47.098999999999997</v>
      </c>
      <c r="CE155" s="1130">
        <v>138.53399999999999</v>
      </c>
      <c r="CF155" s="1129" t="s">
        <v>21</v>
      </c>
      <c r="CG155" s="1130" t="s">
        <v>21</v>
      </c>
      <c r="CH155" s="1130" t="s">
        <v>21</v>
      </c>
      <c r="CI155" s="1131" t="s">
        <v>21</v>
      </c>
      <c r="CJ155" s="1129" t="s">
        <v>21</v>
      </c>
      <c r="CK155" s="1130">
        <v>138.53399999999999</v>
      </c>
      <c r="CL155" s="1130" t="s">
        <v>21</v>
      </c>
      <c r="CM155" s="1131" t="s">
        <v>21</v>
      </c>
      <c r="CN155" s="1130" t="s">
        <v>21</v>
      </c>
      <c r="CP155" s="838" t="s">
        <v>21</v>
      </c>
      <c r="CQ155" s="838" t="s">
        <v>21</v>
      </c>
      <c r="CR155" s="836"/>
    </row>
    <row r="156" spans="1:96" x14ac:dyDescent="0.25">
      <c r="A156" s="935" t="s">
        <v>3075</v>
      </c>
      <c r="B156" s="1180" t="s">
        <v>2227</v>
      </c>
      <c r="C156" s="935">
        <v>600</v>
      </c>
      <c r="D156" s="935" t="s">
        <v>2116</v>
      </c>
      <c r="E156" s="936">
        <v>1202.17</v>
      </c>
      <c r="F156" s="936">
        <v>1200.17</v>
      </c>
      <c r="G156" s="1180" t="s">
        <v>2228</v>
      </c>
      <c r="H156" s="936">
        <v>1201.92</v>
      </c>
      <c r="I156" s="936">
        <v>1199.77</v>
      </c>
      <c r="J156" s="914">
        <v>45.36</v>
      </c>
      <c r="K156" s="915"/>
      <c r="L156" s="916">
        <v>0.1</v>
      </c>
      <c r="M156" s="916">
        <v>0.06</v>
      </c>
      <c r="N156" s="916">
        <v>0.2</v>
      </c>
      <c r="O156" s="916">
        <v>4.9569999999999999</v>
      </c>
      <c r="P156" s="915"/>
      <c r="Q156" s="916">
        <v>2.335</v>
      </c>
      <c r="R156" s="917">
        <v>0.33333333333333331</v>
      </c>
      <c r="S156" s="918">
        <v>1.4</v>
      </c>
      <c r="T156" s="918">
        <v>2.9569999999999999</v>
      </c>
      <c r="U156" s="916">
        <v>4.923</v>
      </c>
      <c r="V156" s="916">
        <v>0.92</v>
      </c>
      <c r="W156" s="915"/>
      <c r="X156" s="916">
        <v>0.28299999999999997</v>
      </c>
      <c r="Y156" s="916">
        <v>0.40699999999999997</v>
      </c>
      <c r="Z156" s="916">
        <v>5.0869999999999997</v>
      </c>
      <c r="AA156" s="916">
        <v>1.0229999999999999</v>
      </c>
      <c r="AB156" s="916">
        <v>3.5169999999999999</v>
      </c>
      <c r="AC156" s="915"/>
      <c r="AD156" s="919">
        <v>224.85</v>
      </c>
      <c r="AE156" s="920">
        <v>230.74600000000001</v>
      </c>
      <c r="AF156" s="920" t="s">
        <v>21</v>
      </c>
      <c r="AG156" s="920" t="s">
        <v>21</v>
      </c>
      <c r="AH156" s="921">
        <v>230.74600000000001</v>
      </c>
      <c r="AI156" s="921" t="s">
        <v>21</v>
      </c>
      <c r="AJ156" s="920" t="s">
        <v>21</v>
      </c>
      <c r="AK156" s="920" t="s">
        <v>21</v>
      </c>
      <c r="AL156" s="921" t="s">
        <v>21</v>
      </c>
      <c r="AM156" s="921" t="s">
        <v>21</v>
      </c>
      <c r="AN156" s="920"/>
      <c r="AO156" s="920" t="s">
        <v>21</v>
      </c>
      <c r="AP156" s="919">
        <v>63.503999999999998</v>
      </c>
      <c r="AQ156" s="922">
        <v>223.30727999999999</v>
      </c>
      <c r="AR156" s="923" t="s">
        <v>21</v>
      </c>
      <c r="AS156" s="923">
        <v>223.30727999999999</v>
      </c>
      <c r="AT156" s="923" t="s">
        <v>21</v>
      </c>
      <c r="AU156" s="923" t="s">
        <v>21</v>
      </c>
      <c r="AV156" s="924" t="s">
        <v>21</v>
      </c>
      <c r="AW156" s="924" t="s">
        <v>21</v>
      </c>
      <c r="AX156" s="924" t="s">
        <v>21</v>
      </c>
      <c r="AY156" s="924" t="s">
        <v>21</v>
      </c>
      <c r="AZ156" s="923" t="s">
        <v>21</v>
      </c>
      <c r="BA156" s="923"/>
      <c r="BB156" s="919">
        <v>6.35</v>
      </c>
      <c r="BC156" s="919" t="s">
        <v>21</v>
      </c>
      <c r="BD156" s="919" t="s">
        <v>2142</v>
      </c>
      <c r="BE156" s="925" t="s">
        <v>21</v>
      </c>
      <c r="BF156" s="926" t="s">
        <v>21</v>
      </c>
      <c r="BG156" s="925">
        <v>45.36</v>
      </c>
      <c r="BH156" s="926" t="s">
        <v>21</v>
      </c>
      <c r="BI156" s="925" t="s">
        <v>21</v>
      </c>
      <c r="BJ156" s="926" t="s">
        <v>21</v>
      </c>
      <c r="BK156" s="925" t="s">
        <v>21</v>
      </c>
      <c r="BL156" s="926" t="s">
        <v>21</v>
      </c>
      <c r="BM156" s="925" t="s">
        <v>21</v>
      </c>
      <c r="BN156" s="927"/>
      <c r="BO156" s="927"/>
      <c r="BP156" s="928">
        <v>1</v>
      </c>
      <c r="BQ156" s="928" t="s">
        <v>21</v>
      </c>
      <c r="BR156" s="928" t="s">
        <v>21</v>
      </c>
      <c r="BS156" s="928" t="s">
        <v>21</v>
      </c>
      <c r="BT156" s="928" t="s">
        <v>21</v>
      </c>
      <c r="BU156" s="928" t="s">
        <v>21</v>
      </c>
      <c r="BV156" s="929">
        <v>0.60000000000000009</v>
      </c>
      <c r="BW156" s="929">
        <v>1</v>
      </c>
      <c r="BX156" s="1104">
        <v>2</v>
      </c>
      <c r="BY156" s="931">
        <v>4</v>
      </c>
      <c r="BZ156" s="930">
        <v>1</v>
      </c>
      <c r="CA156" s="1074"/>
      <c r="CB156" s="930"/>
      <c r="CC156" s="930"/>
      <c r="CD156" s="925">
        <v>46.402999999999999</v>
      </c>
      <c r="CE156" s="1130">
        <v>159.53100000000001</v>
      </c>
      <c r="CF156" s="1129" t="s">
        <v>21</v>
      </c>
      <c r="CG156" s="1130" t="s">
        <v>21</v>
      </c>
      <c r="CH156" s="1130" t="s">
        <v>21</v>
      </c>
      <c r="CI156" s="1131" t="s">
        <v>21</v>
      </c>
      <c r="CJ156" s="1129" t="s">
        <v>21</v>
      </c>
      <c r="CK156" s="1130">
        <v>159.53100000000001</v>
      </c>
      <c r="CL156" s="1130" t="s">
        <v>21</v>
      </c>
      <c r="CM156" s="1131" t="s">
        <v>21</v>
      </c>
      <c r="CN156" s="1130" t="s">
        <v>21</v>
      </c>
      <c r="CP156" s="838" t="s">
        <v>21</v>
      </c>
      <c r="CQ156" s="838" t="s">
        <v>21</v>
      </c>
      <c r="CR156" s="836"/>
    </row>
    <row r="157" spans="1:96" x14ac:dyDescent="0.25">
      <c r="A157" s="935"/>
      <c r="B157" s="1180" t="s">
        <v>2228</v>
      </c>
      <c r="C157" s="935">
        <v>600</v>
      </c>
      <c r="D157" s="935" t="s">
        <v>2116</v>
      </c>
      <c r="E157" s="936">
        <v>1201.92</v>
      </c>
      <c r="F157" s="936">
        <v>1199.72</v>
      </c>
      <c r="G157" s="1180" t="s">
        <v>2229</v>
      </c>
      <c r="H157" s="936">
        <v>1201.8699999999999</v>
      </c>
      <c r="I157" s="936">
        <v>1199.597</v>
      </c>
      <c r="J157" s="914">
        <v>14.63</v>
      </c>
      <c r="K157" s="915"/>
      <c r="L157" s="916">
        <v>0.1</v>
      </c>
      <c r="M157" s="916">
        <v>0.06</v>
      </c>
      <c r="N157" s="916">
        <v>0.2</v>
      </c>
      <c r="O157" s="916">
        <v>5.0640000000000001</v>
      </c>
      <c r="P157" s="915"/>
      <c r="Q157" s="916">
        <v>2.496</v>
      </c>
      <c r="R157" s="917">
        <v>0.33333333333333331</v>
      </c>
      <c r="S157" s="918">
        <v>1.4</v>
      </c>
      <c r="T157" s="918">
        <v>3.0640000000000001</v>
      </c>
      <c r="U157" s="916">
        <v>5.2619999999999996</v>
      </c>
      <c r="V157" s="916">
        <v>0.92</v>
      </c>
      <c r="W157" s="915"/>
      <c r="X157" s="916">
        <v>0.28299999999999997</v>
      </c>
      <c r="Y157" s="916">
        <v>0.40699999999999997</v>
      </c>
      <c r="Z157" s="916">
        <v>5.5709999999999997</v>
      </c>
      <c r="AA157" s="916">
        <v>1.0229999999999999</v>
      </c>
      <c r="AB157" s="916">
        <v>4.0010000000000003</v>
      </c>
      <c r="AC157" s="915"/>
      <c r="AD157" s="919">
        <v>74.085999999999999</v>
      </c>
      <c r="AE157" s="920">
        <v>81.504000000000005</v>
      </c>
      <c r="AF157" s="920" t="s">
        <v>21</v>
      </c>
      <c r="AG157" s="920" t="s">
        <v>21</v>
      </c>
      <c r="AH157" s="921">
        <v>81.504000000000005</v>
      </c>
      <c r="AI157" s="921" t="s">
        <v>21</v>
      </c>
      <c r="AJ157" s="920" t="s">
        <v>21</v>
      </c>
      <c r="AK157" s="920" t="s">
        <v>21</v>
      </c>
      <c r="AL157" s="921" t="s">
        <v>21</v>
      </c>
      <c r="AM157" s="921" t="s">
        <v>21</v>
      </c>
      <c r="AN157" s="920"/>
      <c r="AO157" s="920" t="s">
        <v>21</v>
      </c>
      <c r="AP157" s="919">
        <v>20.481999999999999</v>
      </c>
      <c r="AQ157" s="922">
        <v>76.983059999999995</v>
      </c>
      <c r="AR157" s="923" t="s">
        <v>21</v>
      </c>
      <c r="AS157" s="923">
        <v>76.983059999999995</v>
      </c>
      <c r="AT157" s="923" t="s">
        <v>21</v>
      </c>
      <c r="AU157" s="923" t="s">
        <v>21</v>
      </c>
      <c r="AV157" s="924" t="s">
        <v>21</v>
      </c>
      <c r="AW157" s="924" t="s">
        <v>21</v>
      </c>
      <c r="AX157" s="924" t="s">
        <v>21</v>
      </c>
      <c r="AY157" s="924" t="s">
        <v>21</v>
      </c>
      <c r="AZ157" s="923" t="s">
        <v>21</v>
      </c>
      <c r="BA157" s="923"/>
      <c r="BB157" s="919">
        <v>2.048</v>
      </c>
      <c r="BC157" s="919" t="s">
        <v>21</v>
      </c>
      <c r="BD157" s="919" t="s">
        <v>2142</v>
      </c>
      <c r="BE157" s="925" t="s">
        <v>21</v>
      </c>
      <c r="BF157" s="926" t="s">
        <v>21</v>
      </c>
      <c r="BG157" s="925">
        <v>14.63</v>
      </c>
      <c r="BH157" s="926" t="s">
        <v>21</v>
      </c>
      <c r="BI157" s="925" t="s">
        <v>21</v>
      </c>
      <c r="BJ157" s="926" t="s">
        <v>21</v>
      </c>
      <c r="BK157" s="925" t="s">
        <v>21</v>
      </c>
      <c r="BL157" s="926" t="s">
        <v>21</v>
      </c>
      <c r="BM157" s="925" t="s">
        <v>21</v>
      </c>
      <c r="BN157" s="927"/>
      <c r="BO157" s="927"/>
      <c r="BP157" s="928">
        <v>1</v>
      </c>
      <c r="BQ157" s="928" t="s">
        <v>21</v>
      </c>
      <c r="BR157" s="928" t="s">
        <v>21</v>
      </c>
      <c r="BS157" s="928" t="s">
        <v>21</v>
      </c>
      <c r="BT157" s="928" t="s">
        <v>21</v>
      </c>
      <c r="BU157" s="928" t="s">
        <v>21</v>
      </c>
      <c r="BV157" s="929">
        <v>0.80000000000004556</v>
      </c>
      <c r="BW157" s="929">
        <v>1</v>
      </c>
      <c r="BX157" s="1104">
        <v>2</v>
      </c>
      <c r="BY157" s="931">
        <v>4</v>
      </c>
      <c r="BZ157" s="930">
        <v>1</v>
      </c>
      <c r="CA157" s="1074">
        <v>1</v>
      </c>
      <c r="CB157" s="930"/>
      <c r="CC157" s="930"/>
      <c r="CD157" s="925">
        <v>14.965999999999999</v>
      </c>
      <c r="CE157" s="1130">
        <v>58.534999999999997</v>
      </c>
      <c r="CF157" s="1129" t="s">
        <v>21</v>
      </c>
      <c r="CG157" s="1130" t="s">
        <v>21</v>
      </c>
      <c r="CH157" s="1130" t="s">
        <v>21</v>
      </c>
      <c r="CI157" s="1131" t="s">
        <v>21</v>
      </c>
      <c r="CJ157" s="1129" t="s">
        <v>21</v>
      </c>
      <c r="CK157" s="1130">
        <v>58.534999999999997</v>
      </c>
      <c r="CL157" s="1130" t="s">
        <v>21</v>
      </c>
      <c r="CM157" s="1131" t="s">
        <v>21</v>
      </c>
      <c r="CN157" s="1130" t="s">
        <v>21</v>
      </c>
      <c r="CP157" s="838" t="s">
        <v>21</v>
      </c>
      <c r="CQ157" s="838" t="s">
        <v>21</v>
      </c>
      <c r="CR157" s="836"/>
    </row>
    <row r="158" spans="1:96" x14ac:dyDescent="0.25">
      <c r="A158" s="935"/>
      <c r="B158" s="1180" t="s">
        <v>2229</v>
      </c>
      <c r="C158" s="935">
        <v>600</v>
      </c>
      <c r="D158" s="935" t="s">
        <v>2116</v>
      </c>
      <c r="E158" s="936">
        <v>1201.8699999999999</v>
      </c>
      <c r="F158" s="936">
        <v>1199.547</v>
      </c>
      <c r="G158" s="1180" t="s">
        <v>2253</v>
      </c>
      <c r="H158" s="936">
        <v>1202.03</v>
      </c>
      <c r="I158" s="936">
        <v>1199.3109999999999</v>
      </c>
      <c r="J158" s="914">
        <v>27.15</v>
      </c>
      <c r="K158" s="915"/>
      <c r="L158" s="916">
        <v>0.1</v>
      </c>
      <c r="M158" s="916">
        <v>0.06</v>
      </c>
      <c r="N158" s="916">
        <v>0.2</v>
      </c>
      <c r="O158" s="916">
        <v>5.2539999999999996</v>
      </c>
      <c r="P158" s="915"/>
      <c r="Q158" s="916">
        <v>2.7810000000000001</v>
      </c>
      <c r="R158" s="917">
        <v>0.33333333333333331</v>
      </c>
      <c r="S158" s="918">
        <v>1.4</v>
      </c>
      <c r="T158" s="918">
        <v>3.254</v>
      </c>
      <c r="U158" s="916">
        <v>5.8630000000000004</v>
      </c>
      <c r="V158" s="916">
        <v>0.92</v>
      </c>
      <c r="W158" s="915"/>
      <c r="X158" s="916">
        <v>0.28299999999999997</v>
      </c>
      <c r="Y158" s="916">
        <v>0.40699999999999997</v>
      </c>
      <c r="Z158" s="916">
        <v>6.4710000000000001</v>
      </c>
      <c r="AA158" s="916">
        <v>1.0229999999999999</v>
      </c>
      <c r="AB158" s="916">
        <v>4.9009999999999998</v>
      </c>
      <c r="AC158" s="915"/>
      <c r="AD158" s="919">
        <v>142.64599999999999</v>
      </c>
      <c r="AE158" s="920">
        <v>175.68799999999999</v>
      </c>
      <c r="AF158" s="920" t="s">
        <v>21</v>
      </c>
      <c r="AG158" s="920" t="s">
        <v>21</v>
      </c>
      <c r="AH158" s="921">
        <v>175.68799999999999</v>
      </c>
      <c r="AI158" s="921" t="s">
        <v>21</v>
      </c>
      <c r="AJ158" s="920" t="s">
        <v>21</v>
      </c>
      <c r="AK158" s="920" t="s">
        <v>21</v>
      </c>
      <c r="AL158" s="921" t="s">
        <v>21</v>
      </c>
      <c r="AM158" s="921" t="s">
        <v>21</v>
      </c>
      <c r="AN158" s="920"/>
      <c r="AO158" s="920" t="s">
        <v>21</v>
      </c>
      <c r="AP158" s="919">
        <v>38.01</v>
      </c>
      <c r="AQ158" s="922">
        <v>159.18045000000001</v>
      </c>
      <c r="AR158" s="923" t="s">
        <v>21</v>
      </c>
      <c r="AS158" s="923">
        <v>159.18045000000001</v>
      </c>
      <c r="AT158" s="923" t="s">
        <v>21</v>
      </c>
      <c r="AU158" s="923" t="s">
        <v>21</v>
      </c>
      <c r="AV158" s="924" t="s">
        <v>21</v>
      </c>
      <c r="AW158" s="924" t="s">
        <v>21</v>
      </c>
      <c r="AX158" s="924" t="s">
        <v>21</v>
      </c>
      <c r="AY158" s="924" t="s">
        <v>21</v>
      </c>
      <c r="AZ158" s="923" t="s">
        <v>21</v>
      </c>
      <c r="BA158" s="923"/>
      <c r="BB158" s="919">
        <v>3.8010000000000002</v>
      </c>
      <c r="BC158" s="919" t="s">
        <v>21</v>
      </c>
      <c r="BD158" s="919" t="s">
        <v>2142</v>
      </c>
      <c r="BE158" s="925" t="s">
        <v>21</v>
      </c>
      <c r="BF158" s="926" t="s">
        <v>21</v>
      </c>
      <c r="BG158" s="925">
        <v>27.15</v>
      </c>
      <c r="BH158" s="926" t="s">
        <v>21</v>
      </c>
      <c r="BI158" s="925" t="s">
        <v>21</v>
      </c>
      <c r="BJ158" s="926" t="s">
        <v>21</v>
      </c>
      <c r="BK158" s="925" t="s">
        <v>21</v>
      </c>
      <c r="BL158" s="926" t="s">
        <v>21</v>
      </c>
      <c r="BM158" s="925" t="s">
        <v>21</v>
      </c>
      <c r="BN158" s="927"/>
      <c r="BO158" s="927"/>
      <c r="BP158" s="928">
        <v>1</v>
      </c>
      <c r="BQ158" s="928" t="s">
        <v>21</v>
      </c>
      <c r="BR158" s="928" t="s">
        <v>21</v>
      </c>
      <c r="BS158" s="928" t="s">
        <v>21</v>
      </c>
      <c r="BT158" s="928" t="s">
        <v>21</v>
      </c>
      <c r="BU158" s="928" t="s">
        <v>21</v>
      </c>
      <c r="BV158" s="929">
        <v>0.92299999999986548</v>
      </c>
      <c r="BW158" s="929">
        <v>1</v>
      </c>
      <c r="BX158" s="1104">
        <v>2</v>
      </c>
      <c r="BY158" s="931">
        <v>4</v>
      </c>
      <c r="BZ158" s="930"/>
      <c r="CA158" s="1074"/>
      <c r="CB158" s="930"/>
      <c r="CC158" s="930"/>
      <c r="CD158" s="925">
        <v>27.774000000000001</v>
      </c>
      <c r="CE158" s="1130">
        <v>133.06200000000001</v>
      </c>
      <c r="CF158" s="1129" t="s">
        <v>21</v>
      </c>
      <c r="CG158" s="1130" t="s">
        <v>21</v>
      </c>
      <c r="CH158" s="1130" t="s">
        <v>21</v>
      </c>
      <c r="CI158" s="1131" t="s">
        <v>21</v>
      </c>
      <c r="CJ158" s="1129" t="s">
        <v>21</v>
      </c>
      <c r="CK158" s="1130">
        <v>133.06200000000001</v>
      </c>
      <c r="CL158" s="1130" t="s">
        <v>21</v>
      </c>
      <c r="CM158" s="1131" t="s">
        <v>21</v>
      </c>
      <c r="CN158" s="1130" t="s">
        <v>21</v>
      </c>
      <c r="CP158" s="838" t="s">
        <v>21</v>
      </c>
      <c r="CQ158" s="838" t="s">
        <v>21</v>
      </c>
      <c r="CR158" s="836"/>
    </row>
    <row r="159" spans="1:96" x14ac:dyDescent="0.25">
      <c r="A159" s="935"/>
      <c r="B159" s="1180" t="s">
        <v>2253</v>
      </c>
      <c r="C159" s="935">
        <v>800</v>
      </c>
      <c r="D159" s="935" t="s">
        <v>2116</v>
      </c>
      <c r="E159" s="936">
        <v>1202.03</v>
      </c>
      <c r="F159" s="936">
        <v>1199.1110000000001</v>
      </c>
      <c r="G159" s="1180" t="s">
        <v>2254</v>
      </c>
      <c r="H159" s="936">
        <v>1199.6199999999999</v>
      </c>
      <c r="I159" s="936">
        <v>1197.52</v>
      </c>
      <c r="J159" s="914">
        <v>49.59</v>
      </c>
      <c r="K159" s="915"/>
      <c r="L159" s="916">
        <v>0.15</v>
      </c>
      <c r="M159" s="916">
        <v>7.5999999999999998E-2</v>
      </c>
      <c r="N159" s="916">
        <v>0.2</v>
      </c>
      <c r="O159" s="916">
        <v>5.59</v>
      </c>
      <c r="P159" s="915"/>
      <c r="Q159" s="916">
        <v>2.835</v>
      </c>
      <c r="R159" s="917">
        <v>0.33333333333333331</v>
      </c>
      <c r="S159" s="918">
        <v>1.7</v>
      </c>
      <c r="T159" s="918">
        <v>3.59</v>
      </c>
      <c r="U159" s="916">
        <v>5.9770000000000003</v>
      </c>
      <c r="V159" s="916">
        <v>1.1519999999999999</v>
      </c>
      <c r="W159" s="915"/>
      <c r="X159" s="916">
        <v>0.503</v>
      </c>
      <c r="Y159" s="916">
        <v>0.71199999999999997</v>
      </c>
      <c r="Z159" s="916">
        <v>7.4989999999999997</v>
      </c>
      <c r="AA159" s="916">
        <v>1.4339999999999999</v>
      </c>
      <c r="AB159" s="916">
        <v>5.0979999999999999</v>
      </c>
      <c r="AC159" s="915"/>
      <c r="AD159" s="919">
        <v>277.20800000000003</v>
      </c>
      <c r="AE159" s="920">
        <v>371.875</v>
      </c>
      <c r="AF159" s="920" t="s">
        <v>21</v>
      </c>
      <c r="AG159" s="920" t="s">
        <v>21</v>
      </c>
      <c r="AH159" s="921" t="s">
        <v>21</v>
      </c>
      <c r="AI159" s="921">
        <v>371.875</v>
      </c>
      <c r="AJ159" s="920" t="s">
        <v>21</v>
      </c>
      <c r="AK159" s="920" t="s">
        <v>21</v>
      </c>
      <c r="AL159" s="921" t="s">
        <v>21</v>
      </c>
      <c r="AM159" s="921" t="s">
        <v>21</v>
      </c>
      <c r="AN159" s="920"/>
      <c r="AO159" s="920" t="s">
        <v>21</v>
      </c>
      <c r="AP159" s="919">
        <v>84.302999999999997</v>
      </c>
      <c r="AQ159" s="922">
        <v>296.39943000000005</v>
      </c>
      <c r="AR159" s="923" t="s">
        <v>21</v>
      </c>
      <c r="AS159" s="923" t="s">
        <v>21</v>
      </c>
      <c r="AT159" s="923" t="s">
        <v>21</v>
      </c>
      <c r="AU159" s="923" t="s">
        <v>21</v>
      </c>
      <c r="AV159" s="924" t="s">
        <v>21</v>
      </c>
      <c r="AW159" s="924">
        <v>296.39943000000005</v>
      </c>
      <c r="AX159" s="924" t="s">
        <v>21</v>
      </c>
      <c r="AY159" s="924" t="s">
        <v>21</v>
      </c>
      <c r="AZ159" s="923" t="s">
        <v>21</v>
      </c>
      <c r="BA159" s="923"/>
      <c r="BB159" s="919" t="s">
        <v>21</v>
      </c>
      <c r="BC159" s="919">
        <v>12.645</v>
      </c>
      <c r="BD159" s="919" t="s">
        <v>2142</v>
      </c>
      <c r="BE159" s="925" t="s">
        <v>21</v>
      </c>
      <c r="BF159" s="926" t="s">
        <v>21</v>
      </c>
      <c r="BG159" s="925" t="s">
        <v>21</v>
      </c>
      <c r="BH159" s="926">
        <v>49.59</v>
      </c>
      <c r="BI159" s="925" t="s">
        <v>21</v>
      </c>
      <c r="BJ159" s="926" t="s">
        <v>21</v>
      </c>
      <c r="BK159" s="925" t="s">
        <v>21</v>
      </c>
      <c r="BL159" s="926" t="s">
        <v>21</v>
      </c>
      <c r="BM159" s="925" t="s">
        <v>21</v>
      </c>
      <c r="BN159" s="927"/>
      <c r="BO159" s="927"/>
      <c r="BP159" s="928" t="s">
        <v>21</v>
      </c>
      <c r="BQ159" s="928">
        <v>1</v>
      </c>
      <c r="BR159" s="928" t="s">
        <v>21</v>
      </c>
      <c r="BS159" s="928" t="s">
        <v>21</v>
      </c>
      <c r="BT159" s="928" t="s">
        <v>21</v>
      </c>
      <c r="BU159" s="928" t="s">
        <v>21</v>
      </c>
      <c r="BV159" s="929">
        <v>1.418999999999869</v>
      </c>
      <c r="BW159" s="929">
        <v>1.5</v>
      </c>
      <c r="BX159" s="1104">
        <v>3</v>
      </c>
      <c r="BY159" s="931">
        <v>5</v>
      </c>
      <c r="BZ159" s="930">
        <v>2</v>
      </c>
      <c r="CA159" s="1074"/>
      <c r="CB159" s="930"/>
      <c r="CC159" s="930"/>
      <c r="CD159" s="925">
        <v>71.111999999999995</v>
      </c>
      <c r="CE159" s="1130">
        <v>252.81</v>
      </c>
      <c r="CF159" s="1129" t="s">
        <v>21</v>
      </c>
      <c r="CG159" s="1130" t="s">
        <v>21</v>
      </c>
      <c r="CH159" s="1130" t="s">
        <v>21</v>
      </c>
      <c r="CI159" s="1131" t="s">
        <v>21</v>
      </c>
      <c r="CJ159" s="1129" t="s">
        <v>21</v>
      </c>
      <c r="CK159" s="1130" t="s">
        <v>21</v>
      </c>
      <c r="CL159" s="1130" t="s">
        <v>21</v>
      </c>
      <c r="CM159" s="1131" t="s">
        <v>21</v>
      </c>
      <c r="CN159" s="1130">
        <v>252.81</v>
      </c>
      <c r="CP159" s="838" t="s">
        <v>21</v>
      </c>
      <c r="CQ159" s="838" t="s">
        <v>21</v>
      </c>
      <c r="CR159" s="836"/>
    </row>
    <row r="160" spans="1:96" x14ac:dyDescent="0.25">
      <c r="A160" s="935"/>
      <c r="B160" s="1180" t="s">
        <v>2254</v>
      </c>
      <c r="C160" s="935">
        <v>800</v>
      </c>
      <c r="D160" s="935" t="s">
        <v>2116</v>
      </c>
      <c r="E160" s="936">
        <v>1199.6199999999999</v>
      </c>
      <c r="F160" s="936">
        <v>1196.049</v>
      </c>
      <c r="G160" s="1180" t="s">
        <v>2255</v>
      </c>
      <c r="H160" s="936">
        <v>1197.08</v>
      </c>
      <c r="I160" s="936">
        <v>1194.98</v>
      </c>
      <c r="J160" s="914">
        <v>48.53</v>
      </c>
      <c r="K160" s="915"/>
      <c r="L160" s="916">
        <v>0.15</v>
      </c>
      <c r="M160" s="916">
        <v>7.5999999999999998E-2</v>
      </c>
      <c r="N160" s="916">
        <v>0.2</v>
      </c>
      <c r="O160" s="916">
        <v>5.8070000000000004</v>
      </c>
      <c r="P160" s="915"/>
      <c r="Q160" s="916">
        <v>3.161</v>
      </c>
      <c r="R160" s="917">
        <v>0.33333333333333331</v>
      </c>
      <c r="S160" s="918">
        <v>1.7</v>
      </c>
      <c r="T160" s="918">
        <v>3.8069999999999999</v>
      </c>
      <c r="U160" s="916">
        <v>6.6639999999999997</v>
      </c>
      <c r="V160" s="916">
        <v>1.1519999999999999</v>
      </c>
      <c r="W160" s="915"/>
      <c r="X160" s="916">
        <v>0.503</v>
      </c>
      <c r="Y160" s="916">
        <v>0.71199999999999997</v>
      </c>
      <c r="Z160" s="916">
        <v>8.7040000000000006</v>
      </c>
      <c r="AA160" s="916">
        <v>1.4339999999999999</v>
      </c>
      <c r="AB160" s="916">
        <v>6.3029999999999999</v>
      </c>
      <c r="AC160" s="915"/>
      <c r="AD160" s="919">
        <v>281.81400000000002</v>
      </c>
      <c r="AE160" s="920">
        <v>422.40499999999997</v>
      </c>
      <c r="AF160" s="920" t="s">
        <v>21</v>
      </c>
      <c r="AG160" s="920" t="s">
        <v>21</v>
      </c>
      <c r="AH160" s="921" t="s">
        <v>21</v>
      </c>
      <c r="AI160" s="921">
        <v>422.40499999999997</v>
      </c>
      <c r="AJ160" s="920" t="s">
        <v>21</v>
      </c>
      <c r="AK160" s="920" t="s">
        <v>21</v>
      </c>
      <c r="AL160" s="921" t="s">
        <v>21</v>
      </c>
      <c r="AM160" s="921" t="s">
        <v>21</v>
      </c>
      <c r="AN160" s="920"/>
      <c r="AO160" s="920" t="s">
        <v>21</v>
      </c>
      <c r="AP160" s="919">
        <v>82.501000000000005</v>
      </c>
      <c r="AQ160" s="922">
        <v>323.40391999999997</v>
      </c>
      <c r="AR160" s="923" t="s">
        <v>21</v>
      </c>
      <c r="AS160" s="923" t="s">
        <v>21</v>
      </c>
      <c r="AT160" s="923" t="s">
        <v>21</v>
      </c>
      <c r="AU160" s="923" t="s">
        <v>21</v>
      </c>
      <c r="AV160" s="924" t="s">
        <v>21</v>
      </c>
      <c r="AW160" s="924">
        <v>323.40391999999997</v>
      </c>
      <c r="AX160" s="924" t="s">
        <v>21</v>
      </c>
      <c r="AY160" s="924" t="s">
        <v>21</v>
      </c>
      <c r="AZ160" s="923" t="s">
        <v>21</v>
      </c>
      <c r="BA160" s="923"/>
      <c r="BB160" s="919" t="s">
        <v>21</v>
      </c>
      <c r="BC160" s="919">
        <v>12.375</v>
      </c>
      <c r="BD160" s="919" t="s">
        <v>2152</v>
      </c>
      <c r="BE160" s="925" t="s">
        <v>21</v>
      </c>
      <c r="BF160" s="926" t="s">
        <v>21</v>
      </c>
      <c r="BG160" s="925" t="s">
        <v>21</v>
      </c>
      <c r="BH160" s="926">
        <v>48.53</v>
      </c>
      <c r="BI160" s="925" t="s">
        <v>21</v>
      </c>
      <c r="BJ160" s="926" t="s">
        <v>21</v>
      </c>
      <c r="BK160" s="925" t="s">
        <v>21</v>
      </c>
      <c r="BL160" s="926" t="s">
        <v>21</v>
      </c>
      <c r="BM160" s="925" t="s">
        <v>21</v>
      </c>
      <c r="BN160" s="927"/>
      <c r="BO160" s="927"/>
      <c r="BP160" s="928" t="s">
        <v>21</v>
      </c>
      <c r="BQ160" s="928">
        <v>1</v>
      </c>
      <c r="BR160" s="928" t="s">
        <v>21</v>
      </c>
      <c r="BS160" s="928" t="s">
        <v>21</v>
      </c>
      <c r="BT160" s="928" t="s">
        <v>21</v>
      </c>
      <c r="BU160" s="928" t="s">
        <v>21</v>
      </c>
      <c r="BV160" s="929">
        <v>2.0709999999999127</v>
      </c>
      <c r="BW160" s="929">
        <v>2.5</v>
      </c>
      <c r="BX160" s="1104">
        <v>5</v>
      </c>
      <c r="BY160" s="931">
        <v>7</v>
      </c>
      <c r="BZ160" s="930">
        <v>1</v>
      </c>
      <c r="CA160" s="1074">
        <v>1</v>
      </c>
      <c r="CB160" s="930"/>
      <c r="CC160" s="930"/>
      <c r="CD160" s="925">
        <v>69.591999999999999</v>
      </c>
      <c r="CE160" s="1130">
        <v>305.88499999999999</v>
      </c>
      <c r="CF160" s="1129" t="s">
        <v>21</v>
      </c>
      <c r="CG160" s="1130" t="s">
        <v>21</v>
      </c>
      <c r="CH160" s="1130" t="s">
        <v>21</v>
      </c>
      <c r="CI160" s="1131" t="s">
        <v>21</v>
      </c>
      <c r="CJ160" s="1129" t="s">
        <v>21</v>
      </c>
      <c r="CK160" s="1130" t="s">
        <v>21</v>
      </c>
      <c r="CL160" s="1130" t="s">
        <v>21</v>
      </c>
      <c r="CM160" s="1131" t="s">
        <v>21</v>
      </c>
      <c r="CN160" s="1130">
        <v>305.88499999999999</v>
      </c>
      <c r="CP160" s="838" t="s">
        <v>21</v>
      </c>
      <c r="CQ160" s="838" t="s">
        <v>21</v>
      </c>
      <c r="CR160" s="836"/>
    </row>
    <row r="161" spans="1:96" x14ac:dyDescent="0.25">
      <c r="A161" s="935"/>
      <c r="B161" s="1180" t="s">
        <v>2255</v>
      </c>
      <c r="C161" s="935">
        <v>800</v>
      </c>
      <c r="D161" s="935" t="s">
        <v>2116</v>
      </c>
      <c r="E161" s="936">
        <v>1197.08</v>
      </c>
      <c r="F161" s="936">
        <v>1194.8800000000001</v>
      </c>
      <c r="G161" s="1180" t="s">
        <v>2256</v>
      </c>
      <c r="H161" s="936">
        <v>1194.46</v>
      </c>
      <c r="I161" s="936">
        <v>1192.3599999999999</v>
      </c>
      <c r="J161" s="914">
        <v>34.409999999999997</v>
      </c>
      <c r="K161" s="915"/>
      <c r="L161" s="916">
        <v>0.15</v>
      </c>
      <c r="M161" s="916">
        <v>7.5999999999999998E-2</v>
      </c>
      <c r="N161" s="916">
        <v>0.2</v>
      </c>
      <c r="O161" s="916">
        <v>5.351</v>
      </c>
      <c r="P161" s="915"/>
      <c r="Q161" s="916">
        <v>2.476</v>
      </c>
      <c r="R161" s="917">
        <v>0.33333333333333331</v>
      </c>
      <c r="S161" s="918">
        <v>1.7</v>
      </c>
      <c r="T161" s="918">
        <v>3.351</v>
      </c>
      <c r="U161" s="916">
        <v>5.22</v>
      </c>
      <c r="V161" s="916">
        <v>1.1519999999999999</v>
      </c>
      <c r="W161" s="915"/>
      <c r="X161" s="916">
        <v>0.503</v>
      </c>
      <c r="Y161" s="916">
        <v>0.71199999999999997</v>
      </c>
      <c r="Z161" s="916">
        <v>6.2530000000000001</v>
      </c>
      <c r="AA161" s="916">
        <v>1.4339999999999999</v>
      </c>
      <c r="AB161" s="916">
        <v>3.8519999999999999</v>
      </c>
      <c r="AC161" s="915"/>
      <c r="AD161" s="919">
        <v>184.12799999999999</v>
      </c>
      <c r="AE161" s="920">
        <v>215.166</v>
      </c>
      <c r="AF161" s="920" t="s">
        <v>21</v>
      </c>
      <c r="AG161" s="920" t="s">
        <v>21</v>
      </c>
      <c r="AH161" s="921" t="s">
        <v>21</v>
      </c>
      <c r="AI161" s="921">
        <v>215.166</v>
      </c>
      <c r="AJ161" s="920" t="s">
        <v>21</v>
      </c>
      <c r="AK161" s="920" t="s">
        <v>21</v>
      </c>
      <c r="AL161" s="921" t="s">
        <v>21</v>
      </c>
      <c r="AM161" s="921" t="s">
        <v>21</v>
      </c>
      <c r="AN161" s="920"/>
      <c r="AO161" s="920" t="s">
        <v>21</v>
      </c>
      <c r="AP161" s="919">
        <v>58.497</v>
      </c>
      <c r="AQ161" s="922">
        <v>179.62019999999998</v>
      </c>
      <c r="AR161" s="923" t="s">
        <v>21</v>
      </c>
      <c r="AS161" s="923" t="s">
        <v>21</v>
      </c>
      <c r="AT161" s="923" t="s">
        <v>21</v>
      </c>
      <c r="AU161" s="923" t="s">
        <v>21</v>
      </c>
      <c r="AV161" s="924" t="s">
        <v>21</v>
      </c>
      <c r="AW161" s="924">
        <v>179.62019999999998</v>
      </c>
      <c r="AX161" s="924" t="s">
        <v>21</v>
      </c>
      <c r="AY161" s="924" t="s">
        <v>21</v>
      </c>
      <c r="AZ161" s="923" t="s">
        <v>21</v>
      </c>
      <c r="BA161" s="923"/>
      <c r="BB161" s="919" t="s">
        <v>21</v>
      </c>
      <c r="BC161" s="919">
        <v>8.7750000000000004</v>
      </c>
      <c r="BD161" s="919" t="s">
        <v>2142</v>
      </c>
      <c r="BE161" s="925" t="s">
        <v>21</v>
      </c>
      <c r="BF161" s="926" t="s">
        <v>21</v>
      </c>
      <c r="BG161" s="925" t="s">
        <v>21</v>
      </c>
      <c r="BH161" s="926">
        <v>34.409999999999997</v>
      </c>
      <c r="BI161" s="925" t="s">
        <v>21</v>
      </c>
      <c r="BJ161" s="926" t="s">
        <v>21</v>
      </c>
      <c r="BK161" s="925" t="s">
        <v>21</v>
      </c>
      <c r="BL161" s="926" t="s">
        <v>21</v>
      </c>
      <c r="BM161" s="925" t="s">
        <v>21</v>
      </c>
      <c r="BN161" s="927"/>
      <c r="BO161" s="927"/>
      <c r="BP161" s="928" t="s">
        <v>21</v>
      </c>
      <c r="BQ161" s="928">
        <v>1</v>
      </c>
      <c r="BR161" s="928" t="s">
        <v>21</v>
      </c>
      <c r="BS161" s="928" t="s">
        <v>21</v>
      </c>
      <c r="BT161" s="928" t="s">
        <v>21</v>
      </c>
      <c r="BU161" s="928" t="s">
        <v>21</v>
      </c>
      <c r="BV161" s="929">
        <v>0.6999999999998181</v>
      </c>
      <c r="BW161" s="929">
        <v>1</v>
      </c>
      <c r="BX161" s="1104">
        <v>2</v>
      </c>
      <c r="BY161" s="931">
        <v>4</v>
      </c>
      <c r="BZ161" s="930">
        <v>1</v>
      </c>
      <c r="CA161" s="1074">
        <v>1</v>
      </c>
      <c r="CB161" s="930"/>
      <c r="CC161" s="930"/>
      <c r="CD161" s="925">
        <v>49.344000000000001</v>
      </c>
      <c r="CE161" s="1130">
        <v>132.547</v>
      </c>
      <c r="CF161" s="1129" t="s">
        <v>21</v>
      </c>
      <c r="CG161" s="1130" t="s">
        <v>21</v>
      </c>
      <c r="CH161" s="1130" t="s">
        <v>21</v>
      </c>
      <c r="CI161" s="1131" t="s">
        <v>21</v>
      </c>
      <c r="CJ161" s="1129" t="s">
        <v>21</v>
      </c>
      <c r="CK161" s="1130" t="s">
        <v>21</v>
      </c>
      <c r="CL161" s="1130" t="s">
        <v>21</v>
      </c>
      <c r="CM161" s="1131" t="s">
        <v>21</v>
      </c>
      <c r="CN161" s="1130">
        <v>132.547</v>
      </c>
      <c r="CP161" s="838" t="s">
        <v>21</v>
      </c>
      <c r="CQ161" s="838" t="s">
        <v>21</v>
      </c>
      <c r="CR161" s="836"/>
    </row>
    <row r="162" spans="1:96" x14ac:dyDescent="0.25">
      <c r="A162" s="935"/>
      <c r="B162" s="1180" t="s">
        <v>2256</v>
      </c>
      <c r="C162" s="935">
        <v>800</v>
      </c>
      <c r="D162" s="935" t="s">
        <v>2116</v>
      </c>
      <c r="E162" s="936">
        <v>1194.46</v>
      </c>
      <c r="F162" s="936">
        <v>1191.1600000000001</v>
      </c>
      <c r="G162" s="1180" t="s">
        <v>2257</v>
      </c>
      <c r="H162" s="936">
        <v>1190.83</v>
      </c>
      <c r="I162" s="936">
        <v>1188.73</v>
      </c>
      <c r="J162" s="914">
        <v>34.409999999999997</v>
      </c>
      <c r="K162" s="915"/>
      <c r="L162" s="916">
        <v>0.15</v>
      </c>
      <c r="M162" s="916">
        <v>7.5999999999999998E-2</v>
      </c>
      <c r="N162" s="916">
        <v>0.2</v>
      </c>
      <c r="O162" s="916">
        <v>5.7170000000000005</v>
      </c>
      <c r="P162" s="915"/>
      <c r="Q162" s="916">
        <v>3.0259999999999998</v>
      </c>
      <c r="R162" s="917">
        <v>0.33333333333333331</v>
      </c>
      <c r="S162" s="918">
        <v>1.7</v>
      </c>
      <c r="T162" s="918">
        <v>3.7170000000000001</v>
      </c>
      <c r="U162" s="916">
        <v>6.3789999999999996</v>
      </c>
      <c r="V162" s="916">
        <v>1.1519999999999999</v>
      </c>
      <c r="W162" s="915"/>
      <c r="X162" s="916">
        <v>0.503</v>
      </c>
      <c r="Y162" s="916">
        <v>0.71199999999999997</v>
      </c>
      <c r="Z162" s="916">
        <v>8.1959999999999997</v>
      </c>
      <c r="AA162" s="916">
        <v>1.4339999999999999</v>
      </c>
      <c r="AB162" s="916">
        <v>5.7949999999999999</v>
      </c>
      <c r="AC162" s="915"/>
      <c r="AD162" s="919">
        <v>196.72200000000001</v>
      </c>
      <c r="AE162" s="920">
        <v>282.024</v>
      </c>
      <c r="AF162" s="920" t="s">
        <v>21</v>
      </c>
      <c r="AG162" s="920" t="s">
        <v>21</v>
      </c>
      <c r="AH162" s="921" t="s">
        <v>21</v>
      </c>
      <c r="AI162" s="921">
        <v>282.024</v>
      </c>
      <c r="AJ162" s="920" t="s">
        <v>21</v>
      </c>
      <c r="AK162" s="920" t="s">
        <v>21</v>
      </c>
      <c r="AL162" s="921" t="s">
        <v>21</v>
      </c>
      <c r="AM162" s="921" t="s">
        <v>21</v>
      </c>
      <c r="AN162" s="920"/>
      <c r="AO162" s="920" t="s">
        <v>21</v>
      </c>
      <c r="AP162" s="919">
        <v>58.497</v>
      </c>
      <c r="AQ162" s="922">
        <v>219.50138999999996</v>
      </c>
      <c r="AR162" s="923" t="s">
        <v>21</v>
      </c>
      <c r="AS162" s="923" t="s">
        <v>21</v>
      </c>
      <c r="AT162" s="923" t="s">
        <v>21</v>
      </c>
      <c r="AU162" s="923" t="s">
        <v>21</v>
      </c>
      <c r="AV162" s="924" t="s">
        <v>21</v>
      </c>
      <c r="AW162" s="924">
        <v>219.50138999999996</v>
      </c>
      <c r="AX162" s="924" t="s">
        <v>21</v>
      </c>
      <c r="AY162" s="924" t="s">
        <v>21</v>
      </c>
      <c r="AZ162" s="923" t="s">
        <v>21</v>
      </c>
      <c r="BA162" s="923"/>
      <c r="BB162" s="919" t="s">
        <v>21</v>
      </c>
      <c r="BC162" s="919">
        <v>8.7750000000000004</v>
      </c>
      <c r="BD162" s="919" t="s">
        <v>2152</v>
      </c>
      <c r="BE162" s="925" t="s">
        <v>21</v>
      </c>
      <c r="BF162" s="926" t="s">
        <v>21</v>
      </c>
      <c r="BG162" s="925" t="s">
        <v>21</v>
      </c>
      <c r="BH162" s="926">
        <v>34.409999999999997</v>
      </c>
      <c r="BI162" s="925" t="s">
        <v>21</v>
      </c>
      <c r="BJ162" s="926" t="s">
        <v>21</v>
      </c>
      <c r="BK162" s="925" t="s">
        <v>21</v>
      </c>
      <c r="BL162" s="926" t="s">
        <v>21</v>
      </c>
      <c r="BM162" s="925" t="s">
        <v>21</v>
      </c>
      <c r="BN162" s="927"/>
      <c r="BO162" s="927"/>
      <c r="BP162" s="928" t="s">
        <v>21</v>
      </c>
      <c r="BQ162" s="928">
        <v>1</v>
      </c>
      <c r="BR162" s="928" t="s">
        <v>21</v>
      </c>
      <c r="BS162" s="928" t="s">
        <v>21</v>
      </c>
      <c r="BT162" s="928" t="s">
        <v>21</v>
      </c>
      <c r="BU162" s="928" t="s">
        <v>21</v>
      </c>
      <c r="BV162" s="929">
        <v>1.7999999999999545</v>
      </c>
      <c r="BW162" s="929">
        <v>2</v>
      </c>
      <c r="BX162" s="1104">
        <v>4</v>
      </c>
      <c r="BY162" s="931">
        <v>6</v>
      </c>
      <c r="BZ162" s="930">
        <v>1</v>
      </c>
      <c r="CA162" s="1074"/>
      <c r="CB162" s="930"/>
      <c r="CC162" s="930"/>
      <c r="CD162" s="925">
        <v>49.344000000000001</v>
      </c>
      <c r="CE162" s="1130">
        <v>199.40600000000001</v>
      </c>
      <c r="CF162" s="1129" t="s">
        <v>21</v>
      </c>
      <c r="CG162" s="1130" t="s">
        <v>21</v>
      </c>
      <c r="CH162" s="1130" t="s">
        <v>21</v>
      </c>
      <c r="CI162" s="1131" t="s">
        <v>21</v>
      </c>
      <c r="CJ162" s="1129" t="s">
        <v>21</v>
      </c>
      <c r="CK162" s="1130" t="s">
        <v>21</v>
      </c>
      <c r="CL162" s="1130" t="s">
        <v>21</v>
      </c>
      <c r="CM162" s="1131" t="s">
        <v>21</v>
      </c>
      <c r="CN162" s="1130">
        <v>199.40600000000001</v>
      </c>
      <c r="CP162" s="838" t="s">
        <v>21</v>
      </c>
      <c r="CQ162" s="838" t="s">
        <v>21</v>
      </c>
      <c r="CR162" s="836"/>
    </row>
    <row r="163" spans="1:96" x14ac:dyDescent="0.25">
      <c r="A163" s="935"/>
      <c r="B163" s="1180" t="s">
        <v>2257</v>
      </c>
      <c r="C163" s="935">
        <v>800</v>
      </c>
      <c r="D163" s="935" t="s">
        <v>2116</v>
      </c>
      <c r="E163" s="936">
        <v>1190.83</v>
      </c>
      <c r="F163" s="936">
        <v>1187.78</v>
      </c>
      <c r="G163" s="1180" t="s">
        <v>2258</v>
      </c>
      <c r="H163" s="936">
        <v>1187.23</v>
      </c>
      <c r="I163" s="936">
        <v>1185.1300000000001</v>
      </c>
      <c r="J163" s="914">
        <v>42.02</v>
      </c>
      <c r="K163" s="915"/>
      <c r="L163" s="916">
        <v>0.15</v>
      </c>
      <c r="M163" s="916">
        <v>7.5999999999999998E-2</v>
      </c>
      <c r="N163" s="916">
        <v>0.2</v>
      </c>
      <c r="O163" s="916">
        <v>5.6340000000000003</v>
      </c>
      <c r="P163" s="915"/>
      <c r="Q163" s="916">
        <v>2.9009999999999998</v>
      </c>
      <c r="R163" s="917">
        <v>0.33333333333333331</v>
      </c>
      <c r="S163" s="918">
        <v>1.7</v>
      </c>
      <c r="T163" s="918">
        <v>3.6339999999999999</v>
      </c>
      <c r="U163" s="916">
        <v>6.1159999999999997</v>
      </c>
      <c r="V163" s="916">
        <v>1.1519999999999999</v>
      </c>
      <c r="W163" s="915"/>
      <c r="X163" s="916">
        <v>0.503</v>
      </c>
      <c r="Y163" s="916">
        <v>0.71199999999999997</v>
      </c>
      <c r="Z163" s="916">
        <v>7.7370000000000001</v>
      </c>
      <c r="AA163" s="916">
        <v>1.4339999999999999</v>
      </c>
      <c r="AB163" s="916">
        <v>5.3360000000000003</v>
      </c>
      <c r="AC163" s="915"/>
      <c r="AD163" s="919">
        <v>236.74100000000001</v>
      </c>
      <c r="AE163" s="920">
        <v>325.10899999999998</v>
      </c>
      <c r="AF163" s="920" t="s">
        <v>21</v>
      </c>
      <c r="AG163" s="920" t="s">
        <v>21</v>
      </c>
      <c r="AH163" s="921" t="s">
        <v>21</v>
      </c>
      <c r="AI163" s="921">
        <v>325.10899999999998</v>
      </c>
      <c r="AJ163" s="920" t="s">
        <v>21</v>
      </c>
      <c r="AK163" s="920" t="s">
        <v>21</v>
      </c>
      <c r="AL163" s="921" t="s">
        <v>21</v>
      </c>
      <c r="AM163" s="921" t="s">
        <v>21</v>
      </c>
      <c r="AN163" s="920"/>
      <c r="AO163" s="920" t="s">
        <v>21</v>
      </c>
      <c r="AP163" s="919">
        <v>71.433999999999997</v>
      </c>
      <c r="AQ163" s="922">
        <v>256.99432000000002</v>
      </c>
      <c r="AR163" s="923" t="s">
        <v>21</v>
      </c>
      <c r="AS163" s="923" t="s">
        <v>21</v>
      </c>
      <c r="AT163" s="923" t="s">
        <v>21</v>
      </c>
      <c r="AU163" s="923" t="s">
        <v>21</v>
      </c>
      <c r="AV163" s="924" t="s">
        <v>21</v>
      </c>
      <c r="AW163" s="924">
        <v>256.99432000000002</v>
      </c>
      <c r="AX163" s="924" t="s">
        <v>21</v>
      </c>
      <c r="AY163" s="924" t="s">
        <v>21</v>
      </c>
      <c r="AZ163" s="923" t="s">
        <v>21</v>
      </c>
      <c r="BA163" s="923"/>
      <c r="BB163" s="919" t="s">
        <v>21</v>
      </c>
      <c r="BC163" s="919">
        <v>10.715</v>
      </c>
      <c r="BD163" s="919" t="s">
        <v>2142</v>
      </c>
      <c r="BE163" s="925" t="s">
        <v>21</v>
      </c>
      <c r="BF163" s="926" t="s">
        <v>21</v>
      </c>
      <c r="BG163" s="925" t="s">
        <v>21</v>
      </c>
      <c r="BH163" s="926">
        <v>42.02</v>
      </c>
      <c r="BI163" s="925" t="s">
        <v>21</v>
      </c>
      <c r="BJ163" s="926" t="s">
        <v>21</v>
      </c>
      <c r="BK163" s="925" t="s">
        <v>21</v>
      </c>
      <c r="BL163" s="926" t="s">
        <v>21</v>
      </c>
      <c r="BM163" s="925" t="s">
        <v>21</v>
      </c>
      <c r="BN163" s="927"/>
      <c r="BO163" s="927"/>
      <c r="BP163" s="928" t="s">
        <v>21</v>
      </c>
      <c r="BQ163" s="928">
        <v>1</v>
      </c>
      <c r="BR163" s="928" t="s">
        <v>21</v>
      </c>
      <c r="BS163" s="928" t="s">
        <v>21</v>
      </c>
      <c r="BT163" s="928" t="s">
        <v>21</v>
      </c>
      <c r="BU163" s="928" t="s">
        <v>21</v>
      </c>
      <c r="BV163" s="929">
        <v>1.5499999999999545</v>
      </c>
      <c r="BW163" s="929">
        <v>2</v>
      </c>
      <c r="BX163" s="1104">
        <v>4</v>
      </c>
      <c r="BY163" s="931">
        <v>6</v>
      </c>
      <c r="BZ163" s="930">
        <v>2</v>
      </c>
      <c r="CA163" s="1074"/>
      <c r="CB163" s="930"/>
      <c r="CC163" s="930"/>
      <c r="CD163" s="925">
        <v>60.256999999999998</v>
      </c>
      <c r="CE163" s="1130">
        <v>224.21899999999999</v>
      </c>
      <c r="CF163" s="1129" t="s">
        <v>21</v>
      </c>
      <c r="CG163" s="1130" t="s">
        <v>21</v>
      </c>
      <c r="CH163" s="1130" t="s">
        <v>21</v>
      </c>
      <c r="CI163" s="1131" t="s">
        <v>21</v>
      </c>
      <c r="CJ163" s="1129" t="s">
        <v>21</v>
      </c>
      <c r="CK163" s="1130" t="s">
        <v>21</v>
      </c>
      <c r="CL163" s="1130" t="s">
        <v>21</v>
      </c>
      <c r="CM163" s="1131" t="s">
        <v>21</v>
      </c>
      <c r="CN163" s="1130">
        <v>224.21899999999999</v>
      </c>
      <c r="CP163" s="838" t="s">
        <v>21</v>
      </c>
      <c r="CQ163" s="838" t="s">
        <v>21</v>
      </c>
      <c r="CR163" s="836"/>
    </row>
    <row r="164" spans="1:96" x14ac:dyDescent="0.25">
      <c r="A164" s="935"/>
      <c r="B164" s="1180" t="s">
        <v>2258</v>
      </c>
      <c r="C164" s="935">
        <v>800</v>
      </c>
      <c r="D164" s="935" t="s">
        <v>2116</v>
      </c>
      <c r="E164" s="936">
        <v>1187.23</v>
      </c>
      <c r="F164" s="936">
        <v>1185.08</v>
      </c>
      <c r="G164" s="1180" t="s">
        <v>2297</v>
      </c>
      <c r="H164" s="936">
        <v>1186.5</v>
      </c>
      <c r="I164" s="936">
        <v>1184.78</v>
      </c>
      <c r="J164" s="914">
        <v>19.440000000000001</v>
      </c>
      <c r="K164" s="915"/>
      <c r="L164" s="916">
        <v>0.15</v>
      </c>
      <c r="M164" s="916">
        <v>7.5999999999999998E-2</v>
      </c>
      <c r="N164" s="916">
        <v>0.2</v>
      </c>
      <c r="O164" s="916">
        <v>5.2069999999999999</v>
      </c>
      <c r="P164" s="915"/>
      <c r="Q164" s="916">
        <v>2.2610000000000001</v>
      </c>
      <c r="R164" s="917">
        <v>0.33333333333333331</v>
      </c>
      <c r="S164" s="918">
        <v>1.7</v>
      </c>
      <c r="T164" s="918">
        <v>3.2069999999999999</v>
      </c>
      <c r="U164" s="916">
        <v>4.7670000000000003</v>
      </c>
      <c r="V164" s="916">
        <v>1.1519999999999999</v>
      </c>
      <c r="W164" s="915"/>
      <c r="X164" s="916">
        <v>0.503</v>
      </c>
      <c r="Y164" s="916">
        <v>0.71199999999999997</v>
      </c>
      <c r="Z164" s="916">
        <v>5.5469999999999997</v>
      </c>
      <c r="AA164" s="916">
        <v>1.4339999999999999</v>
      </c>
      <c r="AB164" s="916">
        <v>3.1459999999999999</v>
      </c>
      <c r="AC164" s="915"/>
      <c r="AD164" s="919">
        <v>101.224</v>
      </c>
      <c r="AE164" s="920">
        <v>107.834</v>
      </c>
      <c r="AF164" s="920" t="s">
        <v>21</v>
      </c>
      <c r="AG164" s="920" t="s">
        <v>21</v>
      </c>
      <c r="AH164" s="921" t="s">
        <v>21</v>
      </c>
      <c r="AI164" s="921">
        <v>107.834</v>
      </c>
      <c r="AJ164" s="920" t="s">
        <v>21</v>
      </c>
      <c r="AK164" s="920" t="s">
        <v>21</v>
      </c>
      <c r="AL164" s="921" t="s">
        <v>21</v>
      </c>
      <c r="AM164" s="921" t="s">
        <v>21</v>
      </c>
      <c r="AN164" s="920"/>
      <c r="AO164" s="920" t="s">
        <v>21</v>
      </c>
      <c r="AP164" s="919">
        <v>33.048000000000002</v>
      </c>
      <c r="AQ164" s="922">
        <v>92.670480000000012</v>
      </c>
      <c r="AR164" s="923" t="s">
        <v>21</v>
      </c>
      <c r="AS164" s="923" t="s">
        <v>21</v>
      </c>
      <c r="AT164" s="923" t="s">
        <v>21</v>
      </c>
      <c r="AU164" s="923" t="s">
        <v>21</v>
      </c>
      <c r="AV164" s="924" t="s">
        <v>21</v>
      </c>
      <c r="AW164" s="924">
        <v>92.670480000000012</v>
      </c>
      <c r="AX164" s="924" t="s">
        <v>21</v>
      </c>
      <c r="AY164" s="924" t="s">
        <v>21</v>
      </c>
      <c r="AZ164" s="923" t="s">
        <v>21</v>
      </c>
      <c r="BA164" s="923"/>
      <c r="BB164" s="919" t="s">
        <v>21</v>
      </c>
      <c r="BC164" s="919">
        <v>4.9569999999999999</v>
      </c>
      <c r="BD164" s="919" t="s">
        <v>2142</v>
      </c>
      <c r="BE164" s="925" t="s">
        <v>21</v>
      </c>
      <c r="BF164" s="926" t="s">
        <v>21</v>
      </c>
      <c r="BG164" s="925" t="s">
        <v>21</v>
      </c>
      <c r="BH164" s="926">
        <v>19.440000000000001</v>
      </c>
      <c r="BI164" s="925" t="s">
        <v>21</v>
      </c>
      <c r="BJ164" s="926" t="s">
        <v>21</v>
      </c>
      <c r="BK164" s="925" t="s">
        <v>21</v>
      </c>
      <c r="BL164" s="926" t="s">
        <v>21</v>
      </c>
      <c r="BM164" s="925" t="s">
        <v>21</v>
      </c>
      <c r="BN164" s="927"/>
      <c r="BO164" s="927"/>
      <c r="BP164" s="928" t="s">
        <v>21</v>
      </c>
      <c r="BQ164" s="928">
        <v>1</v>
      </c>
      <c r="BR164" s="928" t="s">
        <v>21</v>
      </c>
      <c r="BS164" s="928" t="s">
        <v>21</v>
      </c>
      <c r="BT164" s="928" t="s">
        <v>21</v>
      </c>
      <c r="BU164" s="928" t="s">
        <v>21</v>
      </c>
      <c r="BV164" s="929">
        <v>0.65000000000009095</v>
      </c>
      <c r="BW164" s="929">
        <v>1</v>
      </c>
      <c r="BX164" s="1104">
        <v>2</v>
      </c>
      <c r="BY164" s="931">
        <v>4</v>
      </c>
      <c r="BZ164" s="930">
        <v>3</v>
      </c>
      <c r="CA164" s="1074"/>
      <c r="CB164" s="930"/>
      <c r="CC164" s="930"/>
      <c r="CD164" s="925">
        <v>27.876999999999999</v>
      </c>
      <c r="CE164" s="1130">
        <v>61.158000000000001</v>
      </c>
      <c r="CF164" s="1129" t="s">
        <v>21</v>
      </c>
      <c r="CG164" s="1130" t="s">
        <v>21</v>
      </c>
      <c r="CH164" s="1130" t="s">
        <v>21</v>
      </c>
      <c r="CI164" s="1131" t="s">
        <v>21</v>
      </c>
      <c r="CJ164" s="1129" t="s">
        <v>21</v>
      </c>
      <c r="CK164" s="1130">
        <v>61.158000000000001</v>
      </c>
      <c r="CL164" s="1130" t="s">
        <v>21</v>
      </c>
      <c r="CM164" s="1131" t="s">
        <v>21</v>
      </c>
      <c r="CN164" s="1130" t="s">
        <v>21</v>
      </c>
      <c r="CP164" s="838" t="s">
        <v>21</v>
      </c>
      <c r="CQ164" s="838" t="s">
        <v>21</v>
      </c>
      <c r="CR164" s="836"/>
    </row>
    <row r="165" spans="1:96" x14ac:dyDescent="0.25">
      <c r="A165" s="935"/>
      <c r="B165" s="1180"/>
      <c r="C165" s="935"/>
      <c r="D165" s="935"/>
      <c r="E165" s="936"/>
      <c r="F165" s="936"/>
      <c r="G165" s="1180"/>
      <c r="H165" s="936"/>
      <c r="I165" s="936"/>
      <c r="J165" s="914"/>
      <c r="K165" s="915"/>
      <c r="L165" s="916" t="s">
        <v>21</v>
      </c>
      <c r="M165" s="916" t="s">
        <v>21</v>
      </c>
      <c r="N165" s="916" t="s">
        <v>21</v>
      </c>
      <c r="O165" s="916" t="s">
        <v>21</v>
      </c>
      <c r="P165" s="915"/>
      <c r="Q165" s="916" t="s">
        <v>21</v>
      </c>
      <c r="R165" s="917" t="s">
        <v>21</v>
      </c>
      <c r="S165" s="918" t="s">
        <v>21</v>
      </c>
      <c r="T165" s="918" t="s">
        <v>21</v>
      </c>
      <c r="U165" s="916" t="s">
        <v>21</v>
      </c>
      <c r="V165" s="916" t="s">
        <v>21</v>
      </c>
      <c r="W165" s="915"/>
      <c r="X165" s="916" t="s">
        <v>21</v>
      </c>
      <c r="Y165" s="916" t="s">
        <v>21</v>
      </c>
      <c r="Z165" s="916" t="s">
        <v>21</v>
      </c>
      <c r="AA165" s="916" t="s">
        <v>21</v>
      </c>
      <c r="AB165" s="916" t="s">
        <v>21</v>
      </c>
      <c r="AC165" s="915"/>
      <c r="AD165" s="919" t="s">
        <v>21</v>
      </c>
      <c r="AE165" s="920" t="s">
        <v>21</v>
      </c>
      <c r="AF165" s="920" t="s">
        <v>21</v>
      </c>
      <c r="AG165" s="920" t="s">
        <v>21</v>
      </c>
      <c r="AH165" s="921" t="s">
        <v>21</v>
      </c>
      <c r="AI165" s="921" t="s">
        <v>21</v>
      </c>
      <c r="AJ165" s="920" t="s">
        <v>21</v>
      </c>
      <c r="AK165" s="920" t="s">
        <v>21</v>
      </c>
      <c r="AL165" s="921" t="s">
        <v>21</v>
      </c>
      <c r="AM165" s="921" t="s">
        <v>21</v>
      </c>
      <c r="AN165" s="920"/>
      <c r="AO165" s="920" t="s">
        <v>21</v>
      </c>
      <c r="AP165" s="919" t="s">
        <v>21</v>
      </c>
      <c r="AQ165" s="922" t="s">
        <v>21</v>
      </c>
      <c r="AR165" s="923" t="s">
        <v>21</v>
      </c>
      <c r="AS165" s="923" t="s">
        <v>21</v>
      </c>
      <c r="AT165" s="923" t="s">
        <v>21</v>
      </c>
      <c r="AU165" s="923" t="s">
        <v>21</v>
      </c>
      <c r="AV165" s="924" t="s">
        <v>21</v>
      </c>
      <c r="AW165" s="924" t="s">
        <v>21</v>
      </c>
      <c r="AX165" s="924" t="s">
        <v>21</v>
      </c>
      <c r="AY165" s="924" t="s">
        <v>21</v>
      </c>
      <c r="AZ165" s="923" t="s">
        <v>21</v>
      </c>
      <c r="BA165" s="923"/>
      <c r="BB165" s="919" t="s">
        <v>21</v>
      </c>
      <c r="BC165" s="919" t="s">
        <v>21</v>
      </c>
      <c r="BD165" s="919" t="s">
        <v>21</v>
      </c>
      <c r="BE165" s="925" t="s">
        <v>21</v>
      </c>
      <c r="BF165" s="926" t="s">
        <v>21</v>
      </c>
      <c r="BG165" s="925" t="s">
        <v>21</v>
      </c>
      <c r="BH165" s="926" t="s">
        <v>21</v>
      </c>
      <c r="BI165" s="925" t="s">
        <v>21</v>
      </c>
      <c r="BJ165" s="926" t="s">
        <v>21</v>
      </c>
      <c r="BK165" s="925" t="s">
        <v>21</v>
      </c>
      <c r="BL165" s="926" t="s">
        <v>21</v>
      </c>
      <c r="BM165" s="925" t="s">
        <v>21</v>
      </c>
      <c r="BN165" s="927"/>
      <c r="BO165" s="927"/>
      <c r="BP165" s="928" t="s">
        <v>21</v>
      </c>
      <c r="BQ165" s="928" t="s">
        <v>21</v>
      </c>
      <c r="BR165" s="928" t="s">
        <v>21</v>
      </c>
      <c r="BS165" s="928" t="s">
        <v>21</v>
      </c>
      <c r="BT165" s="928" t="s">
        <v>21</v>
      </c>
      <c r="BU165" s="928" t="s">
        <v>21</v>
      </c>
      <c r="BV165" s="929" t="s">
        <v>21</v>
      </c>
      <c r="BW165" s="929" t="s">
        <v>21</v>
      </c>
      <c r="BX165" s="1104" t="s">
        <v>21</v>
      </c>
      <c r="BY165" s="931" t="s">
        <v>21</v>
      </c>
      <c r="BZ165" s="930"/>
      <c r="CA165" s="1074"/>
      <c r="CB165" s="930"/>
      <c r="CC165" s="930"/>
      <c r="CD165" s="925" t="s">
        <v>21</v>
      </c>
      <c r="CE165" s="1130" t="s">
        <v>21</v>
      </c>
      <c r="CF165" s="1129" t="s">
        <v>21</v>
      </c>
      <c r="CG165" s="1130" t="s">
        <v>21</v>
      </c>
      <c r="CH165" s="1130" t="s">
        <v>21</v>
      </c>
      <c r="CI165" s="1131" t="s">
        <v>21</v>
      </c>
      <c r="CJ165" s="1129" t="s">
        <v>21</v>
      </c>
      <c r="CK165" s="1130" t="s">
        <v>21</v>
      </c>
      <c r="CL165" s="1130" t="s">
        <v>21</v>
      </c>
      <c r="CM165" s="1131" t="s">
        <v>21</v>
      </c>
      <c r="CN165" s="1130" t="s">
        <v>21</v>
      </c>
      <c r="CP165" s="838" t="s">
        <v>21</v>
      </c>
      <c r="CQ165" s="838" t="s">
        <v>21</v>
      </c>
      <c r="CR165" s="836"/>
    </row>
    <row r="166" spans="1:96" x14ac:dyDescent="0.25">
      <c r="A166" s="935">
        <v>2</v>
      </c>
      <c r="B166" s="1180" t="s">
        <v>2230</v>
      </c>
      <c r="C166" s="935">
        <v>600</v>
      </c>
      <c r="D166" s="935" t="s">
        <v>2116</v>
      </c>
      <c r="E166" s="936">
        <v>1204.8699999999999</v>
      </c>
      <c r="F166" s="936">
        <v>1202.97</v>
      </c>
      <c r="G166" s="1180" t="s">
        <v>2273</v>
      </c>
      <c r="H166" s="936">
        <v>1203.69</v>
      </c>
      <c r="I166" s="936">
        <v>1201.79</v>
      </c>
      <c r="J166" s="914">
        <v>60</v>
      </c>
      <c r="K166" s="915"/>
      <c r="L166" s="916">
        <v>0.1</v>
      </c>
      <c r="M166" s="916">
        <v>0.06</v>
      </c>
      <c r="N166" s="916">
        <v>0.2</v>
      </c>
      <c r="O166" s="916">
        <v>4.84</v>
      </c>
      <c r="P166" s="915"/>
      <c r="Q166" s="916">
        <v>2.16</v>
      </c>
      <c r="R166" s="917">
        <v>0.33333333333333331</v>
      </c>
      <c r="S166" s="918">
        <v>1.4</v>
      </c>
      <c r="T166" s="918">
        <v>2.84</v>
      </c>
      <c r="U166" s="916">
        <v>4.5540000000000003</v>
      </c>
      <c r="V166" s="916">
        <v>0.92</v>
      </c>
      <c r="W166" s="915"/>
      <c r="X166" s="916">
        <v>0.28299999999999997</v>
      </c>
      <c r="Y166" s="916">
        <v>0.40699999999999997</v>
      </c>
      <c r="Z166" s="916">
        <v>4.5789999999999997</v>
      </c>
      <c r="AA166" s="916">
        <v>1.0229999999999999</v>
      </c>
      <c r="AB166" s="916">
        <v>3.0089999999999999</v>
      </c>
      <c r="AC166" s="915"/>
      <c r="AD166" s="919">
        <v>290.39999999999998</v>
      </c>
      <c r="AE166" s="920">
        <v>274.74</v>
      </c>
      <c r="AF166" s="920" t="s">
        <v>21</v>
      </c>
      <c r="AG166" s="920" t="s">
        <v>21</v>
      </c>
      <c r="AH166" s="921">
        <v>274.74</v>
      </c>
      <c r="AI166" s="921" t="s">
        <v>21</v>
      </c>
      <c r="AJ166" s="920" t="s">
        <v>21</v>
      </c>
      <c r="AK166" s="920" t="s">
        <v>21</v>
      </c>
      <c r="AL166" s="921" t="s">
        <v>21</v>
      </c>
      <c r="AM166" s="921" t="s">
        <v>21</v>
      </c>
      <c r="AN166" s="920"/>
      <c r="AO166" s="920" t="s">
        <v>21</v>
      </c>
      <c r="AP166" s="919">
        <v>84</v>
      </c>
      <c r="AQ166" s="922">
        <v>273.24</v>
      </c>
      <c r="AR166" s="923" t="s">
        <v>21</v>
      </c>
      <c r="AS166" s="923">
        <v>273.24</v>
      </c>
      <c r="AT166" s="923" t="s">
        <v>21</v>
      </c>
      <c r="AU166" s="923" t="s">
        <v>21</v>
      </c>
      <c r="AV166" s="924" t="s">
        <v>21</v>
      </c>
      <c r="AW166" s="924" t="s">
        <v>21</v>
      </c>
      <c r="AX166" s="924" t="s">
        <v>21</v>
      </c>
      <c r="AY166" s="924" t="s">
        <v>21</v>
      </c>
      <c r="AZ166" s="923" t="s">
        <v>21</v>
      </c>
      <c r="BA166" s="923"/>
      <c r="BB166" s="919">
        <v>8.4</v>
      </c>
      <c r="BC166" s="919" t="s">
        <v>21</v>
      </c>
      <c r="BD166" s="919" t="s">
        <v>2142</v>
      </c>
      <c r="BE166" s="925" t="s">
        <v>21</v>
      </c>
      <c r="BF166" s="926" t="s">
        <v>21</v>
      </c>
      <c r="BG166" s="925">
        <v>60</v>
      </c>
      <c r="BH166" s="926" t="s">
        <v>21</v>
      </c>
      <c r="BI166" s="925" t="s">
        <v>21</v>
      </c>
      <c r="BJ166" s="926" t="s">
        <v>21</v>
      </c>
      <c r="BK166" s="925" t="s">
        <v>21</v>
      </c>
      <c r="BL166" s="926" t="s">
        <v>21</v>
      </c>
      <c r="BM166" s="925" t="s">
        <v>21</v>
      </c>
      <c r="BN166" s="927"/>
      <c r="BO166" s="927"/>
      <c r="BP166" s="928">
        <v>1</v>
      </c>
      <c r="BQ166" s="928" t="s">
        <v>21</v>
      </c>
      <c r="BR166" s="928" t="s">
        <v>21</v>
      </c>
      <c r="BS166" s="928" t="s">
        <v>21</v>
      </c>
      <c r="BT166" s="928" t="s">
        <v>21</v>
      </c>
      <c r="BU166" s="928" t="s">
        <v>21</v>
      </c>
      <c r="BV166" s="929">
        <v>0.49999999999986366</v>
      </c>
      <c r="BW166" s="929">
        <v>0.5</v>
      </c>
      <c r="BX166" s="1104">
        <v>1</v>
      </c>
      <c r="BY166" s="931">
        <v>3</v>
      </c>
      <c r="BZ166" s="930"/>
      <c r="CA166" s="1074">
        <v>1</v>
      </c>
      <c r="CB166" s="930"/>
      <c r="CC166" s="930"/>
      <c r="CD166" s="925">
        <v>61.38</v>
      </c>
      <c r="CE166" s="1130">
        <v>180.54</v>
      </c>
      <c r="CF166" s="1129" t="s">
        <v>21</v>
      </c>
      <c r="CG166" s="1130" t="s">
        <v>21</v>
      </c>
      <c r="CH166" s="1130" t="s">
        <v>21</v>
      </c>
      <c r="CI166" s="1131" t="s">
        <v>21</v>
      </c>
      <c r="CJ166" s="1129" t="s">
        <v>21</v>
      </c>
      <c r="CK166" s="1130">
        <v>180.54</v>
      </c>
      <c r="CL166" s="1130" t="s">
        <v>21</v>
      </c>
      <c r="CM166" s="1131" t="s">
        <v>21</v>
      </c>
      <c r="CN166" s="1130" t="s">
        <v>21</v>
      </c>
      <c r="CP166" s="838" t="s">
        <v>21</v>
      </c>
      <c r="CQ166" s="838" t="s">
        <v>21</v>
      </c>
      <c r="CR166" s="836"/>
    </row>
    <row r="167" spans="1:96" x14ac:dyDescent="0.25">
      <c r="A167" s="935" t="s">
        <v>3060</v>
      </c>
      <c r="B167" s="1180" t="s">
        <v>2273</v>
      </c>
      <c r="C167" s="935">
        <v>600</v>
      </c>
      <c r="D167" s="935" t="s">
        <v>2116</v>
      </c>
      <c r="E167" s="936">
        <v>1203.69</v>
      </c>
      <c r="F167" s="936">
        <v>1203.69</v>
      </c>
      <c r="G167" s="1180" t="s">
        <v>3068</v>
      </c>
      <c r="H167" s="936">
        <v>1203.46</v>
      </c>
      <c r="I167" s="936">
        <v>1201.56</v>
      </c>
      <c r="J167" s="914">
        <v>18.809999999999999</v>
      </c>
      <c r="K167" s="915"/>
      <c r="L167" s="916">
        <v>0.1</v>
      </c>
      <c r="M167" s="916">
        <v>0.06</v>
      </c>
      <c r="N167" s="916">
        <v>0.2</v>
      </c>
      <c r="O167" s="916">
        <v>4.2069999999999999</v>
      </c>
      <c r="P167" s="915"/>
      <c r="Q167" s="916">
        <v>1.21</v>
      </c>
      <c r="R167" s="917">
        <v>0.33333333333333331</v>
      </c>
      <c r="S167" s="918">
        <v>1.4</v>
      </c>
      <c r="T167" s="918">
        <v>2.2069999999999999</v>
      </c>
      <c r="U167" s="916">
        <v>2.5510000000000002</v>
      </c>
      <c r="V167" s="916">
        <v>0.92</v>
      </c>
      <c r="W167" s="915"/>
      <c r="X167" s="916">
        <v>0.28299999999999997</v>
      </c>
      <c r="Y167" s="916">
        <v>0.40699999999999997</v>
      </c>
      <c r="Z167" s="916">
        <v>2.1819999999999999</v>
      </c>
      <c r="AA167" s="916">
        <v>1.0229999999999999</v>
      </c>
      <c r="AB167" s="916">
        <v>0.61199999999999999</v>
      </c>
      <c r="AC167" s="915"/>
      <c r="AD167" s="919">
        <v>79.134</v>
      </c>
      <c r="AE167" s="920">
        <v>41.042999999999999</v>
      </c>
      <c r="AF167" s="920">
        <v>41.042999999999999</v>
      </c>
      <c r="AG167" s="920" t="s">
        <v>21</v>
      </c>
      <c r="AH167" s="921" t="s">
        <v>21</v>
      </c>
      <c r="AI167" s="921" t="s">
        <v>21</v>
      </c>
      <c r="AJ167" s="920" t="s">
        <v>21</v>
      </c>
      <c r="AK167" s="920" t="s">
        <v>21</v>
      </c>
      <c r="AL167" s="921" t="s">
        <v>21</v>
      </c>
      <c r="AM167" s="921" t="s">
        <v>21</v>
      </c>
      <c r="AN167" s="920"/>
      <c r="AO167" s="920" t="s">
        <v>21</v>
      </c>
      <c r="AP167" s="919">
        <v>26.334</v>
      </c>
      <c r="AQ167" s="922">
        <v>47.984310000000001</v>
      </c>
      <c r="AR167" s="923">
        <v>47.984310000000001</v>
      </c>
      <c r="AS167" s="923" t="s">
        <v>21</v>
      </c>
      <c r="AT167" s="923" t="s">
        <v>21</v>
      </c>
      <c r="AU167" s="923" t="s">
        <v>21</v>
      </c>
      <c r="AV167" s="924" t="s">
        <v>21</v>
      </c>
      <c r="AW167" s="924" t="s">
        <v>21</v>
      </c>
      <c r="AX167" s="924" t="s">
        <v>21</v>
      </c>
      <c r="AY167" s="924" t="s">
        <v>21</v>
      </c>
      <c r="AZ167" s="923" t="s">
        <v>21</v>
      </c>
      <c r="BA167" s="923"/>
      <c r="BB167" s="919">
        <v>2.633</v>
      </c>
      <c r="BC167" s="919" t="s">
        <v>21</v>
      </c>
      <c r="BD167" s="919" t="s">
        <v>2137</v>
      </c>
      <c r="BE167" s="925" t="s">
        <v>21</v>
      </c>
      <c r="BF167" s="926" t="s">
        <v>21</v>
      </c>
      <c r="BG167" s="925">
        <v>18.809999999999999</v>
      </c>
      <c r="BH167" s="926" t="s">
        <v>21</v>
      </c>
      <c r="BI167" s="925" t="s">
        <v>21</v>
      </c>
      <c r="BJ167" s="926" t="s">
        <v>21</v>
      </c>
      <c r="BK167" s="925" t="s">
        <v>21</v>
      </c>
      <c r="BL167" s="926" t="s">
        <v>21</v>
      </c>
      <c r="BM167" s="925" t="s">
        <v>21</v>
      </c>
      <c r="BN167" s="927"/>
      <c r="BO167" s="927"/>
      <c r="BP167" s="928">
        <v>1</v>
      </c>
      <c r="BQ167" s="928" t="s">
        <v>21</v>
      </c>
      <c r="BR167" s="928" t="s">
        <v>21</v>
      </c>
      <c r="BS167" s="928" t="s">
        <v>21</v>
      </c>
      <c r="BT167" s="928" t="s">
        <v>21</v>
      </c>
      <c r="BU167" s="928" t="s">
        <v>21</v>
      </c>
      <c r="BV167" s="929">
        <v>-1.4</v>
      </c>
      <c r="BW167" s="929" t="s">
        <v>21</v>
      </c>
      <c r="BX167" s="1104" t="s">
        <v>21</v>
      </c>
      <c r="BY167" s="931" t="s">
        <v>21</v>
      </c>
      <c r="BZ167" s="930">
        <v>1</v>
      </c>
      <c r="CA167" s="1074">
        <v>1</v>
      </c>
      <c r="CB167" s="930"/>
      <c r="CC167" s="930"/>
      <c r="CD167" s="925">
        <v>19.242999999999999</v>
      </c>
      <c r="CE167" s="1130">
        <v>11.512</v>
      </c>
      <c r="CF167" s="1129" t="s">
        <v>21</v>
      </c>
      <c r="CG167" s="1130" t="s">
        <v>21</v>
      </c>
      <c r="CH167" s="1130" t="s">
        <v>21</v>
      </c>
      <c r="CI167" s="1131" t="s">
        <v>21</v>
      </c>
      <c r="CJ167" s="1129">
        <v>11.512</v>
      </c>
      <c r="CK167" s="1130" t="s">
        <v>21</v>
      </c>
      <c r="CL167" s="1130" t="s">
        <v>21</v>
      </c>
      <c r="CM167" s="1131" t="s">
        <v>21</v>
      </c>
      <c r="CN167" s="1130" t="s">
        <v>21</v>
      </c>
      <c r="CP167" s="838" t="s">
        <v>21</v>
      </c>
      <c r="CQ167" s="838" t="s">
        <v>21</v>
      </c>
      <c r="CR167" s="836"/>
    </row>
    <row r="168" spans="1:96" x14ac:dyDescent="0.25">
      <c r="A168" s="935" t="s">
        <v>3065</v>
      </c>
      <c r="B168" s="1180" t="s">
        <v>3068</v>
      </c>
      <c r="C168" s="935">
        <v>600</v>
      </c>
      <c r="D168" s="935" t="s">
        <v>2116</v>
      </c>
      <c r="E168" s="936">
        <v>1203.46</v>
      </c>
      <c r="F168" s="936">
        <v>1201.51</v>
      </c>
      <c r="G168" s="1180" t="s">
        <v>3069</v>
      </c>
      <c r="H168" s="936">
        <v>1203</v>
      </c>
      <c r="I168" s="936">
        <v>1201.0999999999999</v>
      </c>
      <c r="J168" s="914">
        <v>38.36</v>
      </c>
      <c r="K168" s="915"/>
      <c r="L168" s="916">
        <v>0.1</v>
      </c>
      <c r="M168" s="916">
        <v>0.06</v>
      </c>
      <c r="N168" s="916">
        <v>0.2</v>
      </c>
      <c r="O168" s="916">
        <v>4.8570000000000002</v>
      </c>
      <c r="P168" s="915"/>
      <c r="Q168" s="916">
        <v>2.1850000000000001</v>
      </c>
      <c r="R168" s="917">
        <v>0.33333333333333331</v>
      </c>
      <c r="S168" s="918">
        <v>1.4</v>
      </c>
      <c r="T168" s="918">
        <v>2.8570000000000002</v>
      </c>
      <c r="U168" s="916">
        <v>4.6059999999999999</v>
      </c>
      <c r="V168" s="916">
        <v>0.92</v>
      </c>
      <c r="W168" s="915"/>
      <c r="X168" s="916">
        <v>0.28299999999999997</v>
      </c>
      <c r="Y168" s="916">
        <v>0.40699999999999997</v>
      </c>
      <c r="Z168" s="916">
        <v>4.6509999999999998</v>
      </c>
      <c r="AA168" s="916">
        <v>1.0229999999999999</v>
      </c>
      <c r="AB168" s="916">
        <v>3.081</v>
      </c>
      <c r="AC168" s="915"/>
      <c r="AD168" s="919">
        <v>186.315</v>
      </c>
      <c r="AE168" s="920">
        <v>178.41200000000001</v>
      </c>
      <c r="AF168" s="920" t="s">
        <v>21</v>
      </c>
      <c r="AG168" s="920" t="s">
        <v>21</v>
      </c>
      <c r="AH168" s="921">
        <v>178.41200000000001</v>
      </c>
      <c r="AI168" s="921" t="s">
        <v>21</v>
      </c>
      <c r="AJ168" s="920" t="s">
        <v>21</v>
      </c>
      <c r="AK168" s="920" t="s">
        <v>21</v>
      </c>
      <c r="AL168" s="921" t="s">
        <v>21</v>
      </c>
      <c r="AM168" s="921" t="s">
        <v>21</v>
      </c>
      <c r="AN168" s="920"/>
      <c r="AO168" s="920" t="s">
        <v>21</v>
      </c>
      <c r="AP168" s="919">
        <v>53.704000000000001</v>
      </c>
      <c r="AQ168" s="922">
        <v>176.68616</v>
      </c>
      <c r="AR168" s="923" t="s">
        <v>21</v>
      </c>
      <c r="AS168" s="923">
        <v>176.68616</v>
      </c>
      <c r="AT168" s="923" t="s">
        <v>21</v>
      </c>
      <c r="AU168" s="923" t="s">
        <v>21</v>
      </c>
      <c r="AV168" s="924" t="s">
        <v>21</v>
      </c>
      <c r="AW168" s="924" t="s">
        <v>21</v>
      </c>
      <c r="AX168" s="924" t="s">
        <v>21</v>
      </c>
      <c r="AY168" s="924" t="s">
        <v>21</v>
      </c>
      <c r="AZ168" s="923" t="s">
        <v>21</v>
      </c>
      <c r="BA168" s="923"/>
      <c r="BB168" s="919">
        <v>5.37</v>
      </c>
      <c r="BC168" s="919" t="s">
        <v>21</v>
      </c>
      <c r="BD168" s="919" t="s">
        <v>2142</v>
      </c>
      <c r="BE168" s="925" t="s">
        <v>21</v>
      </c>
      <c r="BF168" s="926" t="s">
        <v>21</v>
      </c>
      <c r="BG168" s="925">
        <v>38.36</v>
      </c>
      <c r="BH168" s="926" t="s">
        <v>21</v>
      </c>
      <c r="BI168" s="925" t="s">
        <v>21</v>
      </c>
      <c r="BJ168" s="926" t="s">
        <v>21</v>
      </c>
      <c r="BK168" s="925" t="s">
        <v>21</v>
      </c>
      <c r="BL168" s="926" t="s">
        <v>21</v>
      </c>
      <c r="BM168" s="925" t="s">
        <v>21</v>
      </c>
      <c r="BN168" s="927"/>
      <c r="BO168" s="927"/>
      <c r="BP168" s="928">
        <v>1</v>
      </c>
      <c r="BQ168" s="928" t="s">
        <v>21</v>
      </c>
      <c r="BR168" s="928" t="s">
        <v>21</v>
      </c>
      <c r="BS168" s="928" t="s">
        <v>21</v>
      </c>
      <c r="BT168" s="928" t="s">
        <v>21</v>
      </c>
      <c r="BU168" s="928" t="s">
        <v>21</v>
      </c>
      <c r="BV168" s="929">
        <v>0.55000000000004556</v>
      </c>
      <c r="BW168" s="929">
        <v>1</v>
      </c>
      <c r="BX168" s="1104">
        <v>2</v>
      </c>
      <c r="BY168" s="931">
        <v>4</v>
      </c>
      <c r="BZ168" s="930">
        <v>1</v>
      </c>
      <c r="CA168" s="1074"/>
      <c r="CB168" s="930"/>
      <c r="CC168" s="930"/>
      <c r="CD168" s="925">
        <v>39.241999999999997</v>
      </c>
      <c r="CE168" s="1130">
        <v>118.187</v>
      </c>
      <c r="CF168" s="1129" t="s">
        <v>21</v>
      </c>
      <c r="CG168" s="1130" t="s">
        <v>21</v>
      </c>
      <c r="CH168" s="1130" t="s">
        <v>21</v>
      </c>
      <c r="CI168" s="1131" t="s">
        <v>21</v>
      </c>
      <c r="CJ168" s="1129" t="s">
        <v>21</v>
      </c>
      <c r="CK168" s="1130">
        <v>118.187</v>
      </c>
      <c r="CL168" s="1130" t="s">
        <v>21</v>
      </c>
      <c r="CM168" s="1131" t="s">
        <v>21</v>
      </c>
      <c r="CN168" s="1130" t="s">
        <v>21</v>
      </c>
      <c r="CP168" s="838" t="s">
        <v>21</v>
      </c>
      <c r="CQ168" s="838" t="s">
        <v>21</v>
      </c>
      <c r="CR168" s="836"/>
    </row>
    <row r="169" spans="1:96" x14ac:dyDescent="0.25">
      <c r="A169" s="935" t="s">
        <v>3075</v>
      </c>
      <c r="B169" s="1180" t="s">
        <v>3069</v>
      </c>
      <c r="C169" s="935">
        <v>600</v>
      </c>
      <c r="D169" s="935" t="s">
        <v>2116</v>
      </c>
      <c r="E169" s="936">
        <v>1203</v>
      </c>
      <c r="F169" s="936">
        <v>1200.9000000000001</v>
      </c>
      <c r="G169" s="1180" t="s">
        <v>3070</v>
      </c>
      <c r="H169" s="936">
        <v>1202.3699999999999</v>
      </c>
      <c r="I169" s="936">
        <v>1200.42</v>
      </c>
      <c r="J169" s="914">
        <v>52.54</v>
      </c>
      <c r="K169" s="915"/>
      <c r="L169" s="916">
        <v>0.1</v>
      </c>
      <c r="M169" s="916">
        <v>0.06</v>
      </c>
      <c r="N169" s="916">
        <v>0.2</v>
      </c>
      <c r="O169" s="916">
        <v>4.923</v>
      </c>
      <c r="P169" s="915"/>
      <c r="Q169" s="916">
        <v>2.2850000000000001</v>
      </c>
      <c r="R169" s="917">
        <v>0.33333333333333331</v>
      </c>
      <c r="S169" s="918">
        <v>1.4</v>
      </c>
      <c r="T169" s="918">
        <v>2.923</v>
      </c>
      <c r="U169" s="916">
        <v>4.8170000000000002</v>
      </c>
      <c r="V169" s="916">
        <v>0.92</v>
      </c>
      <c r="W169" s="915"/>
      <c r="X169" s="916">
        <v>0.28299999999999997</v>
      </c>
      <c r="Y169" s="916">
        <v>0.40699999999999997</v>
      </c>
      <c r="Z169" s="916">
        <v>4.9390000000000001</v>
      </c>
      <c r="AA169" s="916">
        <v>1.0229999999999999</v>
      </c>
      <c r="AB169" s="916">
        <v>3.3690000000000002</v>
      </c>
      <c r="AC169" s="915"/>
      <c r="AD169" s="919">
        <v>258.654</v>
      </c>
      <c r="AE169" s="920">
        <v>259.495</v>
      </c>
      <c r="AF169" s="920" t="s">
        <v>21</v>
      </c>
      <c r="AG169" s="920" t="s">
        <v>21</v>
      </c>
      <c r="AH169" s="921">
        <v>259.495</v>
      </c>
      <c r="AI169" s="921" t="s">
        <v>21</v>
      </c>
      <c r="AJ169" s="920" t="s">
        <v>21</v>
      </c>
      <c r="AK169" s="920" t="s">
        <v>21</v>
      </c>
      <c r="AL169" s="921" t="s">
        <v>21</v>
      </c>
      <c r="AM169" s="921" t="s">
        <v>21</v>
      </c>
      <c r="AN169" s="920"/>
      <c r="AO169" s="920" t="s">
        <v>21</v>
      </c>
      <c r="AP169" s="919">
        <v>73.555999999999997</v>
      </c>
      <c r="AQ169" s="922">
        <v>253.08518000000001</v>
      </c>
      <c r="AR169" s="923" t="s">
        <v>21</v>
      </c>
      <c r="AS169" s="923">
        <v>253.08518000000001</v>
      </c>
      <c r="AT169" s="923" t="s">
        <v>21</v>
      </c>
      <c r="AU169" s="923" t="s">
        <v>21</v>
      </c>
      <c r="AV169" s="924" t="s">
        <v>21</v>
      </c>
      <c r="AW169" s="924" t="s">
        <v>21</v>
      </c>
      <c r="AX169" s="924" t="s">
        <v>21</v>
      </c>
      <c r="AY169" s="924" t="s">
        <v>21</v>
      </c>
      <c r="AZ169" s="923" t="s">
        <v>21</v>
      </c>
      <c r="BA169" s="923"/>
      <c r="BB169" s="919">
        <v>7.3559999999999999</v>
      </c>
      <c r="BC169" s="919" t="s">
        <v>21</v>
      </c>
      <c r="BD169" s="919" t="s">
        <v>2142</v>
      </c>
      <c r="BE169" s="925" t="s">
        <v>21</v>
      </c>
      <c r="BF169" s="926" t="s">
        <v>21</v>
      </c>
      <c r="BG169" s="925">
        <v>52.54</v>
      </c>
      <c r="BH169" s="926" t="s">
        <v>21</v>
      </c>
      <c r="BI169" s="925" t="s">
        <v>21</v>
      </c>
      <c r="BJ169" s="926" t="s">
        <v>21</v>
      </c>
      <c r="BK169" s="925" t="s">
        <v>21</v>
      </c>
      <c r="BL169" s="926" t="s">
        <v>21</v>
      </c>
      <c r="BM169" s="925" t="s">
        <v>21</v>
      </c>
      <c r="BN169" s="927"/>
      <c r="BO169" s="927"/>
      <c r="BP169" s="928">
        <v>1</v>
      </c>
      <c r="BQ169" s="928" t="s">
        <v>21</v>
      </c>
      <c r="BR169" s="928" t="s">
        <v>21</v>
      </c>
      <c r="BS169" s="928" t="s">
        <v>21</v>
      </c>
      <c r="BT169" s="928" t="s">
        <v>21</v>
      </c>
      <c r="BU169" s="928" t="s">
        <v>21</v>
      </c>
      <c r="BV169" s="929">
        <v>0.69999999999990914</v>
      </c>
      <c r="BW169" s="929">
        <v>1</v>
      </c>
      <c r="BX169" s="1104">
        <v>2</v>
      </c>
      <c r="BY169" s="931">
        <v>4</v>
      </c>
      <c r="BZ169" s="930">
        <v>3</v>
      </c>
      <c r="CA169" s="1074"/>
      <c r="CB169" s="930"/>
      <c r="CC169" s="930"/>
      <c r="CD169" s="925">
        <v>53.747999999999998</v>
      </c>
      <c r="CE169" s="1130">
        <v>177.00700000000001</v>
      </c>
      <c r="CF169" s="1129" t="s">
        <v>21</v>
      </c>
      <c r="CG169" s="1130" t="s">
        <v>21</v>
      </c>
      <c r="CH169" s="1130" t="s">
        <v>21</v>
      </c>
      <c r="CI169" s="1131" t="s">
        <v>21</v>
      </c>
      <c r="CJ169" s="1129" t="s">
        <v>21</v>
      </c>
      <c r="CK169" s="1130">
        <v>177.00700000000001</v>
      </c>
      <c r="CL169" s="1130" t="s">
        <v>21</v>
      </c>
      <c r="CM169" s="1131" t="s">
        <v>21</v>
      </c>
      <c r="CN169" s="1130" t="s">
        <v>21</v>
      </c>
      <c r="CP169" s="838" t="s">
        <v>21</v>
      </c>
      <c r="CQ169" s="838" t="s">
        <v>21</v>
      </c>
      <c r="CR169" s="836"/>
    </row>
    <row r="170" spans="1:96" x14ac:dyDescent="0.25">
      <c r="A170" s="935"/>
      <c r="B170" s="1180" t="s">
        <v>3070</v>
      </c>
      <c r="C170" s="935">
        <v>600</v>
      </c>
      <c r="D170" s="935" t="s">
        <v>2116</v>
      </c>
      <c r="E170" s="936">
        <v>1202.3699999999999</v>
      </c>
      <c r="F170" s="936">
        <v>1200.42</v>
      </c>
      <c r="G170" s="1180" t="s">
        <v>3071</v>
      </c>
      <c r="H170" s="936">
        <v>1202.2</v>
      </c>
      <c r="I170" s="936">
        <v>1200.1500000000001</v>
      </c>
      <c r="J170" s="914">
        <v>13.67</v>
      </c>
      <c r="K170" s="915"/>
      <c r="L170" s="916">
        <v>0.1</v>
      </c>
      <c r="M170" s="916">
        <v>0.06</v>
      </c>
      <c r="N170" s="916">
        <v>0.2</v>
      </c>
      <c r="O170" s="916">
        <v>4.907</v>
      </c>
      <c r="P170" s="915"/>
      <c r="Q170" s="916">
        <v>2.2599999999999998</v>
      </c>
      <c r="R170" s="917">
        <v>0.33333333333333331</v>
      </c>
      <c r="S170" s="918">
        <v>1.4</v>
      </c>
      <c r="T170" s="918">
        <v>2.907</v>
      </c>
      <c r="U170" s="916">
        <v>4.7640000000000002</v>
      </c>
      <c r="V170" s="916">
        <v>0.92</v>
      </c>
      <c r="W170" s="915"/>
      <c r="X170" s="916">
        <v>0.28299999999999997</v>
      </c>
      <c r="Y170" s="916">
        <v>0.40699999999999997</v>
      </c>
      <c r="Z170" s="916">
        <v>4.867</v>
      </c>
      <c r="AA170" s="916">
        <v>1.0229999999999999</v>
      </c>
      <c r="AB170" s="916">
        <v>3.2970000000000002</v>
      </c>
      <c r="AC170" s="915"/>
      <c r="AD170" s="919">
        <v>67.078999999999994</v>
      </c>
      <c r="AE170" s="920">
        <v>66.531999999999996</v>
      </c>
      <c r="AF170" s="920" t="s">
        <v>21</v>
      </c>
      <c r="AG170" s="920" t="s">
        <v>21</v>
      </c>
      <c r="AH170" s="921">
        <v>66.531999999999996</v>
      </c>
      <c r="AI170" s="921" t="s">
        <v>21</v>
      </c>
      <c r="AJ170" s="920" t="s">
        <v>21</v>
      </c>
      <c r="AK170" s="920" t="s">
        <v>21</v>
      </c>
      <c r="AL170" s="921" t="s">
        <v>21</v>
      </c>
      <c r="AM170" s="921" t="s">
        <v>21</v>
      </c>
      <c r="AN170" s="920"/>
      <c r="AO170" s="920" t="s">
        <v>21</v>
      </c>
      <c r="AP170" s="919">
        <v>19.138000000000002</v>
      </c>
      <c r="AQ170" s="922">
        <v>65.12388</v>
      </c>
      <c r="AR170" s="923" t="s">
        <v>21</v>
      </c>
      <c r="AS170" s="923">
        <v>65.12388</v>
      </c>
      <c r="AT170" s="923" t="s">
        <v>21</v>
      </c>
      <c r="AU170" s="923" t="s">
        <v>21</v>
      </c>
      <c r="AV170" s="924" t="s">
        <v>21</v>
      </c>
      <c r="AW170" s="924" t="s">
        <v>21</v>
      </c>
      <c r="AX170" s="924" t="s">
        <v>21</v>
      </c>
      <c r="AY170" s="924" t="s">
        <v>21</v>
      </c>
      <c r="AZ170" s="923" t="s">
        <v>21</v>
      </c>
      <c r="BA170" s="923"/>
      <c r="BB170" s="919">
        <v>1.9139999999999999</v>
      </c>
      <c r="BC170" s="919" t="s">
        <v>21</v>
      </c>
      <c r="BD170" s="919" t="s">
        <v>2142</v>
      </c>
      <c r="BE170" s="925" t="s">
        <v>21</v>
      </c>
      <c r="BF170" s="926" t="s">
        <v>21</v>
      </c>
      <c r="BG170" s="925">
        <v>13.67</v>
      </c>
      <c r="BH170" s="926" t="s">
        <v>21</v>
      </c>
      <c r="BI170" s="925" t="s">
        <v>21</v>
      </c>
      <c r="BJ170" s="926" t="s">
        <v>21</v>
      </c>
      <c r="BK170" s="925" t="s">
        <v>21</v>
      </c>
      <c r="BL170" s="926" t="s">
        <v>21</v>
      </c>
      <c r="BM170" s="925" t="s">
        <v>21</v>
      </c>
      <c r="BN170" s="927"/>
      <c r="BO170" s="927"/>
      <c r="BP170" s="928">
        <v>1</v>
      </c>
      <c r="BQ170" s="928" t="s">
        <v>21</v>
      </c>
      <c r="BR170" s="928" t="s">
        <v>21</v>
      </c>
      <c r="BS170" s="928" t="s">
        <v>21</v>
      </c>
      <c r="BT170" s="928" t="s">
        <v>21</v>
      </c>
      <c r="BU170" s="928" t="s">
        <v>21</v>
      </c>
      <c r="BV170" s="929">
        <v>0.54999999999981819</v>
      </c>
      <c r="BW170" s="929">
        <v>1</v>
      </c>
      <c r="BX170" s="1104">
        <v>2</v>
      </c>
      <c r="BY170" s="931">
        <v>4</v>
      </c>
      <c r="BZ170" s="930">
        <v>3</v>
      </c>
      <c r="CA170" s="1074"/>
      <c r="CB170" s="930"/>
      <c r="CC170" s="930"/>
      <c r="CD170" s="925">
        <v>13.984</v>
      </c>
      <c r="CE170" s="1130">
        <v>45.07</v>
      </c>
      <c r="CF170" s="1129" t="s">
        <v>21</v>
      </c>
      <c r="CG170" s="1130" t="s">
        <v>21</v>
      </c>
      <c r="CH170" s="1130" t="s">
        <v>21</v>
      </c>
      <c r="CI170" s="1131" t="s">
        <v>21</v>
      </c>
      <c r="CJ170" s="1129" t="s">
        <v>21</v>
      </c>
      <c r="CK170" s="1130">
        <v>45.07</v>
      </c>
      <c r="CL170" s="1130" t="s">
        <v>21</v>
      </c>
      <c r="CM170" s="1131" t="s">
        <v>21</v>
      </c>
      <c r="CN170" s="1130" t="s">
        <v>21</v>
      </c>
      <c r="CP170" s="838" t="s">
        <v>21</v>
      </c>
      <c r="CQ170" s="838" t="s">
        <v>21</v>
      </c>
      <c r="CR170" s="836"/>
    </row>
    <row r="171" spans="1:96" x14ac:dyDescent="0.25">
      <c r="A171" s="935"/>
      <c r="B171" s="1180" t="s">
        <v>3071</v>
      </c>
      <c r="C171" s="935">
        <v>600</v>
      </c>
      <c r="D171" s="935" t="s">
        <v>2116</v>
      </c>
      <c r="E171" s="936">
        <v>1202.2</v>
      </c>
      <c r="F171" s="936">
        <v>1200.0999999999999</v>
      </c>
      <c r="G171" s="937" t="s">
        <v>2253</v>
      </c>
      <c r="H171" s="936">
        <v>1202.03</v>
      </c>
      <c r="I171" s="936">
        <v>1199.829</v>
      </c>
      <c r="J171" s="914">
        <v>14.29</v>
      </c>
      <c r="K171" s="915"/>
      <c r="L171" s="916">
        <v>0.1</v>
      </c>
      <c r="M171" s="916">
        <v>0.06</v>
      </c>
      <c r="N171" s="916">
        <v>0.2</v>
      </c>
      <c r="O171" s="916">
        <v>5.0069999999999997</v>
      </c>
      <c r="P171" s="915"/>
      <c r="Q171" s="916">
        <v>2.411</v>
      </c>
      <c r="R171" s="917">
        <v>0.33333333333333331</v>
      </c>
      <c r="S171" s="918">
        <v>1.4</v>
      </c>
      <c r="T171" s="918">
        <v>3.0070000000000001</v>
      </c>
      <c r="U171" s="916">
        <v>5.0830000000000002</v>
      </c>
      <c r="V171" s="916">
        <v>0.92</v>
      </c>
      <c r="W171" s="915"/>
      <c r="X171" s="916">
        <v>0.28299999999999997</v>
      </c>
      <c r="Y171" s="916">
        <v>0.40699999999999997</v>
      </c>
      <c r="Z171" s="916">
        <v>5.3129999999999997</v>
      </c>
      <c r="AA171" s="916">
        <v>1.0229999999999999</v>
      </c>
      <c r="AB171" s="916">
        <v>3.7429999999999999</v>
      </c>
      <c r="AC171" s="915"/>
      <c r="AD171" s="919">
        <v>71.55</v>
      </c>
      <c r="AE171" s="920">
        <v>75.923000000000002</v>
      </c>
      <c r="AF171" s="920" t="s">
        <v>21</v>
      </c>
      <c r="AG171" s="920" t="s">
        <v>21</v>
      </c>
      <c r="AH171" s="921">
        <v>75.923000000000002</v>
      </c>
      <c r="AI171" s="921" t="s">
        <v>21</v>
      </c>
      <c r="AJ171" s="920" t="s">
        <v>21</v>
      </c>
      <c r="AK171" s="920" t="s">
        <v>21</v>
      </c>
      <c r="AL171" s="921" t="s">
        <v>21</v>
      </c>
      <c r="AM171" s="921" t="s">
        <v>21</v>
      </c>
      <c r="AN171" s="920"/>
      <c r="AO171" s="920" t="s">
        <v>21</v>
      </c>
      <c r="AP171" s="919">
        <v>20.006</v>
      </c>
      <c r="AQ171" s="922">
        <v>72.636070000000004</v>
      </c>
      <c r="AR171" s="923" t="s">
        <v>21</v>
      </c>
      <c r="AS171" s="923">
        <v>72.636070000000004</v>
      </c>
      <c r="AT171" s="923" t="s">
        <v>21</v>
      </c>
      <c r="AU171" s="923" t="s">
        <v>21</v>
      </c>
      <c r="AV171" s="924" t="s">
        <v>21</v>
      </c>
      <c r="AW171" s="924" t="s">
        <v>21</v>
      </c>
      <c r="AX171" s="924" t="s">
        <v>21</v>
      </c>
      <c r="AY171" s="924" t="s">
        <v>21</v>
      </c>
      <c r="AZ171" s="923" t="s">
        <v>21</v>
      </c>
      <c r="BA171" s="923"/>
      <c r="BB171" s="919">
        <v>2.0009999999999999</v>
      </c>
      <c r="BC171" s="919" t="s">
        <v>21</v>
      </c>
      <c r="BD171" s="919" t="s">
        <v>2142</v>
      </c>
      <c r="BE171" s="925" t="s">
        <v>21</v>
      </c>
      <c r="BF171" s="926" t="s">
        <v>21</v>
      </c>
      <c r="BG171" s="925">
        <v>14.29</v>
      </c>
      <c r="BH171" s="926" t="s">
        <v>21</v>
      </c>
      <c r="BI171" s="925" t="s">
        <v>21</v>
      </c>
      <c r="BJ171" s="926" t="s">
        <v>21</v>
      </c>
      <c r="BK171" s="925" t="s">
        <v>21</v>
      </c>
      <c r="BL171" s="926" t="s">
        <v>21</v>
      </c>
      <c r="BM171" s="925" t="s">
        <v>21</v>
      </c>
      <c r="BN171" s="927"/>
      <c r="BO171" s="927"/>
      <c r="BP171" s="928">
        <v>1</v>
      </c>
      <c r="BQ171" s="928" t="s">
        <v>21</v>
      </c>
      <c r="BR171" s="928" t="s">
        <v>21</v>
      </c>
      <c r="BS171" s="928" t="s">
        <v>21</v>
      </c>
      <c r="BT171" s="928" t="s">
        <v>21</v>
      </c>
      <c r="BU171" s="928" t="s">
        <v>21</v>
      </c>
      <c r="BV171" s="929">
        <v>0.70000000000013651</v>
      </c>
      <c r="BW171" s="929">
        <v>1</v>
      </c>
      <c r="BX171" s="1104">
        <v>2</v>
      </c>
      <c r="BY171" s="931">
        <v>4</v>
      </c>
      <c r="BZ171" s="930"/>
      <c r="CA171" s="1074"/>
      <c r="CB171" s="930"/>
      <c r="CC171" s="930"/>
      <c r="CD171" s="925">
        <v>14.619</v>
      </c>
      <c r="CE171" s="1130">
        <v>53.487000000000002</v>
      </c>
      <c r="CF171" s="1129" t="s">
        <v>21</v>
      </c>
      <c r="CG171" s="1130" t="s">
        <v>21</v>
      </c>
      <c r="CH171" s="1130" t="s">
        <v>21</v>
      </c>
      <c r="CI171" s="1131" t="s">
        <v>21</v>
      </c>
      <c r="CJ171" s="1129" t="s">
        <v>21</v>
      </c>
      <c r="CK171" s="1130">
        <v>53.487000000000002</v>
      </c>
      <c r="CL171" s="1130" t="s">
        <v>21</v>
      </c>
      <c r="CM171" s="1131" t="s">
        <v>21</v>
      </c>
      <c r="CN171" s="1130" t="s">
        <v>21</v>
      </c>
      <c r="CP171" s="838" t="s">
        <v>21</v>
      </c>
      <c r="CQ171" s="838" t="s">
        <v>21</v>
      </c>
      <c r="CR171" s="836"/>
    </row>
    <row r="172" spans="1:96" x14ac:dyDescent="0.25">
      <c r="A172" s="935"/>
      <c r="B172" s="1180"/>
      <c r="C172" s="935"/>
      <c r="D172" s="935"/>
      <c r="E172" s="936"/>
      <c r="F172" s="936"/>
      <c r="G172" s="937"/>
      <c r="H172" s="936"/>
      <c r="I172" s="936"/>
      <c r="J172" s="914"/>
      <c r="K172" s="915"/>
      <c r="L172" s="916" t="s">
        <v>21</v>
      </c>
      <c r="M172" s="916" t="s">
        <v>21</v>
      </c>
      <c r="N172" s="916" t="s">
        <v>21</v>
      </c>
      <c r="O172" s="916" t="s">
        <v>21</v>
      </c>
      <c r="P172" s="915"/>
      <c r="Q172" s="916" t="s">
        <v>21</v>
      </c>
      <c r="R172" s="917" t="s">
        <v>21</v>
      </c>
      <c r="S172" s="918" t="s">
        <v>21</v>
      </c>
      <c r="T172" s="918" t="s">
        <v>21</v>
      </c>
      <c r="U172" s="916" t="s">
        <v>21</v>
      </c>
      <c r="V172" s="916" t="s">
        <v>21</v>
      </c>
      <c r="W172" s="915"/>
      <c r="X172" s="916" t="s">
        <v>21</v>
      </c>
      <c r="Y172" s="916" t="s">
        <v>21</v>
      </c>
      <c r="Z172" s="916" t="s">
        <v>21</v>
      </c>
      <c r="AA172" s="916" t="s">
        <v>21</v>
      </c>
      <c r="AB172" s="916" t="s">
        <v>21</v>
      </c>
      <c r="AC172" s="915"/>
      <c r="AD172" s="919" t="s">
        <v>21</v>
      </c>
      <c r="AE172" s="920" t="s">
        <v>21</v>
      </c>
      <c r="AF172" s="920" t="s">
        <v>21</v>
      </c>
      <c r="AG172" s="920" t="s">
        <v>21</v>
      </c>
      <c r="AH172" s="921" t="s">
        <v>21</v>
      </c>
      <c r="AI172" s="921" t="s">
        <v>21</v>
      </c>
      <c r="AJ172" s="920" t="s">
        <v>21</v>
      </c>
      <c r="AK172" s="920" t="s">
        <v>21</v>
      </c>
      <c r="AL172" s="921" t="s">
        <v>21</v>
      </c>
      <c r="AM172" s="921" t="s">
        <v>21</v>
      </c>
      <c r="AN172" s="920"/>
      <c r="AO172" s="920" t="s">
        <v>21</v>
      </c>
      <c r="AP172" s="919" t="s">
        <v>21</v>
      </c>
      <c r="AQ172" s="922" t="s">
        <v>21</v>
      </c>
      <c r="AR172" s="923" t="s">
        <v>21</v>
      </c>
      <c r="AS172" s="923" t="s">
        <v>21</v>
      </c>
      <c r="AT172" s="923" t="s">
        <v>21</v>
      </c>
      <c r="AU172" s="923" t="s">
        <v>21</v>
      </c>
      <c r="AV172" s="924" t="s">
        <v>21</v>
      </c>
      <c r="AW172" s="924" t="s">
        <v>21</v>
      </c>
      <c r="AX172" s="924" t="s">
        <v>21</v>
      </c>
      <c r="AY172" s="924" t="s">
        <v>21</v>
      </c>
      <c r="AZ172" s="923" t="s">
        <v>21</v>
      </c>
      <c r="BA172" s="923"/>
      <c r="BB172" s="919" t="s">
        <v>21</v>
      </c>
      <c r="BC172" s="919" t="s">
        <v>21</v>
      </c>
      <c r="BD172" s="919" t="s">
        <v>21</v>
      </c>
      <c r="BE172" s="925" t="s">
        <v>21</v>
      </c>
      <c r="BF172" s="926" t="s">
        <v>21</v>
      </c>
      <c r="BG172" s="925" t="s">
        <v>21</v>
      </c>
      <c r="BH172" s="926" t="s">
        <v>21</v>
      </c>
      <c r="BI172" s="925" t="s">
        <v>21</v>
      </c>
      <c r="BJ172" s="926" t="s">
        <v>21</v>
      </c>
      <c r="BK172" s="925" t="s">
        <v>21</v>
      </c>
      <c r="BL172" s="926" t="s">
        <v>21</v>
      </c>
      <c r="BM172" s="925" t="s">
        <v>21</v>
      </c>
      <c r="BN172" s="927"/>
      <c r="BO172" s="927"/>
      <c r="BP172" s="928" t="s">
        <v>21</v>
      </c>
      <c r="BQ172" s="928" t="s">
        <v>21</v>
      </c>
      <c r="BR172" s="928" t="s">
        <v>21</v>
      </c>
      <c r="BS172" s="928" t="s">
        <v>21</v>
      </c>
      <c r="BT172" s="928" t="s">
        <v>21</v>
      </c>
      <c r="BU172" s="928" t="s">
        <v>21</v>
      </c>
      <c r="BV172" s="929" t="s">
        <v>21</v>
      </c>
      <c r="BW172" s="929" t="s">
        <v>21</v>
      </c>
      <c r="BX172" s="1104" t="s">
        <v>21</v>
      </c>
      <c r="BY172" s="931" t="s">
        <v>21</v>
      </c>
      <c r="BZ172" s="930"/>
      <c r="CA172" s="1074"/>
      <c r="CB172" s="930"/>
      <c r="CC172" s="930"/>
      <c r="CD172" s="925" t="s">
        <v>21</v>
      </c>
      <c r="CE172" s="1130" t="s">
        <v>21</v>
      </c>
      <c r="CF172" s="1129" t="s">
        <v>21</v>
      </c>
      <c r="CG172" s="1130" t="s">
        <v>21</v>
      </c>
      <c r="CH172" s="1130" t="s">
        <v>21</v>
      </c>
      <c r="CI172" s="1131" t="s">
        <v>21</v>
      </c>
      <c r="CJ172" s="1129" t="s">
        <v>21</v>
      </c>
      <c r="CK172" s="1130" t="s">
        <v>21</v>
      </c>
      <c r="CL172" s="1130" t="s">
        <v>21</v>
      </c>
      <c r="CM172" s="1131" t="s">
        <v>21</v>
      </c>
      <c r="CN172" s="1130" t="s">
        <v>21</v>
      </c>
      <c r="CP172" s="838" t="s">
        <v>21</v>
      </c>
      <c r="CQ172" s="838" t="s">
        <v>21</v>
      </c>
      <c r="CR172" s="836"/>
    </row>
    <row r="173" spans="1:96" x14ac:dyDescent="0.25">
      <c r="A173" s="935">
        <v>3</v>
      </c>
      <c r="B173" s="1180" t="s">
        <v>2231</v>
      </c>
      <c r="C173" s="935">
        <v>600</v>
      </c>
      <c r="D173" s="935" t="s">
        <v>2116</v>
      </c>
      <c r="E173" s="936">
        <v>1203.77</v>
      </c>
      <c r="F173" s="936">
        <v>1201.8699999999999</v>
      </c>
      <c r="G173" s="937" t="s">
        <v>3069</v>
      </c>
      <c r="H173" s="936">
        <v>1203</v>
      </c>
      <c r="I173" s="936">
        <v>1201.0999999999999</v>
      </c>
      <c r="J173" s="914">
        <v>60</v>
      </c>
      <c r="K173" s="915"/>
      <c r="L173" s="916">
        <v>0.1</v>
      </c>
      <c r="M173" s="916">
        <v>0.06</v>
      </c>
      <c r="N173" s="916">
        <v>0.2</v>
      </c>
      <c r="O173" s="916">
        <v>4.84</v>
      </c>
      <c r="P173" s="915"/>
      <c r="Q173" s="916">
        <v>2.16</v>
      </c>
      <c r="R173" s="917">
        <v>0.33333333333333331</v>
      </c>
      <c r="S173" s="918">
        <v>1.4</v>
      </c>
      <c r="T173" s="918">
        <v>2.84</v>
      </c>
      <c r="U173" s="916">
        <v>4.5540000000000003</v>
      </c>
      <c r="V173" s="916">
        <v>0.92</v>
      </c>
      <c r="W173" s="915"/>
      <c r="X173" s="916">
        <v>0.28299999999999997</v>
      </c>
      <c r="Y173" s="916">
        <v>0.40699999999999997</v>
      </c>
      <c r="Z173" s="916">
        <v>4.5789999999999997</v>
      </c>
      <c r="AA173" s="916">
        <v>1.0229999999999999</v>
      </c>
      <c r="AB173" s="916">
        <v>3.0089999999999999</v>
      </c>
      <c r="AC173" s="915"/>
      <c r="AD173" s="919">
        <v>290.39999999999998</v>
      </c>
      <c r="AE173" s="920">
        <v>274.74</v>
      </c>
      <c r="AF173" s="920" t="s">
        <v>21</v>
      </c>
      <c r="AG173" s="920" t="s">
        <v>21</v>
      </c>
      <c r="AH173" s="921">
        <v>274.74</v>
      </c>
      <c r="AI173" s="921" t="s">
        <v>21</v>
      </c>
      <c r="AJ173" s="920" t="s">
        <v>21</v>
      </c>
      <c r="AK173" s="920" t="s">
        <v>21</v>
      </c>
      <c r="AL173" s="921" t="s">
        <v>21</v>
      </c>
      <c r="AM173" s="921" t="s">
        <v>21</v>
      </c>
      <c r="AN173" s="920"/>
      <c r="AO173" s="920" t="s">
        <v>21</v>
      </c>
      <c r="AP173" s="919">
        <v>84</v>
      </c>
      <c r="AQ173" s="922">
        <v>273.24</v>
      </c>
      <c r="AR173" s="923" t="s">
        <v>21</v>
      </c>
      <c r="AS173" s="923">
        <v>273.24</v>
      </c>
      <c r="AT173" s="923" t="s">
        <v>21</v>
      </c>
      <c r="AU173" s="923" t="s">
        <v>21</v>
      </c>
      <c r="AV173" s="924" t="s">
        <v>21</v>
      </c>
      <c r="AW173" s="924" t="s">
        <v>21</v>
      </c>
      <c r="AX173" s="924" t="s">
        <v>21</v>
      </c>
      <c r="AY173" s="924" t="s">
        <v>21</v>
      </c>
      <c r="AZ173" s="923" t="s">
        <v>21</v>
      </c>
      <c r="BA173" s="923"/>
      <c r="BB173" s="919">
        <v>8.4</v>
      </c>
      <c r="BC173" s="919" t="s">
        <v>21</v>
      </c>
      <c r="BD173" s="919" t="s">
        <v>2142</v>
      </c>
      <c r="BE173" s="925" t="s">
        <v>21</v>
      </c>
      <c r="BF173" s="926" t="s">
        <v>21</v>
      </c>
      <c r="BG173" s="925">
        <v>60</v>
      </c>
      <c r="BH173" s="926" t="s">
        <v>21</v>
      </c>
      <c r="BI173" s="925" t="s">
        <v>21</v>
      </c>
      <c r="BJ173" s="926" t="s">
        <v>21</v>
      </c>
      <c r="BK173" s="925" t="s">
        <v>21</v>
      </c>
      <c r="BL173" s="926" t="s">
        <v>21</v>
      </c>
      <c r="BM173" s="925" t="s">
        <v>21</v>
      </c>
      <c r="BN173" s="927"/>
      <c r="BO173" s="927"/>
      <c r="BP173" s="928">
        <v>1</v>
      </c>
      <c r="BQ173" s="928" t="s">
        <v>21</v>
      </c>
      <c r="BR173" s="928" t="s">
        <v>21</v>
      </c>
      <c r="BS173" s="928" t="s">
        <v>21</v>
      </c>
      <c r="BT173" s="928" t="s">
        <v>21</v>
      </c>
      <c r="BU173" s="928" t="s">
        <v>21</v>
      </c>
      <c r="BV173" s="929">
        <v>0.50000000000009104</v>
      </c>
      <c r="BW173" s="929">
        <v>1</v>
      </c>
      <c r="BX173" s="1104">
        <v>2</v>
      </c>
      <c r="BY173" s="931">
        <v>4</v>
      </c>
      <c r="BZ173" s="930"/>
      <c r="CA173" s="1074"/>
      <c r="CB173" s="930">
        <v>1</v>
      </c>
      <c r="CC173" s="930"/>
      <c r="CD173" s="925">
        <v>61.38</v>
      </c>
      <c r="CE173" s="1130">
        <v>180.54</v>
      </c>
      <c r="CF173" s="1129" t="s">
        <v>21</v>
      </c>
      <c r="CG173" s="1130" t="s">
        <v>21</v>
      </c>
      <c r="CH173" s="1130" t="s">
        <v>21</v>
      </c>
      <c r="CI173" s="1131" t="s">
        <v>21</v>
      </c>
      <c r="CJ173" s="1129" t="s">
        <v>21</v>
      </c>
      <c r="CK173" s="1130">
        <v>180.54</v>
      </c>
      <c r="CL173" s="1130" t="s">
        <v>21</v>
      </c>
      <c r="CM173" s="1131" t="s">
        <v>21</v>
      </c>
      <c r="CN173" s="1130" t="s">
        <v>21</v>
      </c>
      <c r="CP173" s="838" t="s">
        <v>21</v>
      </c>
      <c r="CQ173" s="838" t="s">
        <v>21</v>
      </c>
      <c r="CR173" s="836"/>
    </row>
    <row r="174" spans="1:96" x14ac:dyDescent="0.25">
      <c r="A174" s="935" t="s">
        <v>3060</v>
      </c>
      <c r="B174" s="1180"/>
      <c r="C174" s="935"/>
      <c r="D174" s="935"/>
      <c r="E174" s="936"/>
      <c r="F174" s="936"/>
      <c r="G174" s="1180"/>
      <c r="H174" s="936"/>
      <c r="I174" s="936"/>
      <c r="J174" s="914"/>
      <c r="K174" s="915"/>
      <c r="L174" s="916" t="s">
        <v>21</v>
      </c>
      <c r="M174" s="916" t="s">
        <v>21</v>
      </c>
      <c r="N174" s="916" t="s">
        <v>21</v>
      </c>
      <c r="O174" s="916" t="s">
        <v>21</v>
      </c>
      <c r="P174" s="915"/>
      <c r="Q174" s="916" t="s">
        <v>21</v>
      </c>
      <c r="R174" s="917" t="s">
        <v>21</v>
      </c>
      <c r="S174" s="918" t="s">
        <v>21</v>
      </c>
      <c r="T174" s="918" t="s">
        <v>21</v>
      </c>
      <c r="U174" s="916" t="s">
        <v>21</v>
      </c>
      <c r="V174" s="916" t="s">
        <v>21</v>
      </c>
      <c r="W174" s="915"/>
      <c r="X174" s="916" t="s">
        <v>21</v>
      </c>
      <c r="Y174" s="916" t="s">
        <v>21</v>
      </c>
      <c r="Z174" s="916" t="s">
        <v>21</v>
      </c>
      <c r="AA174" s="916" t="s">
        <v>21</v>
      </c>
      <c r="AB174" s="916" t="s">
        <v>21</v>
      </c>
      <c r="AC174" s="915"/>
      <c r="AD174" s="919" t="s">
        <v>21</v>
      </c>
      <c r="AE174" s="920" t="s">
        <v>21</v>
      </c>
      <c r="AF174" s="920" t="s">
        <v>21</v>
      </c>
      <c r="AG174" s="920" t="s">
        <v>21</v>
      </c>
      <c r="AH174" s="921" t="s">
        <v>21</v>
      </c>
      <c r="AI174" s="921" t="s">
        <v>21</v>
      </c>
      <c r="AJ174" s="920" t="s">
        <v>21</v>
      </c>
      <c r="AK174" s="920" t="s">
        <v>21</v>
      </c>
      <c r="AL174" s="921" t="s">
        <v>21</v>
      </c>
      <c r="AM174" s="921" t="s">
        <v>21</v>
      </c>
      <c r="AN174" s="920"/>
      <c r="AO174" s="920" t="s">
        <v>21</v>
      </c>
      <c r="AP174" s="919" t="s">
        <v>21</v>
      </c>
      <c r="AQ174" s="922" t="s">
        <v>21</v>
      </c>
      <c r="AR174" s="923" t="s">
        <v>21</v>
      </c>
      <c r="AS174" s="923" t="s">
        <v>21</v>
      </c>
      <c r="AT174" s="923" t="s">
        <v>21</v>
      </c>
      <c r="AU174" s="923" t="s">
        <v>21</v>
      </c>
      <c r="AV174" s="924" t="s">
        <v>21</v>
      </c>
      <c r="AW174" s="924" t="s">
        <v>21</v>
      </c>
      <c r="AX174" s="924" t="s">
        <v>21</v>
      </c>
      <c r="AY174" s="924" t="s">
        <v>21</v>
      </c>
      <c r="AZ174" s="923" t="s">
        <v>21</v>
      </c>
      <c r="BA174" s="923"/>
      <c r="BB174" s="919" t="s">
        <v>21</v>
      </c>
      <c r="BC174" s="919" t="s">
        <v>21</v>
      </c>
      <c r="BD174" s="919" t="s">
        <v>21</v>
      </c>
      <c r="BE174" s="925" t="s">
        <v>21</v>
      </c>
      <c r="BF174" s="926" t="s">
        <v>21</v>
      </c>
      <c r="BG174" s="925" t="s">
        <v>21</v>
      </c>
      <c r="BH174" s="926" t="s">
        <v>21</v>
      </c>
      <c r="BI174" s="925" t="s">
        <v>21</v>
      </c>
      <c r="BJ174" s="926" t="s">
        <v>21</v>
      </c>
      <c r="BK174" s="925" t="s">
        <v>21</v>
      </c>
      <c r="BL174" s="926" t="s">
        <v>21</v>
      </c>
      <c r="BM174" s="925" t="s">
        <v>21</v>
      </c>
      <c r="BN174" s="927"/>
      <c r="BO174" s="927"/>
      <c r="BP174" s="928" t="s">
        <v>21</v>
      </c>
      <c r="BQ174" s="928" t="s">
        <v>21</v>
      </c>
      <c r="BR174" s="928" t="s">
        <v>21</v>
      </c>
      <c r="BS174" s="928" t="s">
        <v>21</v>
      </c>
      <c r="BT174" s="928" t="s">
        <v>21</v>
      </c>
      <c r="BU174" s="928" t="s">
        <v>21</v>
      </c>
      <c r="BV174" s="929" t="s">
        <v>21</v>
      </c>
      <c r="BW174" s="929" t="s">
        <v>21</v>
      </c>
      <c r="BX174" s="1104" t="s">
        <v>21</v>
      </c>
      <c r="BY174" s="931" t="s">
        <v>21</v>
      </c>
      <c r="BZ174" s="930"/>
      <c r="CA174" s="1074"/>
      <c r="CB174" s="930"/>
      <c r="CC174" s="930"/>
      <c r="CD174" s="925" t="s">
        <v>21</v>
      </c>
      <c r="CE174" s="1130" t="s">
        <v>21</v>
      </c>
      <c r="CF174" s="1129" t="s">
        <v>21</v>
      </c>
      <c r="CG174" s="1130" t="s">
        <v>21</v>
      </c>
      <c r="CH174" s="1130" t="s">
        <v>21</v>
      </c>
      <c r="CI174" s="1131" t="s">
        <v>21</v>
      </c>
      <c r="CJ174" s="1129" t="s">
        <v>21</v>
      </c>
      <c r="CK174" s="1130" t="s">
        <v>21</v>
      </c>
      <c r="CL174" s="1130" t="s">
        <v>21</v>
      </c>
      <c r="CM174" s="1131" t="s">
        <v>21</v>
      </c>
      <c r="CN174" s="1130" t="s">
        <v>21</v>
      </c>
      <c r="CP174" s="838" t="s">
        <v>21</v>
      </c>
      <c r="CQ174" s="838" t="s">
        <v>21</v>
      </c>
      <c r="CR174" s="836"/>
    </row>
    <row r="175" spans="1:96" x14ac:dyDescent="0.25">
      <c r="A175" s="935" t="s">
        <v>3073</v>
      </c>
      <c r="B175" s="1180"/>
      <c r="C175" s="935"/>
      <c r="D175" s="935"/>
      <c r="E175" s="936"/>
      <c r="F175" s="936"/>
      <c r="G175" s="1180"/>
      <c r="H175" s="936"/>
      <c r="I175" s="936"/>
      <c r="J175" s="914"/>
      <c r="K175" s="915"/>
      <c r="L175" s="916" t="s">
        <v>21</v>
      </c>
      <c r="M175" s="916" t="s">
        <v>21</v>
      </c>
      <c r="N175" s="916" t="s">
        <v>21</v>
      </c>
      <c r="O175" s="916" t="s">
        <v>21</v>
      </c>
      <c r="P175" s="915"/>
      <c r="Q175" s="916" t="s">
        <v>21</v>
      </c>
      <c r="R175" s="917" t="s">
        <v>21</v>
      </c>
      <c r="S175" s="918" t="s">
        <v>21</v>
      </c>
      <c r="T175" s="918" t="s">
        <v>21</v>
      </c>
      <c r="U175" s="916" t="s">
        <v>21</v>
      </c>
      <c r="V175" s="916" t="s">
        <v>21</v>
      </c>
      <c r="W175" s="915"/>
      <c r="X175" s="916" t="s">
        <v>21</v>
      </c>
      <c r="Y175" s="916" t="s">
        <v>21</v>
      </c>
      <c r="Z175" s="916" t="s">
        <v>21</v>
      </c>
      <c r="AA175" s="916" t="s">
        <v>21</v>
      </c>
      <c r="AB175" s="916" t="s">
        <v>21</v>
      </c>
      <c r="AC175" s="915"/>
      <c r="AD175" s="919" t="s">
        <v>21</v>
      </c>
      <c r="AE175" s="920" t="s">
        <v>21</v>
      </c>
      <c r="AF175" s="920" t="s">
        <v>21</v>
      </c>
      <c r="AG175" s="920" t="s">
        <v>21</v>
      </c>
      <c r="AH175" s="921" t="s">
        <v>21</v>
      </c>
      <c r="AI175" s="921" t="s">
        <v>21</v>
      </c>
      <c r="AJ175" s="920" t="s">
        <v>21</v>
      </c>
      <c r="AK175" s="920" t="s">
        <v>21</v>
      </c>
      <c r="AL175" s="921" t="s">
        <v>21</v>
      </c>
      <c r="AM175" s="921" t="s">
        <v>21</v>
      </c>
      <c r="AN175" s="920"/>
      <c r="AO175" s="920" t="s">
        <v>21</v>
      </c>
      <c r="AP175" s="919" t="s">
        <v>21</v>
      </c>
      <c r="AQ175" s="922" t="s">
        <v>21</v>
      </c>
      <c r="AR175" s="923" t="s">
        <v>21</v>
      </c>
      <c r="AS175" s="923" t="s">
        <v>21</v>
      </c>
      <c r="AT175" s="923" t="s">
        <v>21</v>
      </c>
      <c r="AU175" s="923" t="s">
        <v>21</v>
      </c>
      <c r="AV175" s="924" t="s">
        <v>21</v>
      </c>
      <c r="AW175" s="924" t="s">
        <v>21</v>
      </c>
      <c r="AX175" s="924" t="s">
        <v>21</v>
      </c>
      <c r="AY175" s="924" t="s">
        <v>21</v>
      </c>
      <c r="AZ175" s="923" t="s">
        <v>21</v>
      </c>
      <c r="BA175" s="923"/>
      <c r="BB175" s="919" t="s">
        <v>21</v>
      </c>
      <c r="BC175" s="919" t="s">
        <v>21</v>
      </c>
      <c r="BD175" s="919" t="s">
        <v>21</v>
      </c>
      <c r="BE175" s="925" t="s">
        <v>21</v>
      </c>
      <c r="BF175" s="926" t="s">
        <v>21</v>
      </c>
      <c r="BG175" s="925" t="s">
        <v>21</v>
      </c>
      <c r="BH175" s="926" t="s">
        <v>21</v>
      </c>
      <c r="BI175" s="925" t="s">
        <v>21</v>
      </c>
      <c r="BJ175" s="926" t="s">
        <v>21</v>
      </c>
      <c r="BK175" s="925" t="s">
        <v>21</v>
      </c>
      <c r="BL175" s="926" t="s">
        <v>21</v>
      </c>
      <c r="BM175" s="925" t="s">
        <v>21</v>
      </c>
      <c r="BN175" s="927"/>
      <c r="BO175" s="927"/>
      <c r="BP175" s="928" t="s">
        <v>21</v>
      </c>
      <c r="BQ175" s="928" t="s">
        <v>21</v>
      </c>
      <c r="BR175" s="928" t="s">
        <v>21</v>
      </c>
      <c r="BS175" s="928" t="s">
        <v>21</v>
      </c>
      <c r="BT175" s="928" t="s">
        <v>21</v>
      </c>
      <c r="BU175" s="928" t="s">
        <v>21</v>
      </c>
      <c r="BV175" s="929" t="s">
        <v>21</v>
      </c>
      <c r="BW175" s="929" t="s">
        <v>21</v>
      </c>
      <c r="BX175" s="1104" t="s">
        <v>21</v>
      </c>
      <c r="BY175" s="931" t="s">
        <v>21</v>
      </c>
      <c r="BZ175" s="930"/>
      <c r="CA175" s="1074"/>
      <c r="CB175" s="930"/>
      <c r="CC175" s="930"/>
      <c r="CD175" s="925" t="s">
        <v>21</v>
      </c>
      <c r="CE175" s="1130" t="s">
        <v>21</v>
      </c>
      <c r="CF175" s="1129" t="s">
        <v>21</v>
      </c>
      <c r="CG175" s="1130" t="s">
        <v>21</v>
      </c>
      <c r="CH175" s="1130" t="s">
        <v>21</v>
      </c>
      <c r="CI175" s="1131" t="s">
        <v>21</v>
      </c>
      <c r="CJ175" s="1129" t="s">
        <v>21</v>
      </c>
      <c r="CK175" s="1130" t="s">
        <v>21</v>
      </c>
      <c r="CL175" s="1130" t="s">
        <v>21</v>
      </c>
      <c r="CM175" s="1131" t="s">
        <v>21</v>
      </c>
      <c r="CN175" s="1130" t="s">
        <v>21</v>
      </c>
      <c r="CP175" s="838" t="s">
        <v>21</v>
      </c>
      <c r="CQ175" s="838" t="s">
        <v>21</v>
      </c>
      <c r="CR175" s="836"/>
    </row>
    <row r="176" spans="1:96" x14ac:dyDescent="0.25">
      <c r="A176" s="935" t="s">
        <v>3075</v>
      </c>
      <c r="B176" s="1180"/>
      <c r="C176" s="935"/>
      <c r="D176" s="935"/>
      <c r="E176" s="936"/>
      <c r="F176" s="936"/>
      <c r="G176" s="1180"/>
      <c r="H176" s="936"/>
      <c r="I176" s="936"/>
      <c r="J176" s="914"/>
      <c r="K176" s="915"/>
      <c r="L176" s="916" t="s">
        <v>21</v>
      </c>
      <c r="M176" s="916" t="s">
        <v>21</v>
      </c>
      <c r="N176" s="916" t="s">
        <v>21</v>
      </c>
      <c r="O176" s="916" t="s">
        <v>21</v>
      </c>
      <c r="P176" s="915"/>
      <c r="Q176" s="916" t="s">
        <v>21</v>
      </c>
      <c r="R176" s="917" t="s">
        <v>21</v>
      </c>
      <c r="S176" s="918" t="s">
        <v>21</v>
      </c>
      <c r="T176" s="918" t="s">
        <v>21</v>
      </c>
      <c r="U176" s="916" t="s">
        <v>21</v>
      </c>
      <c r="V176" s="916" t="s">
        <v>21</v>
      </c>
      <c r="W176" s="915"/>
      <c r="X176" s="916" t="s">
        <v>21</v>
      </c>
      <c r="Y176" s="916" t="s">
        <v>21</v>
      </c>
      <c r="Z176" s="916" t="s">
        <v>21</v>
      </c>
      <c r="AA176" s="916" t="s">
        <v>21</v>
      </c>
      <c r="AB176" s="916" t="s">
        <v>21</v>
      </c>
      <c r="AC176" s="915"/>
      <c r="AD176" s="919" t="s">
        <v>21</v>
      </c>
      <c r="AE176" s="920" t="s">
        <v>21</v>
      </c>
      <c r="AF176" s="920" t="s">
        <v>21</v>
      </c>
      <c r="AG176" s="920" t="s">
        <v>21</v>
      </c>
      <c r="AH176" s="921" t="s">
        <v>21</v>
      </c>
      <c r="AI176" s="921" t="s">
        <v>21</v>
      </c>
      <c r="AJ176" s="920" t="s">
        <v>21</v>
      </c>
      <c r="AK176" s="920" t="s">
        <v>21</v>
      </c>
      <c r="AL176" s="921" t="s">
        <v>21</v>
      </c>
      <c r="AM176" s="921" t="s">
        <v>21</v>
      </c>
      <c r="AN176" s="920"/>
      <c r="AO176" s="920" t="s">
        <v>21</v>
      </c>
      <c r="AP176" s="919" t="s">
        <v>21</v>
      </c>
      <c r="AQ176" s="922" t="s">
        <v>21</v>
      </c>
      <c r="AR176" s="923" t="s">
        <v>21</v>
      </c>
      <c r="AS176" s="923" t="s">
        <v>21</v>
      </c>
      <c r="AT176" s="923" t="s">
        <v>21</v>
      </c>
      <c r="AU176" s="923" t="s">
        <v>21</v>
      </c>
      <c r="AV176" s="924" t="s">
        <v>21</v>
      </c>
      <c r="AW176" s="924" t="s">
        <v>21</v>
      </c>
      <c r="AX176" s="924" t="s">
        <v>21</v>
      </c>
      <c r="AY176" s="924" t="s">
        <v>21</v>
      </c>
      <c r="AZ176" s="923" t="s">
        <v>21</v>
      </c>
      <c r="BA176" s="923"/>
      <c r="BB176" s="919" t="s">
        <v>21</v>
      </c>
      <c r="BC176" s="919" t="s">
        <v>21</v>
      </c>
      <c r="BD176" s="919" t="s">
        <v>21</v>
      </c>
      <c r="BE176" s="925" t="s">
        <v>21</v>
      </c>
      <c r="BF176" s="926" t="s">
        <v>21</v>
      </c>
      <c r="BG176" s="925" t="s">
        <v>21</v>
      </c>
      <c r="BH176" s="926" t="s">
        <v>21</v>
      </c>
      <c r="BI176" s="925" t="s">
        <v>21</v>
      </c>
      <c r="BJ176" s="926" t="s">
        <v>21</v>
      </c>
      <c r="BK176" s="925" t="s">
        <v>21</v>
      </c>
      <c r="BL176" s="926" t="s">
        <v>21</v>
      </c>
      <c r="BM176" s="925" t="s">
        <v>21</v>
      </c>
      <c r="BN176" s="927"/>
      <c r="BO176" s="927"/>
      <c r="BP176" s="928" t="s">
        <v>21</v>
      </c>
      <c r="BQ176" s="928" t="s">
        <v>21</v>
      </c>
      <c r="BR176" s="928" t="s">
        <v>21</v>
      </c>
      <c r="BS176" s="928" t="s">
        <v>21</v>
      </c>
      <c r="BT176" s="928" t="s">
        <v>21</v>
      </c>
      <c r="BU176" s="928" t="s">
        <v>21</v>
      </c>
      <c r="BV176" s="929" t="s">
        <v>21</v>
      </c>
      <c r="BW176" s="929" t="s">
        <v>21</v>
      </c>
      <c r="BX176" s="1104" t="s">
        <v>21</v>
      </c>
      <c r="BY176" s="931" t="s">
        <v>21</v>
      </c>
      <c r="BZ176" s="930"/>
      <c r="CA176" s="1074"/>
      <c r="CB176" s="930"/>
      <c r="CC176" s="930"/>
      <c r="CD176" s="925" t="s">
        <v>21</v>
      </c>
      <c r="CE176" s="1130" t="s">
        <v>21</v>
      </c>
      <c r="CF176" s="1129" t="s">
        <v>21</v>
      </c>
      <c r="CG176" s="1130" t="s">
        <v>21</v>
      </c>
      <c r="CH176" s="1130" t="s">
        <v>21</v>
      </c>
      <c r="CI176" s="1131" t="s">
        <v>21</v>
      </c>
      <c r="CJ176" s="1129" t="s">
        <v>21</v>
      </c>
      <c r="CK176" s="1130" t="s">
        <v>21</v>
      </c>
      <c r="CL176" s="1130" t="s">
        <v>21</v>
      </c>
      <c r="CM176" s="1131" t="s">
        <v>21</v>
      </c>
      <c r="CN176" s="1130" t="s">
        <v>21</v>
      </c>
      <c r="CP176" s="838" t="s">
        <v>21</v>
      </c>
      <c r="CQ176" s="838" t="s">
        <v>21</v>
      </c>
      <c r="CR176" s="836"/>
    </row>
    <row r="177" spans="1:96" x14ac:dyDescent="0.25">
      <c r="A177" s="935"/>
      <c r="B177" s="1180"/>
      <c r="C177" s="935"/>
      <c r="D177" s="935"/>
      <c r="E177" s="936"/>
      <c r="F177" s="936"/>
      <c r="G177" s="937"/>
      <c r="H177" s="936"/>
      <c r="I177" s="936"/>
      <c r="J177" s="914"/>
      <c r="K177" s="915"/>
      <c r="L177" s="916" t="s">
        <v>21</v>
      </c>
      <c r="M177" s="916" t="s">
        <v>21</v>
      </c>
      <c r="N177" s="916" t="s">
        <v>21</v>
      </c>
      <c r="O177" s="916" t="s">
        <v>21</v>
      </c>
      <c r="P177" s="915"/>
      <c r="Q177" s="916" t="s">
        <v>21</v>
      </c>
      <c r="R177" s="917" t="s">
        <v>21</v>
      </c>
      <c r="S177" s="918" t="s">
        <v>21</v>
      </c>
      <c r="T177" s="918" t="s">
        <v>21</v>
      </c>
      <c r="U177" s="916" t="s">
        <v>21</v>
      </c>
      <c r="V177" s="916" t="s">
        <v>21</v>
      </c>
      <c r="W177" s="915"/>
      <c r="X177" s="916" t="s">
        <v>21</v>
      </c>
      <c r="Y177" s="916" t="s">
        <v>21</v>
      </c>
      <c r="Z177" s="916" t="s">
        <v>21</v>
      </c>
      <c r="AA177" s="916" t="s">
        <v>21</v>
      </c>
      <c r="AB177" s="916" t="s">
        <v>21</v>
      </c>
      <c r="AC177" s="915"/>
      <c r="AD177" s="919" t="s">
        <v>21</v>
      </c>
      <c r="AE177" s="920" t="s">
        <v>21</v>
      </c>
      <c r="AF177" s="920" t="s">
        <v>21</v>
      </c>
      <c r="AG177" s="920" t="s">
        <v>21</v>
      </c>
      <c r="AH177" s="921" t="s">
        <v>21</v>
      </c>
      <c r="AI177" s="921" t="s">
        <v>21</v>
      </c>
      <c r="AJ177" s="920" t="s">
        <v>21</v>
      </c>
      <c r="AK177" s="920" t="s">
        <v>21</v>
      </c>
      <c r="AL177" s="921" t="s">
        <v>21</v>
      </c>
      <c r="AM177" s="921" t="s">
        <v>21</v>
      </c>
      <c r="AN177" s="920"/>
      <c r="AO177" s="920" t="s">
        <v>21</v>
      </c>
      <c r="AP177" s="919" t="s">
        <v>21</v>
      </c>
      <c r="AQ177" s="922" t="s">
        <v>21</v>
      </c>
      <c r="AR177" s="923" t="s">
        <v>21</v>
      </c>
      <c r="AS177" s="923" t="s">
        <v>21</v>
      </c>
      <c r="AT177" s="923" t="s">
        <v>21</v>
      </c>
      <c r="AU177" s="923" t="s">
        <v>21</v>
      </c>
      <c r="AV177" s="924" t="s">
        <v>21</v>
      </c>
      <c r="AW177" s="924" t="s">
        <v>21</v>
      </c>
      <c r="AX177" s="924" t="s">
        <v>21</v>
      </c>
      <c r="AY177" s="924" t="s">
        <v>21</v>
      </c>
      <c r="AZ177" s="923" t="s">
        <v>21</v>
      </c>
      <c r="BA177" s="923"/>
      <c r="BB177" s="919" t="s">
        <v>21</v>
      </c>
      <c r="BC177" s="919" t="s">
        <v>21</v>
      </c>
      <c r="BD177" s="919" t="s">
        <v>21</v>
      </c>
      <c r="BE177" s="925" t="s">
        <v>21</v>
      </c>
      <c r="BF177" s="926" t="s">
        <v>21</v>
      </c>
      <c r="BG177" s="925" t="s">
        <v>21</v>
      </c>
      <c r="BH177" s="926" t="s">
        <v>21</v>
      </c>
      <c r="BI177" s="925" t="s">
        <v>21</v>
      </c>
      <c r="BJ177" s="926" t="s">
        <v>21</v>
      </c>
      <c r="BK177" s="925" t="s">
        <v>21</v>
      </c>
      <c r="BL177" s="926" t="s">
        <v>21</v>
      </c>
      <c r="BM177" s="925" t="s">
        <v>21</v>
      </c>
      <c r="BN177" s="927"/>
      <c r="BO177" s="927"/>
      <c r="BP177" s="928" t="s">
        <v>21</v>
      </c>
      <c r="BQ177" s="928" t="s">
        <v>21</v>
      </c>
      <c r="BR177" s="928" t="s">
        <v>21</v>
      </c>
      <c r="BS177" s="928" t="s">
        <v>21</v>
      </c>
      <c r="BT177" s="928" t="s">
        <v>21</v>
      </c>
      <c r="BU177" s="928" t="s">
        <v>21</v>
      </c>
      <c r="BV177" s="929" t="s">
        <v>21</v>
      </c>
      <c r="BW177" s="929" t="s">
        <v>21</v>
      </c>
      <c r="BX177" s="1104" t="s">
        <v>21</v>
      </c>
      <c r="BY177" s="931" t="s">
        <v>21</v>
      </c>
      <c r="BZ177" s="930"/>
      <c r="CA177" s="1074"/>
      <c r="CB177" s="930"/>
      <c r="CC177" s="930"/>
      <c r="CD177" s="925" t="s">
        <v>21</v>
      </c>
      <c r="CE177" s="1130" t="s">
        <v>21</v>
      </c>
      <c r="CF177" s="1129" t="s">
        <v>21</v>
      </c>
      <c r="CG177" s="1130" t="s">
        <v>21</v>
      </c>
      <c r="CH177" s="1130" t="s">
        <v>21</v>
      </c>
      <c r="CI177" s="1131" t="s">
        <v>21</v>
      </c>
      <c r="CJ177" s="1129" t="s">
        <v>21</v>
      </c>
      <c r="CK177" s="1130" t="s">
        <v>21</v>
      </c>
      <c r="CL177" s="1130" t="s">
        <v>21</v>
      </c>
      <c r="CM177" s="1131" t="s">
        <v>21</v>
      </c>
      <c r="CN177" s="1130" t="s">
        <v>21</v>
      </c>
      <c r="CP177" s="838" t="s">
        <v>21</v>
      </c>
      <c r="CQ177" s="838" t="s">
        <v>21</v>
      </c>
      <c r="CR177" s="836"/>
    </row>
    <row r="178" spans="1:96" x14ac:dyDescent="0.25">
      <c r="A178" s="935">
        <v>4</v>
      </c>
      <c r="B178" s="1180" t="s">
        <v>2234</v>
      </c>
      <c r="C178" s="935">
        <v>600</v>
      </c>
      <c r="D178" s="935" t="s">
        <v>2116</v>
      </c>
      <c r="E178" s="936">
        <v>1203.1099999999999</v>
      </c>
      <c r="F178" s="936">
        <v>1201.21</v>
      </c>
      <c r="G178" s="937" t="s">
        <v>3070</v>
      </c>
      <c r="H178" s="936">
        <v>1202.3699999999999</v>
      </c>
      <c r="I178" s="936">
        <v>1200.47</v>
      </c>
      <c r="J178" s="914">
        <v>60</v>
      </c>
      <c r="K178" s="915"/>
      <c r="L178" s="916">
        <v>0.1</v>
      </c>
      <c r="M178" s="916">
        <v>0.06</v>
      </c>
      <c r="N178" s="916">
        <v>0.2</v>
      </c>
      <c r="O178" s="916">
        <v>4.84</v>
      </c>
      <c r="P178" s="915"/>
      <c r="Q178" s="916">
        <v>2.16</v>
      </c>
      <c r="R178" s="917">
        <v>0.33333333333333331</v>
      </c>
      <c r="S178" s="918">
        <v>1.4</v>
      </c>
      <c r="T178" s="918">
        <v>2.84</v>
      </c>
      <c r="U178" s="916">
        <v>4.5540000000000003</v>
      </c>
      <c r="V178" s="916">
        <v>0.92</v>
      </c>
      <c r="W178" s="915"/>
      <c r="X178" s="916">
        <v>0.28299999999999997</v>
      </c>
      <c r="Y178" s="916">
        <v>0.40699999999999997</v>
      </c>
      <c r="Z178" s="916">
        <v>4.5789999999999997</v>
      </c>
      <c r="AA178" s="916">
        <v>1.0229999999999999</v>
      </c>
      <c r="AB178" s="916">
        <v>3.0089999999999999</v>
      </c>
      <c r="AC178" s="915"/>
      <c r="AD178" s="919">
        <v>290.39999999999998</v>
      </c>
      <c r="AE178" s="920">
        <v>274.74</v>
      </c>
      <c r="AF178" s="920" t="s">
        <v>21</v>
      </c>
      <c r="AG178" s="920" t="s">
        <v>21</v>
      </c>
      <c r="AH178" s="921">
        <v>274.74</v>
      </c>
      <c r="AI178" s="921" t="s">
        <v>21</v>
      </c>
      <c r="AJ178" s="920" t="s">
        <v>21</v>
      </c>
      <c r="AK178" s="920" t="s">
        <v>21</v>
      </c>
      <c r="AL178" s="921" t="s">
        <v>21</v>
      </c>
      <c r="AM178" s="921" t="s">
        <v>21</v>
      </c>
      <c r="AN178" s="920"/>
      <c r="AO178" s="920" t="s">
        <v>21</v>
      </c>
      <c r="AP178" s="919">
        <v>84</v>
      </c>
      <c r="AQ178" s="922">
        <v>273.24</v>
      </c>
      <c r="AR178" s="923" t="s">
        <v>21</v>
      </c>
      <c r="AS178" s="923">
        <v>273.24</v>
      </c>
      <c r="AT178" s="923" t="s">
        <v>21</v>
      </c>
      <c r="AU178" s="923" t="s">
        <v>21</v>
      </c>
      <c r="AV178" s="924" t="s">
        <v>21</v>
      </c>
      <c r="AW178" s="924" t="s">
        <v>21</v>
      </c>
      <c r="AX178" s="924" t="s">
        <v>21</v>
      </c>
      <c r="AY178" s="924" t="s">
        <v>21</v>
      </c>
      <c r="AZ178" s="923" t="s">
        <v>21</v>
      </c>
      <c r="BA178" s="923"/>
      <c r="BB178" s="919">
        <v>8.4</v>
      </c>
      <c r="BC178" s="919" t="s">
        <v>21</v>
      </c>
      <c r="BD178" s="919" t="s">
        <v>2142</v>
      </c>
      <c r="BE178" s="925" t="s">
        <v>21</v>
      </c>
      <c r="BF178" s="926" t="s">
        <v>21</v>
      </c>
      <c r="BG178" s="925">
        <v>60</v>
      </c>
      <c r="BH178" s="926" t="s">
        <v>21</v>
      </c>
      <c r="BI178" s="925" t="s">
        <v>21</v>
      </c>
      <c r="BJ178" s="926" t="s">
        <v>21</v>
      </c>
      <c r="BK178" s="925" t="s">
        <v>21</v>
      </c>
      <c r="BL178" s="926" t="s">
        <v>21</v>
      </c>
      <c r="BM178" s="925" t="s">
        <v>21</v>
      </c>
      <c r="BN178" s="927"/>
      <c r="BO178" s="927"/>
      <c r="BP178" s="928">
        <v>1</v>
      </c>
      <c r="BQ178" s="928" t="s">
        <v>21</v>
      </c>
      <c r="BR178" s="928" t="s">
        <v>21</v>
      </c>
      <c r="BS178" s="928" t="s">
        <v>21</v>
      </c>
      <c r="BT178" s="928" t="s">
        <v>21</v>
      </c>
      <c r="BU178" s="928" t="s">
        <v>21</v>
      </c>
      <c r="BV178" s="929">
        <v>0.49999999999986366</v>
      </c>
      <c r="BW178" s="929">
        <v>0.5</v>
      </c>
      <c r="BX178" s="1104">
        <v>1</v>
      </c>
      <c r="BY178" s="931">
        <v>3</v>
      </c>
      <c r="BZ178" s="930"/>
      <c r="CA178" s="1074"/>
      <c r="CB178" s="930">
        <v>1</v>
      </c>
      <c r="CC178" s="930"/>
      <c r="CD178" s="925">
        <v>61.38</v>
      </c>
      <c r="CE178" s="1130">
        <v>180.54</v>
      </c>
      <c r="CF178" s="1129" t="s">
        <v>21</v>
      </c>
      <c r="CG178" s="1130" t="s">
        <v>21</v>
      </c>
      <c r="CH178" s="1130" t="s">
        <v>21</v>
      </c>
      <c r="CI178" s="1131" t="s">
        <v>21</v>
      </c>
      <c r="CJ178" s="1129" t="s">
        <v>21</v>
      </c>
      <c r="CK178" s="1130">
        <v>180.54</v>
      </c>
      <c r="CL178" s="1130" t="s">
        <v>21</v>
      </c>
      <c r="CM178" s="1131" t="s">
        <v>21</v>
      </c>
      <c r="CN178" s="1130" t="s">
        <v>21</v>
      </c>
      <c r="CP178" s="838" t="s">
        <v>21</v>
      </c>
      <c r="CQ178" s="838" t="s">
        <v>21</v>
      </c>
      <c r="CR178" s="836"/>
    </row>
    <row r="179" spans="1:96" x14ac:dyDescent="0.25">
      <c r="A179" s="935" t="s">
        <v>3060</v>
      </c>
      <c r="B179" s="1180"/>
      <c r="C179" s="935"/>
      <c r="D179" s="935"/>
      <c r="E179" s="936"/>
      <c r="F179" s="936"/>
      <c r="G179" s="937"/>
      <c r="H179" s="936"/>
      <c r="I179" s="936"/>
      <c r="J179" s="914"/>
      <c r="K179" s="915"/>
      <c r="L179" s="916" t="s">
        <v>21</v>
      </c>
      <c r="M179" s="916" t="s">
        <v>21</v>
      </c>
      <c r="N179" s="916" t="s">
        <v>21</v>
      </c>
      <c r="O179" s="916" t="s">
        <v>21</v>
      </c>
      <c r="P179" s="915"/>
      <c r="Q179" s="916" t="s">
        <v>21</v>
      </c>
      <c r="R179" s="917" t="s">
        <v>21</v>
      </c>
      <c r="S179" s="918" t="s">
        <v>21</v>
      </c>
      <c r="T179" s="918" t="s">
        <v>21</v>
      </c>
      <c r="U179" s="916" t="s">
        <v>21</v>
      </c>
      <c r="V179" s="916" t="s">
        <v>21</v>
      </c>
      <c r="W179" s="915"/>
      <c r="X179" s="916" t="s">
        <v>21</v>
      </c>
      <c r="Y179" s="916" t="s">
        <v>21</v>
      </c>
      <c r="Z179" s="916" t="s">
        <v>21</v>
      </c>
      <c r="AA179" s="916" t="s">
        <v>21</v>
      </c>
      <c r="AB179" s="916" t="s">
        <v>21</v>
      </c>
      <c r="AC179" s="915"/>
      <c r="AD179" s="919" t="s">
        <v>21</v>
      </c>
      <c r="AE179" s="920" t="s">
        <v>21</v>
      </c>
      <c r="AF179" s="920" t="s">
        <v>21</v>
      </c>
      <c r="AG179" s="920" t="s">
        <v>21</v>
      </c>
      <c r="AH179" s="921" t="s">
        <v>21</v>
      </c>
      <c r="AI179" s="921" t="s">
        <v>21</v>
      </c>
      <c r="AJ179" s="920" t="s">
        <v>21</v>
      </c>
      <c r="AK179" s="920" t="s">
        <v>21</v>
      </c>
      <c r="AL179" s="921" t="s">
        <v>21</v>
      </c>
      <c r="AM179" s="921" t="s">
        <v>21</v>
      </c>
      <c r="AN179" s="920"/>
      <c r="AO179" s="920" t="s">
        <v>21</v>
      </c>
      <c r="AP179" s="919" t="s">
        <v>21</v>
      </c>
      <c r="AQ179" s="922" t="s">
        <v>21</v>
      </c>
      <c r="AR179" s="923" t="s">
        <v>21</v>
      </c>
      <c r="AS179" s="923" t="s">
        <v>21</v>
      </c>
      <c r="AT179" s="923" t="s">
        <v>21</v>
      </c>
      <c r="AU179" s="923" t="s">
        <v>21</v>
      </c>
      <c r="AV179" s="924" t="s">
        <v>21</v>
      </c>
      <c r="AW179" s="924" t="s">
        <v>21</v>
      </c>
      <c r="AX179" s="924" t="s">
        <v>21</v>
      </c>
      <c r="AY179" s="924" t="s">
        <v>21</v>
      </c>
      <c r="AZ179" s="923" t="s">
        <v>21</v>
      </c>
      <c r="BA179" s="923"/>
      <c r="BB179" s="919" t="s">
        <v>21</v>
      </c>
      <c r="BC179" s="919" t="s">
        <v>21</v>
      </c>
      <c r="BD179" s="919" t="s">
        <v>21</v>
      </c>
      <c r="BE179" s="925" t="s">
        <v>21</v>
      </c>
      <c r="BF179" s="926" t="s">
        <v>21</v>
      </c>
      <c r="BG179" s="925" t="s">
        <v>21</v>
      </c>
      <c r="BH179" s="926" t="s">
        <v>21</v>
      </c>
      <c r="BI179" s="925" t="s">
        <v>21</v>
      </c>
      <c r="BJ179" s="926" t="s">
        <v>21</v>
      </c>
      <c r="BK179" s="925" t="s">
        <v>21</v>
      </c>
      <c r="BL179" s="926" t="s">
        <v>21</v>
      </c>
      <c r="BM179" s="925" t="s">
        <v>21</v>
      </c>
      <c r="BN179" s="927"/>
      <c r="BO179" s="927"/>
      <c r="BP179" s="928" t="s">
        <v>21</v>
      </c>
      <c r="BQ179" s="928" t="s">
        <v>21</v>
      </c>
      <c r="BR179" s="928" t="s">
        <v>21</v>
      </c>
      <c r="BS179" s="928" t="s">
        <v>21</v>
      </c>
      <c r="BT179" s="928" t="s">
        <v>21</v>
      </c>
      <c r="BU179" s="928" t="s">
        <v>21</v>
      </c>
      <c r="BV179" s="929" t="s">
        <v>21</v>
      </c>
      <c r="BW179" s="929" t="s">
        <v>21</v>
      </c>
      <c r="BX179" s="1104" t="s">
        <v>21</v>
      </c>
      <c r="BY179" s="931" t="s">
        <v>21</v>
      </c>
      <c r="BZ179" s="930"/>
      <c r="CA179" s="1074"/>
      <c r="CB179" s="930"/>
      <c r="CC179" s="930"/>
      <c r="CD179" s="925" t="s">
        <v>21</v>
      </c>
      <c r="CE179" s="1130" t="s">
        <v>21</v>
      </c>
      <c r="CF179" s="1129" t="s">
        <v>21</v>
      </c>
      <c r="CG179" s="1130" t="s">
        <v>21</v>
      </c>
      <c r="CH179" s="1130" t="s">
        <v>21</v>
      </c>
      <c r="CI179" s="1131" t="s">
        <v>21</v>
      </c>
      <c r="CJ179" s="1129" t="s">
        <v>21</v>
      </c>
      <c r="CK179" s="1130" t="s">
        <v>21</v>
      </c>
      <c r="CL179" s="1130" t="s">
        <v>21</v>
      </c>
      <c r="CM179" s="1131" t="s">
        <v>21</v>
      </c>
      <c r="CN179" s="1130" t="s">
        <v>21</v>
      </c>
      <c r="CP179" s="838" t="s">
        <v>21</v>
      </c>
      <c r="CQ179" s="838" t="s">
        <v>21</v>
      </c>
      <c r="CR179" s="836"/>
    </row>
    <row r="180" spans="1:96" x14ac:dyDescent="0.25">
      <c r="A180" s="935" t="s">
        <v>3073</v>
      </c>
      <c r="B180" s="1180"/>
      <c r="C180" s="935"/>
      <c r="D180" s="935"/>
      <c r="E180" s="936"/>
      <c r="F180" s="936"/>
      <c r="G180" s="937"/>
      <c r="H180" s="936"/>
      <c r="I180" s="936"/>
      <c r="J180" s="914"/>
      <c r="K180" s="915"/>
      <c r="L180" s="916" t="s">
        <v>21</v>
      </c>
      <c r="M180" s="916" t="s">
        <v>21</v>
      </c>
      <c r="N180" s="916" t="s">
        <v>21</v>
      </c>
      <c r="O180" s="916" t="s">
        <v>21</v>
      </c>
      <c r="P180" s="915"/>
      <c r="Q180" s="916" t="s">
        <v>21</v>
      </c>
      <c r="R180" s="917" t="s">
        <v>21</v>
      </c>
      <c r="S180" s="918" t="s">
        <v>21</v>
      </c>
      <c r="T180" s="918" t="s">
        <v>21</v>
      </c>
      <c r="U180" s="916" t="s">
        <v>21</v>
      </c>
      <c r="V180" s="916" t="s">
        <v>21</v>
      </c>
      <c r="W180" s="915"/>
      <c r="X180" s="916" t="s">
        <v>21</v>
      </c>
      <c r="Y180" s="916" t="s">
        <v>21</v>
      </c>
      <c r="Z180" s="916" t="s">
        <v>21</v>
      </c>
      <c r="AA180" s="916" t="s">
        <v>21</v>
      </c>
      <c r="AB180" s="916" t="s">
        <v>21</v>
      </c>
      <c r="AC180" s="915"/>
      <c r="AD180" s="919" t="s">
        <v>21</v>
      </c>
      <c r="AE180" s="920" t="s">
        <v>21</v>
      </c>
      <c r="AF180" s="920" t="s">
        <v>21</v>
      </c>
      <c r="AG180" s="920" t="s">
        <v>21</v>
      </c>
      <c r="AH180" s="921" t="s">
        <v>21</v>
      </c>
      <c r="AI180" s="921" t="s">
        <v>21</v>
      </c>
      <c r="AJ180" s="920" t="s">
        <v>21</v>
      </c>
      <c r="AK180" s="920" t="s">
        <v>21</v>
      </c>
      <c r="AL180" s="921" t="s">
        <v>21</v>
      </c>
      <c r="AM180" s="921" t="s">
        <v>21</v>
      </c>
      <c r="AN180" s="920"/>
      <c r="AO180" s="920" t="s">
        <v>21</v>
      </c>
      <c r="AP180" s="919" t="s">
        <v>21</v>
      </c>
      <c r="AQ180" s="922" t="s">
        <v>21</v>
      </c>
      <c r="AR180" s="923" t="s">
        <v>21</v>
      </c>
      <c r="AS180" s="923" t="s">
        <v>21</v>
      </c>
      <c r="AT180" s="923" t="s">
        <v>21</v>
      </c>
      <c r="AU180" s="923" t="s">
        <v>21</v>
      </c>
      <c r="AV180" s="924" t="s">
        <v>21</v>
      </c>
      <c r="AW180" s="924" t="s">
        <v>21</v>
      </c>
      <c r="AX180" s="924" t="s">
        <v>21</v>
      </c>
      <c r="AY180" s="924" t="s">
        <v>21</v>
      </c>
      <c r="AZ180" s="923" t="s">
        <v>21</v>
      </c>
      <c r="BA180" s="923"/>
      <c r="BB180" s="919" t="s">
        <v>21</v>
      </c>
      <c r="BC180" s="919" t="s">
        <v>21</v>
      </c>
      <c r="BD180" s="919" t="s">
        <v>21</v>
      </c>
      <c r="BE180" s="925" t="s">
        <v>21</v>
      </c>
      <c r="BF180" s="926" t="s">
        <v>21</v>
      </c>
      <c r="BG180" s="925" t="s">
        <v>21</v>
      </c>
      <c r="BH180" s="926" t="s">
        <v>21</v>
      </c>
      <c r="BI180" s="925" t="s">
        <v>21</v>
      </c>
      <c r="BJ180" s="926" t="s">
        <v>21</v>
      </c>
      <c r="BK180" s="925" t="s">
        <v>21</v>
      </c>
      <c r="BL180" s="926" t="s">
        <v>21</v>
      </c>
      <c r="BM180" s="925" t="s">
        <v>21</v>
      </c>
      <c r="BN180" s="927"/>
      <c r="BO180" s="927"/>
      <c r="BP180" s="928" t="s">
        <v>21</v>
      </c>
      <c r="BQ180" s="928" t="s">
        <v>21</v>
      </c>
      <c r="BR180" s="928" t="s">
        <v>21</v>
      </c>
      <c r="BS180" s="928" t="s">
        <v>21</v>
      </c>
      <c r="BT180" s="928" t="s">
        <v>21</v>
      </c>
      <c r="BU180" s="928" t="s">
        <v>21</v>
      </c>
      <c r="BV180" s="929" t="s">
        <v>21</v>
      </c>
      <c r="BW180" s="929" t="s">
        <v>21</v>
      </c>
      <c r="BX180" s="1104" t="s">
        <v>21</v>
      </c>
      <c r="BY180" s="931" t="s">
        <v>21</v>
      </c>
      <c r="BZ180" s="930"/>
      <c r="CA180" s="1074"/>
      <c r="CB180" s="930"/>
      <c r="CC180" s="930"/>
      <c r="CD180" s="925" t="s">
        <v>21</v>
      </c>
      <c r="CE180" s="1130" t="s">
        <v>21</v>
      </c>
      <c r="CF180" s="1129" t="s">
        <v>21</v>
      </c>
      <c r="CG180" s="1130" t="s">
        <v>21</v>
      </c>
      <c r="CH180" s="1130" t="s">
        <v>21</v>
      </c>
      <c r="CI180" s="1131" t="s">
        <v>21</v>
      </c>
      <c r="CJ180" s="1129" t="s">
        <v>21</v>
      </c>
      <c r="CK180" s="1130" t="s">
        <v>21</v>
      </c>
      <c r="CL180" s="1130" t="s">
        <v>21</v>
      </c>
      <c r="CM180" s="1131" t="s">
        <v>21</v>
      </c>
      <c r="CN180" s="1130" t="s">
        <v>21</v>
      </c>
      <c r="CP180" s="838" t="s">
        <v>21</v>
      </c>
      <c r="CQ180" s="838" t="s">
        <v>21</v>
      </c>
      <c r="CR180" s="836"/>
    </row>
    <row r="181" spans="1:96" x14ac:dyDescent="0.25">
      <c r="A181" s="935" t="s">
        <v>3075</v>
      </c>
      <c r="B181" s="1180"/>
      <c r="C181" s="935"/>
      <c r="D181" s="935"/>
      <c r="E181" s="936"/>
      <c r="F181" s="936"/>
      <c r="G181" s="1180"/>
      <c r="H181" s="936"/>
      <c r="I181" s="936"/>
      <c r="J181" s="914"/>
      <c r="K181" s="915"/>
      <c r="L181" s="916" t="s">
        <v>21</v>
      </c>
      <c r="M181" s="916" t="s">
        <v>21</v>
      </c>
      <c r="N181" s="916" t="s">
        <v>21</v>
      </c>
      <c r="O181" s="916" t="s">
        <v>21</v>
      </c>
      <c r="P181" s="915"/>
      <c r="Q181" s="916" t="s">
        <v>21</v>
      </c>
      <c r="R181" s="917" t="s">
        <v>21</v>
      </c>
      <c r="S181" s="918" t="s">
        <v>21</v>
      </c>
      <c r="T181" s="918" t="s">
        <v>21</v>
      </c>
      <c r="U181" s="916" t="s">
        <v>21</v>
      </c>
      <c r="V181" s="916" t="s">
        <v>21</v>
      </c>
      <c r="W181" s="915"/>
      <c r="X181" s="916" t="s">
        <v>21</v>
      </c>
      <c r="Y181" s="916" t="s">
        <v>21</v>
      </c>
      <c r="Z181" s="916" t="s">
        <v>21</v>
      </c>
      <c r="AA181" s="916" t="s">
        <v>21</v>
      </c>
      <c r="AB181" s="916" t="s">
        <v>21</v>
      </c>
      <c r="AC181" s="915"/>
      <c r="AD181" s="919" t="s">
        <v>21</v>
      </c>
      <c r="AE181" s="920" t="s">
        <v>21</v>
      </c>
      <c r="AF181" s="920" t="s">
        <v>21</v>
      </c>
      <c r="AG181" s="920" t="s">
        <v>21</v>
      </c>
      <c r="AH181" s="921" t="s">
        <v>21</v>
      </c>
      <c r="AI181" s="921" t="s">
        <v>21</v>
      </c>
      <c r="AJ181" s="920" t="s">
        <v>21</v>
      </c>
      <c r="AK181" s="920" t="s">
        <v>21</v>
      </c>
      <c r="AL181" s="921" t="s">
        <v>21</v>
      </c>
      <c r="AM181" s="921" t="s">
        <v>21</v>
      </c>
      <c r="AN181" s="920"/>
      <c r="AO181" s="920" t="s">
        <v>21</v>
      </c>
      <c r="AP181" s="919" t="s">
        <v>21</v>
      </c>
      <c r="AQ181" s="922" t="s">
        <v>21</v>
      </c>
      <c r="AR181" s="923" t="s">
        <v>21</v>
      </c>
      <c r="AS181" s="923" t="s">
        <v>21</v>
      </c>
      <c r="AT181" s="923" t="s">
        <v>21</v>
      </c>
      <c r="AU181" s="923" t="s">
        <v>21</v>
      </c>
      <c r="AV181" s="924" t="s">
        <v>21</v>
      </c>
      <c r="AW181" s="924" t="s">
        <v>21</v>
      </c>
      <c r="AX181" s="924" t="s">
        <v>21</v>
      </c>
      <c r="AY181" s="924" t="s">
        <v>21</v>
      </c>
      <c r="AZ181" s="923" t="s">
        <v>21</v>
      </c>
      <c r="BA181" s="923"/>
      <c r="BB181" s="919" t="s">
        <v>21</v>
      </c>
      <c r="BC181" s="919" t="s">
        <v>21</v>
      </c>
      <c r="BD181" s="919" t="s">
        <v>21</v>
      </c>
      <c r="BE181" s="925" t="s">
        <v>21</v>
      </c>
      <c r="BF181" s="926" t="s">
        <v>21</v>
      </c>
      <c r="BG181" s="925" t="s">
        <v>21</v>
      </c>
      <c r="BH181" s="926" t="s">
        <v>21</v>
      </c>
      <c r="BI181" s="925" t="s">
        <v>21</v>
      </c>
      <c r="BJ181" s="926" t="s">
        <v>21</v>
      </c>
      <c r="BK181" s="925" t="s">
        <v>21</v>
      </c>
      <c r="BL181" s="926" t="s">
        <v>21</v>
      </c>
      <c r="BM181" s="925" t="s">
        <v>21</v>
      </c>
      <c r="BN181" s="927"/>
      <c r="BO181" s="927"/>
      <c r="BP181" s="928" t="s">
        <v>21</v>
      </c>
      <c r="BQ181" s="928" t="s">
        <v>21</v>
      </c>
      <c r="BR181" s="928" t="s">
        <v>21</v>
      </c>
      <c r="BS181" s="928" t="s">
        <v>21</v>
      </c>
      <c r="BT181" s="928" t="s">
        <v>21</v>
      </c>
      <c r="BU181" s="928" t="s">
        <v>21</v>
      </c>
      <c r="BV181" s="929" t="s">
        <v>21</v>
      </c>
      <c r="BW181" s="929" t="s">
        <v>21</v>
      </c>
      <c r="BX181" s="1104" t="s">
        <v>21</v>
      </c>
      <c r="BY181" s="931" t="s">
        <v>21</v>
      </c>
      <c r="BZ181" s="930"/>
      <c r="CA181" s="1074"/>
      <c r="CB181" s="930"/>
      <c r="CC181" s="930"/>
      <c r="CD181" s="925" t="s">
        <v>21</v>
      </c>
      <c r="CE181" s="1130" t="s">
        <v>21</v>
      </c>
      <c r="CF181" s="1129" t="s">
        <v>21</v>
      </c>
      <c r="CG181" s="1130" t="s">
        <v>21</v>
      </c>
      <c r="CH181" s="1130" t="s">
        <v>21</v>
      </c>
      <c r="CI181" s="1131" t="s">
        <v>21</v>
      </c>
      <c r="CJ181" s="1129" t="s">
        <v>21</v>
      </c>
      <c r="CK181" s="1130" t="s">
        <v>21</v>
      </c>
      <c r="CL181" s="1130" t="s">
        <v>21</v>
      </c>
      <c r="CM181" s="1131" t="s">
        <v>21</v>
      </c>
      <c r="CN181" s="1130" t="s">
        <v>21</v>
      </c>
      <c r="CP181" s="838" t="s">
        <v>21</v>
      </c>
      <c r="CQ181" s="838" t="s">
        <v>21</v>
      </c>
      <c r="CR181" s="836"/>
    </row>
    <row r="182" spans="1:96" x14ac:dyDescent="0.25">
      <c r="A182" s="935"/>
      <c r="B182" s="1180"/>
      <c r="C182" s="935"/>
      <c r="D182" s="935"/>
      <c r="E182" s="936"/>
      <c r="F182" s="936"/>
      <c r="G182" s="937"/>
      <c r="H182" s="936"/>
      <c r="I182" s="936"/>
      <c r="J182" s="914"/>
      <c r="K182" s="915"/>
      <c r="L182" s="916" t="s">
        <v>21</v>
      </c>
      <c r="M182" s="916" t="s">
        <v>21</v>
      </c>
      <c r="N182" s="916" t="s">
        <v>21</v>
      </c>
      <c r="O182" s="916" t="s">
        <v>21</v>
      </c>
      <c r="P182" s="915"/>
      <c r="Q182" s="916" t="s">
        <v>21</v>
      </c>
      <c r="R182" s="917" t="s">
        <v>21</v>
      </c>
      <c r="S182" s="918" t="s">
        <v>21</v>
      </c>
      <c r="T182" s="918" t="s">
        <v>21</v>
      </c>
      <c r="U182" s="916" t="s">
        <v>21</v>
      </c>
      <c r="V182" s="916" t="s">
        <v>21</v>
      </c>
      <c r="W182" s="915"/>
      <c r="X182" s="916" t="s">
        <v>21</v>
      </c>
      <c r="Y182" s="916" t="s">
        <v>21</v>
      </c>
      <c r="Z182" s="916" t="s">
        <v>21</v>
      </c>
      <c r="AA182" s="916" t="s">
        <v>21</v>
      </c>
      <c r="AB182" s="916" t="s">
        <v>21</v>
      </c>
      <c r="AC182" s="915"/>
      <c r="AD182" s="919" t="s">
        <v>21</v>
      </c>
      <c r="AE182" s="920" t="s">
        <v>21</v>
      </c>
      <c r="AF182" s="920" t="s">
        <v>21</v>
      </c>
      <c r="AG182" s="920" t="s">
        <v>21</v>
      </c>
      <c r="AH182" s="921" t="s">
        <v>21</v>
      </c>
      <c r="AI182" s="921" t="s">
        <v>21</v>
      </c>
      <c r="AJ182" s="920" t="s">
        <v>21</v>
      </c>
      <c r="AK182" s="920" t="s">
        <v>21</v>
      </c>
      <c r="AL182" s="921" t="s">
        <v>21</v>
      </c>
      <c r="AM182" s="921" t="s">
        <v>21</v>
      </c>
      <c r="AN182" s="920"/>
      <c r="AO182" s="920" t="s">
        <v>21</v>
      </c>
      <c r="AP182" s="919" t="s">
        <v>21</v>
      </c>
      <c r="AQ182" s="922" t="s">
        <v>21</v>
      </c>
      <c r="AR182" s="923" t="s">
        <v>21</v>
      </c>
      <c r="AS182" s="923" t="s">
        <v>21</v>
      </c>
      <c r="AT182" s="923" t="s">
        <v>21</v>
      </c>
      <c r="AU182" s="923" t="s">
        <v>21</v>
      </c>
      <c r="AV182" s="924" t="s">
        <v>21</v>
      </c>
      <c r="AW182" s="924" t="s">
        <v>21</v>
      </c>
      <c r="AX182" s="924" t="s">
        <v>21</v>
      </c>
      <c r="AY182" s="924" t="s">
        <v>21</v>
      </c>
      <c r="AZ182" s="923" t="s">
        <v>21</v>
      </c>
      <c r="BA182" s="923"/>
      <c r="BB182" s="919" t="s">
        <v>21</v>
      </c>
      <c r="BC182" s="919" t="s">
        <v>21</v>
      </c>
      <c r="BD182" s="919" t="s">
        <v>21</v>
      </c>
      <c r="BE182" s="925" t="s">
        <v>21</v>
      </c>
      <c r="BF182" s="926" t="s">
        <v>21</v>
      </c>
      <c r="BG182" s="925" t="s">
        <v>21</v>
      </c>
      <c r="BH182" s="926" t="s">
        <v>21</v>
      </c>
      <c r="BI182" s="925" t="s">
        <v>21</v>
      </c>
      <c r="BJ182" s="926" t="s">
        <v>21</v>
      </c>
      <c r="BK182" s="925" t="s">
        <v>21</v>
      </c>
      <c r="BL182" s="926" t="s">
        <v>21</v>
      </c>
      <c r="BM182" s="925" t="s">
        <v>21</v>
      </c>
      <c r="BN182" s="927"/>
      <c r="BO182" s="927"/>
      <c r="BP182" s="928" t="s">
        <v>21</v>
      </c>
      <c r="BQ182" s="928" t="s">
        <v>21</v>
      </c>
      <c r="BR182" s="928" t="s">
        <v>21</v>
      </c>
      <c r="BS182" s="928" t="s">
        <v>21</v>
      </c>
      <c r="BT182" s="928" t="s">
        <v>21</v>
      </c>
      <c r="BU182" s="928" t="s">
        <v>21</v>
      </c>
      <c r="BV182" s="929" t="s">
        <v>21</v>
      </c>
      <c r="BW182" s="929" t="s">
        <v>21</v>
      </c>
      <c r="BX182" s="1104" t="s">
        <v>21</v>
      </c>
      <c r="BY182" s="931" t="s">
        <v>21</v>
      </c>
      <c r="BZ182" s="930"/>
      <c r="CA182" s="1074"/>
      <c r="CB182" s="930"/>
      <c r="CC182" s="930"/>
      <c r="CD182" s="925" t="s">
        <v>21</v>
      </c>
      <c r="CE182" s="1130" t="s">
        <v>21</v>
      </c>
      <c r="CF182" s="1129" t="s">
        <v>21</v>
      </c>
      <c r="CG182" s="1130" t="s">
        <v>21</v>
      </c>
      <c r="CH182" s="1130" t="s">
        <v>21</v>
      </c>
      <c r="CI182" s="1131" t="s">
        <v>21</v>
      </c>
      <c r="CJ182" s="1129" t="s">
        <v>21</v>
      </c>
      <c r="CK182" s="1130" t="s">
        <v>21</v>
      </c>
      <c r="CL182" s="1130" t="s">
        <v>21</v>
      </c>
      <c r="CM182" s="1131" t="s">
        <v>21</v>
      </c>
      <c r="CN182" s="1130" t="s">
        <v>21</v>
      </c>
      <c r="CP182" s="838" t="s">
        <v>21</v>
      </c>
      <c r="CQ182" s="838" t="s">
        <v>21</v>
      </c>
      <c r="CR182" s="836"/>
    </row>
    <row r="183" spans="1:96" x14ac:dyDescent="0.25">
      <c r="A183" s="935">
        <v>5</v>
      </c>
      <c r="B183" s="1180" t="s">
        <v>2235</v>
      </c>
      <c r="C183" s="935">
        <v>600</v>
      </c>
      <c r="D183" s="935" t="s">
        <v>2116</v>
      </c>
      <c r="E183" s="936">
        <v>1198.45</v>
      </c>
      <c r="F183" s="936">
        <v>1196.55</v>
      </c>
      <c r="G183" s="937" t="s">
        <v>2267</v>
      </c>
      <c r="H183" s="936">
        <v>1199.43</v>
      </c>
      <c r="I183" s="936">
        <v>1196.4459999999999</v>
      </c>
      <c r="J183" s="914">
        <v>20.74</v>
      </c>
      <c r="K183" s="915"/>
      <c r="L183" s="916">
        <v>0.1</v>
      </c>
      <c r="M183" s="916">
        <v>0.06</v>
      </c>
      <c r="N183" s="916">
        <v>0.2</v>
      </c>
      <c r="O183" s="916">
        <v>5.2010000000000005</v>
      </c>
      <c r="P183" s="915"/>
      <c r="Q183" s="916">
        <v>2.702</v>
      </c>
      <c r="R183" s="917">
        <v>0.33333333333333331</v>
      </c>
      <c r="S183" s="918">
        <v>1.4</v>
      </c>
      <c r="T183" s="918">
        <v>3.2010000000000001</v>
      </c>
      <c r="U183" s="916">
        <v>5.6959999999999997</v>
      </c>
      <c r="V183" s="916">
        <v>0.92</v>
      </c>
      <c r="W183" s="915"/>
      <c r="X183" s="916">
        <v>0.28299999999999997</v>
      </c>
      <c r="Y183" s="916">
        <v>0.40699999999999997</v>
      </c>
      <c r="Z183" s="916">
        <v>6.2160000000000002</v>
      </c>
      <c r="AA183" s="916">
        <v>1.0229999999999999</v>
      </c>
      <c r="AB183" s="916">
        <v>4.6459999999999999</v>
      </c>
      <c r="AC183" s="915"/>
      <c r="AD183" s="919">
        <v>107.869</v>
      </c>
      <c r="AE183" s="920">
        <v>128.91999999999999</v>
      </c>
      <c r="AF183" s="920" t="s">
        <v>21</v>
      </c>
      <c r="AG183" s="920" t="s">
        <v>21</v>
      </c>
      <c r="AH183" s="921">
        <v>128.91999999999999</v>
      </c>
      <c r="AI183" s="921" t="s">
        <v>21</v>
      </c>
      <c r="AJ183" s="920" t="s">
        <v>21</v>
      </c>
      <c r="AK183" s="920" t="s">
        <v>21</v>
      </c>
      <c r="AL183" s="921" t="s">
        <v>21</v>
      </c>
      <c r="AM183" s="921" t="s">
        <v>21</v>
      </c>
      <c r="AN183" s="920"/>
      <c r="AO183" s="920" t="s">
        <v>21</v>
      </c>
      <c r="AP183" s="919">
        <v>29.036000000000001</v>
      </c>
      <c r="AQ183" s="922">
        <v>118.13503999999999</v>
      </c>
      <c r="AR183" s="923" t="s">
        <v>21</v>
      </c>
      <c r="AS183" s="923">
        <v>118.13503999999999</v>
      </c>
      <c r="AT183" s="923" t="s">
        <v>21</v>
      </c>
      <c r="AU183" s="923" t="s">
        <v>21</v>
      </c>
      <c r="AV183" s="924" t="s">
        <v>21</v>
      </c>
      <c r="AW183" s="924" t="s">
        <v>21</v>
      </c>
      <c r="AX183" s="924" t="s">
        <v>21</v>
      </c>
      <c r="AY183" s="924" t="s">
        <v>21</v>
      </c>
      <c r="AZ183" s="923" t="s">
        <v>21</v>
      </c>
      <c r="BA183" s="923"/>
      <c r="BB183" s="919">
        <v>2.9039999999999999</v>
      </c>
      <c r="BC183" s="919" t="s">
        <v>21</v>
      </c>
      <c r="BD183" s="919" t="s">
        <v>2142</v>
      </c>
      <c r="BE183" s="925" t="s">
        <v>21</v>
      </c>
      <c r="BF183" s="926" t="s">
        <v>21</v>
      </c>
      <c r="BG183" s="925">
        <v>20.74</v>
      </c>
      <c r="BH183" s="926" t="s">
        <v>21</v>
      </c>
      <c r="BI183" s="925" t="s">
        <v>21</v>
      </c>
      <c r="BJ183" s="926" t="s">
        <v>21</v>
      </c>
      <c r="BK183" s="925" t="s">
        <v>21</v>
      </c>
      <c r="BL183" s="926" t="s">
        <v>21</v>
      </c>
      <c r="BM183" s="925" t="s">
        <v>21</v>
      </c>
      <c r="BN183" s="927"/>
      <c r="BO183" s="927"/>
      <c r="BP183" s="928">
        <v>1</v>
      </c>
      <c r="BQ183" s="928" t="s">
        <v>21</v>
      </c>
      <c r="BR183" s="928" t="s">
        <v>21</v>
      </c>
      <c r="BS183" s="928" t="s">
        <v>21</v>
      </c>
      <c r="BT183" s="928" t="s">
        <v>21</v>
      </c>
      <c r="BU183" s="928" t="s">
        <v>21</v>
      </c>
      <c r="BV183" s="929">
        <v>0.50000000000009104</v>
      </c>
      <c r="BW183" s="929">
        <v>1</v>
      </c>
      <c r="BX183" s="1104">
        <v>2</v>
      </c>
      <c r="BY183" s="931">
        <v>4</v>
      </c>
      <c r="BZ183" s="930">
        <v>1</v>
      </c>
      <c r="CA183" s="1074"/>
      <c r="CB183" s="930"/>
      <c r="CC183" s="930"/>
      <c r="CD183" s="925">
        <v>21.216999999999999</v>
      </c>
      <c r="CE183" s="1130">
        <v>96.358000000000004</v>
      </c>
      <c r="CF183" s="1129" t="s">
        <v>21</v>
      </c>
      <c r="CG183" s="1130" t="s">
        <v>21</v>
      </c>
      <c r="CH183" s="1130" t="s">
        <v>21</v>
      </c>
      <c r="CI183" s="1131" t="s">
        <v>21</v>
      </c>
      <c r="CJ183" s="1129" t="s">
        <v>21</v>
      </c>
      <c r="CK183" s="1130">
        <v>96.358000000000004</v>
      </c>
      <c r="CL183" s="1130" t="s">
        <v>21</v>
      </c>
      <c r="CM183" s="1131" t="s">
        <v>21</v>
      </c>
      <c r="CN183" s="1130" t="s">
        <v>21</v>
      </c>
      <c r="CP183" s="838" t="s">
        <v>21</v>
      </c>
      <c r="CQ183" s="838" t="s">
        <v>21</v>
      </c>
      <c r="CR183" s="836"/>
    </row>
    <row r="184" spans="1:96" x14ac:dyDescent="0.25">
      <c r="A184" s="935" t="s">
        <v>3060</v>
      </c>
      <c r="B184" s="1180" t="s">
        <v>2267</v>
      </c>
      <c r="C184" s="935">
        <v>600</v>
      </c>
      <c r="D184" s="935" t="s">
        <v>2116</v>
      </c>
      <c r="E184" s="936">
        <v>1199.43</v>
      </c>
      <c r="F184" s="936">
        <v>1196.4459999999999</v>
      </c>
      <c r="G184" s="1180" t="s">
        <v>2254</v>
      </c>
      <c r="H184" s="936">
        <v>1199.6199999999999</v>
      </c>
      <c r="I184" s="936">
        <v>1196.249</v>
      </c>
      <c r="J184" s="914">
        <v>39.49</v>
      </c>
      <c r="K184" s="915"/>
      <c r="L184" s="916">
        <v>0.1</v>
      </c>
      <c r="M184" s="916">
        <v>0.06</v>
      </c>
      <c r="N184" s="916">
        <v>0.2</v>
      </c>
      <c r="O184" s="916">
        <v>5.6920000000000002</v>
      </c>
      <c r="P184" s="915"/>
      <c r="Q184" s="916">
        <v>3.4380000000000002</v>
      </c>
      <c r="R184" s="917">
        <v>0.33333333333333331</v>
      </c>
      <c r="S184" s="918">
        <v>1.4</v>
      </c>
      <c r="T184" s="918">
        <v>3.6920000000000002</v>
      </c>
      <c r="U184" s="916">
        <v>7.2480000000000002</v>
      </c>
      <c r="V184" s="916">
        <v>0.92</v>
      </c>
      <c r="W184" s="915"/>
      <c r="X184" s="916">
        <v>0.28299999999999997</v>
      </c>
      <c r="Y184" s="916">
        <v>0.40699999999999997</v>
      </c>
      <c r="Z184" s="916">
        <v>8.7530000000000001</v>
      </c>
      <c r="AA184" s="916">
        <v>1.0229999999999999</v>
      </c>
      <c r="AB184" s="916">
        <v>7.1829999999999998</v>
      </c>
      <c r="AC184" s="915"/>
      <c r="AD184" s="919">
        <v>224.77699999999999</v>
      </c>
      <c r="AE184" s="920">
        <v>345.65600000000001</v>
      </c>
      <c r="AF184" s="920" t="s">
        <v>21</v>
      </c>
      <c r="AG184" s="920" t="s">
        <v>21</v>
      </c>
      <c r="AH184" s="921" t="s">
        <v>21</v>
      </c>
      <c r="AI184" s="921" t="s">
        <v>21</v>
      </c>
      <c r="AJ184" s="920">
        <v>345.65600000000001</v>
      </c>
      <c r="AK184" s="920" t="s">
        <v>21</v>
      </c>
      <c r="AL184" s="921" t="s">
        <v>21</v>
      </c>
      <c r="AM184" s="921" t="s">
        <v>21</v>
      </c>
      <c r="AN184" s="920"/>
      <c r="AO184" s="920" t="s">
        <v>21</v>
      </c>
      <c r="AP184" s="919">
        <v>55.286000000000001</v>
      </c>
      <c r="AQ184" s="922">
        <v>286.22352000000001</v>
      </c>
      <c r="AR184" s="923" t="s">
        <v>21</v>
      </c>
      <c r="AS184" s="923" t="s">
        <v>21</v>
      </c>
      <c r="AT184" s="923">
        <v>286.22352000000001</v>
      </c>
      <c r="AU184" s="923" t="s">
        <v>21</v>
      </c>
      <c r="AV184" s="924" t="s">
        <v>21</v>
      </c>
      <c r="AW184" s="924" t="s">
        <v>21</v>
      </c>
      <c r="AX184" s="924" t="s">
        <v>21</v>
      </c>
      <c r="AY184" s="924" t="s">
        <v>21</v>
      </c>
      <c r="AZ184" s="923" t="s">
        <v>21</v>
      </c>
      <c r="BA184" s="923"/>
      <c r="BB184" s="919">
        <v>5.5289999999999999</v>
      </c>
      <c r="BC184" s="919" t="s">
        <v>21</v>
      </c>
      <c r="BD184" s="919" t="s">
        <v>2152</v>
      </c>
      <c r="BE184" s="925" t="s">
        <v>21</v>
      </c>
      <c r="BF184" s="926" t="s">
        <v>21</v>
      </c>
      <c r="BG184" s="925">
        <v>39.49</v>
      </c>
      <c r="BH184" s="926" t="s">
        <v>21</v>
      </c>
      <c r="BI184" s="925" t="s">
        <v>21</v>
      </c>
      <c r="BJ184" s="926" t="s">
        <v>21</v>
      </c>
      <c r="BK184" s="925" t="s">
        <v>21</v>
      </c>
      <c r="BL184" s="926" t="s">
        <v>21</v>
      </c>
      <c r="BM184" s="925" t="s">
        <v>21</v>
      </c>
      <c r="BN184" s="927"/>
      <c r="BO184" s="927"/>
      <c r="BP184" s="928">
        <v>1</v>
      </c>
      <c r="BQ184" s="928" t="s">
        <v>21</v>
      </c>
      <c r="BR184" s="928" t="s">
        <v>21</v>
      </c>
      <c r="BS184" s="928" t="s">
        <v>21</v>
      </c>
      <c r="BT184" s="928" t="s">
        <v>21</v>
      </c>
      <c r="BU184" s="928" t="s">
        <v>21</v>
      </c>
      <c r="BV184" s="929">
        <v>1.5840000000001511</v>
      </c>
      <c r="BW184" s="929">
        <v>2</v>
      </c>
      <c r="BX184" s="1104">
        <v>4</v>
      </c>
      <c r="BY184" s="931">
        <v>6</v>
      </c>
      <c r="BZ184" s="930"/>
      <c r="CA184" s="1074">
        <v>1</v>
      </c>
      <c r="CB184" s="930"/>
      <c r="CC184" s="930"/>
      <c r="CD184" s="925">
        <v>40.398000000000003</v>
      </c>
      <c r="CE184" s="1130">
        <v>283.65699999999998</v>
      </c>
      <c r="CF184" s="1129" t="s">
        <v>21</v>
      </c>
      <c r="CG184" s="1130" t="s">
        <v>21</v>
      </c>
      <c r="CH184" s="1130" t="s">
        <v>21</v>
      </c>
      <c r="CI184" s="1131" t="s">
        <v>21</v>
      </c>
      <c r="CJ184" s="1129" t="s">
        <v>21</v>
      </c>
      <c r="CK184" s="1130" t="s">
        <v>21</v>
      </c>
      <c r="CL184" s="1130" t="s">
        <v>21</v>
      </c>
      <c r="CM184" s="1131" t="s">
        <v>21</v>
      </c>
      <c r="CN184" s="1130">
        <v>283.65699999999998</v>
      </c>
      <c r="CP184" s="838" t="s">
        <v>21</v>
      </c>
      <c r="CQ184" s="838" t="s">
        <v>21</v>
      </c>
      <c r="CR184" s="836"/>
    </row>
    <row r="185" spans="1:96" x14ac:dyDescent="0.25">
      <c r="A185" s="935" t="s">
        <v>3065</v>
      </c>
      <c r="B185" s="1180"/>
      <c r="C185" s="935"/>
      <c r="D185" s="935"/>
      <c r="E185" s="936"/>
      <c r="F185" s="936"/>
      <c r="G185" s="1180"/>
      <c r="H185" s="936"/>
      <c r="I185" s="936"/>
      <c r="J185" s="914"/>
      <c r="K185" s="915"/>
      <c r="L185" s="916" t="s">
        <v>21</v>
      </c>
      <c r="M185" s="916" t="s">
        <v>21</v>
      </c>
      <c r="N185" s="916" t="s">
        <v>21</v>
      </c>
      <c r="O185" s="916" t="s">
        <v>21</v>
      </c>
      <c r="P185" s="915"/>
      <c r="Q185" s="916" t="s">
        <v>21</v>
      </c>
      <c r="R185" s="917" t="s">
        <v>21</v>
      </c>
      <c r="S185" s="918" t="s">
        <v>21</v>
      </c>
      <c r="T185" s="918" t="s">
        <v>21</v>
      </c>
      <c r="U185" s="916" t="s">
        <v>21</v>
      </c>
      <c r="V185" s="916" t="s">
        <v>21</v>
      </c>
      <c r="W185" s="915"/>
      <c r="X185" s="916" t="s">
        <v>21</v>
      </c>
      <c r="Y185" s="916" t="s">
        <v>21</v>
      </c>
      <c r="Z185" s="916" t="s">
        <v>21</v>
      </c>
      <c r="AA185" s="916" t="s">
        <v>21</v>
      </c>
      <c r="AB185" s="916" t="s">
        <v>21</v>
      </c>
      <c r="AC185" s="915"/>
      <c r="AD185" s="919" t="s">
        <v>21</v>
      </c>
      <c r="AE185" s="920" t="s">
        <v>21</v>
      </c>
      <c r="AF185" s="920" t="s">
        <v>21</v>
      </c>
      <c r="AG185" s="920" t="s">
        <v>21</v>
      </c>
      <c r="AH185" s="921" t="s">
        <v>21</v>
      </c>
      <c r="AI185" s="921" t="s">
        <v>21</v>
      </c>
      <c r="AJ185" s="920" t="s">
        <v>21</v>
      </c>
      <c r="AK185" s="920" t="s">
        <v>21</v>
      </c>
      <c r="AL185" s="921" t="s">
        <v>21</v>
      </c>
      <c r="AM185" s="921" t="s">
        <v>21</v>
      </c>
      <c r="AN185" s="920"/>
      <c r="AO185" s="920" t="s">
        <v>21</v>
      </c>
      <c r="AP185" s="919" t="s">
        <v>21</v>
      </c>
      <c r="AQ185" s="922" t="s">
        <v>21</v>
      </c>
      <c r="AR185" s="923" t="s">
        <v>21</v>
      </c>
      <c r="AS185" s="923" t="s">
        <v>21</v>
      </c>
      <c r="AT185" s="923" t="s">
        <v>21</v>
      </c>
      <c r="AU185" s="923" t="s">
        <v>21</v>
      </c>
      <c r="AV185" s="924" t="s">
        <v>21</v>
      </c>
      <c r="AW185" s="924" t="s">
        <v>21</v>
      </c>
      <c r="AX185" s="924" t="s">
        <v>21</v>
      </c>
      <c r="AY185" s="924" t="s">
        <v>21</v>
      </c>
      <c r="AZ185" s="923" t="s">
        <v>21</v>
      </c>
      <c r="BA185" s="923"/>
      <c r="BB185" s="919" t="s">
        <v>21</v>
      </c>
      <c r="BC185" s="919" t="s">
        <v>21</v>
      </c>
      <c r="BD185" s="919" t="s">
        <v>21</v>
      </c>
      <c r="BE185" s="925" t="s">
        <v>21</v>
      </c>
      <c r="BF185" s="926" t="s">
        <v>21</v>
      </c>
      <c r="BG185" s="925" t="s">
        <v>21</v>
      </c>
      <c r="BH185" s="926" t="s">
        <v>21</v>
      </c>
      <c r="BI185" s="925" t="s">
        <v>21</v>
      </c>
      <c r="BJ185" s="926" t="s">
        <v>21</v>
      </c>
      <c r="BK185" s="925" t="s">
        <v>21</v>
      </c>
      <c r="BL185" s="926" t="s">
        <v>21</v>
      </c>
      <c r="BM185" s="925" t="s">
        <v>21</v>
      </c>
      <c r="BN185" s="927"/>
      <c r="BO185" s="927"/>
      <c r="BP185" s="928" t="s">
        <v>21</v>
      </c>
      <c r="BQ185" s="928" t="s">
        <v>21</v>
      </c>
      <c r="BR185" s="928" t="s">
        <v>21</v>
      </c>
      <c r="BS185" s="928" t="s">
        <v>21</v>
      </c>
      <c r="BT185" s="928" t="s">
        <v>21</v>
      </c>
      <c r="BU185" s="928" t="s">
        <v>21</v>
      </c>
      <c r="BV185" s="929" t="s">
        <v>21</v>
      </c>
      <c r="BW185" s="929" t="s">
        <v>21</v>
      </c>
      <c r="BX185" s="1104" t="s">
        <v>21</v>
      </c>
      <c r="BY185" s="931" t="s">
        <v>21</v>
      </c>
      <c r="BZ185" s="930"/>
      <c r="CA185" s="1074"/>
      <c r="CB185" s="930"/>
      <c r="CC185" s="930"/>
      <c r="CD185" s="925" t="s">
        <v>21</v>
      </c>
      <c r="CE185" s="1130" t="s">
        <v>21</v>
      </c>
      <c r="CF185" s="1129" t="s">
        <v>21</v>
      </c>
      <c r="CG185" s="1130" t="s">
        <v>21</v>
      </c>
      <c r="CH185" s="1130" t="s">
        <v>21</v>
      </c>
      <c r="CI185" s="1131" t="s">
        <v>21</v>
      </c>
      <c r="CJ185" s="1129" t="s">
        <v>21</v>
      </c>
      <c r="CK185" s="1130" t="s">
        <v>21</v>
      </c>
      <c r="CL185" s="1130" t="s">
        <v>21</v>
      </c>
      <c r="CM185" s="1131" t="s">
        <v>21</v>
      </c>
      <c r="CN185" s="1130" t="s">
        <v>21</v>
      </c>
      <c r="CP185" s="838" t="s">
        <v>21</v>
      </c>
      <c r="CQ185" s="838" t="s">
        <v>21</v>
      </c>
      <c r="CR185" s="836"/>
    </row>
    <row r="186" spans="1:96" x14ac:dyDescent="0.25">
      <c r="A186" s="935" t="s">
        <v>3075</v>
      </c>
      <c r="B186" s="1180"/>
      <c r="C186" s="935"/>
      <c r="D186" s="935"/>
      <c r="E186" s="936"/>
      <c r="F186" s="936"/>
      <c r="G186" s="937"/>
      <c r="H186" s="936"/>
      <c r="I186" s="936"/>
      <c r="J186" s="914"/>
      <c r="K186" s="915"/>
      <c r="L186" s="916" t="s">
        <v>21</v>
      </c>
      <c r="M186" s="916" t="s">
        <v>21</v>
      </c>
      <c r="N186" s="916" t="s">
        <v>21</v>
      </c>
      <c r="O186" s="916" t="s">
        <v>21</v>
      </c>
      <c r="P186" s="915"/>
      <c r="Q186" s="916" t="s">
        <v>21</v>
      </c>
      <c r="R186" s="917" t="s">
        <v>21</v>
      </c>
      <c r="S186" s="918" t="s">
        <v>21</v>
      </c>
      <c r="T186" s="918" t="s">
        <v>21</v>
      </c>
      <c r="U186" s="916" t="s">
        <v>21</v>
      </c>
      <c r="V186" s="916" t="s">
        <v>21</v>
      </c>
      <c r="W186" s="915"/>
      <c r="X186" s="916" t="s">
        <v>21</v>
      </c>
      <c r="Y186" s="916" t="s">
        <v>21</v>
      </c>
      <c r="Z186" s="916" t="s">
        <v>21</v>
      </c>
      <c r="AA186" s="916" t="s">
        <v>21</v>
      </c>
      <c r="AB186" s="916" t="s">
        <v>21</v>
      </c>
      <c r="AC186" s="915"/>
      <c r="AD186" s="919" t="s">
        <v>21</v>
      </c>
      <c r="AE186" s="920" t="s">
        <v>21</v>
      </c>
      <c r="AF186" s="920" t="s">
        <v>21</v>
      </c>
      <c r="AG186" s="920" t="s">
        <v>21</v>
      </c>
      <c r="AH186" s="921" t="s">
        <v>21</v>
      </c>
      <c r="AI186" s="921" t="s">
        <v>21</v>
      </c>
      <c r="AJ186" s="920" t="s">
        <v>21</v>
      </c>
      <c r="AK186" s="920" t="s">
        <v>21</v>
      </c>
      <c r="AL186" s="921" t="s">
        <v>21</v>
      </c>
      <c r="AM186" s="921" t="s">
        <v>21</v>
      </c>
      <c r="AN186" s="920"/>
      <c r="AO186" s="920" t="s">
        <v>21</v>
      </c>
      <c r="AP186" s="919" t="s">
        <v>21</v>
      </c>
      <c r="AQ186" s="922" t="s">
        <v>21</v>
      </c>
      <c r="AR186" s="923" t="s">
        <v>21</v>
      </c>
      <c r="AS186" s="923" t="s">
        <v>21</v>
      </c>
      <c r="AT186" s="923" t="s">
        <v>21</v>
      </c>
      <c r="AU186" s="923" t="s">
        <v>21</v>
      </c>
      <c r="AV186" s="924" t="s">
        <v>21</v>
      </c>
      <c r="AW186" s="924" t="s">
        <v>21</v>
      </c>
      <c r="AX186" s="924" t="s">
        <v>21</v>
      </c>
      <c r="AY186" s="924" t="s">
        <v>21</v>
      </c>
      <c r="AZ186" s="923" t="s">
        <v>21</v>
      </c>
      <c r="BA186" s="923"/>
      <c r="BB186" s="919" t="s">
        <v>21</v>
      </c>
      <c r="BC186" s="919" t="s">
        <v>21</v>
      </c>
      <c r="BD186" s="919" t="s">
        <v>21</v>
      </c>
      <c r="BE186" s="925" t="s">
        <v>21</v>
      </c>
      <c r="BF186" s="926" t="s">
        <v>21</v>
      </c>
      <c r="BG186" s="925" t="s">
        <v>21</v>
      </c>
      <c r="BH186" s="926" t="s">
        <v>21</v>
      </c>
      <c r="BI186" s="925" t="s">
        <v>21</v>
      </c>
      <c r="BJ186" s="926" t="s">
        <v>21</v>
      </c>
      <c r="BK186" s="925" t="s">
        <v>21</v>
      </c>
      <c r="BL186" s="926" t="s">
        <v>21</v>
      </c>
      <c r="BM186" s="925" t="s">
        <v>21</v>
      </c>
      <c r="BN186" s="927"/>
      <c r="BO186" s="927"/>
      <c r="BP186" s="928" t="s">
        <v>21</v>
      </c>
      <c r="BQ186" s="928" t="s">
        <v>21</v>
      </c>
      <c r="BR186" s="928" t="s">
        <v>21</v>
      </c>
      <c r="BS186" s="928" t="s">
        <v>21</v>
      </c>
      <c r="BT186" s="928" t="s">
        <v>21</v>
      </c>
      <c r="BU186" s="928" t="s">
        <v>21</v>
      </c>
      <c r="BV186" s="929" t="s">
        <v>21</v>
      </c>
      <c r="BW186" s="929" t="s">
        <v>21</v>
      </c>
      <c r="BX186" s="1104" t="s">
        <v>21</v>
      </c>
      <c r="BY186" s="931" t="s">
        <v>21</v>
      </c>
      <c r="BZ186" s="930"/>
      <c r="CA186" s="1074"/>
      <c r="CB186" s="930"/>
      <c r="CC186" s="930"/>
      <c r="CD186" s="925" t="s">
        <v>21</v>
      </c>
      <c r="CE186" s="1130" t="s">
        <v>21</v>
      </c>
      <c r="CF186" s="1129" t="s">
        <v>21</v>
      </c>
      <c r="CG186" s="1130" t="s">
        <v>21</v>
      </c>
      <c r="CH186" s="1130" t="s">
        <v>21</v>
      </c>
      <c r="CI186" s="1131" t="s">
        <v>21</v>
      </c>
      <c r="CJ186" s="1129" t="s">
        <v>21</v>
      </c>
      <c r="CK186" s="1130" t="s">
        <v>21</v>
      </c>
      <c r="CL186" s="1130" t="s">
        <v>21</v>
      </c>
      <c r="CM186" s="1131" t="s">
        <v>21</v>
      </c>
      <c r="CN186" s="1130" t="s">
        <v>21</v>
      </c>
      <c r="CP186" s="838" t="s">
        <v>21</v>
      </c>
      <c r="CQ186" s="838" t="s">
        <v>21</v>
      </c>
      <c r="CR186" s="836"/>
    </row>
    <row r="187" spans="1:96" x14ac:dyDescent="0.25">
      <c r="A187" s="935"/>
      <c r="B187" s="1180"/>
      <c r="C187" s="935"/>
      <c r="D187" s="935"/>
      <c r="E187" s="936"/>
      <c r="F187" s="936"/>
      <c r="G187" s="937"/>
      <c r="H187" s="936"/>
      <c r="I187" s="936"/>
      <c r="J187" s="914"/>
      <c r="K187" s="915"/>
      <c r="L187" s="916" t="s">
        <v>21</v>
      </c>
      <c r="M187" s="916" t="s">
        <v>21</v>
      </c>
      <c r="N187" s="916" t="s">
        <v>21</v>
      </c>
      <c r="O187" s="916" t="s">
        <v>21</v>
      </c>
      <c r="P187" s="915"/>
      <c r="Q187" s="916" t="s">
        <v>21</v>
      </c>
      <c r="R187" s="917" t="s">
        <v>21</v>
      </c>
      <c r="S187" s="918" t="s">
        <v>21</v>
      </c>
      <c r="T187" s="918" t="s">
        <v>21</v>
      </c>
      <c r="U187" s="916" t="s">
        <v>21</v>
      </c>
      <c r="V187" s="916" t="s">
        <v>21</v>
      </c>
      <c r="W187" s="915"/>
      <c r="X187" s="916" t="s">
        <v>21</v>
      </c>
      <c r="Y187" s="916" t="s">
        <v>21</v>
      </c>
      <c r="Z187" s="916" t="s">
        <v>21</v>
      </c>
      <c r="AA187" s="916" t="s">
        <v>21</v>
      </c>
      <c r="AB187" s="916" t="s">
        <v>21</v>
      </c>
      <c r="AC187" s="915"/>
      <c r="AD187" s="919" t="s">
        <v>21</v>
      </c>
      <c r="AE187" s="920" t="s">
        <v>21</v>
      </c>
      <c r="AF187" s="920" t="s">
        <v>21</v>
      </c>
      <c r="AG187" s="920" t="s">
        <v>21</v>
      </c>
      <c r="AH187" s="921" t="s">
        <v>21</v>
      </c>
      <c r="AI187" s="921" t="s">
        <v>21</v>
      </c>
      <c r="AJ187" s="920" t="s">
        <v>21</v>
      </c>
      <c r="AK187" s="920" t="s">
        <v>21</v>
      </c>
      <c r="AL187" s="921" t="s">
        <v>21</v>
      </c>
      <c r="AM187" s="921" t="s">
        <v>21</v>
      </c>
      <c r="AN187" s="920"/>
      <c r="AO187" s="920" t="s">
        <v>21</v>
      </c>
      <c r="AP187" s="919" t="s">
        <v>21</v>
      </c>
      <c r="AQ187" s="922" t="s">
        <v>21</v>
      </c>
      <c r="AR187" s="923" t="s">
        <v>21</v>
      </c>
      <c r="AS187" s="923" t="s">
        <v>21</v>
      </c>
      <c r="AT187" s="923" t="s">
        <v>21</v>
      </c>
      <c r="AU187" s="923" t="s">
        <v>21</v>
      </c>
      <c r="AV187" s="924" t="s">
        <v>21</v>
      </c>
      <c r="AW187" s="924" t="s">
        <v>21</v>
      </c>
      <c r="AX187" s="924" t="s">
        <v>21</v>
      </c>
      <c r="AY187" s="924" t="s">
        <v>21</v>
      </c>
      <c r="AZ187" s="923" t="s">
        <v>21</v>
      </c>
      <c r="BA187" s="923"/>
      <c r="BB187" s="919" t="s">
        <v>21</v>
      </c>
      <c r="BC187" s="919" t="s">
        <v>21</v>
      </c>
      <c r="BD187" s="919" t="s">
        <v>21</v>
      </c>
      <c r="BE187" s="925" t="s">
        <v>21</v>
      </c>
      <c r="BF187" s="926" t="s">
        <v>21</v>
      </c>
      <c r="BG187" s="925" t="s">
        <v>21</v>
      </c>
      <c r="BH187" s="926" t="s">
        <v>21</v>
      </c>
      <c r="BI187" s="925" t="s">
        <v>21</v>
      </c>
      <c r="BJ187" s="926" t="s">
        <v>21</v>
      </c>
      <c r="BK187" s="925" t="s">
        <v>21</v>
      </c>
      <c r="BL187" s="926" t="s">
        <v>21</v>
      </c>
      <c r="BM187" s="925" t="s">
        <v>21</v>
      </c>
      <c r="BN187" s="927"/>
      <c r="BO187" s="927"/>
      <c r="BP187" s="928" t="s">
        <v>21</v>
      </c>
      <c r="BQ187" s="928" t="s">
        <v>21</v>
      </c>
      <c r="BR187" s="928" t="s">
        <v>21</v>
      </c>
      <c r="BS187" s="928" t="s">
        <v>21</v>
      </c>
      <c r="BT187" s="928" t="s">
        <v>21</v>
      </c>
      <c r="BU187" s="928" t="s">
        <v>21</v>
      </c>
      <c r="BV187" s="929" t="s">
        <v>21</v>
      </c>
      <c r="BW187" s="929" t="s">
        <v>21</v>
      </c>
      <c r="BX187" s="1104" t="s">
        <v>21</v>
      </c>
      <c r="BY187" s="931" t="s">
        <v>21</v>
      </c>
      <c r="BZ187" s="930"/>
      <c r="CA187" s="1074"/>
      <c r="CB187" s="930"/>
      <c r="CC187" s="930"/>
      <c r="CD187" s="925" t="s">
        <v>21</v>
      </c>
      <c r="CE187" s="1130" t="s">
        <v>21</v>
      </c>
      <c r="CF187" s="1129" t="s">
        <v>21</v>
      </c>
      <c r="CG187" s="1130" t="s">
        <v>21</v>
      </c>
      <c r="CH187" s="1130" t="s">
        <v>21</v>
      </c>
      <c r="CI187" s="1131" t="s">
        <v>21</v>
      </c>
      <c r="CJ187" s="1129" t="s">
        <v>21</v>
      </c>
      <c r="CK187" s="1130" t="s">
        <v>21</v>
      </c>
      <c r="CL187" s="1130" t="s">
        <v>21</v>
      </c>
      <c r="CM187" s="1131" t="s">
        <v>21</v>
      </c>
      <c r="CN187" s="1130" t="s">
        <v>21</v>
      </c>
      <c r="CP187" s="838" t="s">
        <v>21</v>
      </c>
      <c r="CQ187" s="838" t="s">
        <v>21</v>
      </c>
      <c r="CR187" s="836"/>
    </row>
    <row r="188" spans="1:96" s="1097" customFormat="1" x14ac:dyDescent="0.25">
      <c r="A188" s="1079" t="s">
        <v>3080</v>
      </c>
      <c r="B188" s="1078"/>
      <c r="C188" s="1076"/>
      <c r="D188" s="1076"/>
      <c r="E188" s="1077"/>
      <c r="F188" s="1077"/>
      <c r="G188" s="1078"/>
      <c r="H188" s="1077"/>
      <c r="I188" s="1077"/>
      <c r="J188" s="1080">
        <v>756.81999999999982</v>
      </c>
      <c r="K188" s="1081"/>
      <c r="L188" s="1082"/>
      <c r="M188" s="1082"/>
      <c r="N188" s="1082"/>
      <c r="O188" s="1082"/>
      <c r="P188" s="1081"/>
      <c r="Q188" s="1082"/>
      <c r="R188" s="1083"/>
      <c r="S188" s="976"/>
      <c r="T188" s="976"/>
      <c r="U188" s="1082"/>
      <c r="V188" s="1082"/>
      <c r="W188" s="1081"/>
      <c r="X188" s="1082"/>
      <c r="Y188" s="1082"/>
      <c r="Z188" s="1082"/>
      <c r="AA188" s="1082"/>
      <c r="AB188" s="1082"/>
      <c r="AC188" s="1081"/>
      <c r="AD188" s="1084">
        <v>3892.7570000000005</v>
      </c>
      <c r="AE188" s="1085">
        <v>4422.7689999999993</v>
      </c>
      <c r="AF188" s="1085">
        <v>41.042999999999999</v>
      </c>
      <c r="AG188" s="1085">
        <v>0</v>
      </c>
      <c r="AH188" s="1086">
        <v>2311.6570000000002</v>
      </c>
      <c r="AI188" s="1086">
        <v>1724.4129999999998</v>
      </c>
      <c r="AJ188" s="1085">
        <v>345.65600000000001</v>
      </c>
      <c r="AK188" s="1085">
        <v>0</v>
      </c>
      <c r="AL188" s="1086">
        <v>0</v>
      </c>
      <c r="AM188" s="1086">
        <v>0</v>
      </c>
      <c r="AN188" s="1085">
        <v>0</v>
      </c>
      <c r="AO188" s="1085">
        <v>0</v>
      </c>
      <c r="AP188" s="1084">
        <v>1128.068</v>
      </c>
      <c r="AQ188" s="1087" t="s">
        <v>21</v>
      </c>
      <c r="AR188" s="1088">
        <v>47.984310000000001</v>
      </c>
      <c r="AS188" s="1088">
        <v>2253.4896400000002</v>
      </c>
      <c r="AT188" s="1088">
        <v>286.22352000000001</v>
      </c>
      <c r="AU188" s="1088">
        <v>0</v>
      </c>
      <c r="AV188" s="1089">
        <v>0</v>
      </c>
      <c r="AW188" s="1089">
        <v>1368.5897399999999</v>
      </c>
      <c r="AX188" s="1089">
        <v>0</v>
      </c>
      <c r="AY188" s="1089">
        <v>0</v>
      </c>
      <c r="AZ188" s="1088">
        <v>0</v>
      </c>
      <c r="BA188" s="1088">
        <v>0</v>
      </c>
      <c r="BB188" s="1084">
        <v>73.97999999999999</v>
      </c>
      <c r="BC188" s="1084">
        <v>58.241999999999997</v>
      </c>
      <c r="BD188" s="1090"/>
      <c r="BE188" s="1088">
        <v>0</v>
      </c>
      <c r="BF188" s="1089">
        <v>0</v>
      </c>
      <c r="BG188" s="1088">
        <v>528.42000000000007</v>
      </c>
      <c r="BH188" s="1089">
        <v>228.4</v>
      </c>
      <c r="BI188" s="1088">
        <v>0</v>
      </c>
      <c r="BJ188" s="1089">
        <v>0</v>
      </c>
      <c r="BK188" s="1088">
        <v>0</v>
      </c>
      <c r="BL188" s="1089">
        <v>0</v>
      </c>
      <c r="BM188" s="1088">
        <v>0</v>
      </c>
      <c r="BN188" s="1091">
        <v>0</v>
      </c>
      <c r="BO188" s="1091">
        <v>0</v>
      </c>
      <c r="BP188" s="1092">
        <v>15</v>
      </c>
      <c r="BQ188" s="1092">
        <v>6</v>
      </c>
      <c r="BR188" s="1092">
        <v>0</v>
      </c>
      <c r="BS188" s="1092">
        <v>0</v>
      </c>
      <c r="BT188" s="1092">
        <v>0</v>
      </c>
      <c r="BU188" s="1092">
        <v>0</v>
      </c>
      <c r="BV188" s="1093">
        <v>16.196999999999658</v>
      </c>
      <c r="BW188" s="1093">
        <v>24</v>
      </c>
      <c r="BX188" s="1105">
        <v>48</v>
      </c>
      <c r="BY188" s="1095">
        <v>88</v>
      </c>
      <c r="BZ188" s="1094">
        <v>22</v>
      </c>
      <c r="CA188" s="1094">
        <v>6</v>
      </c>
      <c r="CB188" s="1094">
        <v>3</v>
      </c>
      <c r="CC188" s="1094">
        <v>0</v>
      </c>
      <c r="CD188" s="1088">
        <v>868.09800000000018</v>
      </c>
      <c r="CE188" s="1133">
        <v>3044.761</v>
      </c>
      <c r="CF188" s="1132">
        <v>0</v>
      </c>
      <c r="CG188" s="1133">
        <v>0</v>
      </c>
      <c r="CH188" s="1133">
        <v>0</v>
      </c>
      <c r="CI188" s="1134">
        <v>0</v>
      </c>
      <c r="CJ188" s="1132">
        <v>11.512</v>
      </c>
      <c r="CK188" s="1133">
        <v>1634.7249999999999</v>
      </c>
      <c r="CL188" s="1133">
        <v>0</v>
      </c>
      <c r="CM188" s="1134">
        <v>0</v>
      </c>
      <c r="CN188" s="1133">
        <v>1398.5239999999999</v>
      </c>
      <c r="CO188" s="1096"/>
      <c r="CP188" s="1096" t="s">
        <v>21</v>
      </c>
      <c r="CQ188" s="1096" t="s">
        <v>21</v>
      </c>
    </row>
    <row r="189" spans="1:96" x14ac:dyDescent="0.25">
      <c r="A189" s="935"/>
      <c r="B189" s="932"/>
      <c r="C189" s="911"/>
      <c r="D189" s="911"/>
      <c r="E189" s="912"/>
      <c r="F189" s="912"/>
      <c r="G189" s="910"/>
      <c r="H189" s="912"/>
      <c r="I189" s="912"/>
      <c r="J189" s="914"/>
      <c r="K189" s="915"/>
      <c r="L189" s="916" t="s">
        <v>21</v>
      </c>
      <c r="M189" s="916" t="s">
        <v>21</v>
      </c>
      <c r="N189" s="916" t="s">
        <v>21</v>
      </c>
      <c r="O189" s="916" t="s">
        <v>21</v>
      </c>
      <c r="P189" s="915"/>
      <c r="Q189" s="916" t="s">
        <v>21</v>
      </c>
      <c r="R189" s="917" t="s">
        <v>21</v>
      </c>
      <c r="S189" s="918" t="s">
        <v>21</v>
      </c>
      <c r="T189" s="918" t="s">
        <v>21</v>
      </c>
      <c r="U189" s="916" t="s">
        <v>21</v>
      </c>
      <c r="V189" s="916" t="s">
        <v>21</v>
      </c>
      <c r="W189" s="915"/>
      <c r="X189" s="916" t="s">
        <v>21</v>
      </c>
      <c r="Y189" s="916" t="s">
        <v>21</v>
      </c>
      <c r="Z189" s="916" t="s">
        <v>21</v>
      </c>
      <c r="AA189" s="916" t="s">
        <v>21</v>
      </c>
      <c r="AB189" s="916" t="s">
        <v>21</v>
      </c>
      <c r="AC189" s="915"/>
      <c r="AD189" s="919" t="s">
        <v>21</v>
      </c>
      <c r="AE189" s="920" t="s">
        <v>21</v>
      </c>
      <c r="AF189" s="920" t="s">
        <v>21</v>
      </c>
      <c r="AG189" s="920" t="s">
        <v>21</v>
      </c>
      <c r="AH189" s="921" t="s">
        <v>21</v>
      </c>
      <c r="AI189" s="921" t="s">
        <v>21</v>
      </c>
      <c r="AJ189" s="920" t="s">
        <v>21</v>
      </c>
      <c r="AK189" s="920" t="s">
        <v>21</v>
      </c>
      <c r="AL189" s="921" t="s">
        <v>21</v>
      </c>
      <c r="AM189" s="921" t="s">
        <v>21</v>
      </c>
      <c r="AN189" s="920"/>
      <c r="AO189" s="920" t="s">
        <v>21</v>
      </c>
      <c r="AP189" s="919" t="s">
        <v>21</v>
      </c>
      <c r="AQ189" s="922" t="s">
        <v>21</v>
      </c>
      <c r="AR189" s="923" t="s">
        <v>21</v>
      </c>
      <c r="AS189" s="923" t="s">
        <v>21</v>
      </c>
      <c r="AT189" s="923" t="s">
        <v>21</v>
      </c>
      <c r="AU189" s="923" t="s">
        <v>21</v>
      </c>
      <c r="AV189" s="924" t="s">
        <v>21</v>
      </c>
      <c r="AW189" s="924" t="s">
        <v>21</v>
      </c>
      <c r="AX189" s="924" t="s">
        <v>21</v>
      </c>
      <c r="AY189" s="924" t="s">
        <v>21</v>
      </c>
      <c r="AZ189" s="923" t="s">
        <v>21</v>
      </c>
      <c r="BA189" s="923"/>
      <c r="BB189" s="919" t="s">
        <v>21</v>
      </c>
      <c r="BC189" s="919" t="s">
        <v>21</v>
      </c>
      <c r="BD189" s="919" t="s">
        <v>21</v>
      </c>
      <c r="BE189" s="925" t="s">
        <v>21</v>
      </c>
      <c r="BF189" s="926" t="s">
        <v>21</v>
      </c>
      <c r="BG189" s="925" t="s">
        <v>21</v>
      </c>
      <c r="BH189" s="926" t="s">
        <v>21</v>
      </c>
      <c r="BI189" s="925" t="s">
        <v>21</v>
      </c>
      <c r="BJ189" s="926" t="s">
        <v>21</v>
      </c>
      <c r="BK189" s="925" t="s">
        <v>21</v>
      </c>
      <c r="BL189" s="926" t="s">
        <v>21</v>
      </c>
      <c r="BM189" s="925" t="s">
        <v>21</v>
      </c>
      <c r="BN189" s="927"/>
      <c r="BO189" s="927"/>
      <c r="BP189" s="928" t="s">
        <v>21</v>
      </c>
      <c r="BQ189" s="928" t="s">
        <v>21</v>
      </c>
      <c r="BR189" s="928" t="s">
        <v>21</v>
      </c>
      <c r="BS189" s="928" t="s">
        <v>21</v>
      </c>
      <c r="BT189" s="928" t="s">
        <v>21</v>
      </c>
      <c r="BU189" s="928" t="s">
        <v>21</v>
      </c>
      <c r="BV189" s="929" t="s">
        <v>21</v>
      </c>
      <c r="BW189" s="929" t="s">
        <v>21</v>
      </c>
      <c r="BX189" s="1104" t="s">
        <v>21</v>
      </c>
      <c r="BY189" s="931" t="s">
        <v>21</v>
      </c>
      <c r="BZ189" s="930"/>
      <c r="CA189" s="1074"/>
      <c r="CB189" s="930"/>
      <c r="CC189" s="930"/>
      <c r="CD189" s="925" t="s">
        <v>21</v>
      </c>
      <c r="CE189" s="1130" t="s">
        <v>21</v>
      </c>
      <c r="CF189" s="1129" t="s">
        <v>21</v>
      </c>
      <c r="CG189" s="1130" t="s">
        <v>21</v>
      </c>
      <c r="CH189" s="1130" t="s">
        <v>21</v>
      </c>
      <c r="CI189" s="1131" t="s">
        <v>21</v>
      </c>
      <c r="CJ189" s="1129" t="s">
        <v>21</v>
      </c>
      <c r="CK189" s="1130" t="s">
        <v>21</v>
      </c>
      <c r="CL189" s="1130" t="s">
        <v>21</v>
      </c>
      <c r="CM189" s="1131" t="s">
        <v>21</v>
      </c>
      <c r="CN189" s="1130" t="s">
        <v>21</v>
      </c>
      <c r="CP189" s="838" t="s">
        <v>21</v>
      </c>
      <c r="CQ189" s="838" t="s">
        <v>21</v>
      </c>
      <c r="CR189" s="836"/>
    </row>
    <row r="190" spans="1:96" x14ac:dyDescent="0.25">
      <c r="A190" s="935">
        <v>1</v>
      </c>
      <c r="B190" s="1900" t="s">
        <v>2225</v>
      </c>
      <c r="C190" s="911">
        <v>600</v>
      </c>
      <c r="D190" s="911" t="s">
        <v>2116</v>
      </c>
      <c r="E190" s="912">
        <v>1197.3</v>
      </c>
      <c r="F190" s="912">
        <v>1195.4000000000001</v>
      </c>
      <c r="G190" s="932" t="s">
        <v>2226</v>
      </c>
      <c r="H190" s="912">
        <v>1196</v>
      </c>
      <c r="I190" s="912">
        <v>1194.0999999999999</v>
      </c>
      <c r="J190" s="914">
        <v>18.739999999999998</v>
      </c>
      <c r="K190" s="915"/>
      <c r="L190" s="916">
        <v>0.1</v>
      </c>
      <c r="M190" s="916">
        <v>0.06</v>
      </c>
      <c r="N190" s="916">
        <v>0.2</v>
      </c>
      <c r="O190" s="916">
        <v>6.4</v>
      </c>
      <c r="P190" s="915"/>
      <c r="Q190" s="916">
        <v>2.16</v>
      </c>
      <c r="R190" s="1899">
        <v>0</v>
      </c>
      <c r="S190" s="1898">
        <v>4.4000000000000004</v>
      </c>
      <c r="T190" s="1898">
        <v>4.4000000000000004</v>
      </c>
      <c r="U190" s="916">
        <v>4.32</v>
      </c>
      <c r="V190" s="916">
        <v>0.92</v>
      </c>
      <c r="W190" s="915"/>
      <c r="X190" s="916">
        <v>0.28299999999999997</v>
      </c>
      <c r="Y190" s="916">
        <v>0.40699999999999997</v>
      </c>
      <c r="Z190" s="916">
        <v>9.5039999999999996</v>
      </c>
      <c r="AA190" s="916">
        <v>3.2010000000000001</v>
      </c>
      <c r="AB190" s="916">
        <v>5.4560000000000004</v>
      </c>
      <c r="AC190" s="915"/>
      <c r="AD190" s="919">
        <v>119.93600000000001</v>
      </c>
      <c r="AE190" s="920">
        <v>178.10499999999999</v>
      </c>
      <c r="AF190" s="920" t="s">
        <v>21</v>
      </c>
      <c r="AG190" s="920" t="s">
        <v>21</v>
      </c>
      <c r="AH190" s="921" t="s">
        <v>21</v>
      </c>
      <c r="AI190" s="921" t="s">
        <v>21</v>
      </c>
      <c r="AJ190" s="920" t="s">
        <v>21</v>
      </c>
      <c r="AK190" s="920" t="s">
        <v>21</v>
      </c>
      <c r="AL190" s="921" t="s">
        <v>21</v>
      </c>
      <c r="AM190" s="921" t="s">
        <v>21</v>
      </c>
      <c r="AN190" s="920"/>
      <c r="AO190" s="920">
        <v>178.10499999999999</v>
      </c>
      <c r="AP190" s="919">
        <v>82.456000000000003</v>
      </c>
      <c r="AQ190" s="922">
        <v>80.956800000000001</v>
      </c>
      <c r="AR190" s="923" t="s">
        <v>21</v>
      </c>
      <c r="AS190" s="923" t="s">
        <v>21</v>
      </c>
      <c r="AT190" s="923" t="s">
        <v>21</v>
      </c>
      <c r="AU190" s="923" t="s">
        <v>21</v>
      </c>
      <c r="AV190" s="924" t="s">
        <v>21</v>
      </c>
      <c r="AW190" s="924" t="s">
        <v>21</v>
      </c>
      <c r="AX190" s="924" t="s">
        <v>21</v>
      </c>
      <c r="AY190" s="924" t="s">
        <v>21</v>
      </c>
      <c r="AZ190" s="1902">
        <v>80.956800000000001</v>
      </c>
      <c r="BA190" s="923"/>
      <c r="BB190" s="919" t="s">
        <v>21</v>
      </c>
      <c r="BC190" s="919">
        <v>8.2460000000000004</v>
      </c>
      <c r="BD190" s="919" t="s">
        <v>2142</v>
      </c>
      <c r="BE190" s="925" t="s">
        <v>21</v>
      </c>
      <c r="BF190" s="926" t="s">
        <v>21</v>
      </c>
      <c r="BG190" s="925">
        <v>18.739999999999998</v>
      </c>
      <c r="BH190" s="926" t="s">
        <v>21</v>
      </c>
      <c r="BI190" s="925" t="s">
        <v>21</v>
      </c>
      <c r="BJ190" s="926" t="s">
        <v>21</v>
      </c>
      <c r="BK190" s="925" t="s">
        <v>21</v>
      </c>
      <c r="BL190" s="926" t="s">
        <v>21</v>
      </c>
      <c r="BM190" s="925" t="s">
        <v>21</v>
      </c>
      <c r="BN190" s="927"/>
      <c r="BO190" s="927"/>
      <c r="BP190" s="928">
        <v>1</v>
      </c>
      <c r="BQ190" s="928" t="s">
        <v>21</v>
      </c>
      <c r="BR190" s="928" t="s">
        <v>21</v>
      </c>
      <c r="BS190" s="928" t="s">
        <v>21</v>
      </c>
      <c r="BT190" s="928" t="s">
        <v>21</v>
      </c>
      <c r="BU190" s="928" t="s">
        <v>21</v>
      </c>
      <c r="BV190" s="929">
        <v>0.49999999999986366</v>
      </c>
      <c r="BW190" s="929">
        <v>0.5</v>
      </c>
      <c r="BX190" s="1104">
        <v>1</v>
      </c>
      <c r="BY190" s="931">
        <v>3</v>
      </c>
      <c r="BZ190" s="930"/>
      <c r="CA190" s="1074">
        <v>1</v>
      </c>
      <c r="CB190" s="930"/>
      <c r="CC190" s="930"/>
      <c r="CD190" s="925">
        <v>59.987000000000002</v>
      </c>
      <c r="CE190" s="1130">
        <v>102.245</v>
      </c>
      <c r="CF190" s="1129" t="s">
        <v>21</v>
      </c>
      <c r="CG190" s="1130" t="s">
        <v>21</v>
      </c>
      <c r="CH190" s="1130" t="s">
        <v>21</v>
      </c>
      <c r="CI190" s="1131" t="s">
        <v>21</v>
      </c>
      <c r="CJ190" s="1129" t="s">
        <v>21</v>
      </c>
      <c r="CK190" s="1130" t="s">
        <v>21</v>
      </c>
      <c r="CL190" s="1130" t="s">
        <v>21</v>
      </c>
      <c r="CM190" s="1131" t="s">
        <v>21</v>
      </c>
      <c r="CN190" s="1130">
        <v>102.245</v>
      </c>
      <c r="CP190" s="838" t="s">
        <v>21</v>
      </c>
      <c r="CQ190" s="838" t="s">
        <v>21</v>
      </c>
      <c r="CR190" s="836"/>
    </row>
    <row r="191" spans="1:96" x14ac:dyDescent="0.25">
      <c r="A191" s="935" t="s">
        <v>3060</v>
      </c>
      <c r="B191" s="932" t="s">
        <v>2226</v>
      </c>
      <c r="C191" s="911">
        <v>600</v>
      </c>
      <c r="D191" s="911" t="s">
        <v>2116</v>
      </c>
      <c r="E191" s="912">
        <v>1196</v>
      </c>
      <c r="F191" s="912">
        <v>1194.0999999999999</v>
      </c>
      <c r="G191" s="932" t="s">
        <v>2227</v>
      </c>
      <c r="H191" s="912">
        <v>1196</v>
      </c>
      <c r="I191" s="912">
        <v>1193.912</v>
      </c>
      <c r="J191" s="914">
        <v>37.68</v>
      </c>
      <c r="K191" s="915"/>
      <c r="L191" s="916">
        <v>0.1</v>
      </c>
      <c r="M191" s="916">
        <v>0.06</v>
      </c>
      <c r="N191" s="916">
        <v>0.2</v>
      </c>
      <c r="O191" s="916">
        <v>4.9030000000000005</v>
      </c>
      <c r="P191" s="915"/>
      <c r="Q191" s="916">
        <v>2.254</v>
      </c>
      <c r="R191" s="917">
        <v>0.33333333333333331</v>
      </c>
      <c r="S191" s="918">
        <v>1.4</v>
      </c>
      <c r="T191" s="918">
        <v>2.903</v>
      </c>
      <c r="U191" s="916">
        <v>4.7519999999999998</v>
      </c>
      <c r="V191" s="916">
        <v>0.92</v>
      </c>
      <c r="W191" s="915"/>
      <c r="X191" s="916">
        <v>0.28299999999999997</v>
      </c>
      <c r="Y191" s="916">
        <v>0.40699999999999997</v>
      </c>
      <c r="Z191" s="916">
        <v>4.8490000000000002</v>
      </c>
      <c r="AA191" s="916">
        <v>1.0229999999999999</v>
      </c>
      <c r="AB191" s="916">
        <v>3.2789999999999999</v>
      </c>
      <c r="AC191" s="915"/>
      <c r="AD191" s="919">
        <v>184.745</v>
      </c>
      <c r="AE191" s="920">
        <v>182.71</v>
      </c>
      <c r="AF191" s="920" t="s">
        <v>21</v>
      </c>
      <c r="AG191" s="920" t="s">
        <v>21</v>
      </c>
      <c r="AH191" s="921">
        <v>182.71</v>
      </c>
      <c r="AI191" s="921" t="s">
        <v>21</v>
      </c>
      <c r="AJ191" s="920" t="s">
        <v>21</v>
      </c>
      <c r="AK191" s="920" t="s">
        <v>21</v>
      </c>
      <c r="AL191" s="921" t="s">
        <v>21</v>
      </c>
      <c r="AM191" s="921" t="s">
        <v>21</v>
      </c>
      <c r="AN191" s="920"/>
      <c r="AO191" s="920" t="s">
        <v>21</v>
      </c>
      <c r="AP191" s="919">
        <v>52.752000000000002</v>
      </c>
      <c r="AQ191" s="922">
        <v>179.05535999999998</v>
      </c>
      <c r="AR191" s="923" t="s">
        <v>21</v>
      </c>
      <c r="AS191" s="923">
        <v>179.05535999999998</v>
      </c>
      <c r="AT191" s="923" t="s">
        <v>21</v>
      </c>
      <c r="AU191" s="923" t="s">
        <v>21</v>
      </c>
      <c r="AV191" s="924" t="s">
        <v>21</v>
      </c>
      <c r="AW191" s="924" t="s">
        <v>21</v>
      </c>
      <c r="AX191" s="924" t="s">
        <v>21</v>
      </c>
      <c r="AY191" s="924" t="s">
        <v>21</v>
      </c>
      <c r="AZ191" s="923" t="s">
        <v>21</v>
      </c>
      <c r="BA191" s="923"/>
      <c r="BB191" s="919">
        <v>5.2750000000000004</v>
      </c>
      <c r="BC191" s="919" t="s">
        <v>21</v>
      </c>
      <c r="BD191" s="919" t="s">
        <v>2142</v>
      </c>
      <c r="BE191" s="925" t="s">
        <v>21</v>
      </c>
      <c r="BF191" s="926" t="s">
        <v>21</v>
      </c>
      <c r="BG191" s="925">
        <v>37.68</v>
      </c>
      <c r="BH191" s="926" t="s">
        <v>21</v>
      </c>
      <c r="BI191" s="925" t="s">
        <v>21</v>
      </c>
      <c r="BJ191" s="926" t="s">
        <v>21</v>
      </c>
      <c r="BK191" s="925" t="s">
        <v>21</v>
      </c>
      <c r="BL191" s="926" t="s">
        <v>21</v>
      </c>
      <c r="BM191" s="925" t="s">
        <v>21</v>
      </c>
      <c r="BN191" s="927"/>
      <c r="BO191" s="927"/>
      <c r="BP191" s="928">
        <v>1</v>
      </c>
      <c r="BQ191" s="928" t="s">
        <v>21</v>
      </c>
      <c r="BR191" s="928" t="s">
        <v>21</v>
      </c>
      <c r="BS191" s="928" t="s">
        <v>21</v>
      </c>
      <c r="BT191" s="928" t="s">
        <v>21</v>
      </c>
      <c r="BU191" s="928" t="s">
        <v>21</v>
      </c>
      <c r="BV191" s="929">
        <v>0.50000000000009104</v>
      </c>
      <c r="BW191" s="929">
        <v>1</v>
      </c>
      <c r="BX191" s="1104">
        <v>2</v>
      </c>
      <c r="BY191" s="931">
        <v>4</v>
      </c>
      <c r="BZ191" s="930"/>
      <c r="CA191" s="1074"/>
      <c r="CB191" s="930"/>
      <c r="CC191" s="930"/>
      <c r="CD191" s="925">
        <v>38.546999999999997</v>
      </c>
      <c r="CE191" s="1130">
        <v>123.553</v>
      </c>
      <c r="CF191" s="1129" t="s">
        <v>21</v>
      </c>
      <c r="CG191" s="1130" t="s">
        <v>21</v>
      </c>
      <c r="CH191" s="1130" t="s">
        <v>21</v>
      </c>
      <c r="CI191" s="1131" t="s">
        <v>21</v>
      </c>
      <c r="CJ191" s="1129" t="s">
        <v>21</v>
      </c>
      <c r="CK191" s="1130">
        <v>123.553</v>
      </c>
      <c r="CL191" s="1130" t="s">
        <v>21</v>
      </c>
      <c r="CM191" s="1131" t="s">
        <v>21</v>
      </c>
      <c r="CN191" s="1130" t="s">
        <v>21</v>
      </c>
      <c r="CP191" s="838" t="s">
        <v>21</v>
      </c>
      <c r="CQ191" s="838" t="s">
        <v>21</v>
      </c>
      <c r="CR191" s="836"/>
    </row>
    <row r="192" spans="1:96" x14ac:dyDescent="0.25">
      <c r="A192" s="935" t="s">
        <v>3083</v>
      </c>
      <c r="B192" s="932" t="s">
        <v>2227</v>
      </c>
      <c r="C192" s="911">
        <v>600</v>
      </c>
      <c r="D192" s="911" t="s">
        <v>2116</v>
      </c>
      <c r="E192" s="912">
        <v>1196</v>
      </c>
      <c r="F192" s="912">
        <v>1193.912</v>
      </c>
      <c r="G192" s="932" t="s">
        <v>2228</v>
      </c>
      <c r="H192" s="912">
        <v>1192.48</v>
      </c>
      <c r="I192" s="912">
        <v>1190.58</v>
      </c>
      <c r="J192" s="914">
        <v>32.04</v>
      </c>
      <c r="K192" s="915"/>
      <c r="L192" s="916">
        <v>0.1</v>
      </c>
      <c r="M192" s="916">
        <v>0.06</v>
      </c>
      <c r="N192" s="916">
        <v>0.2</v>
      </c>
      <c r="O192" s="916">
        <v>4.9030000000000005</v>
      </c>
      <c r="P192" s="915"/>
      <c r="Q192" s="916">
        <v>2.254</v>
      </c>
      <c r="R192" s="917">
        <v>0.33333333333333331</v>
      </c>
      <c r="S192" s="918">
        <v>1.4</v>
      </c>
      <c r="T192" s="918">
        <v>2.903</v>
      </c>
      <c r="U192" s="916">
        <v>4.7519999999999998</v>
      </c>
      <c r="V192" s="916">
        <v>0.92</v>
      </c>
      <c r="W192" s="915"/>
      <c r="X192" s="916">
        <v>0.28299999999999997</v>
      </c>
      <c r="Y192" s="916">
        <v>0.40699999999999997</v>
      </c>
      <c r="Z192" s="916">
        <v>4.8490000000000002</v>
      </c>
      <c r="AA192" s="916">
        <v>1.0229999999999999</v>
      </c>
      <c r="AB192" s="916">
        <v>3.2789999999999999</v>
      </c>
      <c r="AC192" s="915"/>
      <c r="AD192" s="919">
        <v>157.09200000000001</v>
      </c>
      <c r="AE192" s="920">
        <v>155.36199999999999</v>
      </c>
      <c r="AF192" s="920" t="s">
        <v>21</v>
      </c>
      <c r="AG192" s="920" t="s">
        <v>21</v>
      </c>
      <c r="AH192" s="921">
        <v>155.36199999999999</v>
      </c>
      <c r="AI192" s="921" t="s">
        <v>21</v>
      </c>
      <c r="AJ192" s="920" t="s">
        <v>21</v>
      </c>
      <c r="AK192" s="920" t="s">
        <v>21</v>
      </c>
      <c r="AL192" s="921" t="s">
        <v>21</v>
      </c>
      <c r="AM192" s="921" t="s">
        <v>21</v>
      </c>
      <c r="AN192" s="920"/>
      <c r="AO192" s="920" t="s">
        <v>21</v>
      </c>
      <c r="AP192" s="919">
        <v>44.856000000000002</v>
      </c>
      <c r="AQ192" s="922">
        <v>152.25407999999999</v>
      </c>
      <c r="AR192" s="923" t="s">
        <v>21</v>
      </c>
      <c r="AS192" s="923">
        <v>152.25407999999999</v>
      </c>
      <c r="AT192" s="923" t="s">
        <v>21</v>
      </c>
      <c r="AU192" s="923" t="s">
        <v>21</v>
      </c>
      <c r="AV192" s="924" t="s">
        <v>21</v>
      </c>
      <c r="AW192" s="924" t="s">
        <v>21</v>
      </c>
      <c r="AX192" s="924" t="s">
        <v>21</v>
      </c>
      <c r="AY192" s="924" t="s">
        <v>21</v>
      </c>
      <c r="AZ192" s="923" t="s">
        <v>21</v>
      </c>
      <c r="BA192" s="923"/>
      <c r="BB192" s="919">
        <v>4.4859999999999998</v>
      </c>
      <c r="BC192" s="919" t="s">
        <v>21</v>
      </c>
      <c r="BD192" s="919" t="s">
        <v>2142</v>
      </c>
      <c r="BE192" s="925" t="s">
        <v>21</v>
      </c>
      <c r="BF192" s="926" t="s">
        <v>21</v>
      </c>
      <c r="BG192" s="925">
        <v>32.04</v>
      </c>
      <c r="BH192" s="926" t="s">
        <v>21</v>
      </c>
      <c r="BI192" s="925" t="s">
        <v>21</v>
      </c>
      <c r="BJ192" s="926" t="s">
        <v>21</v>
      </c>
      <c r="BK192" s="925" t="s">
        <v>21</v>
      </c>
      <c r="BL192" s="926" t="s">
        <v>21</v>
      </c>
      <c r="BM192" s="925" t="s">
        <v>21</v>
      </c>
      <c r="BN192" s="927"/>
      <c r="BO192" s="927"/>
      <c r="BP192" s="928">
        <v>1</v>
      </c>
      <c r="BQ192" s="928" t="s">
        <v>21</v>
      </c>
      <c r="BR192" s="928" t="s">
        <v>21</v>
      </c>
      <c r="BS192" s="928" t="s">
        <v>21</v>
      </c>
      <c r="BT192" s="928" t="s">
        <v>21</v>
      </c>
      <c r="BU192" s="928" t="s">
        <v>21</v>
      </c>
      <c r="BV192" s="929">
        <v>0.68799999999996553</v>
      </c>
      <c r="BW192" s="929">
        <v>1</v>
      </c>
      <c r="BX192" s="1104">
        <v>2</v>
      </c>
      <c r="BY192" s="931">
        <v>4</v>
      </c>
      <c r="BZ192" s="930"/>
      <c r="CA192" s="1074"/>
      <c r="CB192" s="930"/>
      <c r="CC192" s="930"/>
      <c r="CD192" s="925">
        <v>32.777000000000001</v>
      </c>
      <c r="CE192" s="1130">
        <v>105.059</v>
      </c>
      <c r="CF192" s="1129" t="s">
        <v>21</v>
      </c>
      <c r="CG192" s="1130" t="s">
        <v>21</v>
      </c>
      <c r="CH192" s="1130" t="s">
        <v>21</v>
      </c>
      <c r="CI192" s="1131" t="s">
        <v>21</v>
      </c>
      <c r="CJ192" s="1129" t="s">
        <v>21</v>
      </c>
      <c r="CK192" s="1130">
        <v>105.059</v>
      </c>
      <c r="CL192" s="1130" t="s">
        <v>21</v>
      </c>
      <c r="CM192" s="1131" t="s">
        <v>21</v>
      </c>
      <c r="CN192" s="1130" t="s">
        <v>21</v>
      </c>
      <c r="CP192" s="838" t="s">
        <v>21</v>
      </c>
      <c r="CQ192" s="838" t="s">
        <v>21</v>
      </c>
      <c r="CR192" s="836"/>
    </row>
    <row r="193" spans="1:96" x14ac:dyDescent="0.25">
      <c r="A193" s="935"/>
      <c r="B193" s="932" t="s">
        <v>2228</v>
      </c>
      <c r="C193" s="911">
        <v>600</v>
      </c>
      <c r="D193" s="911" t="s">
        <v>2116</v>
      </c>
      <c r="E193" s="912">
        <v>1192.48</v>
      </c>
      <c r="F193" s="912">
        <v>1190.53</v>
      </c>
      <c r="G193" s="932" t="s">
        <v>2229</v>
      </c>
      <c r="H193" s="912">
        <v>1191</v>
      </c>
      <c r="I193" s="912">
        <v>1189.0999999999999</v>
      </c>
      <c r="J193" s="914">
        <v>18.399999999999999</v>
      </c>
      <c r="K193" s="915"/>
      <c r="L193" s="916">
        <v>0.1</v>
      </c>
      <c r="M193" s="916">
        <v>0.06</v>
      </c>
      <c r="N193" s="916">
        <v>0.2</v>
      </c>
      <c r="O193" s="916">
        <v>4.8570000000000002</v>
      </c>
      <c r="P193" s="915"/>
      <c r="Q193" s="916">
        <v>2.1850000000000001</v>
      </c>
      <c r="R193" s="917">
        <v>0.33333333333333331</v>
      </c>
      <c r="S193" s="918">
        <v>1.4</v>
      </c>
      <c r="T193" s="918">
        <v>2.8570000000000002</v>
      </c>
      <c r="U193" s="916">
        <v>4.6059999999999999</v>
      </c>
      <c r="V193" s="916">
        <v>0.92</v>
      </c>
      <c r="W193" s="915"/>
      <c r="X193" s="916">
        <v>0.28299999999999997</v>
      </c>
      <c r="Y193" s="916">
        <v>0.40699999999999997</v>
      </c>
      <c r="Z193" s="916">
        <v>4.6509999999999998</v>
      </c>
      <c r="AA193" s="916">
        <v>1.0229999999999999</v>
      </c>
      <c r="AB193" s="916">
        <v>3.081</v>
      </c>
      <c r="AC193" s="915"/>
      <c r="AD193" s="919">
        <v>89.369</v>
      </c>
      <c r="AE193" s="920">
        <v>85.578000000000003</v>
      </c>
      <c r="AF193" s="920" t="s">
        <v>21</v>
      </c>
      <c r="AG193" s="920" t="s">
        <v>21</v>
      </c>
      <c r="AH193" s="921">
        <v>85.578000000000003</v>
      </c>
      <c r="AI193" s="921" t="s">
        <v>21</v>
      </c>
      <c r="AJ193" s="920" t="s">
        <v>21</v>
      </c>
      <c r="AK193" s="920" t="s">
        <v>21</v>
      </c>
      <c r="AL193" s="921" t="s">
        <v>21</v>
      </c>
      <c r="AM193" s="921" t="s">
        <v>21</v>
      </c>
      <c r="AN193" s="920"/>
      <c r="AO193" s="920" t="s">
        <v>21</v>
      </c>
      <c r="AP193" s="919">
        <v>25.76</v>
      </c>
      <c r="AQ193" s="922">
        <v>84.750399999999985</v>
      </c>
      <c r="AR193" s="923" t="s">
        <v>21</v>
      </c>
      <c r="AS193" s="923">
        <v>84.750399999999985</v>
      </c>
      <c r="AT193" s="923" t="s">
        <v>21</v>
      </c>
      <c r="AU193" s="923" t="s">
        <v>21</v>
      </c>
      <c r="AV193" s="924" t="s">
        <v>21</v>
      </c>
      <c r="AW193" s="924" t="s">
        <v>21</v>
      </c>
      <c r="AX193" s="924" t="s">
        <v>21</v>
      </c>
      <c r="AY193" s="924" t="s">
        <v>21</v>
      </c>
      <c r="AZ193" s="923" t="s">
        <v>21</v>
      </c>
      <c r="BA193" s="923"/>
      <c r="BB193" s="919">
        <v>2.5760000000000001</v>
      </c>
      <c r="BC193" s="919" t="s">
        <v>21</v>
      </c>
      <c r="BD193" s="919" t="s">
        <v>2142</v>
      </c>
      <c r="BE193" s="925" t="s">
        <v>21</v>
      </c>
      <c r="BF193" s="926" t="s">
        <v>21</v>
      </c>
      <c r="BG193" s="925">
        <v>18.399999999999999</v>
      </c>
      <c r="BH193" s="926" t="s">
        <v>21</v>
      </c>
      <c r="BI193" s="925" t="s">
        <v>21</v>
      </c>
      <c r="BJ193" s="926" t="s">
        <v>21</v>
      </c>
      <c r="BK193" s="925" t="s">
        <v>21</v>
      </c>
      <c r="BL193" s="926" t="s">
        <v>21</v>
      </c>
      <c r="BM193" s="925" t="s">
        <v>21</v>
      </c>
      <c r="BN193" s="927"/>
      <c r="BO193" s="927"/>
      <c r="BP193" s="928">
        <v>1</v>
      </c>
      <c r="BQ193" s="928" t="s">
        <v>21</v>
      </c>
      <c r="BR193" s="928" t="s">
        <v>21</v>
      </c>
      <c r="BS193" s="928" t="s">
        <v>21</v>
      </c>
      <c r="BT193" s="928" t="s">
        <v>21</v>
      </c>
      <c r="BU193" s="928" t="s">
        <v>21</v>
      </c>
      <c r="BV193" s="929">
        <v>0.55000000000004556</v>
      </c>
      <c r="BW193" s="929">
        <v>1</v>
      </c>
      <c r="BX193" s="1104">
        <v>2</v>
      </c>
      <c r="BY193" s="931">
        <v>4</v>
      </c>
      <c r="BZ193" s="930"/>
      <c r="CA193" s="1074"/>
      <c r="CB193" s="930"/>
      <c r="CC193" s="930"/>
      <c r="CD193" s="925">
        <v>18.823</v>
      </c>
      <c r="CE193" s="1130">
        <v>56.69</v>
      </c>
      <c r="CF193" s="1129" t="s">
        <v>21</v>
      </c>
      <c r="CG193" s="1130" t="s">
        <v>21</v>
      </c>
      <c r="CH193" s="1130" t="s">
        <v>21</v>
      </c>
      <c r="CI193" s="1131" t="s">
        <v>21</v>
      </c>
      <c r="CJ193" s="1129" t="s">
        <v>21</v>
      </c>
      <c r="CK193" s="1130">
        <v>56.69</v>
      </c>
      <c r="CL193" s="1130" t="s">
        <v>21</v>
      </c>
      <c r="CM193" s="1131" t="s">
        <v>21</v>
      </c>
      <c r="CN193" s="1130" t="s">
        <v>21</v>
      </c>
      <c r="CP193" s="838" t="s">
        <v>21</v>
      </c>
      <c r="CQ193" s="838" t="s">
        <v>21</v>
      </c>
      <c r="CR193" s="836"/>
    </row>
    <row r="194" spans="1:96" x14ac:dyDescent="0.25">
      <c r="A194" s="935"/>
      <c r="B194" s="932" t="s">
        <v>2229</v>
      </c>
      <c r="C194" s="911">
        <v>600</v>
      </c>
      <c r="D194" s="911" t="s">
        <v>2116</v>
      </c>
      <c r="E194" s="912">
        <v>1191</v>
      </c>
      <c r="F194" s="912">
        <v>1189.05</v>
      </c>
      <c r="G194" s="932" t="s">
        <v>2253</v>
      </c>
      <c r="H194" s="912">
        <v>1189.5999999999999</v>
      </c>
      <c r="I194" s="912">
        <v>1187.7</v>
      </c>
      <c r="J194" s="914">
        <v>30.26</v>
      </c>
      <c r="K194" s="915"/>
      <c r="L194" s="916">
        <v>0.1</v>
      </c>
      <c r="M194" s="916">
        <v>0.06</v>
      </c>
      <c r="N194" s="916">
        <v>0.2</v>
      </c>
      <c r="O194" s="916">
        <v>4.8570000000000002</v>
      </c>
      <c r="P194" s="915"/>
      <c r="Q194" s="916">
        <v>2.1850000000000001</v>
      </c>
      <c r="R194" s="917">
        <v>0.33333333333333331</v>
      </c>
      <c r="S194" s="918">
        <v>1.4</v>
      </c>
      <c r="T194" s="918">
        <v>2.8570000000000002</v>
      </c>
      <c r="U194" s="916">
        <v>4.6059999999999999</v>
      </c>
      <c r="V194" s="916">
        <v>0.92</v>
      </c>
      <c r="W194" s="915"/>
      <c r="X194" s="916">
        <v>0.28299999999999997</v>
      </c>
      <c r="Y194" s="916">
        <v>0.40699999999999997</v>
      </c>
      <c r="Z194" s="916">
        <v>4.6509999999999998</v>
      </c>
      <c r="AA194" s="916">
        <v>1.0229999999999999</v>
      </c>
      <c r="AB194" s="916">
        <v>3.081</v>
      </c>
      <c r="AC194" s="915"/>
      <c r="AD194" s="919">
        <v>146.97300000000001</v>
      </c>
      <c r="AE194" s="920">
        <v>140.739</v>
      </c>
      <c r="AF194" s="920" t="s">
        <v>21</v>
      </c>
      <c r="AG194" s="920" t="s">
        <v>21</v>
      </c>
      <c r="AH194" s="921">
        <v>140.739</v>
      </c>
      <c r="AI194" s="921" t="s">
        <v>21</v>
      </c>
      <c r="AJ194" s="920" t="s">
        <v>21</v>
      </c>
      <c r="AK194" s="920" t="s">
        <v>21</v>
      </c>
      <c r="AL194" s="921" t="s">
        <v>21</v>
      </c>
      <c r="AM194" s="921" t="s">
        <v>21</v>
      </c>
      <c r="AN194" s="920"/>
      <c r="AO194" s="920" t="s">
        <v>21</v>
      </c>
      <c r="AP194" s="919">
        <v>42.363999999999997</v>
      </c>
      <c r="AQ194" s="922">
        <v>139.37756000000002</v>
      </c>
      <c r="AR194" s="923" t="s">
        <v>21</v>
      </c>
      <c r="AS194" s="923">
        <v>139.37756000000002</v>
      </c>
      <c r="AT194" s="923" t="s">
        <v>21</v>
      </c>
      <c r="AU194" s="923" t="s">
        <v>21</v>
      </c>
      <c r="AV194" s="924" t="s">
        <v>21</v>
      </c>
      <c r="AW194" s="924" t="s">
        <v>21</v>
      </c>
      <c r="AX194" s="924" t="s">
        <v>21</v>
      </c>
      <c r="AY194" s="924" t="s">
        <v>21</v>
      </c>
      <c r="AZ194" s="923" t="s">
        <v>21</v>
      </c>
      <c r="BA194" s="923"/>
      <c r="BB194" s="919">
        <v>4.2359999999999998</v>
      </c>
      <c r="BC194" s="919" t="s">
        <v>21</v>
      </c>
      <c r="BD194" s="919" t="s">
        <v>2142</v>
      </c>
      <c r="BE194" s="925" t="s">
        <v>21</v>
      </c>
      <c r="BF194" s="926" t="s">
        <v>21</v>
      </c>
      <c r="BG194" s="925">
        <v>30.26</v>
      </c>
      <c r="BH194" s="926" t="s">
        <v>21</v>
      </c>
      <c r="BI194" s="925" t="s">
        <v>21</v>
      </c>
      <c r="BJ194" s="926" t="s">
        <v>21</v>
      </c>
      <c r="BK194" s="925" t="s">
        <v>21</v>
      </c>
      <c r="BL194" s="926" t="s">
        <v>21</v>
      </c>
      <c r="BM194" s="925" t="s">
        <v>21</v>
      </c>
      <c r="BN194" s="927"/>
      <c r="BO194" s="927"/>
      <c r="BP194" s="928">
        <v>1</v>
      </c>
      <c r="BQ194" s="928" t="s">
        <v>21</v>
      </c>
      <c r="BR194" s="928" t="s">
        <v>21</v>
      </c>
      <c r="BS194" s="928" t="s">
        <v>21</v>
      </c>
      <c r="BT194" s="928" t="s">
        <v>21</v>
      </c>
      <c r="BU194" s="928" t="s">
        <v>21</v>
      </c>
      <c r="BV194" s="929">
        <v>0.55000000000004556</v>
      </c>
      <c r="BW194" s="929">
        <v>1</v>
      </c>
      <c r="BX194" s="1104">
        <v>2</v>
      </c>
      <c r="BY194" s="931">
        <v>4</v>
      </c>
      <c r="BZ194" s="930"/>
      <c r="CA194" s="1074"/>
      <c r="CB194" s="930"/>
      <c r="CC194" s="930"/>
      <c r="CD194" s="925">
        <v>30.956</v>
      </c>
      <c r="CE194" s="1130">
        <v>93.230999999999995</v>
      </c>
      <c r="CF194" s="1129" t="s">
        <v>21</v>
      </c>
      <c r="CG194" s="1130" t="s">
        <v>21</v>
      </c>
      <c r="CH194" s="1130" t="s">
        <v>21</v>
      </c>
      <c r="CI194" s="1131" t="s">
        <v>21</v>
      </c>
      <c r="CJ194" s="1129" t="s">
        <v>21</v>
      </c>
      <c r="CK194" s="1130">
        <v>93.230999999999995</v>
      </c>
      <c r="CL194" s="1130" t="s">
        <v>21</v>
      </c>
      <c r="CM194" s="1131" t="s">
        <v>21</v>
      </c>
      <c r="CN194" s="1130" t="s">
        <v>21</v>
      </c>
      <c r="CP194" s="838" t="s">
        <v>21</v>
      </c>
      <c r="CQ194" s="838" t="s">
        <v>21</v>
      </c>
      <c r="CR194" s="836"/>
    </row>
    <row r="195" spans="1:96" x14ac:dyDescent="0.25">
      <c r="A195" s="935"/>
      <c r="B195" s="932" t="s">
        <v>2253</v>
      </c>
      <c r="C195" s="911">
        <v>600</v>
      </c>
      <c r="D195" s="911" t="s">
        <v>2116</v>
      </c>
      <c r="E195" s="912">
        <v>1189.5999999999999</v>
      </c>
      <c r="F195" s="912">
        <v>1187.45</v>
      </c>
      <c r="G195" s="932" t="s">
        <v>2254</v>
      </c>
      <c r="H195" s="912">
        <v>1189.5</v>
      </c>
      <c r="I195" s="912">
        <v>1187.2049999999999</v>
      </c>
      <c r="J195" s="914">
        <v>49.08</v>
      </c>
      <c r="K195" s="915"/>
      <c r="L195" s="916">
        <v>0.1</v>
      </c>
      <c r="M195" s="916">
        <v>0.06</v>
      </c>
      <c r="N195" s="916">
        <v>0.2</v>
      </c>
      <c r="O195" s="916">
        <v>5.0549999999999997</v>
      </c>
      <c r="P195" s="915"/>
      <c r="Q195" s="916">
        <v>2.4820000000000002</v>
      </c>
      <c r="R195" s="917">
        <v>0.33333333333333331</v>
      </c>
      <c r="S195" s="918">
        <v>1.4</v>
      </c>
      <c r="T195" s="918">
        <v>3.0550000000000002</v>
      </c>
      <c r="U195" s="916">
        <v>5.2329999999999997</v>
      </c>
      <c r="V195" s="916">
        <v>0.92</v>
      </c>
      <c r="W195" s="915"/>
      <c r="X195" s="916">
        <v>0.28299999999999997</v>
      </c>
      <c r="Y195" s="916">
        <v>0.40699999999999997</v>
      </c>
      <c r="Z195" s="916">
        <v>5.5289999999999999</v>
      </c>
      <c r="AA195" s="916">
        <v>1.0229999999999999</v>
      </c>
      <c r="AB195" s="916">
        <v>3.9590000000000001</v>
      </c>
      <c r="AC195" s="915"/>
      <c r="AD195" s="919">
        <v>248.09899999999999</v>
      </c>
      <c r="AE195" s="920">
        <v>271.363</v>
      </c>
      <c r="AF195" s="920" t="s">
        <v>21</v>
      </c>
      <c r="AG195" s="920" t="s">
        <v>21</v>
      </c>
      <c r="AH195" s="921">
        <v>271.363</v>
      </c>
      <c r="AI195" s="921" t="s">
        <v>21</v>
      </c>
      <c r="AJ195" s="920" t="s">
        <v>21</v>
      </c>
      <c r="AK195" s="920" t="s">
        <v>21</v>
      </c>
      <c r="AL195" s="921" t="s">
        <v>21</v>
      </c>
      <c r="AM195" s="921" t="s">
        <v>21</v>
      </c>
      <c r="AN195" s="920"/>
      <c r="AO195" s="920" t="s">
        <v>21</v>
      </c>
      <c r="AP195" s="919">
        <v>68.712000000000003</v>
      </c>
      <c r="AQ195" s="922">
        <v>256.83563999999996</v>
      </c>
      <c r="AR195" s="923" t="s">
        <v>21</v>
      </c>
      <c r="AS195" s="923">
        <v>256.83563999999996</v>
      </c>
      <c r="AT195" s="923" t="s">
        <v>21</v>
      </c>
      <c r="AU195" s="923" t="s">
        <v>21</v>
      </c>
      <c r="AV195" s="924" t="s">
        <v>21</v>
      </c>
      <c r="AW195" s="924" t="s">
        <v>21</v>
      </c>
      <c r="AX195" s="924" t="s">
        <v>21</v>
      </c>
      <c r="AY195" s="924" t="s">
        <v>21</v>
      </c>
      <c r="AZ195" s="923" t="s">
        <v>21</v>
      </c>
      <c r="BA195" s="923"/>
      <c r="BB195" s="919">
        <v>6.8710000000000004</v>
      </c>
      <c r="BC195" s="919" t="s">
        <v>21</v>
      </c>
      <c r="BD195" s="919" t="s">
        <v>2142</v>
      </c>
      <c r="BE195" s="925" t="s">
        <v>21</v>
      </c>
      <c r="BF195" s="926" t="s">
        <v>21</v>
      </c>
      <c r="BG195" s="925">
        <v>49.08</v>
      </c>
      <c r="BH195" s="926" t="s">
        <v>21</v>
      </c>
      <c r="BI195" s="925" t="s">
        <v>21</v>
      </c>
      <c r="BJ195" s="926" t="s">
        <v>21</v>
      </c>
      <c r="BK195" s="925" t="s">
        <v>21</v>
      </c>
      <c r="BL195" s="926" t="s">
        <v>21</v>
      </c>
      <c r="BM195" s="925" t="s">
        <v>21</v>
      </c>
      <c r="BN195" s="927"/>
      <c r="BO195" s="927"/>
      <c r="BP195" s="928">
        <v>1</v>
      </c>
      <c r="BQ195" s="928" t="s">
        <v>21</v>
      </c>
      <c r="BR195" s="928" t="s">
        <v>21</v>
      </c>
      <c r="BS195" s="928" t="s">
        <v>21</v>
      </c>
      <c r="BT195" s="928" t="s">
        <v>21</v>
      </c>
      <c r="BU195" s="928" t="s">
        <v>21</v>
      </c>
      <c r="BV195" s="929">
        <v>0.74999999999986366</v>
      </c>
      <c r="BW195" s="929">
        <v>1</v>
      </c>
      <c r="BX195" s="1104">
        <v>2</v>
      </c>
      <c r="BY195" s="931">
        <v>4</v>
      </c>
      <c r="BZ195" s="930"/>
      <c r="CA195" s="1074"/>
      <c r="CB195" s="930"/>
      <c r="CC195" s="930"/>
      <c r="CD195" s="925">
        <v>50.209000000000003</v>
      </c>
      <c r="CE195" s="1130">
        <v>194.30799999999999</v>
      </c>
      <c r="CF195" s="1129" t="s">
        <v>21</v>
      </c>
      <c r="CG195" s="1130" t="s">
        <v>21</v>
      </c>
      <c r="CH195" s="1130" t="s">
        <v>21</v>
      </c>
      <c r="CI195" s="1131" t="s">
        <v>21</v>
      </c>
      <c r="CJ195" s="1129" t="s">
        <v>21</v>
      </c>
      <c r="CK195" s="1130">
        <v>194.30799999999999</v>
      </c>
      <c r="CL195" s="1130" t="s">
        <v>21</v>
      </c>
      <c r="CM195" s="1131" t="s">
        <v>21</v>
      </c>
      <c r="CN195" s="1130" t="s">
        <v>21</v>
      </c>
      <c r="CP195" s="838" t="s">
        <v>21</v>
      </c>
      <c r="CQ195" s="838" t="s">
        <v>21</v>
      </c>
      <c r="CR195" s="836"/>
    </row>
    <row r="196" spans="1:96" x14ac:dyDescent="0.25">
      <c r="A196" s="935"/>
      <c r="B196" s="932" t="s">
        <v>2254</v>
      </c>
      <c r="C196" s="911">
        <v>600</v>
      </c>
      <c r="D196" s="911" t="s">
        <v>2116</v>
      </c>
      <c r="E196" s="912">
        <v>1189.5</v>
      </c>
      <c r="F196" s="912">
        <v>1187.2049999999999</v>
      </c>
      <c r="G196" s="932" t="s">
        <v>2255</v>
      </c>
      <c r="H196" s="912">
        <v>1188.0899999999999</v>
      </c>
      <c r="I196" s="912">
        <v>1186.19</v>
      </c>
      <c r="J196" s="914">
        <v>57.08</v>
      </c>
      <c r="K196" s="915"/>
      <c r="L196" s="916">
        <v>0.1</v>
      </c>
      <c r="M196" s="916">
        <v>0.06</v>
      </c>
      <c r="N196" s="916">
        <v>0.2</v>
      </c>
      <c r="O196" s="916">
        <v>4.9710000000000001</v>
      </c>
      <c r="P196" s="915"/>
      <c r="Q196" s="916">
        <v>2.3570000000000002</v>
      </c>
      <c r="R196" s="917">
        <v>0.33333333333333331</v>
      </c>
      <c r="S196" s="918">
        <v>1.4</v>
      </c>
      <c r="T196" s="918">
        <v>2.9710000000000001</v>
      </c>
      <c r="U196" s="916">
        <v>4.9690000000000003</v>
      </c>
      <c r="V196" s="916">
        <v>0.92</v>
      </c>
      <c r="W196" s="915"/>
      <c r="X196" s="916">
        <v>0.28299999999999997</v>
      </c>
      <c r="Y196" s="916">
        <v>0.40699999999999997</v>
      </c>
      <c r="Z196" s="916">
        <v>5.1509999999999998</v>
      </c>
      <c r="AA196" s="916">
        <v>1.0229999999999999</v>
      </c>
      <c r="AB196" s="916">
        <v>3.581</v>
      </c>
      <c r="AC196" s="915"/>
      <c r="AD196" s="919">
        <v>283.745</v>
      </c>
      <c r="AE196" s="920">
        <v>294.01900000000001</v>
      </c>
      <c r="AF196" s="920" t="s">
        <v>21</v>
      </c>
      <c r="AG196" s="920" t="s">
        <v>21</v>
      </c>
      <c r="AH196" s="921">
        <v>294.01900000000001</v>
      </c>
      <c r="AI196" s="921" t="s">
        <v>21</v>
      </c>
      <c r="AJ196" s="920" t="s">
        <v>21</v>
      </c>
      <c r="AK196" s="920" t="s">
        <v>21</v>
      </c>
      <c r="AL196" s="921" t="s">
        <v>21</v>
      </c>
      <c r="AM196" s="921" t="s">
        <v>21</v>
      </c>
      <c r="AN196" s="920"/>
      <c r="AO196" s="920" t="s">
        <v>21</v>
      </c>
      <c r="AP196" s="919">
        <v>79.912000000000006</v>
      </c>
      <c r="AQ196" s="922">
        <v>283.63051999999999</v>
      </c>
      <c r="AR196" s="923" t="s">
        <v>21</v>
      </c>
      <c r="AS196" s="923">
        <v>283.63051999999999</v>
      </c>
      <c r="AT196" s="923" t="s">
        <v>21</v>
      </c>
      <c r="AU196" s="923" t="s">
        <v>21</v>
      </c>
      <c r="AV196" s="924" t="s">
        <v>21</v>
      </c>
      <c r="AW196" s="924" t="s">
        <v>21</v>
      </c>
      <c r="AX196" s="924" t="s">
        <v>21</v>
      </c>
      <c r="AY196" s="924" t="s">
        <v>21</v>
      </c>
      <c r="AZ196" s="923" t="s">
        <v>21</v>
      </c>
      <c r="BA196" s="923"/>
      <c r="BB196" s="919">
        <v>7.9909999999999997</v>
      </c>
      <c r="BC196" s="919" t="s">
        <v>21</v>
      </c>
      <c r="BD196" s="919" t="s">
        <v>2142</v>
      </c>
      <c r="BE196" s="925" t="s">
        <v>21</v>
      </c>
      <c r="BF196" s="926" t="s">
        <v>21</v>
      </c>
      <c r="BG196" s="925">
        <v>57.08</v>
      </c>
      <c r="BH196" s="926" t="s">
        <v>21</v>
      </c>
      <c r="BI196" s="925" t="s">
        <v>21</v>
      </c>
      <c r="BJ196" s="926" t="s">
        <v>21</v>
      </c>
      <c r="BK196" s="925" t="s">
        <v>21</v>
      </c>
      <c r="BL196" s="926" t="s">
        <v>21</v>
      </c>
      <c r="BM196" s="925" t="s">
        <v>21</v>
      </c>
      <c r="BN196" s="927"/>
      <c r="BO196" s="927"/>
      <c r="BP196" s="928">
        <v>1</v>
      </c>
      <c r="BQ196" s="928" t="s">
        <v>21</v>
      </c>
      <c r="BR196" s="928" t="s">
        <v>21</v>
      </c>
      <c r="BS196" s="928" t="s">
        <v>21</v>
      </c>
      <c r="BT196" s="928" t="s">
        <v>21</v>
      </c>
      <c r="BU196" s="928" t="s">
        <v>21</v>
      </c>
      <c r="BV196" s="929">
        <v>0.89500000000007285</v>
      </c>
      <c r="BW196" s="929">
        <v>1</v>
      </c>
      <c r="BX196" s="1104">
        <v>2</v>
      </c>
      <c r="BY196" s="931">
        <v>4</v>
      </c>
      <c r="BZ196" s="930"/>
      <c r="CA196" s="1074"/>
      <c r="CB196" s="930"/>
      <c r="CC196" s="930"/>
      <c r="CD196" s="925">
        <v>58.393000000000001</v>
      </c>
      <c r="CE196" s="1130">
        <v>204.40299999999999</v>
      </c>
      <c r="CF196" s="1129" t="s">
        <v>21</v>
      </c>
      <c r="CG196" s="1130" t="s">
        <v>21</v>
      </c>
      <c r="CH196" s="1130" t="s">
        <v>21</v>
      </c>
      <c r="CI196" s="1131" t="s">
        <v>21</v>
      </c>
      <c r="CJ196" s="1129" t="s">
        <v>21</v>
      </c>
      <c r="CK196" s="1130">
        <v>204.40299999999999</v>
      </c>
      <c r="CL196" s="1130" t="s">
        <v>21</v>
      </c>
      <c r="CM196" s="1131" t="s">
        <v>21</v>
      </c>
      <c r="CN196" s="1130" t="s">
        <v>21</v>
      </c>
      <c r="CP196" s="838" t="s">
        <v>21</v>
      </c>
      <c r="CQ196" s="838" t="s">
        <v>21</v>
      </c>
      <c r="CR196" s="836"/>
    </row>
    <row r="197" spans="1:96" x14ac:dyDescent="0.25">
      <c r="A197" s="935"/>
      <c r="B197" s="932" t="s">
        <v>2255</v>
      </c>
      <c r="C197" s="911">
        <v>600</v>
      </c>
      <c r="D197" s="911" t="s">
        <v>2116</v>
      </c>
      <c r="E197" s="912">
        <v>1188.0899999999999</v>
      </c>
      <c r="F197" s="912">
        <v>1186.19</v>
      </c>
      <c r="G197" s="932" t="s">
        <v>2256</v>
      </c>
      <c r="H197" s="912">
        <v>1183.22</v>
      </c>
      <c r="I197" s="912">
        <v>1181.32</v>
      </c>
      <c r="J197" s="914">
        <v>47.62</v>
      </c>
      <c r="K197" s="915"/>
      <c r="L197" s="916">
        <v>0.1</v>
      </c>
      <c r="M197" s="916">
        <v>0.06</v>
      </c>
      <c r="N197" s="916">
        <v>0.2</v>
      </c>
      <c r="O197" s="916">
        <v>4.84</v>
      </c>
      <c r="P197" s="915"/>
      <c r="Q197" s="916">
        <v>2.16</v>
      </c>
      <c r="R197" s="917">
        <v>0.33333333333333331</v>
      </c>
      <c r="S197" s="918">
        <v>1.4</v>
      </c>
      <c r="T197" s="918">
        <v>2.84</v>
      </c>
      <c r="U197" s="916">
        <v>4.5540000000000003</v>
      </c>
      <c r="V197" s="916">
        <v>0.92</v>
      </c>
      <c r="W197" s="915"/>
      <c r="X197" s="916">
        <v>0.28299999999999997</v>
      </c>
      <c r="Y197" s="916">
        <v>0.40699999999999997</v>
      </c>
      <c r="Z197" s="916">
        <v>4.5789999999999997</v>
      </c>
      <c r="AA197" s="916">
        <v>1.0229999999999999</v>
      </c>
      <c r="AB197" s="916">
        <v>3.0089999999999999</v>
      </c>
      <c r="AC197" s="915"/>
      <c r="AD197" s="919">
        <v>230.48099999999999</v>
      </c>
      <c r="AE197" s="920">
        <v>218.05199999999999</v>
      </c>
      <c r="AF197" s="920" t="s">
        <v>21</v>
      </c>
      <c r="AG197" s="920" t="s">
        <v>21</v>
      </c>
      <c r="AH197" s="921">
        <v>218.05199999999999</v>
      </c>
      <c r="AI197" s="921" t="s">
        <v>21</v>
      </c>
      <c r="AJ197" s="920" t="s">
        <v>21</v>
      </c>
      <c r="AK197" s="920" t="s">
        <v>21</v>
      </c>
      <c r="AL197" s="921" t="s">
        <v>21</v>
      </c>
      <c r="AM197" s="921" t="s">
        <v>21</v>
      </c>
      <c r="AN197" s="920"/>
      <c r="AO197" s="920" t="s">
        <v>21</v>
      </c>
      <c r="AP197" s="919">
        <v>66.668000000000006</v>
      </c>
      <c r="AQ197" s="922">
        <v>216.86148</v>
      </c>
      <c r="AR197" s="923" t="s">
        <v>21</v>
      </c>
      <c r="AS197" s="923">
        <v>216.86148</v>
      </c>
      <c r="AT197" s="923" t="s">
        <v>21</v>
      </c>
      <c r="AU197" s="923" t="s">
        <v>21</v>
      </c>
      <c r="AV197" s="924" t="s">
        <v>21</v>
      </c>
      <c r="AW197" s="924" t="s">
        <v>21</v>
      </c>
      <c r="AX197" s="924" t="s">
        <v>21</v>
      </c>
      <c r="AY197" s="924" t="s">
        <v>21</v>
      </c>
      <c r="AZ197" s="923" t="s">
        <v>21</v>
      </c>
      <c r="BA197" s="923"/>
      <c r="BB197" s="919">
        <v>6.6669999999999998</v>
      </c>
      <c r="BC197" s="919" t="s">
        <v>21</v>
      </c>
      <c r="BD197" s="919" t="s">
        <v>2142</v>
      </c>
      <c r="BE197" s="925" t="s">
        <v>21</v>
      </c>
      <c r="BF197" s="926" t="s">
        <v>21</v>
      </c>
      <c r="BG197" s="925">
        <v>47.62</v>
      </c>
      <c r="BH197" s="926" t="s">
        <v>21</v>
      </c>
      <c r="BI197" s="925" t="s">
        <v>21</v>
      </c>
      <c r="BJ197" s="926" t="s">
        <v>21</v>
      </c>
      <c r="BK197" s="925" t="s">
        <v>21</v>
      </c>
      <c r="BL197" s="926" t="s">
        <v>21</v>
      </c>
      <c r="BM197" s="925" t="s">
        <v>21</v>
      </c>
      <c r="BN197" s="927"/>
      <c r="BO197" s="927"/>
      <c r="BP197" s="928">
        <v>1</v>
      </c>
      <c r="BQ197" s="928" t="s">
        <v>21</v>
      </c>
      <c r="BR197" s="928" t="s">
        <v>21</v>
      </c>
      <c r="BS197" s="928" t="s">
        <v>21</v>
      </c>
      <c r="BT197" s="928" t="s">
        <v>21</v>
      </c>
      <c r="BU197" s="928" t="s">
        <v>21</v>
      </c>
      <c r="BV197" s="929">
        <v>0.49999999999986366</v>
      </c>
      <c r="BW197" s="929">
        <v>0.5</v>
      </c>
      <c r="BX197" s="1104">
        <v>1</v>
      </c>
      <c r="BY197" s="931">
        <v>3</v>
      </c>
      <c r="BZ197" s="930"/>
      <c r="CA197" s="1074"/>
      <c r="CB197" s="930"/>
      <c r="CC197" s="930"/>
      <c r="CD197" s="925">
        <v>48.715000000000003</v>
      </c>
      <c r="CE197" s="1130">
        <v>143.28899999999999</v>
      </c>
      <c r="CF197" s="1129" t="s">
        <v>21</v>
      </c>
      <c r="CG197" s="1130" t="s">
        <v>21</v>
      </c>
      <c r="CH197" s="1130" t="s">
        <v>21</v>
      </c>
      <c r="CI197" s="1131" t="s">
        <v>21</v>
      </c>
      <c r="CJ197" s="1129" t="s">
        <v>21</v>
      </c>
      <c r="CK197" s="1130">
        <v>143.28899999999999</v>
      </c>
      <c r="CL197" s="1130" t="s">
        <v>21</v>
      </c>
      <c r="CM197" s="1131" t="s">
        <v>21</v>
      </c>
      <c r="CN197" s="1130" t="s">
        <v>21</v>
      </c>
      <c r="CP197" s="838" t="s">
        <v>21</v>
      </c>
      <c r="CQ197" s="838" t="s">
        <v>21</v>
      </c>
      <c r="CR197" s="836"/>
    </row>
    <row r="198" spans="1:96" x14ac:dyDescent="0.25">
      <c r="A198" s="935"/>
      <c r="B198" s="932" t="s">
        <v>2256</v>
      </c>
      <c r="C198" s="911">
        <v>600</v>
      </c>
      <c r="D198" s="911" t="s">
        <v>2116</v>
      </c>
      <c r="E198" s="912">
        <v>1183.22</v>
      </c>
      <c r="F198" s="912">
        <v>1181.17</v>
      </c>
      <c r="G198" s="932" t="s">
        <v>2257</v>
      </c>
      <c r="H198" s="912">
        <v>1181.53</v>
      </c>
      <c r="I198" s="912">
        <v>1179.6300000000001</v>
      </c>
      <c r="J198" s="914">
        <v>44.34</v>
      </c>
      <c r="K198" s="915"/>
      <c r="L198" s="916">
        <v>0.1</v>
      </c>
      <c r="M198" s="916">
        <v>0.06</v>
      </c>
      <c r="N198" s="916">
        <v>0.2</v>
      </c>
      <c r="O198" s="916">
        <v>4.8900000000000006</v>
      </c>
      <c r="P198" s="915"/>
      <c r="Q198" s="916">
        <v>2.2349999999999999</v>
      </c>
      <c r="R198" s="917">
        <v>0.33333333333333331</v>
      </c>
      <c r="S198" s="918">
        <v>1.4</v>
      </c>
      <c r="T198" s="918">
        <v>2.89</v>
      </c>
      <c r="U198" s="916">
        <v>4.7119999999999997</v>
      </c>
      <c r="V198" s="916">
        <v>0.92</v>
      </c>
      <c r="W198" s="915"/>
      <c r="X198" s="916">
        <v>0.28299999999999997</v>
      </c>
      <c r="Y198" s="916">
        <v>0.40699999999999997</v>
      </c>
      <c r="Z198" s="916">
        <v>4.7939999999999996</v>
      </c>
      <c r="AA198" s="916">
        <v>1.0229999999999999</v>
      </c>
      <c r="AB198" s="916">
        <v>3.2240000000000002</v>
      </c>
      <c r="AC198" s="915"/>
      <c r="AD198" s="919">
        <v>216.82300000000001</v>
      </c>
      <c r="AE198" s="920">
        <v>212.566</v>
      </c>
      <c r="AF198" s="920" t="s">
        <v>21</v>
      </c>
      <c r="AG198" s="920" t="s">
        <v>21</v>
      </c>
      <c r="AH198" s="921">
        <v>212.566</v>
      </c>
      <c r="AI198" s="921" t="s">
        <v>21</v>
      </c>
      <c r="AJ198" s="920" t="s">
        <v>21</v>
      </c>
      <c r="AK198" s="920" t="s">
        <v>21</v>
      </c>
      <c r="AL198" s="921" t="s">
        <v>21</v>
      </c>
      <c r="AM198" s="921" t="s">
        <v>21</v>
      </c>
      <c r="AN198" s="920"/>
      <c r="AO198" s="920" t="s">
        <v>21</v>
      </c>
      <c r="AP198" s="919">
        <v>62.076000000000001</v>
      </c>
      <c r="AQ198" s="922">
        <v>208.93008</v>
      </c>
      <c r="AR198" s="923" t="s">
        <v>21</v>
      </c>
      <c r="AS198" s="923">
        <v>208.93008</v>
      </c>
      <c r="AT198" s="923" t="s">
        <v>21</v>
      </c>
      <c r="AU198" s="923" t="s">
        <v>21</v>
      </c>
      <c r="AV198" s="924" t="s">
        <v>21</v>
      </c>
      <c r="AW198" s="924" t="s">
        <v>21</v>
      </c>
      <c r="AX198" s="924" t="s">
        <v>21</v>
      </c>
      <c r="AY198" s="924" t="s">
        <v>21</v>
      </c>
      <c r="AZ198" s="923" t="s">
        <v>21</v>
      </c>
      <c r="BA198" s="923"/>
      <c r="BB198" s="919">
        <v>6.2080000000000002</v>
      </c>
      <c r="BC198" s="919" t="s">
        <v>21</v>
      </c>
      <c r="BD198" s="919" t="s">
        <v>2142</v>
      </c>
      <c r="BE198" s="925" t="s">
        <v>21</v>
      </c>
      <c r="BF198" s="926" t="s">
        <v>21</v>
      </c>
      <c r="BG198" s="925">
        <v>44.34</v>
      </c>
      <c r="BH198" s="926" t="s">
        <v>21</v>
      </c>
      <c r="BI198" s="925" t="s">
        <v>21</v>
      </c>
      <c r="BJ198" s="926" t="s">
        <v>21</v>
      </c>
      <c r="BK198" s="925" t="s">
        <v>21</v>
      </c>
      <c r="BL198" s="926" t="s">
        <v>21</v>
      </c>
      <c r="BM198" s="925" t="s">
        <v>21</v>
      </c>
      <c r="BN198" s="927"/>
      <c r="BO198" s="927"/>
      <c r="BP198" s="928">
        <v>1</v>
      </c>
      <c r="BQ198" s="928" t="s">
        <v>21</v>
      </c>
      <c r="BR198" s="928" t="s">
        <v>21</v>
      </c>
      <c r="BS198" s="928" t="s">
        <v>21</v>
      </c>
      <c r="BT198" s="928" t="s">
        <v>21</v>
      </c>
      <c r="BU198" s="928" t="s">
        <v>21</v>
      </c>
      <c r="BV198" s="929">
        <v>0.64999999999995461</v>
      </c>
      <c r="BW198" s="929">
        <v>1</v>
      </c>
      <c r="BX198" s="1104">
        <v>2</v>
      </c>
      <c r="BY198" s="931">
        <v>4</v>
      </c>
      <c r="BZ198" s="930"/>
      <c r="CA198" s="1074">
        <v>1</v>
      </c>
      <c r="CB198" s="930"/>
      <c r="CC198" s="930"/>
      <c r="CD198" s="925">
        <v>45.36</v>
      </c>
      <c r="CE198" s="1130">
        <v>142.952</v>
      </c>
      <c r="CF198" s="1129" t="s">
        <v>21</v>
      </c>
      <c r="CG198" s="1130" t="s">
        <v>21</v>
      </c>
      <c r="CH198" s="1130" t="s">
        <v>21</v>
      </c>
      <c r="CI198" s="1131" t="s">
        <v>21</v>
      </c>
      <c r="CJ198" s="1129" t="s">
        <v>21</v>
      </c>
      <c r="CK198" s="1130">
        <v>142.952</v>
      </c>
      <c r="CL198" s="1130" t="s">
        <v>21</v>
      </c>
      <c r="CM198" s="1131" t="s">
        <v>21</v>
      </c>
      <c r="CN198" s="1130" t="s">
        <v>21</v>
      </c>
      <c r="CP198" s="838" t="s">
        <v>21</v>
      </c>
      <c r="CQ198" s="838" t="s">
        <v>21</v>
      </c>
      <c r="CR198" s="836"/>
    </row>
    <row r="199" spans="1:96" x14ac:dyDescent="0.25">
      <c r="A199" s="935"/>
      <c r="B199" s="932" t="s">
        <v>2257</v>
      </c>
      <c r="C199" s="911">
        <v>600</v>
      </c>
      <c r="D199" s="911" t="s">
        <v>2116</v>
      </c>
      <c r="E199" s="912">
        <v>1181.53</v>
      </c>
      <c r="F199" s="912">
        <v>1179.6300000000001</v>
      </c>
      <c r="G199" s="932" t="s">
        <v>2258</v>
      </c>
      <c r="H199" s="912">
        <v>1179</v>
      </c>
      <c r="I199" s="912">
        <v>1177.0999999999999</v>
      </c>
      <c r="J199" s="914">
        <v>34.92</v>
      </c>
      <c r="K199" s="915"/>
      <c r="L199" s="916">
        <v>0.1</v>
      </c>
      <c r="M199" s="916">
        <v>0.06</v>
      </c>
      <c r="N199" s="916">
        <v>0.2</v>
      </c>
      <c r="O199" s="916">
        <v>4.84</v>
      </c>
      <c r="P199" s="915"/>
      <c r="Q199" s="916">
        <v>2.16</v>
      </c>
      <c r="R199" s="917">
        <v>0.33333333333333331</v>
      </c>
      <c r="S199" s="918">
        <v>1.4</v>
      </c>
      <c r="T199" s="918">
        <v>2.84</v>
      </c>
      <c r="U199" s="916">
        <v>4.5540000000000003</v>
      </c>
      <c r="V199" s="916">
        <v>0.92</v>
      </c>
      <c r="W199" s="915"/>
      <c r="X199" s="916">
        <v>0.28299999999999997</v>
      </c>
      <c r="Y199" s="916">
        <v>0.40699999999999997</v>
      </c>
      <c r="Z199" s="916">
        <v>4.5789999999999997</v>
      </c>
      <c r="AA199" s="916">
        <v>1.0229999999999999</v>
      </c>
      <c r="AB199" s="916">
        <v>3.0089999999999999</v>
      </c>
      <c r="AC199" s="915"/>
      <c r="AD199" s="919">
        <v>169.01300000000001</v>
      </c>
      <c r="AE199" s="920">
        <v>159.899</v>
      </c>
      <c r="AF199" s="920" t="s">
        <v>21</v>
      </c>
      <c r="AG199" s="920" t="s">
        <v>21</v>
      </c>
      <c r="AH199" s="921">
        <v>159.899</v>
      </c>
      <c r="AI199" s="921" t="s">
        <v>21</v>
      </c>
      <c r="AJ199" s="920" t="s">
        <v>21</v>
      </c>
      <c r="AK199" s="920" t="s">
        <v>21</v>
      </c>
      <c r="AL199" s="921" t="s">
        <v>21</v>
      </c>
      <c r="AM199" s="921" t="s">
        <v>21</v>
      </c>
      <c r="AN199" s="920"/>
      <c r="AO199" s="920" t="s">
        <v>21</v>
      </c>
      <c r="AP199" s="919">
        <v>48.887999999999998</v>
      </c>
      <c r="AQ199" s="922">
        <v>159.02568000000002</v>
      </c>
      <c r="AR199" s="923" t="s">
        <v>21</v>
      </c>
      <c r="AS199" s="923">
        <v>159.02568000000002</v>
      </c>
      <c r="AT199" s="923" t="s">
        <v>21</v>
      </c>
      <c r="AU199" s="923" t="s">
        <v>21</v>
      </c>
      <c r="AV199" s="924" t="s">
        <v>21</v>
      </c>
      <c r="AW199" s="924" t="s">
        <v>21</v>
      </c>
      <c r="AX199" s="924" t="s">
        <v>21</v>
      </c>
      <c r="AY199" s="924" t="s">
        <v>21</v>
      </c>
      <c r="AZ199" s="923" t="s">
        <v>21</v>
      </c>
      <c r="BA199" s="923"/>
      <c r="BB199" s="919">
        <v>4.8890000000000002</v>
      </c>
      <c r="BC199" s="919" t="s">
        <v>21</v>
      </c>
      <c r="BD199" s="919" t="s">
        <v>2142</v>
      </c>
      <c r="BE199" s="925" t="s">
        <v>21</v>
      </c>
      <c r="BF199" s="926" t="s">
        <v>21</v>
      </c>
      <c r="BG199" s="925">
        <v>34.92</v>
      </c>
      <c r="BH199" s="926" t="s">
        <v>21</v>
      </c>
      <c r="BI199" s="925" t="s">
        <v>21</v>
      </c>
      <c r="BJ199" s="926" t="s">
        <v>21</v>
      </c>
      <c r="BK199" s="925" t="s">
        <v>21</v>
      </c>
      <c r="BL199" s="926" t="s">
        <v>21</v>
      </c>
      <c r="BM199" s="925" t="s">
        <v>21</v>
      </c>
      <c r="BN199" s="927"/>
      <c r="BO199" s="927"/>
      <c r="BP199" s="928">
        <v>1</v>
      </c>
      <c r="BQ199" s="928" t="s">
        <v>21</v>
      </c>
      <c r="BR199" s="928" t="s">
        <v>21</v>
      </c>
      <c r="BS199" s="928" t="s">
        <v>21</v>
      </c>
      <c r="BT199" s="928" t="s">
        <v>21</v>
      </c>
      <c r="BU199" s="928" t="s">
        <v>21</v>
      </c>
      <c r="BV199" s="929">
        <v>0.49999999999986366</v>
      </c>
      <c r="BW199" s="929">
        <v>0.5</v>
      </c>
      <c r="BX199" s="1104">
        <v>1</v>
      </c>
      <c r="BY199" s="931">
        <v>3</v>
      </c>
      <c r="BZ199" s="930"/>
      <c r="CA199" s="1074">
        <v>1</v>
      </c>
      <c r="CB199" s="930"/>
      <c r="CC199" s="930"/>
      <c r="CD199" s="925">
        <v>35.722999999999999</v>
      </c>
      <c r="CE199" s="1130">
        <v>105.074</v>
      </c>
      <c r="CF199" s="1129" t="s">
        <v>21</v>
      </c>
      <c r="CG199" s="1130" t="s">
        <v>21</v>
      </c>
      <c r="CH199" s="1130" t="s">
        <v>21</v>
      </c>
      <c r="CI199" s="1131" t="s">
        <v>21</v>
      </c>
      <c r="CJ199" s="1129" t="s">
        <v>21</v>
      </c>
      <c r="CK199" s="1130">
        <v>105.074</v>
      </c>
      <c r="CL199" s="1130" t="s">
        <v>21</v>
      </c>
      <c r="CM199" s="1131" t="s">
        <v>21</v>
      </c>
      <c r="CN199" s="1130" t="s">
        <v>21</v>
      </c>
      <c r="CP199" s="838" t="s">
        <v>21</v>
      </c>
      <c r="CQ199" s="838" t="s">
        <v>21</v>
      </c>
      <c r="CR199" s="836"/>
    </row>
    <row r="200" spans="1:96" x14ac:dyDescent="0.25">
      <c r="A200" s="935"/>
      <c r="B200" s="932" t="s">
        <v>2258</v>
      </c>
      <c r="C200" s="911">
        <v>800</v>
      </c>
      <c r="D200" s="911" t="s">
        <v>2116</v>
      </c>
      <c r="E200" s="912">
        <v>1179</v>
      </c>
      <c r="F200" s="912">
        <v>1176.8</v>
      </c>
      <c r="G200" s="932" t="s">
        <v>2259</v>
      </c>
      <c r="H200" s="912">
        <v>1179</v>
      </c>
      <c r="I200" s="912">
        <v>1176.69</v>
      </c>
      <c r="J200" s="914">
        <v>20.34</v>
      </c>
      <c r="K200" s="915"/>
      <c r="L200" s="916">
        <v>0.15</v>
      </c>
      <c r="M200" s="916">
        <v>7.5999999999999998E-2</v>
      </c>
      <c r="N200" s="916">
        <v>0.2</v>
      </c>
      <c r="O200" s="916">
        <v>5.4209999999999994</v>
      </c>
      <c r="P200" s="915"/>
      <c r="Q200" s="916">
        <v>2.581</v>
      </c>
      <c r="R200" s="917">
        <v>0.33333333333333331</v>
      </c>
      <c r="S200" s="918">
        <v>1.7</v>
      </c>
      <c r="T200" s="918">
        <v>3.4209999999999998</v>
      </c>
      <c r="U200" s="916">
        <v>5.4409999999999998</v>
      </c>
      <c r="V200" s="916">
        <v>1.1519999999999999</v>
      </c>
      <c r="W200" s="915"/>
      <c r="X200" s="916">
        <v>0.503</v>
      </c>
      <c r="Y200" s="916">
        <v>0.71199999999999997</v>
      </c>
      <c r="Z200" s="916">
        <v>6.609</v>
      </c>
      <c r="AA200" s="916">
        <v>1.4339999999999999</v>
      </c>
      <c r="AB200" s="916">
        <v>4.2080000000000002</v>
      </c>
      <c r="AC200" s="915"/>
      <c r="AD200" s="919">
        <v>110.26300000000001</v>
      </c>
      <c r="AE200" s="920">
        <v>134.42699999999999</v>
      </c>
      <c r="AF200" s="920" t="s">
        <v>21</v>
      </c>
      <c r="AG200" s="920" t="s">
        <v>21</v>
      </c>
      <c r="AH200" s="921" t="s">
        <v>21</v>
      </c>
      <c r="AI200" s="921">
        <v>134.42699999999999</v>
      </c>
      <c r="AJ200" s="920" t="s">
        <v>21</v>
      </c>
      <c r="AK200" s="920" t="s">
        <v>21</v>
      </c>
      <c r="AL200" s="921" t="s">
        <v>21</v>
      </c>
      <c r="AM200" s="921" t="s">
        <v>21</v>
      </c>
      <c r="AN200" s="920"/>
      <c r="AO200" s="920" t="s">
        <v>21</v>
      </c>
      <c r="AP200" s="919">
        <v>34.578000000000003</v>
      </c>
      <c r="AQ200" s="922">
        <v>110.66994</v>
      </c>
      <c r="AR200" s="923" t="s">
        <v>21</v>
      </c>
      <c r="AS200" s="923" t="s">
        <v>21</v>
      </c>
      <c r="AT200" s="923" t="s">
        <v>21</v>
      </c>
      <c r="AU200" s="923" t="s">
        <v>21</v>
      </c>
      <c r="AV200" s="924" t="s">
        <v>21</v>
      </c>
      <c r="AW200" s="924">
        <v>110.66994</v>
      </c>
      <c r="AX200" s="924" t="s">
        <v>21</v>
      </c>
      <c r="AY200" s="924" t="s">
        <v>21</v>
      </c>
      <c r="AZ200" s="923" t="s">
        <v>21</v>
      </c>
      <c r="BA200" s="923"/>
      <c r="BB200" s="919" t="s">
        <v>21</v>
      </c>
      <c r="BC200" s="919">
        <v>5.1870000000000003</v>
      </c>
      <c r="BD200" s="919" t="s">
        <v>2142</v>
      </c>
      <c r="BE200" s="925" t="s">
        <v>21</v>
      </c>
      <c r="BF200" s="926" t="s">
        <v>21</v>
      </c>
      <c r="BG200" s="925" t="s">
        <v>21</v>
      </c>
      <c r="BH200" s="926">
        <v>20.34</v>
      </c>
      <c r="BI200" s="925" t="s">
        <v>21</v>
      </c>
      <c r="BJ200" s="926" t="s">
        <v>21</v>
      </c>
      <c r="BK200" s="925" t="s">
        <v>21</v>
      </c>
      <c r="BL200" s="926" t="s">
        <v>21</v>
      </c>
      <c r="BM200" s="925" t="s">
        <v>21</v>
      </c>
      <c r="BN200" s="927"/>
      <c r="BO200" s="927"/>
      <c r="BP200" s="928" t="s">
        <v>21</v>
      </c>
      <c r="BQ200" s="928">
        <v>1</v>
      </c>
      <c r="BR200" s="928" t="s">
        <v>21</v>
      </c>
      <c r="BS200" s="928" t="s">
        <v>21</v>
      </c>
      <c r="BT200" s="928" t="s">
        <v>21</v>
      </c>
      <c r="BU200" s="928" t="s">
        <v>21</v>
      </c>
      <c r="BV200" s="929">
        <v>0.70000000000004547</v>
      </c>
      <c r="BW200" s="929">
        <v>1</v>
      </c>
      <c r="BX200" s="1104">
        <v>2</v>
      </c>
      <c r="BY200" s="931">
        <v>4</v>
      </c>
      <c r="BZ200" s="930"/>
      <c r="CA200" s="1074">
        <v>1</v>
      </c>
      <c r="CB200" s="930"/>
      <c r="CC200" s="930"/>
      <c r="CD200" s="925">
        <v>29.167999999999999</v>
      </c>
      <c r="CE200" s="1130">
        <v>85.590999999999994</v>
      </c>
      <c r="CF200" s="1129" t="s">
        <v>21</v>
      </c>
      <c r="CG200" s="1130" t="s">
        <v>21</v>
      </c>
      <c r="CH200" s="1130" t="s">
        <v>21</v>
      </c>
      <c r="CI200" s="1131" t="s">
        <v>21</v>
      </c>
      <c r="CJ200" s="1129" t="s">
        <v>21</v>
      </c>
      <c r="CK200" s="1130" t="s">
        <v>21</v>
      </c>
      <c r="CL200" s="1130" t="s">
        <v>21</v>
      </c>
      <c r="CM200" s="1131" t="s">
        <v>21</v>
      </c>
      <c r="CN200" s="1130">
        <v>85.590999999999994</v>
      </c>
      <c r="CP200" s="838" t="s">
        <v>21</v>
      </c>
      <c r="CQ200" s="838" t="s">
        <v>21</v>
      </c>
      <c r="CR200" s="836"/>
    </row>
    <row r="201" spans="1:96" x14ac:dyDescent="0.25">
      <c r="A201" s="935"/>
      <c r="B201" s="932" t="s">
        <v>2259</v>
      </c>
      <c r="C201" s="911">
        <v>800</v>
      </c>
      <c r="D201" s="911" t="s">
        <v>2116</v>
      </c>
      <c r="E201" s="912">
        <v>1179</v>
      </c>
      <c r="F201" s="912">
        <v>1176.6400000000001</v>
      </c>
      <c r="G201" s="932" t="s">
        <v>2260</v>
      </c>
      <c r="H201" s="912">
        <v>1178.78</v>
      </c>
      <c r="I201" s="912">
        <v>1176.423</v>
      </c>
      <c r="J201" s="914">
        <v>33.18</v>
      </c>
      <c r="K201" s="915"/>
      <c r="L201" s="916">
        <v>0.15</v>
      </c>
      <c r="M201" s="916">
        <v>7.5999999999999998E-2</v>
      </c>
      <c r="N201" s="916">
        <v>0.2</v>
      </c>
      <c r="O201" s="916">
        <v>5.4889999999999999</v>
      </c>
      <c r="P201" s="915"/>
      <c r="Q201" s="916">
        <v>2.6840000000000002</v>
      </c>
      <c r="R201" s="917">
        <v>0.33333333333333331</v>
      </c>
      <c r="S201" s="918">
        <v>1.7</v>
      </c>
      <c r="T201" s="918">
        <v>3.4889999999999999</v>
      </c>
      <c r="U201" s="916">
        <v>5.6580000000000004</v>
      </c>
      <c r="V201" s="916">
        <v>1.1519999999999999</v>
      </c>
      <c r="W201" s="915"/>
      <c r="X201" s="916">
        <v>0.503</v>
      </c>
      <c r="Y201" s="916">
        <v>0.71199999999999997</v>
      </c>
      <c r="Z201" s="916">
        <v>6.9640000000000004</v>
      </c>
      <c r="AA201" s="916">
        <v>1.4339999999999999</v>
      </c>
      <c r="AB201" s="916">
        <v>4.5629999999999997</v>
      </c>
      <c r="AC201" s="915"/>
      <c r="AD201" s="919">
        <v>182.125</v>
      </c>
      <c r="AE201" s="920">
        <v>231.066</v>
      </c>
      <c r="AF201" s="920" t="s">
        <v>21</v>
      </c>
      <c r="AG201" s="920" t="s">
        <v>21</v>
      </c>
      <c r="AH201" s="921" t="s">
        <v>21</v>
      </c>
      <c r="AI201" s="921">
        <v>231.066</v>
      </c>
      <c r="AJ201" s="920" t="s">
        <v>21</v>
      </c>
      <c r="AK201" s="920" t="s">
        <v>21</v>
      </c>
      <c r="AL201" s="921" t="s">
        <v>21</v>
      </c>
      <c r="AM201" s="921" t="s">
        <v>21</v>
      </c>
      <c r="AN201" s="920"/>
      <c r="AO201" s="920" t="s">
        <v>21</v>
      </c>
      <c r="AP201" s="919">
        <v>56.405999999999999</v>
      </c>
      <c r="AQ201" s="922">
        <v>187.73244</v>
      </c>
      <c r="AR201" s="923" t="s">
        <v>21</v>
      </c>
      <c r="AS201" s="923" t="s">
        <v>21</v>
      </c>
      <c r="AT201" s="923" t="s">
        <v>21</v>
      </c>
      <c r="AU201" s="923" t="s">
        <v>21</v>
      </c>
      <c r="AV201" s="924" t="s">
        <v>21</v>
      </c>
      <c r="AW201" s="924">
        <v>187.73244</v>
      </c>
      <c r="AX201" s="924" t="s">
        <v>21</v>
      </c>
      <c r="AY201" s="924" t="s">
        <v>21</v>
      </c>
      <c r="AZ201" s="923" t="s">
        <v>21</v>
      </c>
      <c r="BA201" s="923"/>
      <c r="BB201" s="919" t="s">
        <v>21</v>
      </c>
      <c r="BC201" s="919">
        <v>8.4610000000000003</v>
      </c>
      <c r="BD201" s="919" t="s">
        <v>2142</v>
      </c>
      <c r="BE201" s="925" t="s">
        <v>21</v>
      </c>
      <c r="BF201" s="926" t="s">
        <v>21</v>
      </c>
      <c r="BG201" s="925" t="s">
        <v>21</v>
      </c>
      <c r="BH201" s="926">
        <v>33.18</v>
      </c>
      <c r="BI201" s="925" t="s">
        <v>21</v>
      </c>
      <c r="BJ201" s="926" t="s">
        <v>21</v>
      </c>
      <c r="BK201" s="925" t="s">
        <v>21</v>
      </c>
      <c r="BL201" s="926" t="s">
        <v>21</v>
      </c>
      <c r="BM201" s="925" t="s">
        <v>21</v>
      </c>
      <c r="BN201" s="927"/>
      <c r="BO201" s="927"/>
      <c r="BP201" s="928" t="s">
        <v>21</v>
      </c>
      <c r="BQ201" s="928">
        <v>1</v>
      </c>
      <c r="BR201" s="928" t="s">
        <v>21</v>
      </c>
      <c r="BS201" s="928" t="s">
        <v>21</v>
      </c>
      <c r="BT201" s="928" t="s">
        <v>21</v>
      </c>
      <c r="BU201" s="928" t="s">
        <v>21</v>
      </c>
      <c r="BV201" s="929">
        <v>0.85999999999989996</v>
      </c>
      <c r="BW201" s="929">
        <v>1</v>
      </c>
      <c r="BX201" s="1104">
        <v>2</v>
      </c>
      <c r="BY201" s="931">
        <v>4</v>
      </c>
      <c r="BZ201" s="930"/>
      <c r="CA201" s="1074">
        <v>1</v>
      </c>
      <c r="CB201" s="930"/>
      <c r="CC201" s="930"/>
      <c r="CD201" s="925">
        <v>47.58</v>
      </c>
      <c r="CE201" s="1130">
        <v>151.4</v>
      </c>
      <c r="CF201" s="1129" t="s">
        <v>21</v>
      </c>
      <c r="CG201" s="1130" t="s">
        <v>21</v>
      </c>
      <c r="CH201" s="1130" t="s">
        <v>21</v>
      </c>
      <c r="CI201" s="1131" t="s">
        <v>21</v>
      </c>
      <c r="CJ201" s="1129" t="s">
        <v>21</v>
      </c>
      <c r="CK201" s="1130" t="s">
        <v>21</v>
      </c>
      <c r="CL201" s="1130" t="s">
        <v>21</v>
      </c>
      <c r="CM201" s="1131" t="s">
        <v>21</v>
      </c>
      <c r="CN201" s="1130">
        <v>151.4</v>
      </c>
      <c r="CP201" s="838" t="s">
        <v>21</v>
      </c>
      <c r="CQ201" s="838" t="s">
        <v>21</v>
      </c>
      <c r="CR201" s="836"/>
    </row>
    <row r="202" spans="1:96" x14ac:dyDescent="0.25">
      <c r="A202" s="935"/>
      <c r="B202" s="932" t="s">
        <v>2260</v>
      </c>
      <c r="C202" s="911">
        <v>800</v>
      </c>
      <c r="D202" s="911" t="s">
        <v>2116</v>
      </c>
      <c r="E202" s="912">
        <v>1178.78</v>
      </c>
      <c r="F202" s="912">
        <v>1176.423</v>
      </c>
      <c r="G202" s="932" t="s">
        <v>2261</v>
      </c>
      <c r="H202" s="912">
        <v>1176.8</v>
      </c>
      <c r="I202" s="912">
        <v>1174.7</v>
      </c>
      <c r="J202" s="914">
        <v>52.36</v>
      </c>
      <c r="K202" s="915"/>
      <c r="L202" s="916">
        <v>0.15</v>
      </c>
      <c r="M202" s="916">
        <v>7.5999999999999998E-2</v>
      </c>
      <c r="N202" s="916">
        <v>0.2</v>
      </c>
      <c r="O202" s="916">
        <v>5.4030000000000005</v>
      </c>
      <c r="P202" s="915"/>
      <c r="Q202" s="916">
        <v>2.5539999999999998</v>
      </c>
      <c r="R202" s="917">
        <v>0.33333333333333331</v>
      </c>
      <c r="S202" s="918">
        <v>1.7</v>
      </c>
      <c r="T202" s="918">
        <v>3.403</v>
      </c>
      <c r="U202" s="916">
        <v>5.3840000000000003</v>
      </c>
      <c r="V202" s="916">
        <v>1.1519999999999999</v>
      </c>
      <c r="W202" s="915"/>
      <c r="X202" s="916">
        <v>0.503</v>
      </c>
      <c r="Y202" s="916">
        <v>0.71199999999999997</v>
      </c>
      <c r="Z202" s="916">
        <v>6.5170000000000003</v>
      </c>
      <c r="AA202" s="916">
        <v>1.4339999999999999</v>
      </c>
      <c r="AB202" s="916">
        <v>4.1159999999999997</v>
      </c>
      <c r="AC202" s="915"/>
      <c r="AD202" s="919">
        <v>282.90100000000001</v>
      </c>
      <c r="AE202" s="920">
        <v>341.23</v>
      </c>
      <c r="AF202" s="920" t="s">
        <v>21</v>
      </c>
      <c r="AG202" s="920" t="s">
        <v>21</v>
      </c>
      <c r="AH202" s="921" t="s">
        <v>21</v>
      </c>
      <c r="AI202" s="921">
        <v>341.23</v>
      </c>
      <c r="AJ202" s="920" t="s">
        <v>21</v>
      </c>
      <c r="AK202" s="920" t="s">
        <v>21</v>
      </c>
      <c r="AL202" s="921" t="s">
        <v>21</v>
      </c>
      <c r="AM202" s="921" t="s">
        <v>21</v>
      </c>
      <c r="AN202" s="920"/>
      <c r="AO202" s="920" t="s">
        <v>21</v>
      </c>
      <c r="AP202" s="919">
        <v>89.012</v>
      </c>
      <c r="AQ202" s="922">
        <v>281.90624000000003</v>
      </c>
      <c r="AR202" s="923" t="s">
        <v>21</v>
      </c>
      <c r="AS202" s="923" t="s">
        <v>21</v>
      </c>
      <c r="AT202" s="923" t="s">
        <v>21</v>
      </c>
      <c r="AU202" s="923" t="s">
        <v>21</v>
      </c>
      <c r="AV202" s="924" t="s">
        <v>21</v>
      </c>
      <c r="AW202" s="924">
        <v>281.90624000000003</v>
      </c>
      <c r="AX202" s="924" t="s">
        <v>21</v>
      </c>
      <c r="AY202" s="924" t="s">
        <v>21</v>
      </c>
      <c r="AZ202" s="923" t="s">
        <v>21</v>
      </c>
      <c r="BA202" s="923"/>
      <c r="BB202" s="919" t="s">
        <v>21</v>
      </c>
      <c r="BC202" s="919">
        <v>13.352</v>
      </c>
      <c r="BD202" s="919" t="s">
        <v>2142</v>
      </c>
      <c r="BE202" s="925" t="s">
        <v>21</v>
      </c>
      <c r="BF202" s="926" t="s">
        <v>21</v>
      </c>
      <c r="BG202" s="925" t="s">
        <v>21</v>
      </c>
      <c r="BH202" s="926">
        <v>52.36</v>
      </c>
      <c r="BI202" s="925" t="s">
        <v>21</v>
      </c>
      <c r="BJ202" s="926" t="s">
        <v>21</v>
      </c>
      <c r="BK202" s="925" t="s">
        <v>21</v>
      </c>
      <c r="BL202" s="926" t="s">
        <v>21</v>
      </c>
      <c r="BM202" s="925" t="s">
        <v>21</v>
      </c>
      <c r="BN202" s="927"/>
      <c r="BO202" s="927"/>
      <c r="BP202" s="928" t="s">
        <v>21</v>
      </c>
      <c r="BQ202" s="928">
        <v>1</v>
      </c>
      <c r="BR202" s="928" t="s">
        <v>21</v>
      </c>
      <c r="BS202" s="928" t="s">
        <v>21</v>
      </c>
      <c r="BT202" s="928" t="s">
        <v>21</v>
      </c>
      <c r="BU202" s="928" t="s">
        <v>21</v>
      </c>
      <c r="BV202" s="929">
        <v>0.8569999999999709</v>
      </c>
      <c r="BW202" s="929">
        <v>1</v>
      </c>
      <c r="BX202" s="1104">
        <v>2</v>
      </c>
      <c r="BY202" s="931">
        <v>4</v>
      </c>
      <c r="BZ202" s="930"/>
      <c r="CA202" s="1074">
        <v>1</v>
      </c>
      <c r="CB202" s="930"/>
      <c r="CC202" s="930"/>
      <c r="CD202" s="925">
        <v>75.084000000000003</v>
      </c>
      <c r="CE202" s="1130">
        <v>215.51400000000001</v>
      </c>
      <c r="CF202" s="1129" t="s">
        <v>21</v>
      </c>
      <c r="CG202" s="1130" t="s">
        <v>21</v>
      </c>
      <c r="CH202" s="1130" t="s">
        <v>21</v>
      </c>
      <c r="CI202" s="1131" t="s">
        <v>21</v>
      </c>
      <c r="CJ202" s="1129" t="s">
        <v>21</v>
      </c>
      <c r="CK202" s="1130" t="s">
        <v>21</v>
      </c>
      <c r="CL202" s="1130" t="s">
        <v>21</v>
      </c>
      <c r="CM202" s="1131" t="s">
        <v>21</v>
      </c>
      <c r="CN202" s="1130">
        <v>215.51400000000001</v>
      </c>
      <c r="CP202" s="838" t="s">
        <v>21</v>
      </c>
      <c r="CQ202" s="838" t="s">
        <v>21</v>
      </c>
      <c r="CR202" s="836"/>
    </row>
    <row r="203" spans="1:96" x14ac:dyDescent="0.25">
      <c r="A203" s="935"/>
      <c r="B203" s="932" t="s">
        <v>2261</v>
      </c>
      <c r="C203" s="911">
        <v>800</v>
      </c>
      <c r="D203" s="911" t="s">
        <v>2116</v>
      </c>
      <c r="E203" s="912">
        <v>1176.8</v>
      </c>
      <c r="F203" s="912">
        <v>1174.6500000000001</v>
      </c>
      <c r="G203" s="932" t="s">
        <v>2262</v>
      </c>
      <c r="H203" s="912">
        <v>1175.21</v>
      </c>
      <c r="I203" s="912">
        <v>1173.1099999999999</v>
      </c>
      <c r="J203" s="914">
        <v>57.8</v>
      </c>
      <c r="K203" s="915"/>
      <c r="L203" s="916">
        <v>0.15</v>
      </c>
      <c r="M203" s="916">
        <v>7.5999999999999998E-2</v>
      </c>
      <c r="N203" s="916">
        <v>0.2</v>
      </c>
      <c r="O203" s="916">
        <v>5.3339999999999996</v>
      </c>
      <c r="P203" s="915"/>
      <c r="Q203" s="916">
        <v>2.4510000000000001</v>
      </c>
      <c r="R203" s="917">
        <v>0.33333333333333331</v>
      </c>
      <c r="S203" s="918">
        <v>1.7</v>
      </c>
      <c r="T203" s="918">
        <v>3.3340000000000001</v>
      </c>
      <c r="U203" s="916">
        <v>5.1669999999999998</v>
      </c>
      <c r="V203" s="916">
        <v>1.1519999999999999</v>
      </c>
      <c r="W203" s="915"/>
      <c r="X203" s="916">
        <v>0.503</v>
      </c>
      <c r="Y203" s="916">
        <v>0.71199999999999997</v>
      </c>
      <c r="Z203" s="916">
        <v>6.1689999999999996</v>
      </c>
      <c r="AA203" s="916">
        <v>1.4339999999999999</v>
      </c>
      <c r="AB203" s="916">
        <v>3.7679999999999998</v>
      </c>
      <c r="AC203" s="915"/>
      <c r="AD203" s="919">
        <v>308.30500000000001</v>
      </c>
      <c r="AE203" s="920">
        <v>356.56799999999998</v>
      </c>
      <c r="AF203" s="920" t="s">
        <v>21</v>
      </c>
      <c r="AG203" s="920" t="s">
        <v>21</v>
      </c>
      <c r="AH203" s="921" t="s">
        <v>21</v>
      </c>
      <c r="AI203" s="921">
        <v>356.56799999999998</v>
      </c>
      <c r="AJ203" s="920" t="s">
        <v>21</v>
      </c>
      <c r="AK203" s="920" t="s">
        <v>21</v>
      </c>
      <c r="AL203" s="921" t="s">
        <v>21</v>
      </c>
      <c r="AM203" s="921" t="s">
        <v>21</v>
      </c>
      <c r="AN203" s="920"/>
      <c r="AO203" s="920" t="s">
        <v>21</v>
      </c>
      <c r="AP203" s="919">
        <v>98.26</v>
      </c>
      <c r="AQ203" s="922">
        <v>298.65259999999995</v>
      </c>
      <c r="AR203" s="923" t="s">
        <v>21</v>
      </c>
      <c r="AS203" s="923" t="s">
        <v>21</v>
      </c>
      <c r="AT203" s="923" t="s">
        <v>21</v>
      </c>
      <c r="AU203" s="923" t="s">
        <v>21</v>
      </c>
      <c r="AV203" s="924" t="s">
        <v>21</v>
      </c>
      <c r="AW203" s="924">
        <v>298.65259999999995</v>
      </c>
      <c r="AX203" s="924" t="s">
        <v>21</v>
      </c>
      <c r="AY203" s="924" t="s">
        <v>21</v>
      </c>
      <c r="AZ203" s="923" t="s">
        <v>21</v>
      </c>
      <c r="BA203" s="923"/>
      <c r="BB203" s="919" t="s">
        <v>21</v>
      </c>
      <c r="BC203" s="919">
        <v>14.739000000000001</v>
      </c>
      <c r="BD203" s="919" t="s">
        <v>2142</v>
      </c>
      <c r="BE203" s="925" t="s">
        <v>21</v>
      </c>
      <c r="BF203" s="926" t="s">
        <v>21</v>
      </c>
      <c r="BG203" s="925" t="s">
        <v>21</v>
      </c>
      <c r="BH203" s="926">
        <v>57.8</v>
      </c>
      <c r="BI203" s="925" t="s">
        <v>21</v>
      </c>
      <c r="BJ203" s="926" t="s">
        <v>21</v>
      </c>
      <c r="BK203" s="925" t="s">
        <v>21</v>
      </c>
      <c r="BL203" s="926" t="s">
        <v>21</v>
      </c>
      <c r="BM203" s="925" t="s">
        <v>21</v>
      </c>
      <c r="BN203" s="927"/>
      <c r="BO203" s="927"/>
      <c r="BP203" s="928" t="s">
        <v>21</v>
      </c>
      <c r="BQ203" s="928">
        <v>1</v>
      </c>
      <c r="BR203" s="928" t="s">
        <v>21</v>
      </c>
      <c r="BS203" s="928" t="s">
        <v>21</v>
      </c>
      <c r="BT203" s="928" t="s">
        <v>21</v>
      </c>
      <c r="BU203" s="928" t="s">
        <v>21</v>
      </c>
      <c r="BV203" s="929">
        <v>0.64999999999986358</v>
      </c>
      <c r="BW203" s="929">
        <v>1</v>
      </c>
      <c r="BX203" s="1104">
        <v>2</v>
      </c>
      <c r="BY203" s="931">
        <v>4</v>
      </c>
      <c r="BZ203" s="930"/>
      <c r="CA203" s="1074">
        <v>1</v>
      </c>
      <c r="CB203" s="930"/>
      <c r="CC203" s="930"/>
      <c r="CD203" s="925">
        <v>82.885000000000005</v>
      </c>
      <c r="CE203" s="1130">
        <v>217.79</v>
      </c>
      <c r="CF203" s="1129" t="s">
        <v>21</v>
      </c>
      <c r="CG203" s="1130" t="s">
        <v>21</v>
      </c>
      <c r="CH203" s="1130" t="s">
        <v>21</v>
      </c>
      <c r="CI203" s="1131" t="s">
        <v>21</v>
      </c>
      <c r="CJ203" s="1129" t="s">
        <v>21</v>
      </c>
      <c r="CK203" s="1130" t="s">
        <v>21</v>
      </c>
      <c r="CL203" s="1130" t="s">
        <v>21</v>
      </c>
      <c r="CM203" s="1131" t="s">
        <v>21</v>
      </c>
      <c r="CN203" s="1130">
        <v>217.79</v>
      </c>
      <c r="CP203" s="838" t="s">
        <v>21</v>
      </c>
      <c r="CQ203" s="838" t="s">
        <v>21</v>
      </c>
      <c r="CR203" s="836"/>
    </row>
    <row r="204" spans="1:96" x14ac:dyDescent="0.25">
      <c r="A204" s="935"/>
      <c r="B204" s="932" t="s">
        <v>2262</v>
      </c>
      <c r="C204" s="911">
        <v>800</v>
      </c>
      <c r="D204" s="911" t="s">
        <v>2116</v>
      </c>
      <c r="E204" s="912">
        <v>1175.21</v>
      </c>
      <c r="F204" s="912">
        <v>1173.1099999999999</v>
      </c>
      <c r="G204" s="932" t="s">
        <v>2263</v>
      </c>
      <c r="H204" s="912">
        <v>1174.25</v>
      </c>
      <c r="I204" s="912">
        <v>1172.1500000000001</v>
      </c>
      <c r="J204" s="914">
        <v>31.06</v>
      </c>
      <c r="K204" s="915"/>
      <c r="L204" s="916">
        <v>0.15</v>
      </c>
      <c r="M204" s="916">
        <v>7.5999999999999998E-2</v>
      </c>
      <c r="N204" s="916">
        <v>0.2</v>
      </c>
      <c r="O204" s="916">
        <v>5.3170000000000002</v>
      </c>
      <c r="P204" s="915"/>
      <c r="Q204" s="916">
        <v>2.4260000000000002</v>
      </c>
      <c r="R204" s="917">
        <v>0.33333333333333331</v>
      </c>
      <c r="S204" s="918">
        <v>1.7</v>
      </c>
      <c r="T204" s="918">
        <v>3.3170000000000002</v>
      </c>
      <c r="U204" s="916">
        <v>5.1139999999999999</v>
      </c>
      <c r="V204" s="916">
        <v>1.1519999999999999</v>
      </c>
      <c r="W204" s="915"/>
      <c r="X204" s="916">
        <v>0.503</v>
      </c>
      <c r="Y204" s="916">
        <v>0.71199999999999997</v>
      </c>
      <c r="Z204" s="916">
        <v>6.0860000000000003</v>
      </c>
      <c r="AA204" s="916">
        <v>1.4339999999999999</v>
      </c>
      <c r="AB204" s="916">
        <v>3.6850000000000001</v>
      </c>
      <c r="AC204" s="915"/>
      <c r="AD204" s="919">
        <v>165.14599999999999</v>
      </c>
      <c r="AE204" s="920">
        <v>189.03100000000001</v>
      </c>
      <c r="AF204" s="920" t="s">
        <v>21</v>
      </c>
      <c r="AG204" s="920" t="s">
        <v>21</v>
      </c>
      <c r="AH204" s="921" t="s">
        <v>21</v>
      </c>
      <c r="AI204" s="921">
        <v>189.03100000000001</v>
      </c>
      <c r="AJ204" s="920" t="s">
        <v>21</v>
      </c>
      <c r="AK204" s="920" t="s">
        <v>21</v>
      </c>
      <c r="AL204" s="921" t="s">
        <v>21</v>
      </c>
      <c r="AM204" s="921" t="s">
        <v>21</v>
      </c>
      <c r="AN204" s="920"/>
      <c r="AO204" s="920" t="s">
        <v>21</v>
      </c>
      <c r="AP204" s="919">
        <v>52.802</v>
      </c>
      <c r="AQ204" s="922">
        <v>158.84083999999999</v>
      </c>
      <c r="AR204" s="923" t="s">
        <v>21</v>
      </c>
      <c r="AS204" s="923" t="s">
        <v>21</v>
      </c>
      <c r="AT204" s="923" t="s">
        <v>21</v>
      </c>
      <c r="AU204" s="923" t="s">
        <v>21</v>
      </c>
      <c r="AV204" s="924" t="s">
        <v>21</v>
      </c>
      <c r="AW204" s="924">
        <v>158.84083999999999</v>
      </c>
      <c r="AX204" s="924" t="s">
        <v>21</v>
      </c>
      <c r="AY204" s="924" t="s">
        <v>21</v>
      </c>
      <c r="AZ204" s="923" t="s">
        <v>21</v>
      </c>
      <c r="BA204" s="923"/>
      <c r="BB204" s="919" t="s">
        <v>21</v>
      </c>
      <c r="BC204" s="919">
        <v>7.92</v>
      </c>
      <c r="BD204" s="919" t="s">
        <v>2142</v>
      </c>
      <c r="BE204" s="925" t="s">
        <v>21</v>
      </c>
      <c r="BF204" s="926" t="s">
        <v>21</v>
      </c>
      <c r="BG204" s="925" t="s">
        <v>21</v>
      </c>
      <c r="BH204" s="926">
        <v>31.06</v>
      </c>
      <c r="BI204" s="925" t="s">
        <v>21</v>
      </c>
      <c r="BJ204" s="926" t="s">
        <v>21</v>
      </c>
      <c r="BK204" s="925" t="s">
        <v>21</v>
      </c>
      <c r="BL204" s="926" t="s">
        <v>21</v>
      </c>
      <c r="BM204" s="925" t="s">
        <v>21</v>
      </c>
      <c r="BN204" s="927"/>
      <c r="BO204" s="927"/>
      <c r="BP204" s="928" t="s">
        <v>21</v>
      </c>
      <c r="BQ204" s="928">
        <v>1</v>
      </c>
      <c r="BR204" s="928" t="s">
        <v>21</v>
      </c>
      <c r="BS204" s="928" t="s">
        <v>21</v>
      </c>
      <c r="BT204" s="928" t="s">
        <v>21</v>
      </c>
      <c r="BU204" s="928" t="s">
        <v>21</v>
      </c>
      <c r="BV204" s="929">
        <v>0.60000000000013642</v>
      </c>
      <c r="BW204" s="929">
        <v>1</v>
      </c>
      <c r="BX204" s="1104">
        <v>2</v>
      </c>
      <c r="BY204" s="931">
        <v>4</v>
      </c>
      <c r="BZ204" s="930"/>
      <c r="CA204" s="1074">
        <v>1</v>
      </c>
      <c r="CB204" s="930"/>
      <c r="CC204" s="930"/>
      <c r="CD204" s="925">
        <v>44.54</v>
      </c>
      <c r="CE204" s="1130">
        <v>114.456</v>
      </c>
      <c r="CF204" s="1129" t="s">
        <v>21</v>
      </c>
      <c r="CG204" s="1130" t="s">
        <v>21</v>
      </c>
      <c r="CH204" s="1130" t="s">
        <v>21</v>
      </c>
      <c r="CI204" s="1131" t="s">
        <v>21</v>
      </c>
      <c r="CJ204" s="1129" t="s">
        <v>21</v>
      </c>
      <c r="CK204" s="1130" t="s">
        <v>21</v>
      </c>
      <c r="CL204" s="1130" t="s">
        <v>21</v>
      </c>
      <c r="CM204" s="1131" t="s">
        <v>21</v>
      </c>
      <c r="CN204" s="1130">
        <v>114.456</v>
      </c>
      <c r="CP204" s="838" t="s">
        <v>21</v>
      </c>
      <c r="CQ204" s="838" t="s">
        <v>21</v>
      </c>
      <c r="CR204" s="836"/>
    </row>
    <row r="205" spans="1:96" x14ac:dyDescent="0.25">
      <c r="A205" s="935"/>
      <c r="B205" s="932" t="s">
        <v>2263</v>
      </c>
      <c r="C205" s="911">
        <v>800</v>
      </c>
      <c r="D205" s="911" t="s">
        <v>2116</v>
      </c>
      <c r="E205" s="912">
        <v>1174.25</v>
      </c>
      <c r="F205" s="912">
        <v>1171.9000000000001</v>
      </c>
      <c r="G205" s="932" t="s">
        <v>2264</v>
      </c>
      <c r="H205" s="912">
        <v>1174.0999999999999</v>
      </c>
      <c r="I205" s="912">
        <v>1171.55</v>
      </c>
      <c r="J205" s="914">
        <v>41.37</v>
      </c>
      <c r="K205" s="915"/>
      <c r="L205" s="916">
        <v>0.15</v>
      </c>
      <c r="M205" s="916">
        <v>7.5999999999999998E-2</v>
      </c>
      <c r="N205" s="916">
        <v>0.2</v>
      </c>
      <c r="O205" s="916">
        <v>5.5510000000000002</v>
      </c>
      <c r="P205" s="915"/>
      <c r="Q205" s="916">
        <v>2.7759999999999998</v>
      </c>
      <c r="R205" s="917">
        <v>0.33333333333333331</v>
      </c>
      <c r="S205" s="918">
        <v>1.7</v>
      </c>
      <c r="T205" s="918">
        <v>3.5510000000000002</v>
      </c>
      <c r="U205" s="916">
        <v>5.8520000000000003</v>
      </c>
      <c r="V205" s="916">
        <v>1.1519999999999999</v>
      </c>
      <c r="W205" s="915"/>
      <c r="X205" s="916">
        <v>0.503</v>
      </c>
      <c r="Y205" s="916">
        <v>0.71199999999999997</v>
      </c>
      <c r="Z205" s="916">
        <v>7.2880000000000003</v>
      </c>
      <c r="AA205" s="916">
        <v>1.4339999999999999</v>
      </c>
      <c r="AB205" s="916">
        <v>4.8869999999999996</v>
      </c>
      <c r="AC205" s="915"/>
      <c r="AD205" s="919">
        <v>229.64500000000001</v>
      </c>
      <c r="AE205" s="920">
        <v>301.505</v>
      </c>
      <c r="AF205" s="920" t="s">
        <v>21</v>
      </c>
      <c r="AG205" s="920" t="s">
        <v>21</v>
      </c>
      <c r="AH205" s="921" t="s">
        <v>21</v>
      </c>
      <c r="AI205" s="921">
        <v>301.505</v>
      </c>
      <c r="AJ205" s="920" t="s">
        <v>21</v>
      </c>
      <c r="AK205" s="920" t="s">
        <v>21</v>
      </c>
      <c r="AL205" s="921" t="s">
        <v>21</v>
      </c>
      <c r="AM205" s="921" t="s">
        <v>21</v>
      </c>
      <c r="AN205" s="920"/>
      <c r="AO205" s="920" t="s">
        <v>21</v>
      </c>
      <c r="AP205" s="919">
        <v>70.328999999999994</v>
      </c>
      <c r="AQ205" s="922">
        <v>242.09724</v>
      </c>
      <c r="AR205" s="923" t="s">
        <v>21</v>
      </c>
      <c r="AS205" s="923" t="s">
        <v>21</v>
      </c>
      <c r="AT205" s="923" t="s">
        <v>21</v>
      </c>
      <c r="AU205" s="923" t="s">
        <v>21</v>
      </c>
      <c r="AV205" s="924" t="s">
        <v>21</v>
      </c>
      <c r="AW205" s="924">
        <v>242.09724</v>
      </c>
      <c r="AX205" s="924" t="s">
        <v>21</v>
      </c>
      <c r="AY205" s="924" t="s">
        <v>21</v>
      </c>
      <c r="AZ205" s="923" t="s">
        <v>21</v>
      </c>
      <c r="BA205" s="923"/>
      <c r="BB205" s="919" t="s">
        <v>21</v>
      </c>
      <c r="BC205" s="919">
        <v>10.548999999999999</v>
      </c>
      <c r="BD205" s="919" t="s">
        <v>2142</v>
      </c>
      <c r="BE205" s="925" t="s">
        <v>21</v>
      </c>
      <c r="BF205" s="926" t="s">
        <v>21</v>
      </c>
      <c r="BG205" s="925" t="s">
        <v>21</v>
      </c>
      <c r="BH205" s="926">
        <v>41.37</v>
      </c>
      <c r="BI205" s="925" t="s">
        <v>21</v>
      </c>
      <c r="BJ205" s="926" t="s">
        <v>21</v>
      </c>
      <c r="BK205" s="925" t="s">
        <v>21</v>
      </c>
      <c r="BL205" s="926" t="s">
        <v>21</v>
      </c>
      <c r="BM205" s="925" t="s">
        <v>21</v>
      </c>
      <c r="BN205" s="927"/>
      <c r="BO205" s="927"/>
      <c r="BP205" s="928" t="s">
        <v>21</v>
      </c>
      <c r="BQ205" s="928">
        <v>1</v>
      </c>
      <c r="BR205" s="928" t="s">
        <v>21</v>
      </c>
      <c r="BS205" s="928" t="s">
        <v>21</v>
      </c>
      <c r="BT205" s="928" t="s">
        <v>21</v>
      </c>
      <c r="BU205" s="928" t="s">
        <v>21</v>
      </c>
      <c r="BV205" s="929">
        <v>0.84999999999990905</v>
      </c>
      <c r="BW205" s="929">
        <v>1</v>
      </c>
      <c r="BX205" s="1104">
        <v>2</v>
      </c>
      <c r="BY205" s="931">
        <v>4</v>
      </c>
      <c r="BZ205" s="930"/>
      <c r="CA205" s="1074"/>
      <c r="CB205" s="930"/>
      <c r="CC205" s="930"/>
      <c r="CD205" s="925">
        <v>59.325000000000003</v>
      </c>
      <c r="CE205" s="1130">
        <v>202.17500000000001</v>
      </c>
      <c r="CF205" s="1129" t="s">
        <v>21</v>
      </c>
      <c r="CG205" s="1130" t="s">
        <v>21</v>
      </c>
      <c r="CH205" s="1130" t="s">
        <v>21</v>
      </c>
      <c r="CI205" s="1131" t="s">
        <v>21</v>
      </c>
      <c r="CJ205" s="1129" t="s">
        <v>21</v>
      </c>
      <c r="CK205" s="1130" t="s">
        <v>21</v>
      </c>
      <c r="CL205" s="1130" t="s">
        <v>21</v>
      </c>
      <c r="CM205" s="1131" t="s">
        <v>21</v>
      </c>
      <c r="CN205" s="1130">
        <v>202.17500000000001</v>
      </c>
      <c r="CP205" s="838" t="s">
        <v>21</v>
      </c>
      <c r="CQ205" s="838" t="s">
        <v>21</v>
      </c>
      <c r="CR205" s="836"/>
    </row>
    <row r="206" spans="1:96" x14ac:dyDescent="0.25">
      <c r="A206" s="935"/>
      <c r="B206" s="932" t="s">
        <v>2264</v>
      </c>
      <c r="C206" s="911">
        <v>800</v>
      </c>
      <c r="D206" s="911" t="s">
        <v>2116</v>
      </c>
      <c r="E206" s="912">
        <v>1174.0999999999999</v>
      </c>
      <c r="F206" s="912">
        <v>1171.55</v>
      </c>
      <c r="G206" s="932" t="s">
        <v>3044</v>
      </c>
      <c r="H206" s="912">
        <v>1172.2</v>
      </c>
      <c r="I206" s="912">
        <v>1170.0999999999999</v>
      </c>
      <c r="J206" s="914">
        <v>35.22</v>
      </c>
      <c r="K206" s="915"/>
      <c r="L206" s="916">
        <v>0.15</v>
      </c>
      <c r="M206" s="916">
        <v>7.5999999999999998E-2</v>
      </c>
      <c r="N206" s="916">
        <v>0.2</v>
      </c>
      <c r="O206" s="916">
        <v>5.4670000000000005</v>
      </c>
      <c r="P206" s="915"/>
      <c r="Q206" s="916">
        <v>2.6509999999999998</v>
      </c>
      <c r="R206" s="917">
        <v>0.33333333333333331</v>
      </c>
      <c r="S206" s="918">
        <v>1.7</v>
      </c>
      <c r="T206" s="918">
        <v>3.4670000000000001</v>
      </c>
      <c r="U206" s="916">
        <v>5.5890000000000004</v>
      </c>
      <c r="V206" s="916">
        <v>1.1519999999999999</v>
      </c>
      <c r="W206" s="915"/>
      <c r="X206" s="916">
        <v>0.503</v>
      </c>
      <c r="Y206" s="916">
        <v>0.71199999999999997</v>
      </c>
      <c r="Z206" s="916">
        <v>6.8490000000000002</v>
      </c>
      <c r="AA206" s="916">
        <v>1.4339999999999999</v>
      </c>
      <c r="AB206" s="916">
        <v>4.4480000000000004</v>
      </c>
      <c r="AC206" s="915"/>
      <c r="AD206" s="919">
        <v>192.548</v>
      </c>
      <c r="AE206" s="920">
        <v>241.22200000000001</v>
      </c>
      <c r="AF206" s="920" t="s">
        <v>21</v>
      </c>
      <c r="AG206" s="920" t="s">
        <v>21</v>
      </c>
      <c r="AH206" s="921" t="s">
        <v>21</v>
      </c>
      <c r="AI206" s="921">
        <v>241.22200000000001</v>
      </c>
      <c r="AJ206" s="920" t="s">
        <v>21</v>
      </c>
      <c r="AK206" s="920" t="s">
        <v>21</v>
      </c>
      <c r="AL206" s="921" t="s">
        <v>21</v>
      </c>
      <c r="AM206" s="921" t="s">
        <v>21</v>
      </c>
      <c r="AN206" s="920"/>
      <c r="AO206" s="920" t="s">
        <v>21</v>
      </c>
      <c r="AP206" s="919">
        <v>59.874000000000002</v>
      </c>
      <c r="AQ206" s="922">
        <v>196.84458000000001</v>
      </c>
      <c r="AR206" s="923" t="s">
        <v>21</v>
      </c>
      <c r="AS206" s="923" t="s">
        <v>21</v>
      </c>
      <c r="AT206" s="923" t="s">
        <v>21</v>
      </c>
      <c r="AU206" s="923" t="s">
        <v>21</v>
      </c>
      <c r="AV206" s="924" t="s">
        <v>21</v>
      </c>
      <c r="AW206" s="924">
        <v>196.84458000000001</v>
      </c>
      <c r="AX206" s="924" t="s">
        <v>21</v>
      </c>
      <c r="AY206" s="924" t="s">
        <v>21</v>
      </c>
      <c r="AZ206" s="923" t="s">
        <v>21</v>
      </c>
      <c r="BA206" s="923"/>
      <c r="BB206" s="919" t="s">
        <v>21</v>
      </c>
      <c r="BC206" s="919">
        <v>8.9809999999999999</v>
      </c>
      <c r="BD206" s="919" t="s">
        <v>2142</v>
      </c>
      <c r="BE206" s="925" t="s">
        <v>21</v>
      </c>
      <c r="BF206" s="926" t="s">
        <v>21</v>
      </c>
      <c r="BG206" s="925" t="s">
        <v>21</v>
      </c>
      <c r="BH206" s="926">
        <v>35.22</v>
      </c>
      <c r="BI206" s="925" t="s">
        <v>21</v>
      </c>
      <c r="BJ206" s="926" t="s">
        <v>21</v>
      </c>
      <c r="BK206" s="925" t="s">
        <v>21</v>
      </c>
      <c r="BL206" s="926" t="s">
        <v>21</v>
      </c>
      <c r="BM206" s="925" t="s">
        <v>21</v>
      </c>
      <c r="BN206" s="927"/>
      <c r="BO206" s="927"/>
      <c r="BP206" s="928" t="s">
        <v>21</v>
      </c>
      <c r="BQ206" s="928">
        <v>1</v>
      </c>
      <c r="BR206" s="928" t="s">
        <v>21</v>
      </c>
      <c r="BS206" s="928" t="s">
        <v>21</v>
      </c>
      <c r="BT206" s="928" t="s">
        <v>21</v>
      </c>
      <c r="BU206" s="928" t="s">
        <v>21</v>
      </c>
      <c r="BV206" s="929">
        <v>1.0499999999999545</v>
      </c>
      <c r="BW206" s="929">
        <v>1.5</v>
      </c>
      <c r="BX206" s="1104">
        <v>3</v>
      </c>
      <c r="BY206" s="931">
        <v>5</v>
      </c>
      <c r="BZ206" s="930"/>
      <c r="CA206" s="1074">
        <v>1</v>
      </c>
      <c r="CB206" s="930"/>
      <c r="CC206" s="930"/>
      <c r="CD206" s="925">
        <v>50.505000000000003</v>
      </c>
      <c r="CE206" s="1130">
        <v>156.65899999999999</v>
      </c>
      <c r="CF206" s="1129" t="s">
        <v>21</v>
      </c>
      <c r="CG206" s="1130" t="s">
        <v>21</v>
      </c>
      <c r="CH206" s="1130" t="s">
        <v>21</v>
      </c>
      <c r="CI206" s="1131" t="s">
        <v>21</v>
      </c>
      <c r="CJ206" s="1129" t="s">
        <v>21</v>
      </c>
      <c r="CK206" s="1130" t="s">
        <v>21</v>
      </c>
      <c r="CL206" s="1130" t="s">
        <v>21</v>
      </c>
      <c r="CM206" s="1131" t="s">
        <v>21</v>
      </c>
      <c r="CN206" s="1130">
        <v>156.65899999999999</v>
      </c>
      <c r="CP206" s="838" t="s">
        <v>21</v>
      </c>
      <c r="CQ206" s="838" t="s">
        <v>21</v>
      </c>
      <c r="CR206" s="836"/>
    </row>
    <row r="207" spans="1:96" x14ac:dyDescent="0.25">
      <c r="A207" s="935"/>
      <c r="B207" s="932" t="s">
        <v>3044</v>
      </c>
      <c r="C207" s="911">
        <v>800</v>
      </c>
      <c r="D207" s="911" t="s">
        <v>2116</v>
      </c>
      <c r="E207" s="912">
        <v>1172.2</v>
      </c>
      <c r="F207" s="912">
        <v>1168.3499999999999</v>
      </c>
      <c r="G207" s="932" t="s">
        <v>3045</v>
      </c>
      <c r="H207" s="912">
        <v>1167.3699999999999</v>
      </c>
      <c r="I207" s="912">
        <v>1165.27</v>
      </c>
      <c r="J207" s="914">
        <v>35.22</v>
      </c>
      <c r="K207" s="915"/>
      <c r="L207" s="916">
        <v>0.15</v>
      </c>
      <c r="M207" s="916">
        <v>7.5999999999999998E-2</v>
      </c>
      <c r="N207" s="916">
        <v>0.2</v>
      </c>
      <c r="O207" s="916">
        <v>5.9009999999999998</v>
      </c>
      <c r="P207" s="915"/>
      <c r="Q207" s="916">
        <v>3.3010000000000002</v>
      </c>
      <c r="R207" s="917">
        <v>0.33333333333333331</v>
      </c>
      <c r="S207" s="918">
        <v>1.7</v>
      </c>
      <c r="T207" s="918">
        <v>3.9009999999999998</v>
      </c>
      <c r="U207" s="916">
        <v>6.9589999999999996</v>
      </c>
      <c r="V207" s="916">
        <v>1.1519999999999999</v>
      </c>
      <c r="W207" s="915"/>
      <c r="X207" s="916">
        <v>0.503</v>
      </c>
      <c r="Y207" s="916">
        <v>0.71199999999999997</v>
      </c>
      <c r="Z207" s="916">
        <v>9.2439999999999998</v>
      </c>
      <c r="AA207" s="916">
        <v>1.4339999999999999</v>
      </c>
      <c r="AB207" s="916">
        <v>6.843</v>
      </c>
      <c r="AC207" s="915"/>
      <c r="AD207" s="919">
        <v>207.833</v>
      </c>
      <c r="AE207" s="920">
        <v>325.57400000000001</v>
      </c>
      <c r="AF207" s="920" t="s">
        <v>21</v>
      </c>
      <c r="AG207" s="920" t="s">
        <v>21</v>
      </c>
      <c r="AH207" s="921" t="s">
        <v>21</v>
      </c>
      <c r="AI207" s="921">
        <v>325.57400000000001</v>
      </c>
      <c r="AJ207" s="920" t="s">
        <v>21</v>
      </c>
      <c r="AK207" s="920" t="s">
        <v>21</v>
      </c>
      <c r="AL207" s="921" t="s">
        <v>21</v>
      </c>
      <c r="AM207" s="921" t="s">
        <v>21</v>
      </c>
      <c r="AN207" s="920"/>
      <c r="AO207" s="920" t="s">
        <v>21</v>
      </c>
      <c r="AP207" s="919">
        <v>59.874000000000002</v>
      </c>
      <c r="AQ207" s="922">
        <v>245.09597999999997</v>
      </c>
      <c r="AR207" s="923" t="s">
        <v>21</v>
      </c>
      <c r="AS207" s="923" t="s">
        <v>21</v>
      </c>
      <c r="AT207" s="923" t="s">
        <v>21</v>
      </c>
      <c r="AU207" s="923" t="s">
        <v>21</v>
      </c>
      <c r="AV207" s="924" t="s">
        <v>21</v>
      </c>
      <c r="AW207" s="924">
        <v>245.09597999999997</v>
      </c>
      <c r="AX207" s="924" t="s">
        <v>21</v>
      </c>
      <c r="AY207" s="924" t="s">
        <v>21</v>
      </c>
      <c r="AZ207" s="923" t="s">
        <v>21</v>
      </c>
      <c r="BA207" s="923"/>
      <c r="BB207" s="919" t="s">
        <v>21</v>
      </c>
      <c r="BC207" s="919">
        <v>8.9809999999999999</v>
      </c>
      <c r="BD207" s="919" t="s">
        <v>2152</v>
      </c>
      <c r="BE207" s="925" t="s">
        <v>21</v>
      </c>
      <c r="BF207" s="926" t="s">
        <v>21</v>
      </c>
      <c r="BG207" s="925" t="s">
        <v>21</v>
      </c>
      <c r="BH207" s="926">
        <v>35.22</v>
      </c>
      <c r="BI207" s="925" t="s">
        <v>21</v>
      </c>
      <c r="BJ207" s="926" t="s">
        <v>21</v>
      </c>
      <c r="BK207" s="925" t="s">
        <v>21</v>
      </c>
      <c r="BL207" s="926" t="s">
        <v>21</v>
      </c>
      <c r="BM207" s="925" t="s">
        <v>21</v>
      </c>
      <c r="BN207" s="927"/>
      <c r="BO207" s="927"/>
      <c r="BP207" s="928" t="s">
        <v>21</v>
      </c>
      <c r="BQ207" s="928">
        <v>1</v>
      </c>
      <c r="BR207" s="928" t="s">
        <v>21</v>
      </c>
      <c r="BS207" s="928" t="s">
        <v>21</v>
      </c>
      <c r="BT207" s="928" t="s">
        <v>21</v>
      </c>
      <c r="BU207" s="928" t="s">
        <v>21</v>
      </c>
      <c r="BV207" s="929">
        <v>2.3500000000001364</v>
      </c>
      <c r="BW207" s="929">
        <v>2.5</v>
      </c>
      <c r="BX207" s="1104">
        <v>5</v>
      </c>
      <c r="BY207" s="931">
        <v>7</v>
      </c>
      <c r="BZ207" s="930"/>
      <c r="CA207" s="1074"/>
      <c r="CB207" s="930"/>
      <c r="CC207" s="930"/>
      <c r="CD207" s="925">
        <v>50.505000000000003</v>
      </c>
      <c r="CE207" s="1130">
        <v>241.01</v>
      </c>
      <c r="CF207" s="1129" t="s">
        <v>21</v>
      </c>
      <c r="CG207" s="1130" t="s">
        <v>21</v>
      </c>
      <c r="CH207" s="1130" t="s">
        <v>21</v>
      </c>
      <c r="CI207" s="1131" t="s">
        <v>21</v>
      </c>
      <c r="CJ207" s="1129" t="s">
        <v>21</v>
      </c>
      <c r="CK207" s="1130" t="s">
        <v>21</v>
      </c>
      <c r="CL207" s="1130" t="s">
        <v>21</v>
      </c>
      <c r="CM207" s="1131" t="s">
        <v>21</v>
      </c>
      <c r="CN207" s="1130">
        <v>241.01</v>
      </c>
      <c r="CP207" s="838" t="s">
        <v>21</v>
      </c>
      <c r="CQ207" s="838" t="s">
        <v>21</v>
      </c>
      <c r="CR207" s="836"/>
    </row>
    <row r="208" spans="1:96" x14ac:dyDescent="0.25">
      <c r="A208" s="935"/>
      <c r="B208" s="932" t="s">
        <v>3045</v>
      </c>
      <c r="C208" s="911">
        <v>800</v>
      </c>
      <c r="D208" s="911" t="s">
        <v>2116</v>
      </c>
      <c r="E208" s="912">
        <v>1167.3699999999999</v>
      </c>
      <c r="F208" s="912">
        <v>1164.52</v>
      </c>
      <c r="G208" s="932" t="s">
        <v>3046</v>
      </c>
      <c r="H208" s="912">
        <v>1164</v>
      </c>
      <c r="I208" s="912">
        <v>1161.9000000000001</v>
      </c>
      <c r="J208" s="914">
        <v>31.3</v>
      </c>
      <c r="K208" s="915"/>
      <c r="L208" s="916">
        <v>0.15</v>
      </c>
      <c r="M208" s="916">
        <v>7.5999999999999998E-2</v>
      </c>
      <c r="N208" s="916">
        <v>0.2</v>
      </c>
      <c r="O208" s="916">
        <v>5.5670000000000002</v>
      </c>
      <c r="P208" s="915"/>
      <c r="Q208" s="916">
        <v>2.8010000000000002</v>
      </c>
      <c r="R208" s="917">
        <v>0.33333333333333331</v>
      </c>
      <c r="S208" s="918">
        <v>1.7</v>
      </c>
      <c r="T208" s="918">
        <v>3.5670000000000002</v>
      </c>
      <c r="U208" s="916">
        <v>5.9050000000000002</v>
      </c>
      <c r="V208" s="916">
        <v>1.1519999999999999</v>
      </c>
      <c r="W208" s="915"/>
      <c r="X208" s="916">
        <v>0.503</v>
      </c>
      <c r="Y208" s="916">
        <v>0.71199999999999997</v>
      </c>
      <c r="Z208" s="916">
        <v>7.3760000000000003</v>
      </c>
      <c r="AA208" s="916">
        <v>1.4339999999999999</v>
      </c>
      <c r="AB208" s="916">
        <v>4.9749999999999996</v>
      </c>
      <c r="AC208" s="915"/>
      <c r="AD208" s="919">
        <v>174.24700000000001</v>
      </c>
      <c r="AE208" s="920">
        <v>230.869</v>
      </c>
      <c r="AF208" s="920" t="s">
        <v>21</v>
      </c>
      <c r="AG208" s="920" t="s">
        <v>21</v>
      </c>
      <c r="AH208" s="921" t="s">
        <v>21</v>
      </c>
      <c r="AI208" s="921">
        <v>230.869</v>
      </c>
      <c r="AJ208" s="920" t="s">
        <v>21</v>
      </c>
      <c r="AK208" s="920" t="s">
        <v>21</v>
      </c>
      <c r="AL208" s="921" t="s">
        <v>21</v>
      </c>
      <c r="AM208" s="921" t="s">
        <v>21</v>
      </c>
      <c r="AN208" s="920"/>
      <c r="AO208" s="920" t="s">
        <v>21</v>
      </c>
      <c r="AP208" s="919">
        <v>53.21</v>
      </c>
      <c r="AQ208" s="922">
        <v>184.82650000000001</v>
      </c>
      <c r="AR208" s="923" t="s">
        <v>21</v>
      </c>
      <c r="AS208" s="923" t="s">
        <v>21</v>
      </c>
      <c r="AT208" s="923" t="s">
        <v>21</v>
      </c>
      <c r="AU208" s="923" t="s">
        <v>21</v>
      </c>
      <c r="AV208" s="924" t="s">
        <v>21</v>
      </c>
      <c r="AW208" s="924">
        <v>184.82650000000001</v>
      </c>
      <c r="AX208" s="924" t="s">
        <v>21</v>
      </c>
      <c r="AY208" s="924" t="s">
        <v>21</v>
      </c>
      <c r="AZ208" s="923" t="s">
        <v>21</v>
      </c>
      <c r="BA208" s="923"/>
      <c r="BB208" s="919" t="s">
        <v>21</v>
      </c>
      <c r="BC208" s="919">
        <v>7.9820000000000002</v>
      </c>
      <c r="BD208" s="919" t="s">
        <v>2142</v>
      </c>
      <c r="BE208" s="925" t="s">
        <v>21</v>
      </c>
      <c r="BF208" s="926" t="s">
        <v>21</v>
      </c>
      <c r="BG208" s="925" t="s">
        <v>21</v>
      </c>
      <c r="BH208" s="926">
        <v>31.3</v>
      </c>
      <c r="BI208" s="925" t="s">
        <v>21</v>
      </c>
      <c r="BJ208" s="926" t="s">
        <v>21</v>
      </c>
      <c r="BK208" s="925" t="s">
        <v>21</v>
      </c>
      <c r="BL208" s="926" t="s">
        <v>21</v>
      </c>
      <c r="BM208" s="925" t="s">
        <v>21</v>
      </c>
      <c r="BN208" s="927"/>
      <c r="BO208" s="927"/>
      <c r="BP208" s="928" t="s">
        <v>21</v>
      </c>
      <c r="BQ208" s="928">
        <v>1</v>
      </c>
      <c r="BR208" s="928" t="s">
        <v>21</v>
      </c>
      <c r="BS208" s="928" t="s">
        <v>21</v>
      </c>
      <c r="BT208" s="928" t="s">
        <v>21</v>
      </c>
      <c r="BU208" s="928" t="s">
        <v>21</v>
      </c>
      <c r="BV208" s="929">
        <v>1.3499999999999091</v>
      </c>
      <c r="BW208" s="929">
        <v>1.5</v>
      </c>
      <c r="BX208" s="1104">
        <v>3</v>
      </c>
      <c r="BY208" s="931">
        <v>5</v>
      </c>
      <c r="BZ208" s="930"/>
      <c r="CA208" s="1074"/>
      <c r="CB208" s="930"/>
      <c r="CC208" s="930"/>
      <c r="CD208" s="925">
        <v>44.884</v>
      </c>
      <c r="CE208" s="1130">
        <v>155.71799999999999</v>
      </c>
      <c r="CF208" s="1129" t="s">
        <v>21</v>
      </c>
      <c r="CG208" s="1130" t="s">
        <v>21</v>
      </c>
      <c r="CH208" s="1130" t="s">
        <v>21</v>
      </c>
      <c r="CI208" s="1131" t="s">
        <v>21</v>
      </c>
      <c r="CJ208" s="1129" t="s">
        <v>21</v>
      </c>
      <c r="CK208" s="1130" t="s">
        <v>21</v>
      </c>
      <c r="CL208" s="1130" t="s">
        <v>21</v>
      </c>
      <c r="CM208" s="1131" t="s">
        <v>21</v>
      </c>
      <c r="CN208" s="1130">
        <v>155.71799999999999</v>
      </c>
      <c r="CP208" s="838" t="s">
        <v>21</v>
      </c>
      <c r="CQ208" s="838" t="s">
        <v>21</v>
      </c>
      <c r="CR208" s="836"/>
    </row>
    <row r="209" spans="1:96" x14ac:dyDescent="0.25">
      <c r="A209" s="935"/>
      <c r="B209" s="932" t="s">
        <v>3046</v>
      </c>
      <c r="C209" s="911">
        <v>800</v>
      </c>
      <c r="D209" s="911" t="s">
        <v>2116</v>
      </c>
      <c r="E209" s="912">
        <v>1164</v>
      </c>
      <c r="F209" s="912">
        <v>1161.55</v>
      </c>
      <c r="G209" s="932" t="s">
        <v>3047</v>
      </c>
      <c r="H209" s="912">
        <v>1164</v>
      </c>
      <c r="I209" s="912">
        <v>1161.1849999999999</v>
      </c>
      <c r="J209" s="914">
        <v>30.18</v>
      </c>
      <c r="K209" s="915"/>
      <c r="L209" s="916">
        <v>0.15</v>
      </c>
      <c r="M209" s="916">
        <v>7.5999999999999998E-2</v>
      </c>
      <c r="N209" s="916">
        <v>0.2</v>
      </c>
      <c r="O209" s="916">
        <v>5.673</v>
      </c>
      <c r="P209" s="915"/>
      <c r="Q209" s="916">
        <v>2.9590000000000001</v>
      </c>
      <c r="R209" s="917">
        <v>0.33333333333333331</v>
      </c>
      <c r="S209" s="918">
        <v>1.7</v>
      </c>
      <c r="T209" s="918">
        <v>3.673</v>
      </c>
      <c r="U209" s="916">
        <v>6.2380000000000004</v>
      </c>
      <c r="V209" s="916">
        <v>1.1519999999999999</v>
      </c>
      <c r="W209" s="915"/>
      <c r="X209" s="916">
        <v>0.503</v>
      </c>
      <c r="Y209" s="916">
        <v>0.71199999999999997</v>
      </c>
      <c r="Z209" s="916">
        <v>7.9489999999999998</v>
      </c>
      <c r="AA209" s="916">
        <v>1.4339999999999999</v>
      </c>
      <c r="AB209" s="916">
        <v>5.548</v>
      </c>
      <c r="AC209" s="915"/>
      <c r="AD209" s="919">
        <v>171.21100000000001</v>
      </c>
      <c r="AE209" s="920">
        <v>239.90100000000001</v>
      </c>
      <c r="AF209" s="920" t="s">
        <v>21</v>
      </c>
      <c r="AG209" s="920" t="s">
        <v>21</v>
      </c>
      <c r="AH209" s="921" t="s">
        <v>21</v>
      </c>
      <c r="AI209" s="921">
        <v>239.90100000000001</v>
      </c>
      <c r="AJ209" s="920" t="s">
        <v>21</v>
      </c>
      <c r="AK209" s="920" t="s">
        <v>21</v>
      </c>
      <c r="AL209" s="921" t="s">
        <v>21</v>
      </c>
      <c r="AM209" s="921" t="s">
        <v>21</v>
      </c>
      <c r="AN209" s="920"/>
      <c r="AO209" s="920" t="s">
        <v>21</v>
      </c>
      <c r="AP209" s="919">
        <v>51.305999999999997</v>
      </c>
      <c r="AQ209" s="922">
        <v>188.26284000000001</v>
      </c>
      <c r="AR209" s="923" t="s">
        <v>21</v>
      </c>
      <c r="AS209" s="923" t="s">
        <v>21</v>
      </c>
      <c r="AT209" s="923" t="s">
        <v>21</v>
      </c>
      <c r="AU209" s="923" t="s">
        <v>21</v>
      </c>
      <c r="AV209" s="924" t="s">
        <v>21</v>
      </c>
      <c r="AW209" s="924">
        <v>188.26284000000001</v>
      </c>
      <c r="AX209" s="924" t="s">
        <v>21</v>
      </c>
      <c r="AY209" s="924" t="s">
        <v>21</v>
      </c>
      <c r="AZ209" s="923" t="s">
        <v>21</v>
      </c>
      <c r="BA209" s="923"/>
      <c r="BB209" s="919" t="s">
        <v>21</v>
      </c>
      <c r="BC209" s="919">
        <v>7.6959999999999997</v>
      </c>
      <c r="BD209" s="919" t="s">
        <v>2142</v>
      </c>
      <c r="BE209" s="925" t="s">
        <v>21</v>
      </c>
      <c r="BF209" s="926" t="s">
        <v>21</v>
      </c>
      <c r="BG209" s="925" t="s">
        <v>21</v>
      </c>
      <c r="BH209" s="926">
        <v>30.18</v>
      </c>
      <c r="BI209" s="925" t="s">
        <v>21</v>
      </c>
      <c r="BJ209" s="926" t="s">
        <v>21</v>
      </c>
      <c r="BK209" s="925" t="s">
        <v>21</v>
      </c>
      <c r="BL209" s="926" t="s">
        <v>21</v>
      </c>
      <c r="BM209" s="925" t="s">
        <v>21</v>
      </c>
      <c r="BN209" s="927"/>
      <c r="BO209" s="927"/>
      <c r="BP209" s="928" t="s">
        <v>21</v>
      </c>
      <c r="BQ209" s="928">
        <v>1</v>
      </c>
      <c r="BR209" s="928" t="s">
        <v>21</v>
      </c>
      <c r="BS209" s="928" t="s">
        <v>21</v>
      </c>
      <c r="BT209" s="928" t="s">
        <v>21</v>
      </c>
      <c r="BU209" s="928" t="s">
        <v>21</v>
      </c>
      <c r="BV209" s="929">
        <v>0.95000000000004547</v>
      </c>
      <c r="BW209" s="929">
        <v>1</v>
      </c>
      <c r="BX209" s="1104">
        <v>2</v>
      </c>
      <c r="BY209" s="931">
        <v>4</v>
      </c>
      <c r="BZ209" s="930"/>
      <c r="CA209" s="1074"/>
      <c r="CB209" s="930"/>
      <c r="CC209" s="930"/>
      <c r="CD209" s="925">
        <v>43.277999999999999</v>
      </c>
      <c r="CE209" s="1130">
        <v>167.43899999999999</v>
      </c>
      <c r="CF209" s="1129" t="s">
        <v>21</v>
      </c>
      <c r="CG209" s="1130" t="s">
        <v>21</v>
      </c>
      <c r="CH209" s="1130" t="s">
        <v>21</v>
      </c>
      <c r="CI209" s="1131" t="s">
        <v>21</v>
      </c>
      <c r="CJ209" s="1129" t="s">
        <v>21</v>
      </c>
      <c r="CK209" s="1130" t="s">
        <v>21</v>
      </c>
      <c r="CL209" s="1130" t="s">
        <v>21</v>
      </c>
      <c r="CM209" s="1131" t="s">
        <v>21</v>
      </c>
      <c r="CN209" s="1130">
        <v>167.43899999999999</v>
      </c>
      <c r="CP209" s="838" t="s">
        <v>21</v>
      </c>
      <c r="CQ209" s="838" t="s">
        <v>21</v>
      </c>
      <c r="CR209" s="836"/>
    </row>
    <row r="210" spans="1:96" x14ac:dyDescent="0.25">
      <c r="A210" s="935"/>
      <c r="B210" s="932" t="s">
        <v>3047</v>
      </c>
      <c r="C210" s="911">
        <v>1000</v>
      </c>
      <c r="D210" s="911" t="s">
        <v>2116</v>
      </c>
      <c r="E210" s="912">
        <v>1164</v>
      </c>
      <c r="F210" s="912">
        <v>1160.9849999999999</v>
      </c>
      <c r="G210" s="932" t="s">
        <v>3048</v>
      </c>
      <c r="H210" s="912">
        <v>1164</v>
      </c>
      <c r="I210" s="912">
        <v>1160.873</v>
      </c>
      <c r="J210" s="914">
        <v>19.28</v>
      </c>
      <c r="K210" s="915"/>
      <c r="L210" s="916">
        <v>0.15</v>
      </c>
      <c r="M210" s="916">
        <v>0.09</v>
      </c>
      <c r="N210" s="916">
        <v>0.2</v>
      </c>
      <c r="O210" s="916">
        <v>6.274</v>
      </c>
      <c r="P210" s="915"/>
      <c r="Q210" s="916">
        <v>3.411</v>
      </c>
      <c r="R210" s="917">
        <v>0.33333333333333331</v>
      </c>
      <c r="S210" s="918">
        <v>2</v>
      </c>
      <c r="T210" s="918">
        <v>4.274</v>
      </c>
      <c r="U210" s="916">
        <v>7.1909999999999998</v>
      </c>
      <c r="V210" s="916">
        <v>1.38</v>
      </c>
      <c r="W210" s="915"/>
      <c r="X210" s="916">
        <v>0.78500000000000003</v>
      </c>
      <c r="Y210" s="916">
        <v>1.0940000000000001</v>
      </c>
      <c r="Z210" s="916">
        <v>10.7</v>
      </c>
      <c r="AA210" s="916">
        <v>2.0009999999999999</v>
      </c>
      <c r="AB210" s="916">
        <v>7.3049999999999997</v>
      </c>
      <c r="AC210" s="915"/>
      <c r="AD210" s="919">
        <v>120.96299999999999</v>
      </c>
      <c r="AE210" s="920">
        <v>206.29599999999999</v>
      </c>
      <c r="AF210" s="920" t="s">
        <v>21</v>
      </c>
      <c r="AG210" s="920" t="s">
        <v>21</v>
      </c>
      <c r="AH210" s="921" t="s">
        <v>21</v>
      </c>
      <c r="AI210" s="921" t="s">
        <v>21</v>
      </c>
      <c r="AJ210" s="920" t="s">
        <v>21</v>
      </c>
      <c r="AK210" s="920">
        <v>206.29599999999999</v>
      </c>
      <c r="AL210" s="921" t="s">
        <v>21</v>
      </c>
      <c r="AM210" s="921" t="s">
        <v>21</v>
      </c>
      <c r="AN210" s="920"/>
      <c r="AO210" s="920" t="s">
        <v>21</v>
      </c>
      <c r="AP210" s="919">
        <v>38.56</v>
      </c>
      <c r="AQ210" s="922">
        <v>138.64248000000001</v>
      </c>
      <c r="AR210" s="923" t="s">
        <v>21</v>
      </c>
      <c r="AS210" s="923" t="s">
        <v>21</v>
      </c>
      <c r="AT210" s="923" t="s">
        <v>21</v>
      </c>
      <c r="AU210" s="923" t="s">
        <v>21</v>
      </c>
      <c r="AV210" s="924" t="s">
        <v>21</v>
      </c>
      <c r="AW210" s="924" t="s">
        <v>21</v>
      </c>
      <c r="AX210" s="924">
        <v>138.64248000000001</v>
      </c>
      <c r="AY210" s="924" t="s">
        <v>21</v>
      </c>
      <c r="AZ210" s="923" t="s">
        <v>21</v>
      </c>
      <c r="BA210" s="923"/>
      <c r="BB210" s="919" t="s">
        <v>21</v>
      </c>
      <c r="BC210" s="919">
        <v>5.7839999999999998</v>
      </c>
      <c r="BD210" s="919" t="s">
        <v>2152</v>
      </c>
      <c r="BE210" s="925" t="s">
        <v>21</v>
      </c>
      <c r="BF210" s="926" t="s">
        <v>21</v>
      </c>
      <c r="BG210" s="925" t="s">
        <v>21</v>
      </c>
      <c r="BH210" s="926" t="s">
        <v>21</v>
      </c>
      <c r="BI210" s="925">
        <v>19.28</v>
      </c>
      <c r="BJ210" s="926" t="s">
        <v>21</v>
      </c>
      <c r="BK210" s="925" t="s">
        <v>21</v>
      </c>
      <c r="BL210" s="926" t="s">
        <v>21</v>
      </c>
      <c r="BM210" s="925" t="s">
        <v>21</v>
      </c>
      <c r="BN210" s="927"/>
      <c r="BO210" s="927"/>
      <c r="BP210" s="928" t="s">
        <v>21</v>
      </c>
      <c r="BQ210" s="928" t="s">
        <v>21</v>
      </c>
      <c r="BR210" s="928">
        <v>1</v>
      </c>
      <c r="BS210" s="928" t="s">
        <v>21</v>
      </c>
      <c r="BT210" s="928" t="s">
        <v>21</v>
      </c>
      <c r="BU210" s="928" t="s">
        <v>21</v>
      </c>
      <c r="BV210" s="929">
        <v>0.91500000000009996</v>
      </c>
      <c r="BW210" s="929">
        <v>1</v>
      </c>
      <c r="BX210" s="1104">
        <v>2</v>
      </c>
      <c r="BY210" s="931">
        <v>6</v>
      </c>
      <c r="BZ210" s="930"/>
      <c r="CA210" s="1074"/>
      <c r="CB210" s="930"/>
      <c r="CC210" s="930"/>
      <c r="CD210" s="925">
        <v>38.579000000000001</v>
      </c>
      <c r="CE210" s="1130">
        <v>140.84</v>
      </c>
      <c r="CF210" s="1129" t="s">
        <v>21</v>
      </c>
      <c r="CG210" s="1130" t="s">
        <v>21</v>
      </c>
      <c r="CH210" s="1130" t="s">
        <v>21</v>
      </c>
      <c r="CI210" s="1131" t="s">
        <v>21</v>
      </c>
      <c r="CJ210" s="1129" t="s">
        <v>21</v>
      </c>
      <c r="CK210" s="1130" t="s">
        <v>21</v>
      </c>
      <c r="CL210" s="1130" t="s">
        <v>21</v>
      </c>
      <c r="CM210" s="1131" t="s">
        <v>21</v>
      </c>
      <c r="CN210" s="1130">
        <v>140.84</v>
      </c>
      <c r="CP210" s="838" t="s">
        <v>21</v>
      </c>
      <c r="CQ210" s="838" t="s">
        <v>21</v>
      </c>
      <c r="CR210" s="836"/>
    </row>
    <row r="211" spans="1:96" x14ac:dyDescent="0.25">
      <c r="A211" s="935"/>
      <c r="B211" s="932" t="s">
        <v>3048</v>
      </c>
      <c r="C211" s="911">
        <v>1000</v>
      </c>
      <c r="D211" s="911" t="s">
        <v>2116</v>
      </c>
      <c r="E211" s="912">
        <v>1164</v>
      </c>
      <c r="F211" s="912">
        <v>1160.873</v>
      </c>
      <c r="G211" s="932" t="s">
        <v>3049</v>
      </c>
      <c r="H211" s="912">
        <v>1164</v>
      </c>
      <c r="I211" s="912">
        <v>1160.7629999999999</v>
      </c>
      <c r="J211" s="914">
        <v>24.18</v>
      </c>
      <c r="K211" s="915"/>
      <c r="L211" s="916">
        <v>0.15</v>
      </c>
      <c r="M211" s="916">
        <v>0.09</v>
      </c>
      <c r="N211" s="916">
        <v>0.2</v>
      </c>
      <c r="O211" s="916">
        <v>6.3479999999999999</v>
      </c>
      <c r="P211" s="915"/>
      <c r="Q211" s="916">
        <v>3.5219999999999998</v>
      </c>
      <c r="R211" s="917">
        <v>0.33333333333333331</v>
      </c>
      <c r="S211" s="918">
        <v>2</v>
      </c>
      <c r="T211" s="918">
        <v>4.3479999999999999</v>
      </c>
      <c r="U211" s="916">
        <v>7.4249999999999998</v>
      </c>
      <c r="V211" s="916">
        <v>1.38</v>
      </c>
      <c r="W211" s="915"/>
      <c r="X211" s="916">
        <v>0.78500000000000003</v>
      </c>
      <c r="Y211" s="916">
        <v>1.0940000000000001</v>
      </c>
      <c r="Z211" s="916">
        <v>11.179</v>
      </c>
      <c r="AA211" s="916">
        <v>2.0009999999999999</v>
      </c>
      <c r="AB211" s="916">
        <v>7.7839999999999998</v>
      </c>
      <c r="AC211" s="915"/>
      <c r="AD211" s="919">
        <v>153.495</v>
      </c>
      <c r="AE211" s="920">
        <v>270.30799999999999</v>
      </c>
      <c r="AF211" s="920" t="s">
        <v>21</v>
      </c>
      <c r="AG211" s="920" t="s">
        <v>21</v>
      </c>
      <c r="AH211" s="921" t="s">
        <v>21</v>
      </c>
      <c r="AI211" s="921" t="s">
        <v>21</v>
      </c>
      <c r="AJ211" s="920" t="s">
        <v>21</v>
      </c>
      <c r="AK211" s="920">
        <v>270.30799999999999</v>
      </c>
      <c r="AL211" s="921" t="s">
        <v>21</v>
      </c>
      <c r="AM211" s="921" t="s">
        <v>21</v>
      </c>
      <c r="AN211" s="920"/>
      <c r="AO211" s="920" t="s">
        <v>21</v>
      </c>
      <c r="AP211" s="919">
        <v>48.36</v>
      </c>
      <c r="AQ211" s="922">
        <v>179.53649999999999</v>
      </c>
      <c r="AR211" s="923" t="s">
        <v>21</v>
      </c>
      <c r="AS211" s="923" t="s">
        <v>21</v>
      </c>
      <c r="AT211" s="923" t="s">
        <v>21</v>
      </c>
      <c r="AU211" s="923" t="s">
        <v>21</v>
      </c>
      <c r="AV211" s="924" t="s">
        <v>21</v>
      </c>
      <c r="AW211" s="924" t="s">
        <v>21</v>
      </c>
      <c r="AX211" s="924">
        <v>179.53649999999999</v>
      </c>
      <c r="AY211" s="924" t="s">
        <v>21</v>
      </c>
      <c r="AZ211" s="923" t="s">
        <v>21</v>
      </c>
      <c r="BA211" s="923"/>
      <c r="BB211" s="919" t="s">
        <v>21</v>
      </c>
      <c r="BC211" s="919">
        <v>7.2539999999999996</v>
      </c>
      <c r="BD211" s="919" t="s">
        <v>2152</v>
      </c>
      <c r="BE211" s="925" t="s">
        <v>21</v>
      </c>
      <c r="BF211" s="926" t="s">
        <v>21</v>
      </c>
      <c r="BG211" s="925" t="s">
        <v>21</v>
      </c>
      <c r="BH211" s="926" t="s">
        <v>21</v>
      </c>
      <c r="BI211" s="925">
        <v>24.18</v>
      </c>
      <c r="BJ211" s="926" t="s">
        <v>21</v>
      </c>
      <c r="BK211" s="925" t="s">
        <v>21</v>
      </c>
      <c r="BL211" s="926" t="s">
        <v>21</v>
      </c>
      <c r="BM211" s="925" t="s">
        <v>21</v>
      </c>
      <c r="BN211" s="927"/>
      <c r="BO211" s="927"/>
      <c r="BP211" s="928" t="s">
        <v>21</v>
      </c>
      <c r="BQ211" s="928" t="s">
        <v>21</v>
      </c>
      <c r="BR211" s="928">
        <v>1</v>
      </c>
      <c r="BS211" s="928" t="s">
        <v>21</v>
      </c>
      <c r="BT211" s="928" t="s">
        <v>21</v>
      </c>
      <c r="BU211" s="928" t="s">
        <v>21</v>
      </c>
      <c r="BV211" s="929">
        <v>1.0269999999999526</v>
      </c>
      <c r="BW211" s="929">
        <v>1.5</v>
      </c>
      <c r="BX211" s="1104">
        <v>3</v>
      </c>
      <c r="BY211" s="931">
        <v>7</v>
      </c>
      <c r="BZ211" s="930"/>
      <c r="CA211" s="1074"/>
      <c r="CB211" s="930"/>
      <c r="CC211" s="930"/>
      <c r="CD211" s="925">
        <v>48.384</v>
      </c>
      <c r="CE211" s="1130">
        <v>188.21700000000001</v>
      </c>
      <c r="CF211" s="1129" t="s">
        <v>21</v>
      </c>
      <c r="CG211" s="1130" t="s">
        <v>21</v>
      </c>
      <c r="CH211" s="1130" t="s">
        <v>21</v>
      </c>
      <c r="CI211" s="1131" t="s">
        <v>21</v>
      </c>
      <c r="CJ211" s="1129" t="s">
        <v>21</v>
      </c>
      <c r="CK211" s="1130" t="s">
        <v>21</v>
      </c>
      <c r="CL211" s="1130" t="s">
        <v>21</v>
      </c>
      <c r="CM211" s="1131" t="s">
        <v>21</v>
      </c>
      <c r="CN211" s="1130">
        <v>188.21700000000001</v>
      </c>
      <c r="CP211" s="838" t="s">
        <v>21</v>
      </c>
      <c r="CQ211" s="838" t="s">
        <v>21</v>
      </c>
      <c r="CR211" s="836"/>
    </row>
    <row r="212" spans="1:96" x14ac:dyDescent="0.25">
      <c r="A212" s="935"/>
      <c r="B212" s="932" t="s">
        <v>3049</v>
      </c>
      <c r="C212" s="911">
        <v>1000</v>
      </c>
      <c r="D212" s="911" t="s">
        <v>2116</v>
      </c>
      <c r="E212" s="912">
        <v>1164</v>
      </c>
      <c r="F212" s="912">
        <v>1160.7629999999999</v>
      </c>
      <c r="G212" s="932" t="s">
        <v>3050</v>
      </c>
      <c r="H212" s="912">
        <v>1164</v>
      </c>
      <c r="I212" s="912">
        <v>1160.7059999999999</v>
      </c>
      <c r="J212" s="914">
        <v>13.29</v>
      </c>
      <c r="K212" s="915"/>
      <c r="L212" s="916">
        <v>0.15</v>
      </c>
      <c r="M212" s="916">
        <v>0.09</v>
      </c>
      <c r="N212" s="916">
        <v>0.2</v>
      </c>
      <c r="O212" s="916">
        <v>6.4039999999999999</v>
      </c>
      <c r="P212" s="915"/>
      <c r="Q212" s="916">
        <v>3.6059999999999999</v>
      </c>
      <c r="R212" s="917">
        <v>0.33333333333333331</v>
      </c>
      <c r="S212" s="918">
        <v>2</v>
      </c>
      <c r="T212" s="918">
        <v>4.4039999999999999</v>
      </c>
      <c r="U212" s="916">
        <v>7.6020000000000003</v>
      </c>
      <c r="V212" s="916">
        <v>1.38</v>
      </c>
      <c r="W212" s="915"/>
      <c r="X212" s="916">
        <v>0.78500000000000003</v>
      </c>
      <c r="Y212" s="916">
        <v>1.0940000000000001</v>
      </c>
      <c r="Z212" s="916">
        <v>11.545999999999999</v>
      </c>
      <c r="AA212" s="916">
        <v>2.0009999999999999</v>
      </c>
      <c r="AB212" s="916">
        <v>8.1509999999999998</v>
      </c>
      <c r="AC212" s="915"/>
      <c r="AD212" s="919">
        <v>85.108999999999995</v>
      </c>
      <c r="AE212" s="920">
        <v>153.446</v>
      </c>
      <c r="AF212" s="920" t="s">
        <v>21</v>
      </c>
      <c r="AG212" s="920" t="s">
        <v>21</v>
      </c>
      <c r="AH212" s="921" t="s">
        <v>21</v>
      </c>
      <c r="AI212" s="921" t="s">
        <v>21</v>
      </c>
      <c r="AJ212" s="920" t="s">
        <v>21</v>
      </c>
      <c r="AK212" s="920">
        <v>153.446</v>
      </c>
      <c r="AL212" s="921" t="s">
        <v>21</v>
      </c>
      <c r="AM212" s="921" t="s">
        <v>21</v>
      </c>
      <c r="AN212" s="920"/>
      <c r="AO212" s="920" t="s">
        <v>21</v>
      </c>
      <c r="AP212" s="919">
        <v>26.58</v>
      </c>
      <c r="AQ212" s="922">
        <v>101.03058</v>
      </c>
      <c r="AR212" s="923" t="s">
        <v>21</v>
      </c>
      <c r="AS212" s="923" t="s">
        <v>21</v>
      </c>
      <c r="AT212" s="923" t="s">
        <v>21</v>
      </c>
      <c r="AU212" s="923" t="s">
        <v>21</v>
      </c>
      <c r="AV212" s="924" t="s">
        <v>21</v>
      </c>
      <c r="AW212" s="924" t="s">
        <v>21</v>
      </c>
      <c r="AX212" s="924">
        <v>101.03058</v>
      </c>
      <c r="AY212" s="924" t="s">
        <v>21</v>
      </c>
      <c r="AZ212" s="923" t="s">
        <v>21</v>
      </c>
      <c r="BA212" s="923"/>
      <c r="BB212" s="919" t="s">
        <v>21</v>
      </c>
      <c r="BC212" s="919">
        <v>3.9870000000000001</v>
      </c>
      <c r="BD212" s="919" t="s">
        <v>2152</v>
      </c>
      <c r="BE212" s="925" t="s">
        <v>21</v>
      </c>
      <c r="BF212" s="926" t="s">
        <v>21</v>
      </c>
      <c r="BG212" s="925" t="s">
        <v>21</v>
      </c>
      <c r="BH212" s="926" t="s">
        <v>21</v>
      </c>
      <c r="BI212" s="925">
        <v>13.29</v>
      </c>
      <c r="BJ212" s="926" t="s">
        <v>21</v>
      </c>
      <c r="BK212" s="925" t="s">
        <v>21</v>
      </c>
      <c r="BL212" s="926" t="s">
        <v>21</v>
      </c>
      <c r="BM212" s="925" t="s">
        <v>21</v>
      </c>
      <c r="BN212" s="927"/>
      <c r="BO212" s="927"/>
      <c r="BP212" s="928" t="s">
        <v>21</v>
      </c>
      <c r="BQ212" s="928" t="s">
        <v>21</v>
      </c>
      <c r="BR212" s="928">
        <v>1</v>
      </c>
      <c r="BS212" s="928" t="s">
        <v>21</v>
      </c>
      <c r="BT212" s="928" t="s">
        <v>21</v>
      </c>
      <c r="BU212" s="928" t="s">
        <v>21</v>
      </c>
      <c r="BV212" s="929">
        <v>1.1370000000000799</v>
      </c>
      <c r="BW212" s="929">
        <v>1.5</v>
      </c>
      <c r="BX212" s="1104">
        <v>3</v>
      </c>
      <c r="BY212" s="931">
        <v>7</v>
      </c>
      <c r="BZ212" s="930"/>
      <c r="CA212" s="1074"/>
      <c r="CB212" s="930"/>
      <c r="CC212" s="930"/>
      <c r="CD212" s="925">
        <v>26.593</v>
      </c>
      <c r="CE212" s="1130">
        <v>108.327</v>
      </c>
      <c r="CF212" s="1129" t="s">
        <v>21</v>
      </c>
      <c r="CG212" s="1130" t="s">
        <v>21</v>
      </c>
      <c r="CH212" s="1130" t="s">
        <v>21</v>
      </c>
      <c r="CI212" s="1131" t="s">
        <v>21</v>
      </c>
      <c r="CJ212" s="1129" t="s">
        <v>21</v>
      </c>
      <c r="CK212" s="1130" t="s">
        <v>21</v>
      </c>
      <c r="CL212" s="1130" t="s">
        <v>21</v>
      </c>
      <c r="CM212" s="1131" t="s">
        <v>21</v>
      </c>
      <c r="CN212" s="1130">
        <v>108.327</v>
      </c>
      <c r="CP212" s="838" t="s">
        <v>21</v>
      </c>
      <c r="CQ212" s="838" t="s">
        <v>21</v>
      </c>
      <c r="CR212" s="836"/>
    </row>
    <row r="213" spans="1:96" x14ac:dyDescent="0.25">
      <c r="A213" s="935"/>
      <c r="B213" s="932" t="s">
        <v>3050</v>
      </c>
      <c r="C213" s="911">
        <v>1000</v>
      </c>
      <c r="D213" s="911" t="s">
        <v>2116</v>
      </c>
      <c r="E213" s="912">
        <v>1164</v>
      </c>
      <c r="F213" s="912">
        <v>1160.7059999999999</v>
      </c>
      <c r="G213" s="932" t="s">
        <v>3051</v>
      </c>
      <c r="H213" s="912">
        <v>1163</v>
      </c>
      <c r="I213" s="912">
        <v>1160.6500000000001</v>
      </c>
      <c r="J213" s="914">
        <v>10.8</v>
      </c>
      <c r="K213" s="915"/>
      <c r="L213" s="916">
        <v>0.15</v>
      </c>
      <c r="M213" s="916">
        <v>0.09</v>
      </c>
      <c r="N213" s="916">
        <v>0.2</v>
      </c>
      <c r="O213" s="916">
        <v>6.1079999999999997</v>
      </c>
      <c r="P213" s="915"/>
      <c r="Q213" s="916">
        <v>3.1619999999999999</v>
      </c>
      <c r="R213" s="917">
        <v>0.33333333333333331</v>
      </c>
      <c r="S213" s="918">
        <v>2</v>
      </c>
      <c r="T213" s="918">
        <v>4.1079999999999997</v>
      </c>
      <c r="U213" s="916">
        <v>6.6660000000000004</v>
      </c>
      <c r="V213" s="916">
        <v>1.38</v>
      </c>
      <c r="W213" s="915"/>
      <c r="X213" s="916">
        <v>0.78500000000000003</v>
      </c>
      <c r="Y213" s="916">
        <v>1.0940000000000001</v>
      </c>
      <c r="Z213" s="916">
        <v>9.657</v>
      </c>
      <c r="AA213" s="916">
        <v>2.0009999999999999</v>
      </c>
      <c r="AB213" s="916">
        <v>6.2619999999999996</v>
      </c>
      <c r="AC213" s="915"/>
      <c r="AD213" s="919">
        <v>65.965999999999994</v>
      </c>
      <c r="AE213" s="920">
        <v>104.29600000000001</v>
      </c>
      <c r="AF213" s="920" t="s">
        <v>21</v>
      </c>
      <c r="AG213" s="920" t="s">
        <v>21</v>
      </c>
      <c r="AH213" s="921" t="s">
        <v>21</v>
      </c>
      <c r="AI213" s="921">
        <v>104.29600000000001</v>
      </c>
      <c r="AJ213" s="920" t="s">
        <v>21</v>
      </c>
      <c r="AK213" s="920" t="s">
        <v>21</v>
      </c>
      <c r="AL213" s="921" t="s">
        <v>21</v>
      </c>
      <c r="AM213" s="921" t="s">
        <v>21</v>
      </c>
      <c r="AN213" s="920"/>
      <c r="AO213" s="920" t="s">
        <v>21</v>
      </c>
      <c r="AP213" s="919">
        <v>21.6</v>
      </c>
      <c r="AQ213" s="922">
        <v>71.992800000000003</v>
      </c>
      <c r="AR213" s="923" t="s">
        <v>21</v>
      </c>
      <c r="AS213" s="923" t="s">
        <v>21</v>
      </c>
      <c r="AT213" s="923" t="s">
        <v>21</v>
      </c>
      <c r="AU213" s="923" t="s">
        <v>21</v>
      </c>
      <c r="AV213" s="924" t="s">
        <v>21</v>
      </c>
      <c r="AW213" s="924">
        <v>71.992800000000003</v>
      </c>
      <c r="AX213" s="924" t="s">
        <v>21</v>
      </c>
      <c r="AY213" s="924" t="s">
        <v>21</v>
      </c>
      <c r="AZ213" s="923" t="s">
        <v>21</v>
      </c>
      <c r="BA213" s="923"/>
      <c r="BB213" s="919" t="s">
        <v>21</v>
      </c>
      <c r="BC213" s="919">
        <v>3.24</v>
      </c>
      <c r="BD213" s="919" t="s">
        <v>2152</v>
      </c>
      <c r="BE213" s="925" t="s">
        <v>21</v>
      </c>
      <c r="BF213" s="926" t="s">
        <v>21</v>
      </c>
      <c r="BG213" s="925" t="s">
        <v>21</v>
      </c>
      <c r="BH213" s="926" t="s">
        <v>21</v>
      </c>
      <c r="BI213" s="925">
        <v>10.8</v>
      </c>
      <c r="BJ213" s="926" t="s">
        <v>21</v>
      </c>
      <c r="BK213" s="925" t="s">
        <v>21</v>
      </c>
      <c r="BL213" s="926" t="s">
        <v>21</v>
      </c>
      <c r="BM213" s="925" t="s">
        <v>21</v>
      </c>
      <c r="BN213" s="927"/>
      <c r="BO213" s="927"/>
      <c r="BP213" s="928" t="s">
        <v>21</v>
      </c>
      <c r="BQ213" s="928" t="s">
        <v>21</v>
      </c>
      <c r="BR213" s="928">
        <v>1</v>
      </c>
      <c r="BS213" s="928" t="s">
        <v>21</v>
      </c>
      <c r="BT213" s="928" t="s">
        <v>21</v>
      </c>
      <c r="BU213" s="928" t="s">
        <v>21</v>
      </c>
      <c r="BV213" s="929">
        <v>1.1940000000000963</v>
      </c>
      <c r="BW213" s="929">
        <v>1.5</v>
      </c>
      <c r="BX213" s="1104">
        <v>3</v>
      </c>
      <c r="BY213" s="931">
        <v>7</v>
      </c>
      <c r="BZ213" s="930"/>
      <c r="CA213" s="1074"/>
      <c r="CB213" s="930"/>
      <c r="CC213" s="930"/>
      <c r="CD213" s="925">
        <v>21.611000000000001</v>
      </c>
      <c r="CE213" s="1130">
        <v>67.63</v>
      </c>
      <c r="CF213" s="1129" t="s">
        <v>21</v>
      </c>
      <c r="CG213" s="1130" t="s">
        <v>21</v>
      </c>
      <c r="CH213" s="1130" t="s">
        <v>21</v>
      </c>
      <c r="CI213" s="1131" t="s">
        <v>21</v>
      </c>
      <c r="CJ213" s="1129" t="s">
        <v>21</v>
      </c>
      <c r="CK213" s="1130" t="s">
        <v>21</v>
      </c>
      <c r="CL213" s="1130" t="s">
        <v>21</v>
      </c>
      <c r="CM213" s="1131" t="s">
        <v>21</v>
      </c>
      <c r="CN213" s="1130">
        <v>67.63</v>
      </c>
      <c r="CP213" s="838" t="s">
        <v>21</v>
      </c>
      <c r="CQ213" s="838" t="s">
        <v>21</v>
      </c>
      <c r="CR213" s="836"/>
    </row>
    <row r="214" spans="1:96" x14ac:dyDescent="0.25">
      <c r="A214" s="935"/>
      <c r="B214" s="932" t="s">
        <v>3051</v>
      </c>
      <c r="C214" s="911">
        <v>1000</v>
      </c>
      <c r="D214" s="911" t="s">
        <v>2116</v>
      </c>
      <c r="E214" s="912">
        <v>1163</v>
      </c>
      <c r="F214" s="912">
        <v>1159.5999999999999</v>
      </c>
      <c r="G214" s="910" t="s">
        <v>3094</v>
      </c>
      <c r="H214" s="912">
        <v>1160.8800000000001</v>
      </c>
      <c r="I214" s="912">
        <v>1158.56</v>
      </c>
      <c r="J214" s="914">
        <v>16.41</v>
      </c>
      <c r="K214" s="915"/>
      <c r="L214" s="916">
        <v>0.15</v>
      </c>
      <c r="M214" s="916">
        <v>0.09</v>
      </c>
      <c r="N214" s="916">
        <v>0.2</v>
      </c>
      <c r="O214" s="916">
        <v>6.133</v>
      </c>
      <c r="P214" s="915"/>
      <c r="Q214" s="916">
        <v>3.2</v>
      </c>
      <c r="R214" s="917">
        <v>0.33333333333333331</v>
      </c>
      <c r="S214" s="918">
        <v>2</v>
      </c>
      <c r="T214" s="918">
        <v>4.133</v>
      </c>
      <c r="U214" s="916">
        <v>6.7460000000000004</v>
      </c>
      <c r="V214" s="916">
        <v>1.38</v>
      </c>
      <c r="W214" s="915"/>
      <c r="X214" s="916">
        <v>0.78500000000000003</v>
      </c>
      <c r="Y214" s="916">
        <v>1.0940000000000001</v>
      </c>
      <c r="Z214" s="916">
        <v>9.8130000000000006</v>
      </c>
      <c r="AA214" s="916">
        <v>2.0009999999999999</v>
      </c>
      <c r="AB214" s="916">
        <v>6.4180000000000001</v>
      </c>
      <c r="AC214" s="915"/>
      <c r="AD214" s="919">
        <v>100.643</v>
      </c>
      <c r="AE214" s="920">
        <v>161.03100000000001</v>
      </c>
      <c r="AF214" s="920" t="s">
        <v>21</v>
      </c>
      <c r="AG214" s="920" t="s">
        <v>21</v>
      </c>
      <c r="AH214" s="921" t="s">
        <v>21</v>
      </c>
      <c r="AI214" s="921">
        <v>161.03100000000001</v>
      </c>
      <c r="AJ214" s="920" t="s">
        <v>21</v>
      </c>
      <c r="AK214" s="920" t="s">
        <v>21</v>
      </c>
      <c r="AL214" s="921" t="s">
        <v>21</v>
      </c>
      <c r="AM214" s="921" t="s">
        <v>21</v>
      </c>
      <c r="AN214" s="920"/>
      <c r="AO214" s="920" t="s">
        <v>21</v>
      </c>
      <c r="AP214" s="919">
        <v>32.82</v>
      </c>
      <c r="AQ214" s="922">
        <v>110.70186000000001</v>
      </c>
      <c r="AR214" s="923" t="s">
        <v>21</v>
      </c>
      <c r="AS214" s="923" t="s">
        <v>21</v>
      </c>
      <c r="AT214" s="923" t="s">
        <v>21</v>
      </c>
      <c r="AU214" s="923" t="s">
        <v>21</v>
      </c>
      <c r="AV214" s="924" t="s">
        <v>21</v>
      </c>
      <c r="AW214" s="924">
        <v>110.70186000000001</v>
      </c>
      <c r="AX214" s="924" t="s">
        <v>21</v>
      </c>
      <c r="AY214" s="924" t="s">
        <v>21</v>
      </c>
      <c r="AZ214" s="923" t="s">
        <v>21</v>
      </c>
      <c r="BA214" s="923"/>
      <c r="BB214" s="919" t="s">
        <v>21</v>
      </c>
      <c r="BC214" s="919">
        <v>4.923</v>
      </c>
      <c r="BD214" s="919" t="s">
        <v>2152</v>
      </c>
      <c r="BE214" s="925" t="s">
        <v>21</v>
      </c>
      <c r="BF214" s="926" t="s">
        <v>21</v>
      </c>
      <c r="BG214" s="925" t="s">
        <v>21</v>
      </c>
      <c r="BH214" s="926" t="s">
        <v>21</v>
      </c>
      <c r="BI214" s="925">
        <v>16.41</v>
      </c>
      <c r="BJ214" s="926" t="s">
        <v>21</v>
      </c>
      <c r="BK214" s="925" t="s">
        <v>21</v>
      </c>
      <c r="BL214" s="926" t="s">
        <v>21</v>
      </c>
      <c r="BM214" s="925" t="s">
        <v>21</v>
      </c>
      <c r="BN214" s="927"/>
      <c r="BO214" s="927"/>
      <c r="BP214" s="928" t="s">
        <v>21</v>
      </c>
      <c r="BQ214" s="928" t="s">
        <v>21</v>
      </c>
      <c r="BR214" s="928">
        <v>1</v>
      </c>
      <c r="BS214" s="928" t="s">
        <v>21</v>
      </c>
      <c r="BT214" s="928" t="s">
        <v>21</v>
      </c>
      <c r="BU214" s="928" t="s">
        <v>21</v>
      </c>
      <c r="BV214" s="929">
        <v>1.3000000000000909</v>
      </c>
      <c r="BW214" s="929">
        <v>1.5</v>
      </c>
      <c r="BX214" s="1104">
        <v>3</v>
      </c>
      <c r="BY214" s="931">
        <v>7</v>
      </c>
      <c r="BZ214" s="930"/>
      <c r="CA214" s="1074"/>
      <c r="CB214" s="930"/>
      <c r="CC214" s="930"/>
      <c r="CD214" s="925">
        <v>32.835999999999999</v>
      </c>
      <c r="CE214" s="1130">
        <v>105.319</v>
      </c>
      <c r="CF214" s="1129" t="s">
        <v>21</v>
      </c>
      <c r="CG214" s="1130" t="s">
        <v>21</v>
      </c>
      <c r="CH214" s="1130" t="s">
        <v>21</v>
      </c>
      <c r="CI214" s="1131" t="s">
        <v>21</v>
      </c>
      <c r="CJ214" s="1129" t="s">
        <v>21</v>
      </c>
      <c r="CK214" s="1130" t="s">
        <v>21</v>
      </c>
      <c r="CL214" s="1130" t="s">
        <v>21</v>
      </c>
      <c r="CM214" s="1131" t="s">
        <v>21</v>
      </c>
      <c r="CN214" s="1130">
        <v>105.319</v>
      </c>
      <c r="CP214" s="838" t="s">
        <v>21</v>
      </c>
      <c r="CQ214" s="838" t="s">
        <v>21</v>
      </c>
      <c r="CR214" s="836"/>
    </row>
    <row r="215" spans="1:96" x14ac:dyDescent="0.25">
      <c r="A215" s="935"/>
      <c r="B215" s="932"/>
      <c r="C215" s="911"/>
      <c r="D215" s="911"/>
      <c r="E215" s="912"/>
      <c r="F215" s="912"/>
      <c r="G215" s="910"/>
      <c r="H215" s="912"/>
      <c r="I215" s="912"/>
      <c r="J215" s="914"/>
      <c r="K215" s="915"/>
      <c r="L215" s="916" t="s">
        <v>21</v>
      </c>
      <c r="M215" s="916" t="s">
        <v>21</v>
      </c>
      <c r="N215" s="916" t="s">
        <v>21</v>
      </c>
      <c r="O215" s="916" t="s">
        <v>21</v>
      </c>
      <c r="P215" s="915"/>
      <c r="Q215" s="916" t="s">
        <v>21</v>
      </c>
      <c r="R215" s="917" t="s">
        <v>21</v>
      </c>
      <c r="S215" s="918" t="s">
        <v>21</v>
      </c>
      <c r="T215" s="918" t="s">
        <v>21</v>
      </c>
      <c r="U215" s="916" t="s">
        <v>21</v>
      </c>
      <c r="V215" s="916" t="s">
        <v>21</v>
      </c>
      <c r="W215" s="915"/>
      <c r="X215" s="916" t="s">
        <v>21</v>
      </c>
      <c r="Y215" s="916" t="s">
        <v>21</v>
      </c>
      <c r="Z215" s="916" t="s">
        <v>21</v>
      </c>
      <c r="AA215" s="916" t="s">
        <v>21</v>
      </c>
      <c r="AB215" s="916" t="s">
        <v>21</v>
      </c>
      <c r="AC215" s="915"/>
      <c r="AD215" s="919" t="s">
        <v>21</v>
      </c>
      <c r="AE215" s="920" t="s">
        <v>21</v>
      </c>
      <c r="AF215" s="920" t="s">
        <v>21</v>
      </c>
      <c r="AG215" s="920" t="s">
        <v>21</v>
      </c>
      <c r="AH215" s="921" t="s">
        <v>21</v>
      </c>
      <c r="AI215" s="921" t="s">
        <v>21</v>
      </c>
      <c r="AJ215" s="920" t="s">
        <v>21</v>
      </c>
      <c r="AK215" s="920" t="s">
        <v>21</v>
      </c>
      <c r="AL215" s="921" t="s">
        <v>21</v>
      </c>
      <c r="AM215" s="921" t="s">
        <v>21</v>
      </c>
      <c r="AN215" s="920"/>
      <c r="AO215" s="920" t="s">
        <v>21</v>
      </c>
      <c r="AP215" s="919" t="s">
        <v>21</v>
      </c>
      <c r="AQ215" s="922" t="s">
        <v>21</v>
      </c>
      <c r="AR215" s="923" t="s">
        <v>21</v>
      </c>
      <c r="AS215" s="923" t="s">
        <v>21</v>
      </c>
      <c r="AT215" s="923" t="s">
        <v>21</v>
      </c>
      <c r="AU215" s="923" t="s">
        <v>21</v>
      </c>
      <c r="AV215" s="924" t="s">
        <v>21</v>
      </c>
      <c r="AW215" s="924" t="s">
        <v>21</v>
      </c>
      <c r="AX215" s="924" t="s">
        <v>21</v>
      </c>
      <c r="AY215" s="924" t="s">
        <v>21</v>
      </c>
      <c r="AZ215" s="923" t="s">
        <v>21</v>
      </c>
      <c r="BA215" s="923"/>
      <c r="BB215" s="919" t="s">
        <v>21</v>
      </c>
      <c r="BC215" s="919" t="s">
        <v>21</v>
      </c>
      <c r="BD215" s="919" t="s">
        <v>21</v>
      </c>
      <c r="BE215" s="925" t="s">
        <v>21</v>
      </c>
      <c r="BF215" s="926" t="s">
        <v>21</v>
      </c>
      <c r="BG215" s="925" t="s">
        <v>21</v>
      </c>
      <c r="BH215" s="926" t="s">
        <v>21</v>
      </c>
      <c r="BI215" s="925" t="s">
        <v>21</v>
      </c>
      <c r="BJ215" s="926" t="s">
        <v>21</v>
      </c>
      <c r="BK215" s="925" t="s">
        <v>21</v>
      </c>
      <c r="BL215" s="926" t="s">
        <v>21</v>
      </c>
      <c r="BM215" s="925" t="s">
        <v>21</v>
      </c>
      <c r="BN215" s="927"/>
      <c r="BO215" s="927"/>
      <c r="BP215" s="928" t="s">
        <v>21</v>
      </c>
      <c r="BQ215" s="928" t="s">
        <v>21</v>
      </c>
      <c r="BR215" s="928" t="s">
        <v>21</v>
      </c>
      <c r="BS215" s="928" t="s">
        <v>21</v>
      </c>
      <c r="BT215" s="928" t="s">
        <v>21</v>
      </c>
      <c r="BU215" s="928" t="s">
        <v>21</v>
      </c>
      <c r="BV215" s="929" t="s">
        <v>21</v>
      </c>
      <c r="BW215" s="929" t="s">
        <v>21</v>
      </c>
      <c r="BX215" s="1104" t="s">
        <v>21</v>
      </c>
      <c r="BY215" s="931" t="s">
        <v>21</v>
      </c>
      <c r="BZ215" s="930"/>
      <c r="CA215" s="1074"/>
      <c r="CB215" s="930"/>
      <c r="CC215" s="930"/>
      <c r="CD215" s="925" t="s">
        <v>21</v>
      </c>
      <c r="CE215" s="1130" t="s">
        <v>21</v>
      </c>
      <c r="CF215" s="1129" t="s">
        <v>21</v>
      </c>
      <c r="CG215" s="1130" t="s">
        <v>21</v>
      </c>
      <c r="CH215" s="1130" t="s">
        <v>21</v>
      </c>
      <c r="CI215" s="1131" t="s">
        <v>21</v>
      </c>
      <c r="CJ215" s="1129" t="s">
        <v>21</v>
      </c>
      <c r="CK215" s="1130" t="s">
        <v>21</v>
      </c>
      <c r="CL215" s="1130" t="s">
        <v>21</v>
      </c>
      <c r="CM215" s="1131" t="s">
        <v>21</v>
      </c>
      <c r="CN215" s="1130" t="s">
        <v>21</v>
      </c>
      <c r="CP215" s="838" t="s">
        <v>21</v>
      </c>
      <c r="CQ215" s="838" t="s">
        <v>21</v>
      </c>
      <c r="CR215" s="836"/>
    </row>
    <row r="216" spans="1:96" x14ac:dyDescent="0.25">
      <c r="A216" s="935">
        <v>2</v>
      </c>
      <c r="B216" s="932" t="s">
        <v>2230</v>
      </c>
      <c r="C216" s="911">
        <v>600</v>
      </c>
      <c r="D216" s="911" t="s">
        <v>2116</v>
      </c>
      <c r="E216" s="912">
        <v>1197.3</v>
      </c>
      <c r="F216" s="912">
        <v>1195.4000000000001</v>
      </c>
      <c r="G216" s="910" t="s">
        <v>2227</v>
      </c>
      <c r="H216" s="912">
        <v>1196</v>
      </c>
      <c r="I216" s="912">
        <v>1194.0999999999999</v>
      </c>
      <c r="J216" s="914">
        <v>16.84</v>
      </c>
      <c r="K216" s="915"/>
      <c r="L216" s="916">
        <v>0.1</v>
      </c>
      <c r="M216" s="916">
        <v>0.06</v>
      </c>
      <c r="N216" s="916">
        <v>0.2</v>
      </c>
      <c r="O216" s="916">
        <v>4.84</v>
      </c>
      <c r="P216" s="915"/>
      <c r="Q216" s="916">
        <v>2.16</v>
      </c>
      <c r="R216" s="917">
        <v>0.33333333333333331</v>
      </c>
      <c r="S216" s="918">
        <v>1.4</v>
      </c>
      <c r="T216" s="918">
        <v>2.84</v>
      </c>
      <c r="U216" s="916">
        <v>4.5540000000000003</v>
      </c>
      <c r="V216" s="916">
        <v>0.92</v>
      </c>
      <c r="W216" s="915"/>
      <c r="X216" s="916">
        <v>0.28299999999999997</v>
      </c>
      <c r="Y216" s="916">
        <v>0.40699999999999997</v>
      </c>
      <c r="Z216" s="916">
        <v>4.5789999999999997</v>
      </c>
      <c r="AA216" s="916">
        <v>1.0229999999999999</v>
      </c>
      <c r="AB216" s="916">
        <v>3.0089999999999999</v>
      </c>
      <c r="AC216" s="915"/>
      <c r="AD216" s="919">
        <v>81.506</v>
      </c>
      <c r="AE216" s="920">
        <v>77.11</v>
      </c>
      <c r="AF216" s="920" t="s">
        <v>21</v>
      </c>
      <c r="AG216" s="920" t="s">
        <v>21</v>
      </c>
      <c r="AH216" s="921">
        <v>77.11</v>
      </c>
      <c r="AI216" s="921" t="s">
        <v>21</v>
      </c>
      <c r="AJ216" s="920" t="s">
        <v>21</v>
      </c>
      <c r="AK216" s="920" t="s">
        <v>21</v>
      </c>
      <c r="AL216" s="921" t="s">
        <v>21</v>
      </c>
      <c r="AM216" s="921" t="s">
        <v>21</v>
      </c>
      <c r="AN216" s="920"/>
      <c r="AO216" s="920" t="s">
        <v>21</v>
      </c>
      <c r="AP216" s="919">
        <v>23.576000000000001</v>
      </c>
      <c r="AQ216" s="922">
        <v>76.689360000000008</v>
      </c>
      <c r="AR216" s="923" t="s">
        <v>21</v>
      </c>
      <c r="AS216" s="923">
        <v>76.689360000000008</v>
      </c>
      <c r="AT216" s="923" t="s">
        <v>21</v>
      </c>
      <c r="AU216" s="923" t="s">
        <v>21</v>
      </c>
      <c r="AV216" s="924" t="s">
        <v>21</v>
      </c>
      <c r="AW216" s="924" t="s">
        <v>21</v>
      </c>
      <c r="AX216" s="924" t="s">
        <v>21</v>
      </c>
      <c r="AY216" s="924" t="s">
        <v>21</v>
      </c>
      <c r="AZ216" s="923" t="s">
        <v>21</v>
      </c>
      <c r="BA216" s="923"/>
      <c r="BB216" s="919">
        <v>2.3580000000000001</v>
      </c>
      <c r="BC216" s="919" t="s">
        <v>21</v>
      </c>
      <c r="BD216" s="919" t="s">
        <v>2142</v>
      </c>
      <c r="BE216" s="925" t="s">
        <v>21</v>
      </c>
      <c r="BF216" s="926" t="s">
        <v>21</v>
      </c>
      <c r="BG216" s="925">
        <v>16.84</v>
      </c>
      <c r="BH216" s="926" t="s">
        <v>21</v>
      </c>
      <c r="BI216" s="925" t="s">
        <v>21</v>
      </c>
      <c r="BJ216" s="926" t="s">
        <v>21</v>
      </c>
      <c r="BK216" s="925" t="s">
        <v>21</v>
      </c>
      <c r="BL216" s="926" t="s">
        <v>21</v>
      </c>
      <c r="BM216" s="925" t="s">
        <v>21</v>
      </c>
      <c r="BN216" s="927"/>
      <c r="BO216" s="927"/>
      <c r="BP216" s="928">
        <v>1</v>
      </c>
      <c r="BQ216" s="928" t="s">
        <v>21</v>
      </c>
      <c r="BR216" s="928" t="s">
        <v>21</v>
      </c>
      <c r="BS216" s="928" t="s">
        <v>21</v>
      </c>
      <c r="BT216" s="928" t="s">
        <v>21</v>
      </c>
      <c r="BU216" s="928" t="s">
        <v>21</v>
      </c>
      <c r="BV216" s="929">
        <v>0.49999999999986366</v>
      </c>
      <c r="BW216" s="929">
        <v>0.5</v>
      </c>
      <c r="BX216" s="1104">
        <v>1</v>
      </c>
      <c r="BY216" s="931">
        <v>3</v>
      </c>
      <c r="BZ216" s="930"/>
      <c r="CA216" s="1074">
        <v>1</v>
      </c>
      <c r="CB216" s="930"/>
      <c r="CC216" s="930"/>
      <c r="CD216" s="925">
        <v>17.227</v>
      </c>
      <c r="CE216" s="1130">
        <v>50.671999999999997</v>
      </c>
      <c r="CF216" s="1129" t="s">
        <v>21</v>
      </c>
      <c r="CG216" s="1130" t="s">
        <v>21</v>
      </c>
      <c r="CH216" s="1130" t="s">
        <v>21</v>
      </c>
      <c r="CI216" s="1131" t="s">
        <v>21</v>
      </c>
      <c r="CJ216" s="1129" t="s">
        <v>21</v>
      </c>
      <c r="CK216" s="1130">
        <v>50.671999999999997</v>
      </c>
      <c r="CL216" s="1130" t="s">
        <v>21</v>
      </c>
      <c r="CM216" s="1131" t="s">
        <v>21</v>
      </c>
      <c r="CN216" s="1130" t="s">
        <v>21</v>
      </c>
      <c r="CP216" s="838" t="s">
        <v>21</v>
      </c>
      <c r="CQ216" s="838" t="s">
        <v>21</v>
      </c>
      <c r="CR216" s="836"/>
    </row>
    <row r="217" spans="1:96" x14ac:dyDescent="0.25">
      <c r="A217" s="935" t="s">
        <v>3060</v>
      </c>
      <c r="B217" s="932"/>
      <c r="C217" s="911"/>
      <c r="D217" s="911"/>
      <c r="E217" s="912"/>
      <c r="F217" s="912"/>
      <c r="G217" s="910"/>
      <c r="H217" s="912"/>
      <c r="I217" s="912"/>
      <c r="J217" s="914"/>
      <c r="K217" s="915"/>
      <c r="L217" s="916" t="s">
        <v>21</v>
      </c>
      <c r="M217" s="916" t="s">
        <v>21</v>
      </c>
      <c r="N217" s="916" t="s">
        <v>21</v>
      </c>
      <c r="O217" s="916" t="s">
        <v>21</v>
      </c>
      <c r="P217" s="915"/>
      <c r="Q217" s="916" t="s">
        <v>21</v>
      </c>
      <c r="R217" s="917" t="s">
        <v>21</v>
      </c>
      <c r="S217" s="918" t="s">
        <v>21</v>
      </c>
      <c r="T217" s="918" t="s">
        <v>21</v>
      </c>
      <c r="U217" s="916" t="s">
        <v>21</v>
      </c>
      <c r="V217" s="916" t="s">
        <v>21</v>
      </c>
      <c r="W217" s="915"/>
      <c r="X217" s="916" t="s">
        <v>21</v>
      </c>
      <c r="Y217" s="916" t="s">
        <v>21</v>
      </c>
      <c r="Z217" s="916" t="s">
        <v>21</v>
      </c>
      <c r="AA217" s="916" t="s">
        <v>21</v>
      </c>
      <c r="AB217" s="916" t="s">
        <v>21</v>
      </c>
      <c r="AC217" s="915"/>
      <c r="AD217" s="919" t="s">
        <v>21</v>
      </c>
      <c r="AE217" s="920" t="s">
        <v>21</v>
      </c>
      <c r="AF217" s="920" t="s">
        <v>21</v>
      </c>
      <c r="AG217" s="920" t="s">
        <v>21</v>
      </c>
      <c r="AH217" s="921" t="s">
        <v>21</v>
      </c>
      <c r="AI217" s="921" t="s">
        <v>21</v>
      </c>
      <c r="AJ217" s="920" t="s">
        <v>21</v>
      </c>
      <c r="AK217" s="920" t="s">
        <v>21</v>
      </c>
      <c r="AL217" s="921" t="s">
        <v>21</v>
      </c>
      <c r="AM217" s="921" t="s">
        <v>21</v>
      </c>
      <c r="AN217" s="920"/>
      <c r="AO217" s="920" t="s">
        <v>21</v>
      </c>
      <c r="AP217" s="919" t="s">
        <v>21</v>
      </c>
      <c r="AQ217" s="922" t="s">
        <v>21</v>
      </c>
      <c r="AR217" s="923" t="s">
        <v>21</v>
      </c>
      <c r="AS217" s="923" t="s">
        <v>21</v>
      </c>
      <c r="AT217" s="923" t="s">
        <v>21</v>
      </c>
      <c r="AU217" s="923" t="s">
        <v>21</v>
      </c>
      <c r="AV217" s="924" t="s">
        <v>21</v>
      </c>
      <c r="AW217" s="924" t="s">
        <v>21</v>
      </c>
      <c r="AX217" s="924" t="s">
        <v>21</v>
      </c>
      <c r="AY217" s="924" t="s">
        <v>21</v>
      </c>
      <c r="AZ217" s="923" t="s">
        <v>21</v>
      </c>
      <c r="BA217" s="923"/>
      <c r="BB217" s="919" t="s">
        <v>21</v>
      </c>
      <c r="BC217" s="919" t="s">
        <v>21</v>
      </c>
      <c r="BD217" s="919" t="s">
        <v>21</v>
      </c>
      <c r="BE217" s="925" t="s">
        <v>21</v>
      </c>
      <c r="BF217" s="926" t="s">
        <v>21</v>
      </c>
      <c r="BG217" s="925" t="s">
        <v>21</v>
      </c>
      <c r="BH217" s="926" t="s">
        <v>21</v>
      </c>
      <c r="BI217" s="925" t="s">
        <v>21</v>
      </c>
      <c r="BJ217" s="926" t="s">
        <v>21</v>
      </c>
      <c r="BK217" s="925" t="s">
        <v>21</v>
      </c>
      <c r="BL217" s="926" t="s">
        <v>21</v>
      </c>
      <c r="BM217" s="925" t="s">
        <v>21</v>
      </c>
      <c r="BN217" s="927"/>
      <c r="BO217" s="927"/>
      <c r="BP217" s="928" t="s">
        <v>21</v>
      </c>
      <c r="BQ217" s="928" t="s">
        <v>21</v>
      </c>
      <c r="BR217" s="928" t="s">
        <v>21</v>
      </c>
      <c r="BS217" s="928" t="s">
        <v>21</v>
      </c>
      <c r="BT217" s="928" t="s">
        <v>21</v>
      </c>
      <c r="BU217" s="928" t="s">
        <v>21</v>
      </c>
      <c r="BV217" s="929" t="s">
        <v>21</v>
      </c>
      <c r="BW217" s="929" t="s">
        <v>21</v>
      </c>
      <c r="BX217" s="1104" t="s">
        <v>21</v>
      </c>
      <c r="BY217" s="931" t="s">
        <v>21</v>
      </c>
      <c r="BZ217" s="930"/>
      <c r="CA217" s="1074"/>
      <c r="CB217" s="930"/>
      <c r="CC217" s="930"/>
      <c r="CD217" s="925" t="s">
        <v>21</v>
      </c>
      <c r="CE217" s="1130" t="s">
        <v>21</v>
      </c>
      <c r="CF217" s="1129" t="s">
        <v>21</v>
      </c>
      <c r="CG217" s="1130" t="s">
        <v>21</v>
      </c>
      <c r="CH217" s="1130" t="s">
        <v>21</v>
      </c>
      <c r="CI217" s="1131" t="s">
        <v>21</v>
      </c>
      <c r="CJ217" s="1129" t="s">
        <v>21</v>
      </c>
      <c r="CK217" s="1130" t="s">
        <v>21</v>
      </c>
      <c r="CL217" s="1130" t="s">
        <v>21</v>
      </c>
      <c r="CM217" s="1131" t="s">
        <v>21</v>
      </c>
      <c r="CN217" s="1130" t="s">
        <v>21</v>
      </c>
      <c r="CP217" s="838" t="s">
        <v>21</v>
      </c>
      <c r="CQ217" s="838" t="s">
        <v>21</v>
      </c>
      <c r="CR217" s="836"/>
    </row>
    <row r="218" spans="1:96" x14ac:dyDescent="0.25">
      <c r="A218" s="935" t="s">
        <v>3065</v>
      </c>
      <c r="B218" s="932"/>
      <c r="C218" s="911"/>
      <c r="D218" s="911"/>
      <c r="E218" s="912"/>
      <c r="F218" s="912"/>
      <c r="G218" s="910"/>
      <c r="H218" s="912"/>
      <c r="I218" s="912"/>
      <c r="J218" s="914"/>
      <c r="K218" s="915"/>
      <c r="L218" s="916" t="s">
        <v>21</v>
      </c>
      <c r="M218" s="916" t="s">
        <v>21</v>
      </c>
      <c r="N218" s="916" t="s">
        <v>21</v>
      </c>
      <c r="O218" s="916" t="s">
        <v>21</v>
      </c>
      <c r="P218" s="915"/>
      <c r="Q218" s="916" t="s">
        <v>21</v>
      </c>
      <c r="R218" s="917" t="s">
        <v>21</v>
      </c>
      <c r="S218" s="918" t="s">
        <v>21</v>
      </c>
      <c r="T218" s="918" t="s">
        <v>21</v>
      </c>
      <c r="U218" s="916" t="s">
        <v>21</v>
      </c>
      <c r="V218" s="916" t="s">
        <v>21</v>
      </c>
      <c r="W218" s="915"/>
      <c r="X218" s="916" t="s">
        <v>21</v>
      </c>
      <c r="Y218" s="916" t="s">
        <v>21</v>
      </c>
      <c r="Z218" s="916" t="s">
        <v>21</v>
      </c>
      <c r="AA218" s="916" t="s">
        <v>21</v>
      </c>
      <c r="AB218" s="916" t="s">
        <v>21</v>
      </c>
      <c r="AC218" s="915"/>
      <c r="AD218" s="919" t="s">
        <v>21</v>
      </c>
      <c r="AE218" s="920" t="s">
        <v>21</v>
      </c>
      <c r="AF218" s="920" t="s">
        <v>21</v>
      </c>
      <c r="AG218" s="920" t="s">
        <v>21</v>
      </c>
      <c r="AH218" s="921" t="s">
        <v>21</v>
      </c>
      <c r="AI218" s="921" t="s">
        <v>21</v>
      </c>
      <c r="AJ218" s="920" t="s">
        <v>21</v>
      </c>
      <c r="AK218" s="920" t="s">
        <v>21</v>
      </c>
      <c r="AL218" s="921" t="s">
        <v>21</v>
      </c>
      <c r="AM218" s="921" t="s">
        <v>21</v>
      </c>
      <c r="AN218" s="920"/>
      <c r="AO218" s="920" t="s">
        <v>21</v>
      </c>
      <c r="AP218" s="919" t="s">
        <v>21</v>
      </c>
      <c r="AQ218" s="922" t="s">
        <v>21</v>
      </c>
      <c r="AR218" s="923" t="s">
        <v>21</v>
      </c>
      <c r="AS218" s="923" t="s">
        <v>21</v>
      </c>
      <c r="AT218" s="923" t="s">
        <v>21</v>
      </c>
      <c r="AU218" s="923" t="s">
        <v>21</v>
      </c>
      <c r="AV218" s="924" t="s">
        <v>21</v>
      </c>
      <c r="AW218" s="924" t="s">
        <v>21</v>
      </c>
      <c r="AX218" s="924" t="s">
        <v>21</v>
      </c>
      <c r="AY218" s="924" t="s">
        <v>21</v>
      </c>
      <c r="AZ218" s="923" t="s">
        <v>21</v>
      </c>
      <c r="BA218" s="923"/>
      <c r="BB218" s="919" t="s">
        <v>21</v>
      </c>
      <c r="BC218" s="919" t="s">
        <v>21</v>
      </c>
      <c r="BD218" s="919" t="s">
        <v>21</v>
      </c>
      <c r="BE218" s="925" t="s">
        <v>21</v>
      </c>
      <c r="BF218" s="926" t="s">
        <v>21</v>
      </c>
      <c r="BG218" s="925" t="s">
        <v>21</v>
      </c>
      <c r="BH218" s="926" t="s">
        <v>21</v>
      </c>
      <c r="BI218" s="925" t="s">
        <v>21</v>
      </c>
      <c r="BJ218" s="926" t="s">
        <v>21</v>
      </c>
      <c r="BK218" s="925" t="s">
        <v>21</v>
      </c>
      <c r="BL218" s="926" t="s">
        <v>21</v>
      </c>
      <c r="BM218" s="925" t="s">
        <v>21</v>
      </c>
      <c r="BN218" s="927"/>
      <c r="BO218" s="927"/>
      <c r="BP218" s="928" t="s">
        <v>21</v>
      </c>
      <c r="BQ218" s="928" t="s">
        <v>21</v>
      </c>
      <c r="BR218" s="928" t="s">
        <v>21</v>
      </c>
      <c r="BS218" s="928" t="s">
        <v>21</v>
      </c>
      <c r="BT218" s="928" t="s">
        <v>21</v>
      </c>
      <c r="BU218" s="928" t="s">
        <v>21</v>
      </c>
      <c r="BV218" s="929" t="s">
        <v>21</v>
      </c>
      <c r="BW218" s="929" t="s">
        <v>21</v>
      </c>
      <c r="BX218" s="1104" t="s">
        <v>21</v>
      </c>
      <c r="BY218" s="931" t="s">
        <v>21</v>
      </c>
      <c r="BZ218" s="930"/>
      <c r="CA218" s="1074"/>
      <c r="CB218" s="930"/>
      <c r="CC218" s="930"/>
      <c r="CD218" s="925" t="s">
        <v>21</v>
      </c>
      <c r="CE218" s="1130" t="s">
        <v>21</v>
      </c>
      <c r="CF218" s="1129" t="s">
        <v>21</v>
      </c>
      <c r="CG218" s="1130" t="s">
        <v>21</v>
      </c>
      <c r="CH218" s="1130" t="s">
        <v>21</v>
      </c>
      <c r="CI218" s="1131" t="s">
        <v>21</v>
      </c>
      <c r="CJ218" s="1129" t="s">
        <v>21</v>
      </c>
      <c r="CK218" s="1130" t="s">
        <v>21</v>
      </c>
      <c r="CL218" s="1130" t="s">
        <v>21</v>
      </c>
      <c r="CM218" s="1131" t="s">
        <v>21</v>
      </c>
      <c r="CN218" s="1130" t="s">
        <v>21</v>
      </c>
      <c r="CP218" s="838" t="s">
        <v>21</v>
      </c>
      <c r="CQ218" s="838" t="s">
        <v>21</v>
      </c>
      <c r="CR218" s="836"/>
    </row>
    <row r="219" spans="1:96" x14ac:dyDescent="0.25">
      <c r="A219" s="935" t="s">
        <v>3083</v>
      </c>
      <c r="B219" s="932"/>
      <c r="C219" s="911"/>
      <c r="D219" s="911"/>
      <c r="E219" s="912"/>
      <c r="F219" s="912"/>
      <c r="G219" s="910"/>
      <c r="H219" s="912"/>
      <c r="I219" s="912"/>
      <c r="J219" s="914"/>
      <c r="K219" s="915"/>
      <c r="L219" s="916" t="s">
        <v>21</v>
      </c>
      <c r="M219" s="916" t="s">
        <v>21</v>
      </c>
      <c r="N219" s="916" t="s">
        <v>21</v>
      </c>
      <c r="O219" s="916" t="s">
        <v>21</v>
      </c>
      <c r="P219" s="915"/>
      <c r="Q219" s="916" t="s">
        <v>21</v>
      </c>
      <c r="R219" s="917" t="s">
        <v>21</v>
      </c>
      <c r="S219" s="918" t="s">
        <v>21</v>
      </c>
      <c r="T219" s="918" t="s">
        <v>21</v>
      </c>
      <c r="U219" s="916" t="s">
        <v>21</v>
      </c>
      <c r="V219" s="916" t="s">
        <v>21</v>
      </c>
      <c r="W219" s="915"/>
      <c r="X219" s="916" t="s">
        <v>21</v>
      </c>
      <c r="Y219" s="916" t="s">
        <v>21</v>
      </c>
      <c r="Z219" s="916" t="s">
        <v>21</v>
      </c>
      <c r="AA219" s="916" t="s">
        <v>21</v>
      </c>
      <c r="AB219" s="916" t="s">
        <v>21</v>
      </c>
      <c r="AC219" s="915"/>
      <c r="AD219" s="919" t="s">
        <v>21</v>
      </c>
      <c r="AE219" s="920" t="s">
        <v>21</v>
      </c>
      <c r="AF219" s="920" t="s">
        <v>21</v>
      </c>
      <c r="AG219" s="920" t="s">
        <v>21</v>
      </c>
      <c r="AH219" s="921" t="s">
        <v>21</v>
      </c>
      <c r="AI219" s="921" t="s">
        <v>21</v>
      </c>
      <c r="AJ219" s="920" t="s">
        <v>21</v>
      </c>
      <c r="AK219" s="920" t="s">
        <v>21</v>
      </c>
      <c r="AL219" s="921" t="s">
        <v>21</v>
      </c>
      <c r="AM219" s="921" t="s">
        <v>21</v>
      </c>
      <c r="AN219" s="920"/>
      <c r="AO219" s="920" t="s">
        <v>21</v>
      </c>
      <c r="AP219" s="919" t="s">
        <v>21</v>
      </c>
      <c r="AQ219" s="922" t="s">
        <v>21</v>
      </c>
      <c r="AR219" s="923" t="s">
        <v>21</v>
      </c>
      <c r="AS219" s="923" t="s">
        <v>21</v>
      </c>
      <c r="AT219" s="923" t="s">
        <v>21</v>
      </c>
      <c r="AU219" s="923" t="s">
        <v>21</v>
      </c>
      <c r="AV219" s="924" t="s">
        <v>21</v>
      </c>
      <c r="AW219" s="924" t="s">
        <v>21</v>
      </c>
      <c r="AX219" s="924" t="s">
        <v>21</v>
      </c>
      <c r="AY219" s="924" t="s">
        <v>21</v>
      </c>
      <c r="AZ219" s="923" t="s">
        <v>21</v>
      </c>
      <c r="BA219" s="923"/>
      <c r="BB219" s="919" t="s">
        <v>21</v>
      </c>
      <c r="BC219" s="919" t="s">
        <v>21</v>
      </c>
      <c r="BD219" s="919" t="s">
        <v>21</v>
      </c>
      <c r="BE219" s="925" t="s">
        <v>21</v>
      </c>
      <c r="BF219" s="926" t="s">
        <v>21</v>
      </c>
      <c r="BG219" s="925" t="s">
        <v>21</v>
      </c>
      <c r="BH219" s="926" t="s">
        <v>21</v>
      </c>
      <c r="BI219" s="925" t="s">
        <v>21</v>
      </c>
      <c r="BJ219" s="926" t="s">
        <v>21</v>
      </c>
      <c r="BK219" s="925" t="s">
        <v>21</v>
      </c>
      <c r="BL219" s="926" t="s">
        <v>21</v>
      </c>
      <c r="BM219" s="925" t="s">
        <v>21</v>
      </c>
      <c r="BN219" s="927"/>
      <c r="BO219" s="927"/>
      <c r="BP219" s="928" t="s">
        <v>21</v>
      </c>
      <c r="BQ219" s="928" t="s">
        <v>21</v>
      </c>
      <c r="BR219" s="928" t="s">
        <v>21</v>
      </c>
      <c r="BS219" s="928" t="s">
        <v>21</v>
      </c>
      <c r="BT219" s="928" t="s">
        <v>21</v>
      </c>
      <c r="BU219" s="928" t="s">
        <v>21</v>
      </c>
      <c r="BV219" s="929" t="s">
        <v>21</v>
      </c>
      <c r="BW219" s="929" t="s">
        <v>21</v>
      </c>
      <c r="BX219" s="1104" t="s">
        <v>21</v>
      </c>
      <c r="BY219" s="931" t="s">
        <v>21</v>
      </c>
      <c r="BZ219" s="930"/>
      <c r="CA219" s="1074"/>
      <c r="CB219" s="930"/>
      <c r="CC219" s="930"/>
      <c r="CD219" s="925" t="s">
        <v>21</v>
      </c>
      <c r="CE219" s="1130" t="s">
        <v>21</v>
      </c>
      <c r="CF219" s="1129" t="s">
        <v>21</v>
      </c>
      <c r="CG219" s="1130" t="s">
        <v>21</v>
      </c>
      <c r="CH219" s="1130" t="s">
        <v>21</v>
      </c>
      <c r="CI219" s="1131" t="s">
        <v>21</v>
      </c>
      <c r="CJ219" s="1129" t="s">
        <v>21</v>
      </c>
      <c r="CK219" s="1130" t="s">
        <v>21</v>
      </c>
      <c r="CL219" s="1130" t="s">
        <v>21</v>
      </c>
      <c r="CM219" s="1131" t="s">
        <v>21</v>
      </c>
      <c r="CN219" s="1130" t="s">
        <v>21</v>
      </c>
      <c r="CP219" s="838" t="s">
        <v>21</v>
      </c>
      <c r="CQ219" s="838" t="s">
        <v>21</v>
      </c>
      <c r="CR219" s="836"/>
    </row>
    <row r="220" spans="1:96" x14ac:dyDescent="0.25">
      <c r="A220" s="935"/>
      <c r="B220" s="932"/>
      <c r="C220" s="911"/>
      <c r="D220" s="911"/>
      <c r="E220" s="912"/>
      <c r="F220" s="912"/>
      <c r="G220" s="910"/>
      <c r="H220" s="912"/>
      <c r="I220" s="912"/>
      <c r="J220" s="914"/>
      <c r="K220" s="915"/>
      <c r="L220" s="916" t="s">
        <v>21</v>
      </c>
      <c r="M220" s="916" t="s">
        <v>21</v>
      </c>
      <c r="N220" s="916" t="s">
        <v>21</v>
      </c>
      <c r="O220" s="916" t="s">
        <v>21</v>
      </c>
      <c r="P220" s="915"/>
      <c r="Q220" s="916" t="s">
        <v>21</v>
      </c>
      <c r="R220" s="917" t="s">
        <v>21</v>
      </c>
      <c r="S220" s="918" t="s">
        <v>21</v>
      </c>
      <c r="T220" s="918" t="s">
        <v>21</v>
      </c>
      <c r="U220" s="916" t="s">
        <v>21</v>
      </c>
      <c r="V220" s="916" t="s">
        <v>21</v>
      </c>
      <c r="W220" s="915"/>
      <c r="X220" s="916" t="s">
        <v>21</v>
      </c>
      <c r="Y220" s="916" t="s">
        <v>21</v>
      </c>
      <c r="Z220" s="916" t="s">
        <v>21</v>
      </c>
      <c r="AA220" s="916" t="s">
        <v>21</v>
      </c>
      <c r="AB220" s="916" t="s">
        <v>21</v>
      </c>
      <c r="AC220" s="915"/>
      <c r="AD220" s="919" t="s">
        <v>21</v>
      </c>
      <c r="AE220" s="920" t="s">
        <v>21</v>
      </c>
      <c r="AF220" s="920" t="s">
        <v>21</v>
      </c>
      <c r="AG220" s="920" t="s">
        <v>21</v>
      </c>
      <c r="AH220" s="921" t="s">
        <v>21</v>
      </c>
      <c r="AI220" s="921" t="s">
        <v>21</v>
      </c>
      <c r="AJ220" s="920" t="s">
        <v>21</v>
      </c>
      <c r="AK220" s="920" t="s">
        <v>21</v>
      </c>
      <c r="AL220" s="921" t="s">
        <v>21</v>
      </c>
      <c r="AM220" s="921" t="s">
        <v>21</v>
      </c>
      <c r="AN220" s="920"/>
      <c r="AO220" s="920" t="s">
        <v>21</v>
      </c>
      <c r="AP220" s="919" t="s">
        <v>21</v>
      </c>
      <c r="AQ220" s="922" t="s">
        <v>21</v>
      </c>
      <c r="AR220" s="923" t="s">
        <v>21</v>
      </c>
      <c r="AS220" s="923" t="s">
        <v>21</v>
      </c>
      <c r="AT220" s="923" t="s">
        <v>21</v>
      </c>
      <c r="AU220" s="923" t="s">
        <v>21</v>
      </c>
      <c r="AV220" s="924" t="s">
        <v>21</v>
      </c>
      <c r="AW220" s="924" t="s">
        <v>21</v>
      </c>
      <c r="AX220" s="924" t="s">
        <v>21</v>
      </c>
      <c r="AY220" s="924" t="s">
        <v>21</v>
      </c>
      <c r="AZ220" s="923" t="s">
        <v>21</v>
      </c>
      <c r="BA220" s="923"/>
      <c r="BB220" s="919" t="s">
        <v>21</v>
      </c>
      <c r="BC220" s="919" t="s">
        <v>21</v>
      </c>
      <c r="BD220" s="919" t="s">
        <v>21</v>
      </c>
      <c r="BE220" s="925" t="s">
        <v>21</v>
      </c>
      <c r="BF220" s="926" t="s">
        <v>21</v>
      </c>
      <c r="BG220" s="925" t="s">
        <v>21</v>
      </c>
      <c r="BH220" s="926" t="s">
        <v>21</v>
      </c>
      <c r="BI220" s="925" t="s">
        <v>21</v>
      </c>
      <c r="BJ220" s="926" t="s">
        <v>21</v>
      </c>
      <c r="BK220" s="925" t="s">
        <v>21</v>
      </c>
      <c r="BL220" s="926" t="s">
        <v>21</v>
      </c>
      <c r="BM220" s="925" t="s">
        <v>21</v>
      </c>
      <c r="BN220" s="927"/>
      <c r="BO220" s="927"/>
      <c r="BP220" s="928" t="s">
        <v>21</v>
      </c>
      <c r="BQ220" s="928" t="s">
        <v>21</v>
      </c>
      <c r="BR220" s="928" t="s">
        <v>21</v>
      </c>
      <c r="BS220" s="928" t="s">
        <v>21</v>
      </c>
      <c r="BT220" s="928" t="s">
        <v>21</v>
      </c>
      <c r="BU220" s="928" t="s">
        <v>21</v>
      </c>
      <c r="BV220" s="929" t="s">
        <v>21</v>
      </c>
      <c r="BW220" s="929" t="s">
        <v>21</v>
      </c>
      <c r="BX220" s="1104" t="s">
        <v>21</v>
      </c>
      <c r="BY220" s="931" t="s">
        <v>21</v>
      </c>
      <c r="BZ220" s="930"/>
      <c r="CA220" s="1074"/>
      <c r="CB220" s="930"/>
      <c r="CC220" s="930"/>
      <c r="CD220" s="925" t="s">
        <v>21</v>
      </c>
      <c r="CE220" s="1130" t="s">
        <v>21</v>
      </c>
      <c r="CF220" s="1129" t="s">
        <v>21</v>
      </c>
      <c r="CG220" s="1130" t="s">
        <v>21</v>
      </c>
      <c r="CH220" s="1130" t="s">
        <v>21</v>
      </c>
      <c r="CI220" s="1131" t="s">
        <v>21</v>
      </c>
      <c r="CJ220" s="1129" t="s">
        <v>21</v>
      </c>
      <c r="CK220" s="1130" t="s">
        <v>21</v>
      </c>
      <c r="CL220" s="1130" t="s">
        <v>21</v>
      </c>
      <c r="CM220" s="1131" t="s">
        <v>21</v>
      </c>
      <c r="CN220" s="1130" t="s">
        <v>21</v>
      </c>
      <c r="CP220" s="838" t="s">
        <v>21</v>
      </c>
      <c r="CQ220" s="838" t="s">
        <v>21</v>
      </c>
      <c r="CR220" s="836"/>
    </row>
    <row r="221" spans="1:96" x14ac:dyDescent="0.25">
      <c r="A221" s="935">
        <v>3</v>
      </c>
      <c r="B221" s="1900" t="s">
        <v>2231</v>
      </c>
      <c r="C221" s="911">
        <v>600</v>
      </c>
      <c r="D221" s="911" t="s">
        <v>2116</v>
      </c>
      <c r="E221" s="912">
        <v>1197.3</v>
      </c>
      <c r="F221" s="912">
        <v>1195.4000000000001</v>
      </c>
      <c r="G221" s="932" t="s">
        <v>2232</v>
      </c>
      <c r="H221" s="912">
        <v>1195.9100000000001</v>
      </c>
      <c r="I221" s="912">
        <v>1194.01</v>
      </c>
      <c r="J221" s="914">
        <v>12.62</v>
      </c>
      <c r="K221" s="915"/>
      <c r="L221" s="916">
        <v>0.1</v>
      </c>
      <c r="M221" s="916">
        <v>0.06</v>
      </c>
      <c r="N221" s="916">
        <v>0.2</v>
      </c>
      <c r="O221" s="916">
        <v>6.4</v>
      </c>
      <c r="P221" s="915"/>
      <c r="Q221" s="916">
        <v>2.16</v>
      </c>
      <c r="R221" s="1899">
        <v>0</v>
      </c>
      <c r="S221" s="1898">
        <v>4.4000000000000004</v>
      </c>
      <c r="T221" s="1898">
        <v>4.4000000000000004</v>
      </c>
      <c r="U221" s="916">
        <v>4.32</v>
      </c>
      <c r="V221" s="916">
        <v>0.92</v>
      </c>
      <c r="W221" s="915"/>
      <c r="X221" s="916">
        <v>0.28299999999999997</v>
      </c>
      <c r="Y221" s="916">
        <v>0.40699999999999997</v>
      </c>
      <c r="Z221" s="916">
        <v>9.5039999999999996</v>
      </c>
      <c r="AA221" s="916">
        <v>3.2010000000000001</v>
      </c>
      <c r="AB221" s="916">
        <v>5.4560000000000004</v>
      </c>
      <c r="AC221" s="915"/>
      <c r="AD221" s="919">
        <v>80.768000000000001</v>
      </c>
      <c r="AE221" s="920">
        <v>119.94</v>
      </c>
      <c r="AF221" s="920" t="s">
        <v>21</v>
      </c>
      <c r="AG221" s="920" t="s">
        <v>21</v>
      </c>
      <c r="AH221" s="921" t="s">
        <v>21</v>
      </c>
      <c r="AI221" s="921" t="s">
        <v>21</v>
      </c>
      <c r="AJ221" s="920" t="s">
        <v>21</v>
      </c>
      <c r="AK221" s="920" t="s">
        <v>21</v>
      </c>
      <c r="AL221" s="921" t="s">
        <v>21</v>
      </c>
      <c r="AM221" s="921" t="s">
        <v>21</v>
      </c>
      <c r="AN221" s="920"/>
      <c r="AO221" s="920">
        <v>119.94</v>
      </c>
      <c r="AP221" s="919">
        <v>55.527999999999999</v>
      </c>
      <c r="AQ221" s="922">
        <v>54.5184</v>
      </c>
      <c r="AR221" s="923" t="s">
        <v>21</v>
      </c>
      <c r="AS221" s="923" t="s">
        <v>21</v>
      </c>
      <c r="AT221" s="923" t="s">
        <v>21</v>
      </c>
      <c r="AU221" s="923" t="s">
        <v>21</v>
      </c>
      <c r="AV221" s="924" t="s">
        <v>21</v>
      </c>
      <c r="AW221" s="924" t="s">
        <v>21</v>
      </c>
      <c r="AX221" s="924" t="s">
        <v>21</v>
      </c>
      <c r="AY221" s="924" t="s">
        <v>21</v>
      </c>
      <c r="AZ221" s="1902">
        <v>54.5184</v>
      </c>
      <c r="BA221" s="923"/>
      <c r="BB221" s="919" t="s">
        <v>21</v>
      </c>
      <c r="BC221" s="919">
        <v>5.5529999999999999</v>
      </c>
      <c r="BD221" s="919" t="s">
        <v>2142</v>
      </c>
      <c r="BE221" s="925" t="s">
        <v>21</v>
      </c>
      <c r="BF221" s="926" t="s">
        <v>21</v>
      </c>
      <c r="BG221" s="925">
        <v>12.62</v>
      </c>
      <c r="BH221" s="926" t="s">
        <v>21</v>
      </c>
      <c r="BI221" s="925" t="s">
        <v>21</v>
      </c>
      <c r="BJ221" s="926" t="s">
        <v>21</v>
      </c>
      <c r="BK221" s="925" t="s">
        <v>21</v>
      </c>
      <c r="BL221" s="926" t="s">
        <v>21</v>
      </c>
      <c r="BM221" s="925" t="s">
        <v>21</v>
      </c>
      <c r="BN221" s="927"/>
      <c r="BO221" s="927"/>
      <c r="BP221" s="928">
        <v>1</v>
      </c>
      <c r="BQ221" s="928" t="s">
        <v>21</v>
      </c>
      <c r="BR221" s="928" t="s">
        <v>21</v>
      </c>
      <c r="BS221" s="928" t="s">
        <v>21</v>
      </c>
      <c r="BT221" s="928" t="s">
        <v>21</v>
      </c>
      <c r="BU221" s="928" t="s">
        <v>21</v>
      </c>
      <c r="BV221" s="929">
        <v>0.49999999999986366</v>
      </c>
      <c r="BW221" s="929">
        <v>0.5</v>
      </c>
      <c r="BX221" s="1104">
        <v>1</v>
      </c>
      <c r="BY221" s="931">
        <v>3</v>
      </c>
      <c r="BZ221" s="930"/>
      <c r="CA221" s="1074">
        <v>1</v>
      </c>
      <c r="CB221" s="930"/>
      <c r="CC221" s="930"/>
      <c r="CD221" s="925">
        <v>40.396999999999998</v>
      </c>
      <c r="CE221" s="1130">
        <v>68.855000000000004</v>
      </c>
      <c r="CF221" s="1129" t="s">
        <v>21</v>
      </c>
      <c r="CG221" s="1130" t="s">
        <v>21</v>
      </c>
      <c r="CH221" s="1130" t="s">
        <v>21</v>
      </c>
      <c r="CI221" s="1131" t="s">
        <v>21</v>
      </c>
      <c r="CJ221" s="1129" t="s">
        <v>21</v>
      </c>
      <c r="CK221" s="1130" t="s">
        <v>21</v>
      </c>
      <c r="CL221" s="1130" t="s">
        <v>21</v>
      </c>
      <c r="CM221" s="1131" t="s">
        <v>21</v>
      </c>
      <c r="CN221" s="1130">
        <v>68.855000000000004</v>
      </c>
      <c r="CP221" s="838" t="s">
        <v>21</v>
      </c>
      <c r="CQ221" s="838" t="s">
        <v>21</v>
      </c>
      <c r="CR221" s="836"/>
    </row>
    <row r="222" spans="1:96" x14ac:dyDescent="0.25">
      <c r="A222" s="935" t="s">
        <v>3060</v>
      </c>
      <c r="B222" s="1900" t="s">
        <v>2232</v>
      </c>
      <c r="C222" s="911">
        <v>600</v>
      </c>
      <c r="D222" s="911" t="s">
        <v>2116</v>
      </c>
      <c r="E222" s="912">
        <v>1195.9100000000001</v>
      </c>
      <c r="F222" s="912">
        <v>1193.96</v>
      </c>
      <c r="G222" s="932" t="s">
        <v>2274</v>
      </c>
      <c r="H222" s="912">
        <v>1194.04</v>
      </c>
      <c r="I222" s="912">
        <v>1192.1400000000001</v>
      </c>
      <c r="J222" s="914">
        <v>29.1</v>
      </c>
      <c r="K222" s="915"/>
      <c r="L222" s="916">
        <v>0.1</v>
      </c>
      <c r="M222" s="916">
        <v>0.06</v>
      </c>
      <c r="N222" s="916">
        <v>0.2</v>
      </c>
      <c r="O222" s="916">
        <v>6.4</v>
      </c>
      <c r="P222" s="915"/>
      <c r="Q222" s="916">
        <v>2.1850000000000001</v>
      </c>
      <c r="R222" s="1899">
        <v>0</v>
      </c>
      <c r="S222" s="1898">
        <v>4.4000000000000004</v>
      </c>
      <c r="T222" s="1898">
        <v>4.4000000000000004</v>
      </c>
      <c r="U222" s="916">
        <v>4.37</v>
      </c>
      <c r="V222" s="916">
        <v>0.92</v>
      </c>
      <c r="W222" s="915"/>
      <c r="X222" s="916">
        <v>0.28299999999999997</v>
      </c>
      <c r="Y222" s="916">
        <v>0.40699999999999997</v>
      </c>
      <c r="Z222" s="916">
        <v>9.6140000000000008</v>
      </c>
      <c r="AA222" s="916">
        <v>3.2010000000000001</v>
      </c>
      <c r="AB222" s="916">
        <v>5.5659999999999998</v>
      </c>
      <c r="AC222" s="915"/>
      <c r="AD222" s="919">
        <v>186.24</v>
      </c>
      <c r="AE222" s="920">
        <v>279.767</v>
      </c>
      <c r="AF222" s="920" t="s">
        <v>21</v>
      </c>
      <c r="AG222" s="920" t="s">
        <v>21</v>
      </c>
      <c r="AH222" s="921" t="s">
        <v>21</v>
      </c>
      <c r="AI222" s="921" t="s">
        <v>21</v>
      </c>
      <c r="AJ222" s="920" t="s">
        <v>21</v>
      </c>
      <c r="AK222" s="920" t="s">
        <v>21</v>
      </c>
      <c r="AL222" s="921" t="s">
        <v>21</v>
      </c>
      <c r="AM222" s="921" t="s">
        <v>21</v>
      </c>
      <c r="AN222" s="920"/>
      <c r="AO222" s="920">
        <v>279.767</v>
      </c>
      <c r="AP222" s="919">
        <v>128.04</v>
      </c>
      <c r="AQ222" s="922">
        <v>127.16700000000002</v>
      </c>
      <c r="AR222" s="923" t="s">
        <v>21</v>
      </c>
      <c r="AS222" s="923" t="s">
        <v>21</v>
      </c>
      <c r="AT222" s="923" t="s">
        <v>21</v>
      </c>
      <c r="AU222" s="923" t="s">
        <v>21</v>
      </c>
      <c r="AV222" s="924" t="s">
        <v>21</v>
      </c>
      <c r="AW222" s="924" t="s">
        <v>21</v>
      </c>
      <c r="AX222" s="924" t="s">
        <v>21</v>
      </c>
      <c r="AY222" s="924" t="s">
        <v>21</v>
      </c>
      <c r="AZ222" s="1902">
        <v>127.16700000000002</v>
      </c>
      <c r="BA222" s="923"/>
      <c r="BB222" s="919" t="s">
        <v>21</v>
      </c>
      <c r="BC222" s="919">
        <v>12.804</v>
      </c>
      <c r="BD222" s="919" t="s">
        <v>2142</v>
      </c>
      <c r="BE222" s="925" t="s">
        <v>21</v>
      </c>
      <c r="BF222" s="926" t="s">
        <v>21</v>
      </c>
      <c r="BG222" s="925">
        <v>29.1</v>
      </c>
      <c r="BH222" s="926" t="s">
        <v>21</v>
      </c>
      <c r="BI222" s="925" t="s">
        <v>21</v>
      </c>
      <c r="BJ222" s="926" t="s">
        <v>21</v>
      </c>
      <c r="BK222" s="925" t="s">
        <v>21</v>
      </c>
      <c r="BL222" s="926" t="s">
        <v>21</v>
      </c>
      <c r="BM222" s="925" t="s">
        <v>21</v>
      </c>
      <c r="BN222" s="927"/>
      <c r="BO222" s="927"/>
      <c r="BP222" s="928">
        <v>1</v>
      </c>
      <c r="BQ222" s="928" t="s">
        <v>21</v>
      </c>
      <c r="BR222" s="928" t="s">
        <v>21</v>
      </c>
      <c r="BS222" s="928" t="s">
        <v>21</v>
      </c>
      <c r="BT222" s="928" t="s">
        <v>21</v>
      </c>
      <c r="BU222" s="928" t="s">
        <v>21</v>
      </c>
      <c r="BV222" s="929">
        <v>0.55000000000004556</v>
      </c>
      <c r="BW222" s="929">
        <v>1</v>
      </c>
      <c r="BX222" s="1104">
        <v>2</v>
      </c>
      <c r="BY222" s="931">
        <v>4</v>
      </c>
      <c r="BZ222" s="930"/>
      <c r="CA222" s="1074"/>
      <c r="CB222" s="930"/>
      <c r="CC222" s="930"/>
      <c r="CD222" s="925">
        <v>93.149000000000001</v>
      </c>
      <c r="CE222" s="1130">
        <v>161.971</v>
      </c>
      <c r="CF222" s="1129" t="s">
        <v>21</v>
      </c>
      <c r="CG222" s="1130" t="s">
        <v>21</v>
      </c>
      <c r="CH222" s="1130" t="s">
        <v>21</v>
      </c>
      <c r="CI222" s="1131" t="s">
        <v>21</v>
      </c>
      <c r="CJ222" s="1129" t="s">
        <v>21</v>
      </c>
      <c r="CK222" s="1130" t="s">
        <v>21</v>
      </c>
      <c r="CL222" s="1130" t="s">
        <v>21</v>
      </c>
      <c r="CM222" s="1131" t="s">
        <v>21</v>
      </c>
      <c r="CN222" s="1130">
        <v>161.971</v>
      </c>
      <c r="CP222" s="838" t="s">
        <v>21</v>
      </c>
      <c r="CQ222" s="838" t="s">
        <v>21</v>
      </c>
      <c r="CR222" s="836"/>
    </row>
    <row r="223" spans="1:96" x14ac:dyDescent="0.25">
      <c r="A223" s="935" t="s">
        <v>3065</v>
      </c>
      <c r="B223" s="1900" t="s">
        <v>2274</v>
      </c>
      <c r="C223" s="911">
        <v>600</v>
      </c>
      <c r="D223" s="911" t="s">
        <v>2116</v>
      </c>
      <c r="E223" s="912">
        <v>1194.04</v>
      </c>
      <c r="F223" s="912">
        <v>1192.04</v>
      </c>
      <c r="G223" s="932" t="s">
        <v>3095</v>
      </c>
      <c r="H223" s="912">
        <v>1193.58</v>
      </c>
      <c r="I223" s="912">
        <v>1191.68</v>
      </c>
      <c r="J223" s="914">
        <v>13.78</v>
      </c>
      <c r="K223" s="915"/>
      <c r="L223" s="916">
        <v>0.1</v>
      </c>
      <c r="M223" s="916">
        <v>0.06</v>
      </c>
      <c r="N223" s="916">
        <v>0.2</v>
      </c>
      <c r="O223" s="916">
        <v>6.4</v>
      </c>
      <c r="P223" s="915"/>
      <c r="Q223" s="916">
        <v>2.21</v>
      </c>
      <c r="R223" s="1899">
        <v>0</v>
      </c>
      <c r="S223" s="1898">
        <v>4.4000000000000004</v>
      </c>
      <c r="T223" s="1898">
        <v>4.4000000000000004</v>
      </c>
      <c r="U223" s="916">
        <v>4.42</v>
      </c>
      <c r="V223" s="916">
        <v>0.92</v>
      </c>
      <c r="W223" s="915"/>
      <c r="X223" s="916">
        <v>0.28299999999999997</v>
      </c>
      <c r="Y223" s="916">
        <v>0.40699999999999997</v>
      </c>
      <c r="Z223" s="916">
        <v>9.7240000000000002</v>
      </c>
      <c r="AA223" s="916">
        <v>3.2010000000000001</v>
      </c>
      <c r="AB223" s="916">
        <v>5.6760000000000002</v>
      </c>
      <c r="AC223" s="915"/>
      <c r="AD223" s="919">
        <v>88.191999999999993</v>
      </c>
      <c r="AE223" s="920">
        <v>133.99700000000001</v>
      </c>
      <c r="AF223" s="920" t="s">
        <v>21</v>
      </c>
      <c r="AG223" s="920" t="s">
        <v>21</v>
      </c>
      <c r="AH223" s="921" t="s">
        <v>21</v>
      </c>
      <c r="AI223" s="921" t="s">
        <v>21</v>
      </c>
      <c r="AJ223" s="920" t="s">
        <v>21</v>
      </c>
      <c r="AK223" s="920" t="s">
        <v>21</v>
      </c>
      <c r="AL223" s="921" t="s">
        <v>21</v>
      </c>
      <c r="AM223" s="921" t="s">
        <v>21</v>
      </c>
      <c r="AN223" s="920"/>
      <c r="AO223" s="920">
        <v>133.99700000000001</v>
      </c>
      <c r="AP223" s="919">
        <v>60.631999999999998</v>
      </c>
      <c r="AQ223" s="922">
        <v>60.907599999999995</v>
      </c>
      <c r="AR223" s="923" t="s">
        <v>21</v>
      </c>
      <c r="AS223" s="923" t="s">
        <v>21</v>
      </c>
      <c r="AT223" s="923" t="s">
        <v>21</v>
      </c>
      <c r="AU223" s="923" t="s">
        <v>21</v>
      </c>
      <c r="AV223" s="924" t="s">
        <v>21</v>
      </c>
      <c r="AW223" s="924" t="s">
        <v>21</v>
      </c>
      <c r="AX223" s="924" t="s">
        <v>21</v>
      </c>
      <c r="AY223" s="924" t="s">
        <v>21</v>
      </c>
      <c r="AZ223" s="1902">
        <v>60.907599999999995</v>
      </c>
      <c r="BA223" s="923"/>
      <c r="BB223" s="919" t="s">
        <v>21</v>
      </c>
      <c r="BC223" s="919">
        <v>6.0629999999999997</v>
      </c>
      <c r="BD223" s="919" t="s">
        <v>2142</v>
      </c>
      <c r="BE223" s="925" t="s">
        <v>21</v>
      </c>
      <c r="BF223" s="926" t="s">
        <v>21</v>
      </c>
      <c r="BG223" s="925">
        <v>13.78</v>
      </c>
      <c r="BH223" s="926" t="s">
        <v>21</v>
      </c>
      <c r="BI223" s="925" t="s">
        <v>21</v>
      </c>
      <c r="BJ223" s="926" t="s">
        <v>21</v>
      </c>
      <c r="BK223" s="925" t="s">
        <v>21</v>
      </c>
      <c r="BL223" s="926" t="s">
        <v>21</v>
      </c>
      <c r="BM223" s="925" t="s">
        <v>21</v>
      </c>
      <c r="BN223" s="927"/>
      <c r="BO223" s="927"/>
      <c r="BP223" s="928">
        <v>1</v>
      </c>
      <c r="BQ223" s="928" t="s">
        <v>21</v>
      </c>
      <c r="BR223" s="928" t="s">
        <v>21</v>
      </c>
      <c r="BS223" s="928" t="s">
        <v>21</v>
      </c>
      <c r="BT223" s="928" t="s">
        <v>21</v>
      </c>
      <c r="BU223" s="928" t="s">
        <v>21</v>
      </c>
      <c r="BV223" s="929">
        <v>0.60000000000000009</v>
      </c>
      <c r="BW223" s="929">
        <v>1</v>
      </c>
      <c r="BX223" s="1104">
        <v>2</v>
      </c>
      <c r="BY223" s="931">
        <v>4</v>
      </c>
      <c r="BZ223" s="930">
        <v>1</v>
      </c>
      <c r="CA223" s="1074"/>
      <c r="CB223" s="930"/>
      <c r="CC223" s="930"/>
      <c r="CD223" s="925">
        <v>44.11</v>
      </c>
      <c r="CE223" s="1130">
        <v>78.215000000000003</v>
      </c>
      <c r="CF223" s="1129" t="s">
        <v>21</v>
      </c>
      <c r="CG223" s="1130" t="s">
        <v>21</v>
      </c>
      <c r="CH223" s="1130" t="s">
        <v>21</v>
      </c>
      <c r="CI223" s="1131" t="s">
        <v>21</v>
      </c>
      <c r="CJ223" s="1129" t="s">
        <v>21</v>
      </c>
      <c r="CK223" s="1130" t="s">
        <v>21</v>
      </c>
      <c r="CL223" s="1130" t="s">
        <v>21</v>
      </c>
      <c r="CM223" s="1131" t="s">
        <v>21</v>
      </c>
      <c r="CN223" s="1130">
        <v>78.215000000000003</v>
      </c>
      <c r="CP223" s="838" t="s">
        <v>21</v>
      </c>
      <c r="CQ223" s="838" t="s">
        <v>21</v>
      </c>
      <c r="CR223" s="836"/>
    </row>
    <row r="224" spans="1:96" x14ac:dyDescent="0.25">
      <c r="A224" s="935" t="s">
        <v>3083</v>
      </c>
      <c r="B224" s="1900" t="s">
        <v>3095</v>
      </c>
      <c r="C224" s="911">
        <v>600</v>
      </c>
      <c r="D224" s="911" t="s">
        <v>2116</v>
      </c>
      <c r="E224" s="912">
        <v>1193.58</v>
      </c>
      <c r="F224" s="912">
        <v>1191.68</v>
      </c>
      <c r="G224" s="932" t="s">
        <v>3096</v>
      </c>
      <c r="H224" s="912">
        <v>1193.4100000000001</v>
      </c>
      <c r="I224" s="912">
        <v>1191.51</v>
      </c>
      <c r="J224" s="914">
        <v>5.17</v>
      </c>
      <c r="K224" s="915"/>
      <c r="L224" s="916">
        <v>0.1</v>
      </c>
      <c r="M224" s="916">
        <v>0.06</v>
      </c>
      <c r="N224" s="916">
        <v>0.2</v>
      </c>
      <c r="O224" s="916">
        <v>6.4</v>
      </c>
      <c r="P224" s="915"/>
      <c r="Q224" s="916">
        <v>2.16</v>
      </c>
      <c r="R224" s="1899">
        <v>0</v>
      </c>
      <c r="S224" s="1898">
        <v>4.4000000000000004</v>
      </c>
      <c r="T224" s="1898">
        <v>4.4000000000000004</v>
      </c>
      <c r="U224" s="916">
        <v>4.32</v>
      </c>
      <c r="V224" s="916">
        <v>0.92</v>
      </c>
      <c r="W224" s="915"/>
      <c r="X224" s="916">
        <v>0.28299999999999997</v>
      </c>
      <c r="Y224" s="916">
        <v>0.40699999999999997</v>
      </c>
      <c r="Z224" s="916">
        <v>9.5039999999999996</v>
      </c>
      <c r="AA224" s="916">
        <v>3.2010000000000001</v>
      </c>
      <c r="AB224" s="916">
        <v>5.4560000000000004</v>
      </c>
      <c r="AC224" s="915"/>
      <c r="AD224" s="919">
        <v>33.088000000000001</v>
      </c>
      <c r="AE224" s="920">
        <v>49.136000000000003</v>
      </c>
      <c r="AF224" s="920" t="s">
        <v>21</v>
      </c>
      <c r="AG224" s="920" t="s">
        <v>21</v>
      </c>
      <c r="AH224" s="921" t="s">
        <v>21</v>
      </c>
      <c r="AI224" s="921" t="s">
        <v>21</v>
      </c>
      <c r="AJ224" s="920" t="s">
        <v>21</v>
      </c>
      <c r="AK224" s="920" t="s">
        <v>21</v>
      </c>
      <c r="AL224" s="921" t="s">
        <v>21</v>
      </c>
      <c r="AM224" s="921" t="s">
        <v>21</v>
      </c>
      <c r="AN224" s="920"/>
      <c r="AO224" s="920">
        <v>49.136000000000003</v>
      </c>
      <c r="AP224" s="919">
        <v>22.748000000000001</v>
      </c>
      <c r="AQ224" s="922">
        <v>22.334400000000002</v>
      </c>
      <c r="AR224" s="923" t="s">
        <v>21</v>
      </c>
      <c r="AS224" s="923" t="s">
        <v>21</v>
      </c>
      <c r="AT224" s="923" t="s">
        <v>21</v>
      </c>
      <c r="AU224" s="923" t="s">
        <v>21</v>
      </c>
      <c r="AV224" s="924" t="s">
        <v>21</v>
      </c>
      <c r="AW224" s="924" t="s">
        <v>21</v>
      </c>
      <c r="AX224" s="924" t="s">
        <v>21</v>
      </c>
      <c r="AY224" s="924" t="s">
        <v>21</v>
      </c>
      <c r="AZ224" s="1902">
        <v>22.334400000000002</v>
      </c>
      <c r="BA224" s="923"/>
      <c r="BB224" s="919" t="s">
        <v>21</v>
      </c>
      <c r="BC224" s="919">
        <v>2.2749999999999999</v>
      </c>
      <c r="BD224" s="919" t="s">
        <v>2142</v>
      </c>
      <c r="BE224" s="925" t="s">
        <v>21</v>
      </c>
      <c r="BF224" s="926" t="s">
        <v>21</v>
      </c>
      <c r="BG224" s="925">
        <v>5.17</v>
      </c>
      <c r="BH224" s="926" t="s">
        <v>21</v>
      </c>
      <c r="BI224" s="925" t="s">
        <v>21</v>
      </c>
      <c r="BJ224" s="926" t="s">
        <v>21</v>
      </c>
      <c r="BK224" s="925" t="s">
        <v>21</v>
      </c>
      <c r="BL224" s="926" t="s">
        <v>21</v>
      </c>
      <c r="BM224" s="925" t="s">
        <v>21</v>
      </c>
      <c r="BN224" s="927"/>
      <c r="BO224" s="927"/>
      <c r="BP224" s="928">
        <v>1</v>
      </c>
      <c r="BQ224" s="928" t="s">
        <v>21</v>
      </c>
      <c r="BR224" s="928" t="s">
        <v>21</v>
      </c>
      <c r="BS224" s="928" t="s">
        <v>21</v>
      </c>
      <c r="BT224" s="928" t="s">
        <v>21</v>
      </c>
      <c r="BU224" s="928" t="s">
        <v>21</v>
      </c>
      <c r="BV224" s="929">
        <v>0.49999999999986366</v>
      </c>
      <c r="BW224" s="929">
        <v>0.5</v>
      </c>
      <c r="BX224" s="1104">
        <v>1</v>
      </c>
      <c r="BY224" s="931">
        <v>3</v>
      </c>
      <c r="BZ224" s="930">
        <v>1</v>
      </c>
      <c r="CA224" s="1074"/>
      <c r="CB224" s="930"/>
      <c r="CC224" s="930"/>
      <c r="CD224" s="925">
        <v>16.548999999999999</v>
      </c>
      <c r="CE224" s="1130">
        <v>28.207999999999998</v>
      </c>
      <c r="CF224" s="1129" t="s">
        <v>21</v>
      </c>
      <c r="CG224" s="1130" t="s">
        <v>21</v>
      </c>
      <c r="CH224" s="1130" t="s">
        <v>21</v>
      </c>
      <c r="CI224" s="1131" t="s">
        <v>21</v>
      </c>
      <c r="CJ224" s="1129" t="s">
        <v>21</v>
      </c>
      <c r="CK224" s="1130" t="s">
        <v>21</v>
      </c>
      <c r="CL224" s="1130" t="s">
        <v>21</v>
      </c>
      <c r="CM224" s="1131" t="s">
        <v>21</v>
      </c>
      <c r="CN224" s="1130">
        <v>28.207999999999998</v>
      </c>
      <c r="CP224" s="838" t="s">
        <v>21</v>
      </c>
      <c r="CQ224" s="838" t="s">
        <v>21</v>
      </c>
      <c r="CR224" s="836"/>
    </row>
    <row r="225" spans="1:96" x14ac:dyDescent="0.25">
      <c r="A225" s="935"/>
      <c r="B225" s="1900" t="s">
        <v>3096</v>
      </c>
      <c r="C225" s="911">
        <v>600</v>
      </c>
      <c r="D225" s="911" t="s">
        <v>2116</v>
      </c>
      <c r="E225" s="912">
        <v>1193.4100000000001</v>
      </c>
      <c r="F225" s="912">
        <v>1191.51</v>
      </c>
      <c r="G225" s="932" t="s">
        <v>3097</v>
      </c>
      <c r="H225" s="912">
        <v>1192.1600000000001</v>
      </c>
      <c r="I225" s="912">
        <v>1190.26</v>
      </c>
      <c r="J225" s="914">
        <v>18.059999999999999</v>
      </c>
      <c r="K225" s="915"/>
      <c r="L225" s="916">
        <v>0.1</v>
      </c>
      <c r="M225" s="916">
        <v>0.06</v>
      </c>
      <c r="N225" s="916">
        <v>0.2</v>
      </c>
      <c r="O225" s="916">
        <v>6.4</v>
      </c>
      <c r="P225" s="915"/>
      <c r="Q225" s="916">
        <v>2.16</v>
      </c>
      <c r="R225" s="1899">
        <v>0</v>
      </c>
      <c r="S225" s="1898">
        <v>4.4000000000000004</v>
      </c>
      <c r="T225" s="1898">
        <v>4.4000000000000004</v>
      </c>
      <c r="U225" s="916">
        <v>4.32</v>
      </c>
      <c r="V225" s="916">
        <v>0.92</v>
      </c>
      <c r="W225" s="915"/>
      <c r="X225" s="916">
        <v>0.28299999999999997</v>
      </c>
      <c r="Y225" s="916">
        <v>0.40699999999999997</v>
      </c>
      <c r="Z225" s="916">
        <v>9.5039999999999996</v>
      </c>
      <c r="AA225" s="916">
        <v>3.2010000000000001</v>
      </c>
      <c r="AB225" s="916">
        <v>5.4560000000000004</v>
      </c>
      <c r="AC225" s="915"/>
      <c r="AD225" s="919">
        <v>115.584</v>
      </c>
      <c r="AE225" s="920">
        <v>171.642</v>
      </c>
      <c r="AF225" s="920" t="s">
        <v>21</v>
      </c>
      <c r="AG225" s="920" t="s">
        <v>21</v>
      </c>
      <c r="AH225" s="921" t="s">
        <v>21</v>
      </c>
      <c r="AI225" s="921" t="s">
        <v>21</v>
      </c>
      <c r="AJ225" s="920" t="s">
        <v>21</v>
      </c>
      <c r="AK225" s="920" t="s">
        <v>21</v>
      </c>
      <c r="AL225" s="921" t="s">
        <v>21</v>
      </c>
      <c r="AM225" s="921" t="s">
        <v>21</v>
      </c>
      <c r="AN225" s="920"/>
      <c r="AO225" s="920">
        <v>171.642</v>
      </c>
      <c r="AP225" s="919">
        <v>79.463999999999999</v>
      </c>
      <c r="AQ225" s="922">
        <v>78.019199999999998</v>
      </c>
      <c r="AR225" s="923" t="s">
        <v>21</v>
      </c>
      <c r="AS225" s="923" t="s">
        <v>21</v>
      </c>
      <c r="AT225" s="923" t="s">
        <v>21</v>
      </c>
      <c r="AU225" s="923" t="s">
        <v>21</v>
      </c>
      <c r="AV225" s="924" t="s">
        <v>21</v>
      </c>
      <c r="AW225" s="924" t="s">
        <v>21</v>
      </c>
      <c r="AX225" s="924" t="s">
        <v>21</v>
      </c>
      <c r="AY225" s="924" t="s">
        <v>21</v>
      </c>
      <c r="AZ225" s="1902">
        <v>78.019199999999998</v>
      </c>
      <c r="BA225" s="923"/>
      <c r="BB225" s="919" t="s">
        <v>21</v>
      </c>
      <c r="BC225" s="919">
        <v>7.9459999999999997</v>
      </c>
      <c r="BD225" s="919" t="s">
        <v>2142</v>
      </c>
      <c r="BE225" s="925" t="s">
        <v>21</v>
      </c>
      <c r="BF225" s="926" t="s">
        <v>21</v>
      </c>
      <c r="BG225" s="925">
        <v>18.059999999999999</v>
      </c>
      <c r="BH225" s="926" t="s">
        <v>21</v>
      </c>
      <c r="BI225" s="925" t="s">
        <v>21</v>
      </c>
      <c r="BJ225" s="926" t="s">
        <v>21</v>
      </c>
      <c r="BK225" s="925" t="s">
        <v>21</v>
      </c>
      <c r="BL225" s="926" t="s">
        <v>21</v>
      </c>
      <c r="BM225" s="925" t="s">
        <v>21</v>
      </c>
      <c r="BN225" s="927"/>
      <c r="BO225" s="927"/>
      <c r="BP225" s="928">
        <v>1</v>
      </c>
      <c r="BQ225" s="928" t="s">
        <v>21</v>
      </c>
      <c r="BR225" s="928" t="s">
        <v>21</v>
      </c>
      <c r="BS225" s="928" t="s">
        <v>21</v>
      </c>
      <c r="BT225" s="928" t="s">
        <v>21</v>
      </c>
      <c r="BU225" s="928" t="s">
        <v>21</v>
      </c>
      <c r="BV225" s="929">
        <v>0.50000000000009104</v>
      </c>
      <c r="BW225" s="929">
        <v>1</v>
      </c>
      <c r="BX225" s="1104">
        <v>2</v>
      </c>
      <c r="BY225" s="931">
        <v>4</v>
      </c>
      <c r="BZ225" s="930"/>
      <c r="CA225" s="1074"/>
      <c r="CB225" s="930"/>
      <c r="CC225" s="930"/>
      <c r="CD225" s="925">
        <v>57.81</v>
      </c>
      <c r="CE225" s="1130">
        <v>98.534999999999997</v>
      </c>
      <c r="CF225" s="1129" t="s">
        <v>21</v>
      </c>
      <c r="CG225" s="1130" t="s">
        <v>21</v>
      </c>
      <c r="CH225" s="1130" t="s">
        <v>21</v>
      </c>
      <c r="CI225" s="1131" t="s">
        <v>21</v>
      </c>
      <c r="CJ225" s="1129" t="s">
        <v>21</v>
      </c>
      <c r="CK225" s="1130" t="s">
        <v>21</v>
      </c>
      <c r="CL225" s="1130" t="s">
        <v>21</v>
      </c>
      <c r="CM225" s="1131" t="s">
        <v>21</v>
      </c>
      <c r="CN225" s="1130">
        <v>98.534999999999997</v>
      </c>
      <c r="CP225" s="838" t="s">
        <v>21</v>
      </c>
      <c r="CQ225" s="838" t="s">
        <v>21</v>
      </c>
      <c r="CR225" s="836"/>
    </row>
    <row r="226" spans="1:96" x14ac:dyDescent="0.25">
      <c r="A226" s="935"/>
      <c r="B226" s="1900" t="s">
        <v>3097</v>
      </c>
      <c r="C226" s="911">
        <v>600</v>
      </c>
      <c r="D226" s="911" t="s">
        <v>2116</v>
      </c>
      <c r="E226" s="912">
        <v>1192.1600000000001</v>
      </c>
      <c r="F226" s="912">
        <v>1190.21</v>
      </c>
      <c r="G226" s="932" t="s">
        <v>3098</v>
      </c>
      <c r="H226" s="912">
        <v>1191.8900000000001</v>
      </c>
      <c r="I226" s="912">
        <v>1189.99</v>
      </c>
      <c r="J226" s="914">
        <v>4.82</v>
      </c>
      <c r="K226" s="915"/>
      <c r="L226" s="916">
        <v>0.1</v>
      </c>
      <c r="M226" s="916">
        <v>0.06</v>
      </c>
      <c r="N226" s="916">
        <v>0.2</v>
      </c>
      <c r="O226" s="916">
        <v>6.4</v>
      </c>
      <c r="P226" s="915"/>
      <c r="Q226" s="916">
        <v>2.1850000000000001</v>
      </c>
      <c r="R226" s="1899">
        <v>0</v>
      </c>
      <c r="S226" s="1898">
        <v>4.4000000000000004</v>
      </c>
      <c r="T226" s="1898">
        <v>4.4000000000000004</v>
      </c>
      <c r="U226" s="916">
        <v>4.37</v>
      </c>
      <c r="V226" s="916">
        <v>0.92</v>
      </c>
      <c r="W226" s="915"/>
      <c r="X226" s="916">
        <v>0.28299999999999997</v>
      </c>
      <c r="Y226" s="916">
        <v>0.40699999999999997</v>
      </c>
      <c r="Z226" s="916">
        <v>9.6140000000000008</v>
      </c>
      <c r="AA226" s="916">
        <v>3.2010000000000001</v>
      </c>
      <c r="AB226" s="916">
        <v>5.5659999999999998</v>
      </c>
      <c r="AC226" s="915"/>
      <c r="AD226" s="919">
        <v>30.847999999999999</v>
      </c>
      <c r="AE226" s="920">
        <v>46.338999999999999</v>
      </c>
      <c r="AF226" s="920" t="s">
        <v>21</v>
      </c>
      <c r="AG226" s="920" t="s">
        <v>21</v>
      </c>
      <c r="AH226" s="921" t="s">
        <v>21</v>
      </c>
      <c r="AI226" s="921" t="s">
        <v>21</v>
      </c>
      <c r="AJ226" s="920" t="s">
        <v>21</v>
      </c>
      <c r="AK226" s="920" t="s">
        <v>21</v>
      </c>
      <c r="AL226" s="921" t="s">
        <v>21</v>
      </c>
      <c r="AM226" s="921" t="s">
        <v>21</v>
      </c>
      <c r="AN226" s="920"/>
      <c r="AO226" s="920">
        <v>46.338999999999999</v>
      </c>
      <c r="AP226" s="919">
        <v>21.207999999999998</v>
      </c>
      <c r="AQ226" s="922">
        <v>21.063400000000001</v>
      </c>
      <c r="AR226" s="923" t="s">
        <v>21</v>
      </c>
      <c r="AS226" s="923" t="s">
        <v>21</v>
      </c>
      <c r="AT226" s="923" t="s">
        <v>21</v>
      </c>
      <c r="AU226" s="923" t="s">
        <v>21</v>
      </c>
      <c r="AV226" s="924" t="s">
        <v>21</v>
      </c>
      <c r="AW226" s="924" t="s">
        <v>21</v>
      </c>
      <c r="AX226" s="924" t="s">
        <v>21</v>
      </c>
      <c r="AY226" s="924" t="s">
        <v>21</v>
      </c>
      <c r="AZ226" s="1902">
        <v>21.063400000000001</v>
      </c>
      <c r="BA226" s="923"/>
      <c r="BB226" s="919" t="s">
        <v>21</v>
      </c>
      <c r="BC226" s="919">
        <v>2.121</v>
      </c>
      <c r="BD226" s="919" t="s">
        <v>2142</v>
      </c>
      <c r="BE226" s="925" t="s">
        <v>21</v>
      </c>
      <c r="BF226" s="926" t="s">
        <v>21</v>
      </c>
      <c r="BG226" s="925">
        <v>4.82</v>
      </c>
      <c r="BH226" s="926" t="s">
        <v>21</v>
      </c>
      <c r="BI226" s="925" t="s">
        <v>21</v>
      </c>
      <c r="BJ226" s="926" t="s">
        <v>21</v>
      </c>
      <c r="BK226" s="925" t="s">
        <v>21</v>
      </c>
      <c r="BL226" s="926" t="s">
        <v>21</v>
      </c>
      <c r="BM226" s="925" t="s">
        <v>21</v>
      </c>
      <c r="BN226" s="927"/>
      <c r="BO226" s="927"/>
      <c r="BP226" s="928">
        <v>1</v>
      </c>
      <c r="BQ226" s="928" t="s">
        <v>21</v>
      </c>
      <c r="BR226" s="928" t="s">
        <v>21</v>
      </c>
      <c r="BS226" s="928" t="s">
        <v>21</v>
      </c>
      <c r="BT226" s="928" t="s">
        <v>21</v>
      </c>
      <c r="BU226" s="928" t="s">
        <v>21</v>
      </c>
      <c r="BV226" s="929">
        <v>0.55000000000004556</v>
      </c>
      <c r="BW226" s="929">
        <v>1</v>
      </c>
      <c r="BX226" s="1104">
        <v>2</v>
      </c>
      <c r="BY226" s="931">
        <v>4</v>
      </c>
      <c r="BZ226" s="930">
        <v>1</v>
      </c>
      <c r="CA226" s="1074"/>
      <c r="CB226" s="930"/>
      <c r="CC226" s="930"/>
      <c r="CD226" s="925">
        <v>15.429</v>
      </c>
      <c r="CE226" s="1130">
        <v>26.827999999999999</v>
      </c>
      <c r="CF226" s="1129" t="s">
        <v>21</v>
      </c>
      <c r="CG226" s="1130" t="s">
        <v>21</v>
      </c>
      <c r="CH226" s="1130" t="s">
        <v>21</v>
      </c>
      <c r="CI226" s="1131" t="s">
        <v>21</v>
      </c>
      <c r="CJ226" s="1129" t="s">
        <v>21</v>
      </c>
      <c r="CK226" s="1130" t="s">
        <v>21</v>
      </c>
      <c r="CL226" s="1130" t="s">
        <v>21</v>
      </c>
      <c r="CM226" s="1131" t="s">
        <v>21</v>
      </c>
      <c r="CN226" s="1130">
        <v>26.827999999999999</v>
      </c>
      <c r="CP226" s="838" t="s">
        <v>21</v>
      </c>
      <c r="CQ226" s="838" t="s">
        <v>21</v>
      </c>
      <c r="CR226" s="836"/>
    </row>
    <row r="227" spans="1:96" x14ac:dyDescent="0.25">
      <c r="A227" s="935"/>
      <c r="B227" s="1900" t="s">
        <v>3098</v>
      </c>
      <c r="C227" s="911">
        <v>600</v>
      </c>
      <c r="D227" s="911" t="s">
        <v>2116</v>
      </c>
      <c r="E227" s="912">
        <v>1191.8900000000001</v>
      </c>
      <c r="F227" s="912">
        <v>1189.94</v>
      </c>
      <c r="G227" s="932" t="s">
        <v>3099</v>
      </c>
      <c r="H227" s="912">
        <v>1191.1199999999999</v>
      </c>
      <c r="I227" s="912">
        <v>1189.22</v>
      </c>
      <c r="J227" s="914">
        <v>19.510000000000002</v>
      </c>
      <c r="K227" s="915"/>
      <c r="L227" s="916">
        <v>0.1</v>
      </c>
      <c r="M227" s="916">
        <v>0.06</v>
      </c>
      <c r="N227" s="916">
        <v>0.2</v>
      </c>
      <c r="O227" s="916">
        <v>6.4</v>
      </c>
      <c r="P227" s="915"/>
      <c r="Q227" s="916">
        <v>2.1850000000000001</v>
      </c>
      <c r="R227" s="1899">
        <v>0</v>
      </c>
      <c r="S227" s="1898">
        <v>4.4000000000000004</v>
      </c>
      <c r="T227" s="1898">
        <v>4.4000000000000004</v>
      </c>
      <c r="U227" s="916">
        <v>4.37</v>
      </c>
      <c r="V227" s="916">
        <v>0.92</v>
      </c>
      <c r="W227" s="915"/>
      <c r="X227" s="916">
        <v>0.28299999999999997</v>
      </c>
      <c r="Y227" s="916">
        <v>0.40699999999999997</v>
      </c>
      <c r="Z227" s="916">
        <v>9.6140000000000008</v>
      </c>
      <c r="AA227" s="916">
        <v>3.2010000000000001</v>
      </c>
      <c r="AB227" s="916">
        <v>5.5659999999999998</v>
      </c>
      <c r="AC227" s="915"/>
      <c r="AD227" s="919">
        <v>124.864</v>
      </c>
      <c r="AE227" s="920">
        <v>187.56899999999999</v>
      </c>
      <c r="AF227" s="920" t="s">
        <v>21</v>
      </c>
      <c r="AG227" s="920" t="s">
        <v>21</v>
      </c>
      <c r="AH227" s="921" t="s">
        <v>21</v>
      </c>
      <c r="AI227" s="921" t="s">
        <v>21</v>
      </c>
      <c r="AJ227" s="920" t="s">
        <v>21</v>
      </c>
      <c r="AK227" s="920" t="s">
        <v>21</v>
      </c>
      <c r="AL227" s="921" t="s">
        <v>21</v>
      </c>
      <c r="AM227" s="921" t="s">
        <v>21</v>
      </c>
      <c r="AN227" s="920"/>
      <c r="AO227" s="920">
        <v>187.56899999999999</v>
      </c>
      <c r="AP227" s="919">
        <v>85.843999999999994</v>
      </c>
      <c r="AQ227" s="922">
        <v>85.258700000000005</v>
      </c>
      <c r="AR227" s="923" t="s">
        <v>21</v>
      </c>
      <c r="AS227" s="923" t="s">
        <v>21</v>
      </c>
      <c r="AT227" s="923" t="s">
        <v>21</v>
      </c>
      <c r="AU227" s="923" t="s">
        <v>21</v>
      </c>
      <c r="AV227" s="924" t="s">
        <v>21</v>
      </c>
      <c r="AW227" s="924" t="s">
        <v>21</v>
      </c>
      <c r="AX227" s="924" t="s">
        <v>21</v>
      </c>
      <c r="AY227" s="924" t="s">
        <v>21</v>
      </c>
      <c r="AZ227" s="1902">
        <v>85.258700000000005</v>
      </c>
      <c r="BA227" s="923"/>
      <c r="BB227" s="919" t="s">
        <v>21</v>
      </c>
      <c r="BC227" s="919">
        <v>8.5839999999999996</v>
      </c>
      <c r="BD227" s="919" t="s">
        <v>2142</v>
      </c>
      <c r="BE227" s="925" t="s">
        <v>21</v>
      </c>
      <c r="BF227" s="926" t="s">
        <v>21</v>
      </c>
      <c r="BG227" s="925">
        <v>19.510000000000002</v>
      </c>
      <c r="BH227" s="926" t="s">
        <v>21</v>
      </c>
      <c r="BI227" s="925" t="s">
        <v>21</v>
      </c>
      <c r="BJ227" s="926" t="s">
        <v>21</v>
      </c>
      <c r="BK227" s="925" t="s">
        <v>21</v>
      </c>
      <c r="BL227" s="926" t="s">
        <v>21</v>
      </c>
      <c r="BM227" s="925" t="s">
        <v>21</v>
      </c>
      <c r="BN227" s="927"/>
      <c r="BO227" s="927"/>
      <c r="BP227" s="928">
        <v>1</v>
      </c>
      <c r="BQ227" s="928" t="s">
        <v>21</v>
      </c>
      <c r="BR227" s="928" t="s">
        <v>21</v>
      </c>
      <c r="BS227" s="928" t="s">
        <v>21</v>
      </c>
      <c r="BT227" s="928" t="s">
        <v>21</v>
      </c>
      <c r="BU227" s="928" t="s">
        <v>21</v>
      </c>
      <c r="BV227" s="929">
        <v>0.55000000000004556</v>
      </c>
      <c r="BW227" s="929">
        <v>1</v>
      </c>
      <c r="BX227" s="1104">
        <v>2</v>
      </c>
      <c r="BY227" s="931">
        <v>4</v>
      </c>
      <c r="BZ227" s="930"/>
      <c r="CA227" s="1074"/>
      <c r="CB227" s="930"/>
      <c r="CC227" s="930"/>
      <c r="CD227" s="925">
        <v>62.451999999999998</v>
      </c>
      <c r="CE227" s="1130">
        <v>108.593</v>
      </c>
      <c r="CF227" s="1129" t="s">
        <v>21</v>
      </c>
      <c r="CG227" s="1130" t="s">
        <v>21</v>
      </c>
      <c r="CH227" s="1130" t="s">
        <v>21</v>
      </c>
      <c r="CI227" s="1131" t="s">
        <v>21</v>
      </c>
      <c r="CJ227" s="1129" t="s">
        <v>21</v>
      </c>
      <c r="CK227" s="1130" t="s">
        <v>21</v>
      </c>
      <c r="CL227" s="1130" t="s">
        <v>21</v>
      </c>
      <c r="CM227" s="1131" t="s">
        <v>21</v>
      </c>
      <c r="CN227" s="1130">
        <v>108.593</v>
      </c>
      <c r="CP227" s="838" t="s">
        <v>21</v>
      </c>
      <c r="CQ227" s="838" t="s">
        <v>21</v>
      </c>
      <c r="CR227" s="836"/>
    </row>
    <row r="228" spans="1:96" x14ac:dyDescent="0.25">
      <c r="A228" s="935"/>
      <c r="B228" s="1900" t="s">
        <v>3099</v>
      </c>
      <c r="C228" s="911">
        <v>600</v>
      </c>
      <c r="D228" s="911" t="s">
        <v>2116</v>
      </c>
      <c r="E228" s="912">
        <v>1191.1199999999999</v>
      </c>
      <c r="F228" s="912">
        <v>1189.17</v>
      </c>
      <c r="G228" s="932" t="s">
        <v>3100</v>
      </c>
      <c r="H228" s="912">
        <v>1190.55</v>
      </c>
      <c r="I228" s="912">
        <v>1188.6500000000001</v>
      </c>
      <c r="J228" s="914">
        <v>22</v>
      </c>
      <c r="K228" s="915"/>
      <c r="L228" s="916">
        <v>0.1</v>
      </c>
      <c r="M228" s="916">
        <v>0.06</v>
      </c>
      <c r="N228" s="916">
        <v>0.2</v>
      </c>
      <c r="O228" s="916">
        <v>6.4</v>
      </c>
      <c r="P228" s="915"/>
      <c r="Q228" s="916">
        <v>2.1850000000000001</v>
      </c>
      <c r="R228" s="1899">
        <v>0</v>
      </c>
      <c r="S228" s="1898">
        <v>4.4000000000000004</v>
      </c>
      <c r="T228" s="1898">
        <v>4.4000000000000004</v>
      </c>
      <c r="U228" s="916">
        <v>4.37</v>
      </c>
      <c r="V228" s="916">
        <v>0.92</v>
      </c>
      <c r="W228" s="915"/>
      <c r="X228" s="916">
        <v>0.28299999999999997</v>
      </c>
      <c r="Y228" s="916">
        <v>0.40699999999999997</v>
      </c>
      <c r="Z228" s="916">
        <v>9.6140000000000008</v>
      </c>
      <c r="AA228" s="916">
        <v>3.2010000000000001</v>
      </c>
      <c r="AB228" s="916">
        <v>5.5659999999999998</v>
      </c>
      <c r="AC228" s="915"/>
      <c r="AD228" s="919">
        <v>140.80000000000001</v>
      </c>
      <c r="AE228" s="920">
        <v>211.50800000000001</v>
      </c>
      <c r="AF228" s="920" t="s">
        <v>21</v>
      </c>
      <c r="AG228" s="920" t="s">
        <v>21</v>
      </c>
      <c r="AH228" s="921" t="s">
        <v>21</v>
      </c>
      <c r="AI228" s="921" t="s">
        <v>21</v>
      </c>
      <c r="AJ228" s="920" t="s">
        <v>21</v>
      </c>
      <c r="AK228" s="920" t="s">
        <v>21</v>
      </c>
      <c r="AL228" s="921" t="s">
        <v>21</v>
      </c>
      <c r="AM228" s="921" t="s">
        <v>21</v>
      </c>
      <c r="AN228" s="920"/>
      <c r="AO228" s="920">
        <v>211.50800000000001</v>
      </c>
      <c r="AP228" s="919">
        <v>96.8</v>
      </c>
      <c r="AQ228" s="922">
        <v>96.14</v>
      </c>
      <c r="AR228" s="923" t="s">
        <v>21</v>
      </c>
      <c r="AS228" s="923" t="s">
        <v>21</v>
      </c>
      <c r="AT228" s="923" t="s">
        <v>21</v>
      </c>
      <c r="AU228" s="923" t="s">
        <v>21</v>
      </c>
      <c r="AV228" s="924" t="s">
        <v>21</v>
      </c>
      <c r="AW228" s="924" t="s">
        <v>21</v>
      </c>
      <c r="AX228" s="924" t="s">
        <v>21</v>
      </c>
      <c r="AY228" s="924" t="s">
        <v>21</v>
      </c>
      <c r="AZ228" s="1902">
        <v>96.14</v>
      </c>
      <c r="BA228" s="923"/>
      <c r="BB228" s="919" t="s">
        <v>21</v>
      </c>
      <c r="BC228" s="919">
        <v>9.68</v>
      </c>
      <c r="BD228" s="919" t="s">
        <v>2142</v>
      </c>
      <c r="BE228" s="925" t="s">
        <v>21</v>
      </c>
      <c r="BF228" s="926" t="s">
        <v>21</v>
      </c>
      <c r="BG228" s="925">
        <v>22</v>
      </c>
      <c r="BH228" s="926" t="s">
        <v>21</v>
      </c>
      <c r="BI228" s="925" t="s">
        <v>21</v>
      </c>
      <c r="BJ228" s="926" t="s">
        <v>21</v>
      </c>
      <c r="BK228" s="925" t="s">
        <v>21</v>
      </c>
      <c r="BL228" s="926" t="s">
        <v>21</v>
      </c>
      <c r="BM228" s="925" t="s">
        <v>21</v>
      </c>
      <c r="BN228" s="927"/>
      <c r="BO228" s="927"/>
      <c r="BP228" s="928">
        <v>1</v>
      </c>
      <c r="BQ228" s="928" t="s">
        <v>21</v>
      </c>
      <c r="BR228" s="928" t="s">
        <v>21</v>
      </c>
      <c r="BS228" s="928" t="s">
        <v>21</v>
      </c>
      <c r="BT228" s="928" t="s">
        <v>21</v>
      </c>
      <c r="BU228" s="928" t="s">
        <v>21</v>
      </c>
      <c r="BV228" s="929">
        <v>0.54999999999981819</v>
      </c>
      <c r="BW228" s="929">
        <v>1</v>
      </c>
      <c r="BX228" s="1104">
        <v>2</v>
      </c>
      <c r="BY228" s="931">
        <v>4</v>
      </c>
      <c r="BZ228" s="930">
        <v>1</v>
      </c>
      <c r="CA228" s="1074"/>
      <c r="CB228" s="930"/>
      <c r="CC228" s="930"/>
      <c r="CD228" s="925">
        <v>70.421999999999997</v>
      </c>
      <c r="CE228" s="1130">
        <v>122.452</v>
      </c>
      <c r="CF228" s="1129" t="s">
        <v>21</v>
      </c>
      <c r="CG228" s="1130" t="s">
        <v>21</v>
      </c>
      <c r="CH228" s="1130" t="s">
        <v>21</v>
      </c>
      <c r="CI228" s="1131" t="s">
        <v>21</v>
      </c>
      <c r="CJ228" s="1129" t="s">
        <v>21</v>
      </c>
      <c r="CK228" s="1130" t="s">
        <v>21</v>
      </c>
      <c r="CL228" s="1130" t="s">
        <v>21</v>
      </c>
      <c r="CM228" s="1131" t="s">
        <v>21</v>
      </c>
      <c r="CN228" s="1130">
        <v>122.452</v>
      </c>
      <c r="CP228" s="838" t="s">
        <v>21</v>
      </c>
      <c r="CQ228" s="838" t="s">
        <v>21</v>
      </c>
      <c r="CR228" s="836"/>
    </row>
    <row r="229" spans="1:96" x14ac:dyDescent="0.25">
      <c r="A229" s="935"/>
      <c r="B229" s="1900" t="s">
        <v>3100</v>
      </c>
      <c r="C229" s="911">
        <v>600</v>
      </c>
      <c r="D229" s="911" t="s">
        <v>2116</v>
      </c>
      <c r="E229" s="912">
        <v>1190.55</v>
      </c>
      <c r="F229" s="912">
        <v>1188.5999999999999</v>
      </c>
      <c r="G229" s="910" t="s">
        <v>2255</v>
      </c>
      <c r="H229" s="912">
        <v>1188.0899999999999</v>
      </c>
      <c r="I229" s="912">
        <v>1189.19</v>
      </c>
      <c r="J229" s="914">
        <v>24.39</v>
      </c>
      <c r="K229" s="915"/>
      <c r="L229" s="916">
        <v>0.1</v>
      </c>
      <c r="M229" s="916">
        <v>0.06</v>
      </c>
      <c r="N229" s="916">
        <v>0.2</v>
      </c>
      <c r="O229" s="916">
        <v>6.4</v>
      </c>
      <c r="P229" s="915"/>
      <c r="Q229" s="916">
        <v>0.68500000000000005</v>
      </c>
      <c r="R229" s="1899">
        <v>0</v>
      </c>
      <c r="S229" s="1898">
        <v>4.4000000000000004</v>
      </c>
      <c r="T229" s="1898">
        <v>4.4000000000000004</v>
      </c>
      <c r="U229" s="916">
        <v>1.37</v>
      </c>
      <c r="V229" s="916">
        <v>0.92</v>
      </c>
      <c r="W229" s="915"/>
      <c r="X229" s="916">
        <v>0.28299999999999997</v>
      </c>
      <c r="Y229" s="916">
        <v>0.40699999999999997</v>
      </c>
      <c r="Z229" s="916">
        <v>3.0139999999999998</v>
      </c>
      <c r="AA229" s="916">
        <v>3.2010000000000001</v>
      </c>
      <c r="AB229" s="916">
        <v>0</v>
      </c>
      <c r="AC229" s="915"/>
      <c r="AD229" s="919">
        <v>156.096</v>
      </c>
      <c r="AE229" s="920">
        <v>73.510999999999996</v>
      </c>
      <c r="AF229" s="920" t="s">
        <v>21</v>
      </c>
      <c r="AG229" s="920" t="s">
        <v>21</v>
      </c>
      <c r="AH229" s="921" t="s">
        <v>21</v>
      </c>
      <c r="AI229" s="921" t="s">
        <v>21</v>
      </c>
      <c r="AJ229" s="920" t="s">
        <v>21</v>
      </c>
      <c r="AK229" s="920" t="s">
        <v>21</v>
      </c>
      <c r="AL229" s="921" t="s">
        <v>21</v>
      </c>
      <c r="AM229" s="921" t="s">
        <v>21</v>
      </c>
      <c r="AN229" s="920"/>
      <c r="AO229" s="920">
        <v>73.510999999999996</v>
      </c>
      <c r="AP229" s="919">
        <v>107.316</v>
      </c>
      <c r="AQ229" s="922">
        <v>33.414300000000004</v>
      </c>
      <c r="AR229" s="923" t="s">
        <v>21</v>
      </c>
      <c r="AS229" s="923" t="s">
        <v>21</v>
      </c>
      <c r="AT229" s="923" t="s">
        <v>21</v>
      </c>
      <c r="AU229" s="923" t="s">
        <v>21</v>
      </c>
      <c r="AV229" s="924" t="s">
        <v>21</v>
      </c>
      <c r="AW229" s="924" t="s">
        <v>21</v>
      </c>
      <c r="AX229" s="924" t="s">
        <v>21</v>
      </c>
      <c r="AY229" s="924" t="s">
        <v>21</v>
      </c>
      <c r="AZ229" s="1902">
        <v>33.414300000000004</v>
      </c>
      <c r="BA229" s="923"/>
      <c r="BB229" s="919" t="s">
        <v>21</v>
      </c>
      <c r="BC229" s="919">
        <v>10.731999999999999</v>
      </c>
      <c r="BD229" s="919" t="s">
        <v>2137</v>
      </c>
      <c r="BE229" s="925" t="s">
        <v>21</v>
      </c>
      <c r="BF229" s="926" t="s">
        <v>21</v>
      </c>
      <c r="BG229" s="925">
        <v>24.39</v>
      </c>
      <c r="BH229" s="926" t="s">
        <v>21</v>
      </c>
      <c r="BI229" s="925" t="s">
        <v>21</v>
      </c>
      <c r="BJ229" s="926" t="s">
        <v>21</v>
      </c>
      <c r="BK229" s="925" t="s">
        <v>21</v>
      </c>
      <c r="BL229" s="926" t="s">
        <v>21</v>
      </c>
      <c r="BM229" s="925" t="s">
        <v>21</v>
      </c>
      <c r="BN229" s="927"/>
      <c r="BO229" s="927"/>
      <c r="BP229" s="928">
        <v>1</v>
      </c>
      <c r="BQ229" s="928" t="s">
        <v>21</v>
      </c>
      <c r="BR229" s="928" t="s">
        <v>21</v>
      </c>
      <c r="BS229" s="928" t="s">
        <v>21</v>
      </c>
      <c r="BT229" s="928" t="s">
        <v>21</v>
      </c>
      <c r="BU229" s="928" t="s">
        <v>21</v>
      </c>
      <c r="BV229" s="929">
        <v>0.55000000000004556</v>
      </c>
      <c r="BW229" s="929">
        <v>1</v>
      </c>
      <c r="BX229" s="1104">
        <v>2</v>
      </c>
      <c r="BY229" s="931">
        <v>4</v>
      </c>
      <c r="BZ229" s="930"/>
      <c r="CA229" s="1074">
        <v>1</v>
      </c>
      <c r="CB229" s="930"/>
      <c r="CC229" s="930"/>
      <c r="CD229" s="925">
        <v>78.072000000000003</v>
      </c>
      <c r="CE229" s="1130">
        <v>0</v>
      </c>
      <c r="CF229" s="1129" t="s">
        <v>21</v>
      </c>
      <c r="CG229" s="1130" t="s">
        <v>21</v>
      </c>
      <c r="CH229" s="1130" t="s">
        <v>21</v>
      </c>
      <c r="CI229" s="1131" t="s">
        <v>21</v>
      </c>
      <c r="CJ229" s="1129" t="s">
        <v>21</v>
      </c>
      <c r="CK229" s="1130" t="s">
        <v>21</v>
      </c>
      <c r="CL229" s="1130" t="s">
        <v>21</v>
      </c>
      <c r="CM229" s="1131" t="s">
        <v>21</v>
      </c>
      <c r="CN229" s="1130">
        <v>0</v>
      </c>
      <c r="CP229" s="838" t="s">
        <v>21</v>
      </c>
      <c r="CQ229" s="838" t="s">
        <v>21</v>
      </c>
      <c r="CR229" s="836"/>
    </row>
    <row r="230" spans="1:96" x14ac:dyDescent="0.25">
      <c r="A230" s="935"/>
      <c r="B230" s="932"/>
      <c r="C230" s="911"/>
      <c r="D230" s="911"/>
      <c r="E230" s="912"/>
      <c r="F230" s="912"/>
      <c r="G230" s="910"/>
      <c r="H230" s="912"/>
      <c r="I230" s="912"/>
      <c r="J230" s="914"/>
      <c r="K230" s="915"/>
      <c r="L230" s="916" t="s">
        <v>21</v>
      </c>
      <c r="M230" s="916" t="s">
        <v>21</v>
      </c>
      <c r="N230" s="916" t="s">
        <v>21</v>
      </c>
      <c r="O230" s="916" t="s">
        <v>21</v>
      </c>
      <c r="P230" s="915"/>
      <c r="Q230" s="916" t="s">
        <v>21</v>
      </c>
      <c r="R230" s="917" t="s">
        <v>21</v>
      </c>
      <c r="S230" s="918" t="s">
        <v>21</v>
      </c>
      <c r="T230" s="918" t="s">
        <v>21</v>
      </c>
      <c r="U230" s="916" t="s">
        <v>21</v>
      </c>
      <c r="V230" s="916" t="s">
        <v>21</v>
      </c>
      <c r="W230" s="915"/>
      <c r="X230" s="916" t="s">
        <v>21</v>
      </c>
      <c r="Y230" s="916" t="s">
        <v>21</v>
      </c>
      <c r="Z230" s="916" t="s">
        <v>21</v>
      </c>
      <c r="AA230" s="916" t="s">
        <v>21</v>
      </c>
      <c r="AB230" s="916" t="s">
        <v>21</v>
      </c>
      <c r="AC230" s="915"/>
      <c r="AD230" s="919" t="s">
        <v>21</v>
      </c>
      <c r="AE230" s="920" t="s">
        <v>21</v>
      </c>
      <c r="AF230" s="920" t="s">
        <v>21</v>
      </c>
      <c r="AG230" s="920" t="s">
        <v>21</v>
      </c>
      <c r="AH230" s="921" t="s">
        <v>21</v>
      </c>
      <c r="AI230" s="921" t="s">
        <v>21</v>
      </c>
      <c r="AJ230" s="920" t="s">
        <v>21</v>
      </c>
      <c r="AK230" s="920" t="s">
        <v>21</v>
      </c>
      <c r="AL230" s="921" t="s">
        <v>21</v>
      </c>
      <c r="AM230" s="921" t="s">
        <v>21</v>
      </c>
      <c r="AN230" s="920"/>
      <c r="AO230" s="920" t="s">
        <v>21</v>
      </c>
      <c r="AP230" s="919" t="s">
        <v>21</v>
      </c>
      <c r="AQ230" s="922" t="s">
        <v>21</v>
      </c>
      <c r="AR230" s="923" t="s">
        <v>21</v>
      </c>
      <c r="AS230" s="923" t="s">
        <v>21</v>
      </c>
      <c r="AT230" s="923" t="s">
        <v>21</v>
      </c>
      <c r="AU230" s="923" t="s">
        <v>21</v>
      </c>
      <c r="AV230" s="924" t="s">
        <v>21</v>
      </c>
      <c r="AW230" s="924" t="s">
        <v>21</v>
      </c>
      <c r="AX230" s="924" t="s">
        <v>21</v>
      </c>
      <c r="AY230" s="924" t="s">
        <v>21</v>
      </c>
      <c r="AZ230" s="923" t="s">
        <v>21</v>
      </c>
      <c r="BA230" s="923"/>
      <c r="BB230" s="919" t="s">
        <v>21</v>
      </c>
      <c r="BC230" s="919" t="s">
        <v>21</v>
      </c>
      <c r="BD230" s="919" t="s">
        <v>21</v>
      </c>
      <c r="BE230" s="925" t="s">
        <v>21</v>
      </c>
      <c r="BF230" s="926" t="s">
        <v>21</v>
      </c>
      <c r="BG230" s="925" t="s">
        <v>21</v>
      </c>
      <c r="BH230" s="926" t="s">
        <v>21</v>
      </c>
      <c r="BI230" s="925" t="s">
        <v>21</v>
      </c>
      <c r="BJ230" s="926" t="s">
        <v>21</v>
      </c>
      <c r="BK230" s="925" t="s">
        <v>21</v>
      </c>
      <c r="BL230" s="926" t="s">
        <v>21</v>
      </c>
      <c r="BM230" s="925" t="s">
        <v>21</v>
      </c>
      <c r="BN230" s="927"/>
      <c r="BO230" s="927"/>
      <c r="BP230" s="928" t="s">
        <v>21</v>
      </c>
      <c r="BQ230" s="928" t="s">
        <v>21</v>
      </c>
      <c r="BR230" s="928" t="s">
        <v>21</v>
      </c>
      <c r="BS230" s="928" t="s">
        <v>21</v>
      </c>
      <c r="BT230" s="928" t="s">
        <v>21</v>
      </c>
      <c r="BU230" s="928" t="s">
        <v>21</v>
      </c>
      <c r="BV230" s="929" t="s">
        <v>21</v>
      </c>
      <c r="BW230" s="929" t="s">
        <v>21</v>
      </c>
      <c r="BX230" s="1104" t="s">
        <v>21</v>
      </c>
      <c r="BY230" s="931" t="s">
        <v>21</v>
      </c>
      <c r="BZ230" s="930"/>
      <c r="CA230" s="1074"/>
      <c r="CB230" s="930"/>
      <c r="CC230" s="930"/>
      <c r="CD230" s="925" t="s">
        <v>21</v>
      </c>
      <c r="CE230" s="1130" t="s">
        <v>21</v>
      </c>
      <c r="CF230" s="1129" t="s">
        <v>21</v>
      </c>
      <c r="CG230" s="1130" t="s">
        <v>21</v>
      </c>
      <c r="CH230" s="1130" t="s">
        <v>21</v>
      </c>
      <c r="CI230" s="1131" t="s">
        <v>21</v>
      </c>
      <c r="CJ230" s="1129" t="s">
        <v>21</v>
      </c>
      <c r="CK230" s="1130" t="s">
        <v>21</v>
      </c>
      <c r="CL230" s="1130" t="s">
        <v>21</v>
      </c>
      <c r="CM230" s="1131" t="s">
        <v>21</v>
      </c>
      <c r="CN230" s="1130" t="s">
        <v>21</v>
      </c>
      <c r="CP230" s="838" t="s">
        <v>21</v>
      </c>
      <c r="CQ230" s="838" t="s">
        <v>21</v>
      </c>
      <c r="CR230" s="836"/>
    </row>
    <row r="231" spans="1:96" x14ac:dyDescent="0.25">
      <c r="A231" s="935">
        <v>4</v>
      </c>
      <c r="B231" s="932" t="s">
        <v>2234</v>
      </c>
      <c r="C231" s="911">
        <v>600</v>
      </c>
      <c r="D231" s="911" t="s">
        <v>2116</v>
      </c>
      <c r="E231" s="912">
        <v>1175.7</v>
      </c>
      <c r="F231" s="912">
        <v>1173.8</v>
      </c>
      <c r="G231" s="910" t="s">
        <v>2263</v>
      </c>
      <c r="H231" s="912">
        <v>1174.25</v>
      </c>
      <c r="I231" s="912">
        <v>1172.3499999999999</v>
      </c>
      <c r="J231" s="914">
        <v>12.37</v>
      </c>
      <c r="K231" s="915"/>
      <c r="L231" s="916">
        <v>0.1</v>
      </c>
      <c r="M231" s="916">
        <v>0.06</v>
      </c>
      <c r="N231" s="916">
        <v>0.2</v>
      </c>
      <c r="O231" s="916">
        <v>4.84</v>
      </c>
      <c r="P231" s="915"/>
      <c r="Q231" s="916">
        <v>2.16</v>
      </c>
      <c r="R231" s="917">
        <v>0.33333333333333331</v>
      </c>
      <c r="S231" s="918">
        <v>1.4</v>
      </c>
      <c r="T231" s="918">
        <v>2.84</v>
      </c>
      <c r="U231" s="916">
        <v>4.5540000000000003</v>
      </c>
      <c r="V231" s="916">
        <v>0.92</v>
      </c>
      <c r="W231" s="915"/>
      <c r="X231" s="916">
        <v>0.28299999999999997</v>
      </c>
      <c r="Y231" s="916">
        <v>0.40699999999999997</v>
      </c>
      <c r="Z231" s="916">
        <v>4.5789999999999997</v>
      </c>
      <c r="AA231" s="916">
        <v>1.0229999999999999</v>
      </c>
      <c r="AB231" s="916">
        <v>3.0089999999999999</v>
      </c>
      <c r="AC231" s="915"/>
      <c r="AD231" s="919">
        <v>59.871000000000002</v>
      </c>
      <c r="AE231" s="920">
        <v>56.642000000000003</v>
      </c>
      <c r="AF231" s="920" t="s">
        <v>21</v>
      </c>
      <c r="AG231" s="920" t="s">
        <v>21</v>
      </c>
      <c r="AH231" s="921">
        <v>56.642000000000003</v>
      </c>
      <c r="AI231" s="921" t="s">
        <v>21</v>
      </c>
      <c r="AJ231" s="920" t="s">
        <v>21</v>
      </c>
      <c r="AK231" s="920" t="s">
        <v>21</v>
      </c>
      <c r="AL231" s="921" t="s">
        <v>21</v>
      </c>
      <c r="AM231" s="921" t="s">
        <v>21</v>
      </c>
      <c r="AN231" s="920"/>
      <c r="AO231" s="920" t="s">
        <v>21</v>
      </c>
      <c r="AP231" s="919">
        <v>17.318000000000001</v>
      </c>
      <c r="AQ231" s="922">
        <v>56.332979999999999</v>
      </c>
      <c r="AR231" s="923" t="s">
        <v>21</v>
      </c>
      <c r="AS231" s="923">
        <v>56.332979999999999</v>
      </c>
      <c r="AT231" s="923" t="s">
        <v>21</v>
      </c>
      <c r="AU231" s="923" t="s">
        <v>21</v>
      </c>
      <c r="AV231" s="924" t="s">
        <v>21</v>
      </c>
      <c r="AW231" s="924" t="s">
        <v>21</v>
      </c>
      <c r="AX231" s="924" t="s">
        <v>21</v>
      </c>
      <c r="AY231" s="924" t="s">
        <v>21</v>
      </c>
      <c r="AZ231" s="923" t="s">
        <v>21</v>
      </c>
      <c r="BA231" s="923"/>
      <c r="BB231" s="919">
        <v>1.732</v>
      </c>
      <c r="BC231" s="919" t="s">
        <v>21</v>
      </c>
      <c r="BD231" s="919" t="s">
        <v>2142</v>
      </c>
      <c r="BE231" s="925" t="s">
        <v>21</v>
      </c>
      <c r="BF231" s="926" t="s">
        <v>21</v>
      </c>
      <c r="BG231" s="925">
        <v>12.37</v>
      </c>
      <c r="BH231" s="926" t="s">
        <v>21</v>
      </c>
      <c r="BI231" s="925" t="s">
        <v>21</v>
      </c>
      <c r="BJ231" s="926" t="s">
        <v>21</v>
      </c>
      <c r="BK231" s="925" t="s">
        <v>21</v>
      </c>
      <c r="BL231" s="926" t="s">
        <v>21</v>
      </c>
      <c r="BM231" s="925" t="s">
        <v>21</v>
      </c>
      <c r="BN231" s="927"/>
      <c r="BO231" s="927"/>
      <c r="BP231" s="928">
        <v>1</v>
      </c>
      <c r="BQ231" s="928" t="s">
        <v>21</v>
      </c>
      <c r="BR231" s="928" t="s">
        <v>21</v>
      </c>
      <c r="BS231" s="928" t="s">
        <v>21</v>
      </c>
      <c r="BT231" s="928" t="s">
        <v>21</v>
      </c>
      <c r="BU231" s="928" t="s">
        <v>21</v>
      </c>
      <c r="BV231" s="929">
        <v>0.50000000000009104</v>
      </c>
      <c r="BW231" s="929">
        <v>1</v>
      </c>
      <c r="BX231" s="1104">
        <v>2</v>
      </c>
      <c r="BY231" s="931">
        <v>4</v>
      </c>
      <c r="BZ231" s="930"/>
      <c r="CA231" s="1074">
        <v>1</v>
      </c>
      <c r="CB231" s="930"/>
      <c r="CC231" s="930"/>
      <c r="CD231" s="925">
        <v>12.654999999999999</v>
      </c>
      <c r="CE231" s="1130">
        <v>37.220999999999997</v>
      </c>
      <c r="CF231" s="1129" t="s">
        <v>21</v>
      </c>
      <c r="CG231" s="1130" t="s">
        <v>21</v>
      </c>
      <c r="CH231" s="1130" t="s">
        <v>21</v>
      </c>
      <c r="CI231" s="1131" t="s">
        <v>21</v>
      </c>
      <c r="CJ231" s="1129" t="s">
        <v>21</v>
      </c>
      <c r="CK231" s="1130">
        <v>37.220999999999997</v>
      </c>
      <c r="CL231" s="1130" t="s">
        <v>21</v>
      </c>
      <c r="CM231" s="1131" t="s">
        <v>21</v>
      </c>
      <c r="CN231" s="1130" t="s">
        <v>21</v>
      </c>
      <c r="CP231" s="838" t="s">
        <v>21</v>
      </c>
      <c r="CQ231" s="838" t="s">
        <v>21</v>
      </c>
      <c r="CR231" s="836"/>
    </row>
    <row r="232" spans="1:96" x14ac:dyDescent="0.25">
      <c r="A232" s="935" t="s">
        <v>3060</v>
      </c>
      <c r="B232" s="932"/>
      <c r="C232" s="911"/>
      <c r="D232" s="911"/>
      <c r="E232" s="912"/>
      <c r="F232" s="912"/>
      <c r="G232" s="910"/>
      <c r="H232" s="912"/>
      <c r="I232" s="912"/>
      <c r="J232" s="914"/>
      <c r="K232" s="915"/>
      <c r="L232" s="916" t="s">
        <v>21</v>
      </c>
      <c r="M232" s="916" t="s">
        <v>21</v>
      </c>
      <c r="N232" s="916" t="s">
        <v>21</v>
      </c>
      <c r="O232" s="916" t="s">
        <v>21</v>
      </c>
      <c r="P232" s="915"/>
      <c r="Q232" s="916" t="s">
        <v>21</v>
      </c>
      <c r="R232" s="917" t="s">
        <v>21</v>
      </c>
      <c r="S232" s="918" t="s">
        <v>21</v>
      </c>
      <c r="T232" s="918" t="s">
        <v>21</v>
      </c>
      <c r="U232" s="916" t="s">
        <v>21</v>
      </c>
      <c r="V232" s="916" t="s">
        <v>21</v>
      </c>
      <c r="W232" s="915"/>
      <c r="X232" s="916" t="s">
        <v>21</v>
      </c>
      <c r="Y232" s="916" t="s">
        <v>21</v>
      </c>
      <c r="Z232" s="916" t="s">
        <v>21</v>
      </c>
      <c r="AA232" s="916" t="s">
        <v>21</v>
      </c>
      <c r="AB232" s="916" t="s">
        <v>21</v>
      </c>
      <c r="AC232" s="915"/>
      <c r="AD232" s="919" t="s">
        <v>21</v>
      </c>
      <c r="AE232" s="920" t="s">
        <v>21</v>
      </c>
      <c r="AF232" s="920" t="s">
        <v>21</v>
      </c>
      <c r="AG232" s="920" t="s">
        <v>21</v>
      </c>
      <c r="AH232" s="921" t="s">
        <v>21</v>
      </c>
      <c r="AI232" s="921" t="s">
        <v>21</v>
      </c>
      <c r="AJ232" s="920" t="s">
        <v>21</v>
      </c>
      <c r="AK232" s="920" t="s">
        <v>21</v>
      </c>
      <c r="AL232" s="921" t="s">
        <v>21</v>
      </c>
      <c r="AM232" s="921" t="s">
        <v>21</v>
      </c>
      <c r="AN232" s="920"/>
      <c r="AO232" s="920" t="s">
        <v>21</v>
      </c>
      <c r="AP232" s="919" t="s">
        <v>21</v>
      </c>
      <c r="AQ232" s="922" t="s">
        <v>21</v>
      </c>
      <c r="AR232" s="923" t="s">
        <v>21</v>
      </c>
      <c r="AS232" s="923" t="s">
        <v>21</v>
      </c>
      <c r="AT232" s="923" t="s">
        <v>21</v>
      </c>
      <c r="AU232" s="923" t="s">
        <v>21</v>
      </c>
      <c r="AV232" s="924" t="s">
        <v>21</v>
      </c>
      <c r="AW232" s="924" t="s">
        <v>21</v>
      </c>
      <c r="AX232" s="924" t="s">
        <v>21</v>
      </c>
      <c r="AY232" s="924" t="s">
        <v>21</v>
      </c>
      <c r="AZ232" s="923" t="s">
        <v>21</v>
      </c>
      <c r="BA232" s="923"/>
      <c r="BB232" s="919" t="s">
        <v>21</v>
      </c>
      <c r="BC232" s="919" t="s">
        <v>21</v>
      </c>
      <c r="BD232" s="919" t="s">
        <v>21</v>
      </c>
      <c r="BE232" s="925" t="s">
        <v>21</v>
      </c>
      <c r="BF232" s="926" t="s">
        <v>21</v>
      </c>
      <c r="BG232" s="925" t="s">
        <v>21</v>
      </c>
      <c r="BH232" s="926" t="s">
        <v>21</v>
      </c>
      <c r="BI232" s="925" t="s">
        <v>21</v>
      </c>
      <c r="BJ232" s="926" t="s">
        <v>21</v>
      </c>
      <c r="BK232" s="925" t="s">
        <v>21</v>
      </c>
      <c r="BL232" s="926" t="s">
        <v>21</v>
      </c>
      <c r="BM232" s="925" t="s">
        <v>21</v>
      </c>
      <c r="BN232" s="927"/>
      <c r="BO232" s="927"/>
      <c r="BP232" s="928" t="s">
        <v>21</v>
      </c>
      <c r="BQ232" s="928" t="s">
        <v>21</v>
      </c>
      <c r="BR232" s="928" t="s">
        <v>21</v>
      </c>
      <c r="BS232" s="928" t="s">
        <v>21</v>
      </c>
      <c r="BT232" s="928" t="s">
        <v>21</v>
      </c>
      <c r="BU232" s="928" t="s">
        <v>21</v>
      </c>
      <c r="BV232" s="929" t="s">
        <v>21</v>
      </c>
      <c r="BW232" s="929" t="s">
        <v>21</v>
      </c>
      <c r="BX232" s="1104" t="s">
        <v>21</v>
      </c>
      <c r="BY232" s="931" t="s">
        <v>21</v>
      </c>
      <c r="BZ232" s="930"/>
      <c r="CA232" s="1074"/>
      <c r="CB232" s="930"/>
      <c r="CC232" s="930"/>
      <c r="CD232" s="925" t="s">
        <v>21</v>
      </c>
      <c r="CE232" s="1130" t="s">
        <v>21</v>
      </c>
      <c r="CF232" s="1129" t="s">
        <v>21</v>
      </c>
      <c r="CG232" s="1130" t="s">
        <v>21</v>
      </c>
      <c r="CH232" s="1130" t="s">
        <v>21</v>
      </c>
      <c r="CI232" s="1131" t="s">
        <v>21</v>
      </c>
      <c r="CJ232" s="1129" t="s">
        <v>21</v>
      </c>
      <c r="CK232" s="1130" t="s">
        <v>21</v>
      </c>
      <c r="CL232" s="1130" t="s">
        <v>21</v>
      </c>
      <c r="CM232" s="1131" t="s">
        <v>21</v>
      </c>
      <c r="CN232" s="1130" t="s">
        <v>21</v>
      </c>
      <c r="CP232" s="838" t="s">
        <v>21</v>
      </c>
      <c r="CQ232" s="838" t="s">
        <v>21</v>
      </c>
      <c r="CR232" s="836"/>
    </row>
    <row r="233" spans="1:96" x14ac:dyDescent="0.25">
      <c r="A233" s="935" t="s">
        <v>3065</v>
      </c>
      <c r="B233" s="932"/>
      <c r="C233" s="911"/>
      <c r="D233" s="911"/>
      <c r="E233" s="912"/>
      <c r="F233" s="912"/>
      <c r="G233" s="910"/>
      <c r="H233" s="912"/>
      <c r="I233" s="912"/>
      <c r="J233" s="914"/>
      <c r="K233" s="915"/>
      <c r="L233" s="916" t="s">
        <v>21</v>
      </c>
      <c r="M233" s="916" t="s">
        <v>21</v>
      </c>
      <c r="N233" s="916" t="s">
        <v>21</v>
      </c>
      <c r="O233" s="916" t="s">
        <v>21</v>
      </c>
      <c r="P233" s="915"/>
      <c r="Q233" s="916" t="s">
        <v>21</v>
      </c>
      <c r="R233" s="917" t="s">
        <v>21</v>
      </c>
      <c r="S233" s="918" t="s">
        <v>21</v>
      </c>
      <c r="T233" s="918" t="s">
        <v>21</v>
      </c>
      <c r="U233" s="916" t="s">
        <v>21</v>
      </c>
      <c r="V233" s="916" t="s">
        <v>21</v>
      </c>
      <c r="W233" s="915"/>
      <c r="X233" s="916" t="s">
        <v>21</v>
      </c>
      <c r="Y233" s="916" t="s">
        <v>21</v>
      </c>
      <c r="Z233" s="916" t="s">
        <v>21</v>
      </c>
      <c r="AA233" s="916" t="s">
        <v>21</v>
      </c>
      <c r="AB233" s="916" t="s">
        <v>21</v>
      </c>
      <c r="AC233" s="915"/>
      <c r="AD233" s="919" t="s">
        <v>21</v>
      </c>
      <c r="AE233" s="920" t="s">
        <v>21</v>
      </c>
      <c r="AF233" s="920" t="s">
        <v>21</v>
      </c>
      <c r="AG233" s="920" t="s">
        <v>21</v>
      </c>
      <c r="AH233" s="921" t="s">
        <v>21</v>
      </c>
      <c r="AI233" s="921" t="s">
        <v>21</v>
      </c>
      <c r="AJ233" s="920" t="s">
        <v>21</v>
      </c>
      <c r="AK233" s="920" t="s">
        <v>21</v>
      </c>
      <c r="AL233" s="921" t="s">
        <v>21</v>
      </c>
      <c r="AM233" s="921" t="s">
        <v>21</v>
      </c>
      <c r="AN233" s="920"/>
      <c r="AO233" s="920" t="s">
        <v>21</v>
      </c>
      <c r="AP233" s="919" t="s">
        <v>21</v>
      </c>
      <c r="AQ233" s="922" t="s">
        <v>21</v>
      </c>
      <c r="AR233" s="923" t="s">
        <v>21</v>
      </c>
      <c r="AS233" s="923" t="s">
        <v>21</v>
      </c>
      <c r="AT233" s="923" t="s">
        <v>21</v>
      </c>
      <c r="AU233" s="923" t="s">
        <v>21</v>
      </c>
      <c r="AV233" s="924" t="s">
        <v>21</v>
      </c>
      <c r="AW233" s="924" t="s">
        <v>21</v>
      </c>
      <c r="AX233" s="924" t="s">
        <v>21</v>
      </c>
      <c r="AY233" s="924" t="s">
        <v>21</v>
      </c>
      <c r="AZ233" s="923" t="s">
        <v>21</v>
      </c>
      <c r="BA233" s="923"/>
      <c r="BB233" s="919" t="s">
        <v>21</v>
      </c>
      <c r="BC233" s="919" t="s">
        <v>21</v>
      </c>
      <c r="BD233" s="919" t="s">
        <v>21</v>
      </c>
      <c r="BE233" s="925" t="s">
        <v>21</v>
      </c>
      <c r="BF233" s="926" t="s">
        <v>21</v>
      </c>
      <c r="BG233" s="925" t="s">
        <v>21</v>
      </c>
      <c r="BH233" s="926" t="s">
        <v>21</v>
      </c>
      <c r="BI233" s="925" t="s">
        <v>21</v>
      </c>
      <c r="BJ233" s="926" t="s">
        <v>21</v>
      </c>
      <c r="BK233" s="925" t="s">
        <v>21</v>
      </c>
      <c r="BL233" s="926" t="s">
        <v>21</v>
      </c>
      <c r="BM233" s="925" t="s">
        <v>21</v>
      </c>
      <c r="BN233" s="927"/>
      <c r="BO233" s="927"/>
      <c r="BP233" s="928" t="s">
        <v>21</v>
      </c>
      <c r="BQ233" s="928" t="s">
        <v>21</v>
      </c>
      <c r="BR233" s="928" t="s">
        <v>21</v>
      </c>
      <c r="BS233" s="928" t="s">
        <v>21</v>
      </c>
      <c r="BT233" s="928" t="s">
        <v>21</v>
      </c>
      <c r="BU233" s="928" t="s">
        <v>21</v>
      </c>
      <c r="BV233" s="929" t="s">
        <v>21</v>
      </c>
      <c r="BW233" s="929" t="s">
        <v>21</v>
      </c>
      <c r="BX233" s="1104" t="s">
        <v>21</v>
      </c>
      <c r="BY233" s="931" t="s">
        <v>21</v>
      </c>
      <c r="BZ233" s="930"/>
      <c r="CA233" s="1074"/>
      <c r="CB233" s="930"/>
      <c r="CC233" s="930"/>
      <c r="CD233" s="925" t="s">
        <v>21</v>
      </c>
      <c r="CE233" s="1130" t="s">
        <v>21</v>
      </c>
      <c r="CF233" s="1129" t="s">
        <v>21</v>
      </c>
      <c r="CG233" s="1130" t="s">
        <v>21</v>
      </c>
      <c r="CH233" s="1130" t="s">
        <v>21</v>
      </c>
      <c r="CI233" s="1131" t="s">
        <v>21</v>
      </c>
      <c r="CJ233" s="1129" t="s">
        <v>21</v>
      </c>
      <c r="CK233" s="1130" t="s">
        <v>21</v>
      </c>
      <c r="CL233" s="1130" t="s">
        <v>21</v>
      </c>
      <c r="CM233" s="1131" t="s">
        <v>21</v>
      </c>
      <c r="CN233" s="1130" t="s">
        <v>21</v>
      </c>
      <c r="CP233" s="838" t="s">
        <v>21</v>
      </c>
      <c r="CQ233" s="838" t="s">
        <v>21</v>
      </c>
      <c r="CR233" s="836"/>
    </row>
    <row r="234" spans="1:96" x14ac:dyDescent="0.25">
      <c r="A234" s="935" t="s">
        <v>3083</v>
      </c>
      <c r="B234" s="932"/>
      <c r="C234" s="911"/>
      <c r="D234" s="911"/>
      <c r="E234" s="912"/>
      <c r="F234" s="912"/>
      <c r="G234" s="910"/>
      <c r="H234" s="912"/>
      <c r="I234" s="912"/>
      <c r="J234" s="914"/>
      <c r="K234" s="915"/>
      <c r="L234" s="916" t="s">
        <v>21</v>
      </c>
      <c r="M234" s="916" t="s">
        <v>21</v>
      </c>
      <c r="N234" s="916" t="s">
        <v>21</v>
      </c>
      <c r="O234" s="916" t="s">
        <v>21</v>
      </c>
      <c r="P234" s="915"/>
      <c r="Q234" s="916" t="s">
        <v>21</v>
      </c>
      <c r="R234" s="917" t="s">
        <v>21</v>
      </c>
      <c r="S234" s="918" t="s">
        <v>21</v>
      </c>
      <c r="T234" s="918" t="s">
        <v>21</v>
      </c>
      <c r="U234" s="916" t="s">
        <v>21</v>
      </c>
      <c r="V234" s="916" t="s">
        <v>21</v>
      </c>
      <c r="W234" s="915"/>
      <c r="X234" s="916" t="s">
        <v>21</v>
      </c>
      <c r="Y234" s="916" t="s">
        <v>21</v>
      </c>
      <c r="Z234" s="916" t="s">
        <v>21</v>
      </c>
      <c r="AA234" s="916" t="s">
        <v>21</v>
      </c>
      <c r="AB234" s="916" t="s">
        <v>21</v>
      </c>
      <c r="AC234" s="915"/>
      <c r="AD234" s="919" t="s">
        <v>21</v>
      </c>
      <c r="AE234" s="920" t="s">
        <v>21</v>
      </c>
      <c r="AF234" s="920" t="s">
        <v>21</v>
      </c>
      <c r="AG234" s="920" t="s">
        <v>21</v>
      </c>
      <c r="AH234" s="921" t="s">
        <v>21</v>
      </c>
      <c r="AI234" s="921" t="s">
        <v>21</v>
      </c>
      <c r="AJ234" s="920" t="s">
        <v>21</v>
      </c>
      <c r="AK234" s="920" t="s">
        <v>21</v>
      </c>
      <c r="AL234" s="921" t="s">
        <v>21</v>
      </c>
      <c r="AM234" s="921" t="s">
        <v>21</v>
      </c>
      <c r="AN234" s="920"/>
      <c r="AO234" s="920" t="s">
        <v>21</v>
      </c>
      <c r="AP234" s="919" t="s">
        <v>21</v>
      </c>
      <c r="AQ234" s="922" t="s">
        <v>21</v>
      </c>
      <c r="AR234" s="923" t="s">
        <v>21</v>
      </c>
      <c r="AS234" s="923" t="s">
        <v>21</v>
      </c>
      <c r="AT234" s="923" t="s">
        <v>21</v>
      </c>
      <c r="AU234" s="923" t="s">
        <v>21</v>
      </c>
      <c r="AV234" s="924" t="s">
        <v>21</v>
      </c>
      <c r="AW234" s="924" t="s">
        <v>21</v>
      </c>
      <c r="AX234" s="924" t="s">
        <v>21</v>
      </c>
      <c r="AY234" s="924" t="s">
        <v>21</v>
      </c>
      <c r="AZ234" s="923" t="s">
        <v>21</v>
      </c>
      <c r="BA234" s="923"/>
      <c r="BB234" s="919" t="s">
        <v>21</v>
      </c>
      <c r="BC234" s="919" t="s">
        <v>21</v>
      </c>
      <c r="BD234" s="919" t="s">
        <v>21</v>
      </c>
      <c r="BE234" s="925" t="s">
        <v>21</v>
      </c>
      <c r="BF234" s="926" t="s">
        <v>21</v>
      </c>
      <c r="BG234" s="925" t="s">
        <v>21</v>
      </c>
      <c r="BH234" s="926" t="s">
        <v>21</v>
      </c>
      <c r="BI234" s="925" t="s">
        <v>21</v>
      </c>
      <c r="BJ234" s="926" t="s">
        <v>21</v>
      </c>
      <c r="BK234" s="925" t="s">
        <v>21</v>
      </c>
      <c r="BL234" s="926" t="s">
        <v>21</v>
      </c>
      <c r="BM234" s="925" t="s">
        <v>21</v>
      </c>
      <c r="BN234" s="927"/>
      <c r="BO234" s="927"/>
      <c r="BP234" s="928" t="s">
        <v>21</v>
      </c>
      <c r="BQ234" s="928" t="s">
        <v>21</v>
      </c>
      <c r="BR234" s="928" t="s">
        <v>21</v>
      </c>
      <c r="BS234" s="928" t="s">
        <v>21</v>
      </c>
      <c r="BT234" s="928" t="s">
        <v>21</v>
      </c>
      <c r="BU234" s="928" t="s">
        <v>21</v>
      </c>
      <c r="BV234" s="929" t="s">
        <v>21</v>
      </c>
      <c r="BW234" s="929" t="s">
        <v>21</v>
      </c>
      <c r="BX234" s="1104" t="s">
        <v>21</v>
      </c>
      <c r="BY234" s="931" t="s">
        <v>21</v>
      </c>
      <c r="BZ234" s="930"/>
      <c r="CA234" s="1074"/>
      <c r="CB234" s="930"/>
      <c r="CC234" s="930"/>
      <c r="CD234" s="925" t="s">
        <v>21</v>
      </c>
      <c r="CE234" s="1130" t="s">
        <v>21</v>
      </c>
      <c r="CF234" s="1129" t="s">
        <v>21</v>
      </c>
      <c r="CG234" s="1130" t="s">
        <v>21</v>
      </c>
      <c r="CH234" s="1130" t="s">
        <v>21</v>
      </c>
      <c r="CI234" s="1131" t="s">
        <v>21</v>
      </c>
      <c r="CJ234" s="1129" t="s">
        <v>21</v>
      </c>
      <c r="CK234" s="1130" t="s">
        <v>21</v>
      </c>
      <c r="CL234" s="1130" t="s">
        <v>21</v>
      </c>
      <c r="CM234" s="1131" t="s">
        <v>21</v>
      </c>
      <c r="CN234" s="1130" t="s">
        <v>21</v>
      </c>
      <c r="CP234" s="838" t="s">
        <v>21</v>
      </c>
      <c r="CQ234" s="838" t="s">
        <v>21</v>
      </c>
      <c r="CR234" s="836"/>
    </row>
    <row r="235" spans="1:96" x14ac:dyDescent="0.25">
      <c r="A235" s="935"/>
      <c r="B235" s="932"/>
      <c r="C235" s="911"/>
      <c r="D235" s="911"/>
      <c r="E235" s="912"/>
      <c r="F235" s="912"/>
      <c r="G235" s="910"/>
      <c r="H235" s="912"/>
      <c r="I235" s="912"/>
      <c r="J235" s="914"/>
      <c r="K235" s="915"/>
      <c r="L235" s="916" t="s">
        <v>21</v>
      </c>
      <c r="M235" s="916" t="s">
        <v>21</v>
      </c>
      <c r="N235" s="916" t="s">
        <v>21</v>
      </c>
      <c r="O235" s="916" t="s">
        <v>21</v>
      </c>
      <c r="P235" s="915"/>
      <c r="Q235" s="916" t="s">
        <v>21</v>
      </c>
      <c r="R235" s="917" t="s">
        <v>21</v>
      </c>
      <c r="S235" s="918" t="s">
        <v>21</v>
      </c>
      <c r="T235" s="918" t="s">
        <v>21</v>
      </c>
      <c r="U235" s="916" t="s">
        <v>21</v>
      </c>
      <c r="V235" s="916" t="s">
        <v>21</v>
      </c>
      <c r="W235" s="915"/>
      <c r="X235" s="916" t="s">
        <v>21</v>
      </c>
      <c r="Y235" s="916" t="s">
        <v>21</v>
      </c>
      <c r="Z235" s="916" t="s">
        <v>21</v>
      </c>
      <c r="AA235" s="916" t="s">
        <v>21</v>
      </c>
      <c r="AB235" s="916" t="s">
        <v>21</v>
      </c>
      <c r="AC235" s="915"/>
      <c r="AD235" s="919" t="s">
        <v>21</v>
      </c>
      <c r="AE235" s="920" t="s">
        <v>21</v>
      </c>
      <c r="AF235" s="920" t="s">
        <v>21</v>
      </c>
      <c r="AG235" s="920" t="s">
        <v>21</v>
      </c>
      <c r="AH235" s="921" t="s">
        <v>21</v>
      </c>
      <c r="AI235" s="921" t="s">
        <v>21</v>
      </c>
      <c r="AJ235" s="920" t="s">
        <v>21</v>
      </c>
      <c r="AK235" s="920" t="s">
        <v>21</v>
      </c>
      <c r="AL235" s="921" t="s">
        <v>21</v>
      </c>
      <c r="AM235" s="921" t="s">
        <v>21</v>
      </c>
      <c r="AN235" s="920"/>
      <c r="AO235" s="920" t="s">
        <v>21</v>
      </c>
      <c r="AP235" s="919" t="s">
        <v>21</v>
      </c>
      <c r="AQ235" s="922" t="s">
        <v>21</v>
      </c>
      <c r="AR235" s="923" t="s">
        <v>21</v>
      </c>
      <c r="AS235" s="923" t="s">
        <v>21</v>
      </c>
      <c r="AT235" s="923" t="s">
        <v>21</v>
      </c>
      <c r="AU235" s="923" t="s">
        <v>21</v>
      </c>
      <c r="AV235" s="924" t="s">
        <v>21</v>
      </c>
      <c r="AW235" s="924" t="s">
        <v>21</v>
      </c>
      <c r="AX235" s="924" t="s">
        <v>21</v>
      </c>
      <c r="AY235" s="924" t="s">
        <v>21</v>
      </c>
      <c r="AZ235" s="923" t="s">
        <v>21</v>
      </c>
      <c r="BA235" s="923"/>
      <c r="BB235" s="919" t="s">
        <v>21</v>
      </c>
      <c r="BC235" s="919" t="s">
        <v>21</v>
      </c>
      <c r="BD235" s="919" t="s">
        <v>21</v>
      </c>
      <c r="BE235" s="925" t="s">
        <v>21</v>
      </c>
      <c r="BF235" s="926" t="s">
        <v>21</v>
      </c>
      <c r="BG235" s="925" t="s">
        <v>21</v>
      </c>
      <c r="BH235" s="926" t="s">
        <v>21</v>
      </c>
      <c r="BI235" s="925" t="s">
        <v>21</v>
      </c>
      <c r="BJ235" s="926" t="s">
        <v>21</v>
      </c>
      <c r="BK235" s="925" t="s">
        <v>21</v>
      </c>
      <c r="BL235" s="926" t="s">
        <v>21</v>
      </c>
      <c r="BM235" s="925" t="s">
        <v>21</v>
      </c>
      <c r="BN235" s="927"/>
      <c r="BO235" s="927"/>
      <c r="BP235" s="928" t="s">
        <v>21</v>
      </c>
      <c r="BQ235" s="928" t="s">
        <v>21</v>
      </c>
      <c r="BR235" s="928" t="s">
        <v>21</v>
      </c>
      <c r="BS235" s="928" t="s">
        <v>21</v>
      </c>
      <c r="BT235" s="928" t="s">
        <v>21</v>
      </c>
      <c r="BU235" s="928" t="s">
        <v>21</v>
      </c>
      <c r="BV235" s="929" t="s">
        <v>21</v>
      </c>
      <c r="BW235" s="929" t="s">
        <v>21</v>
      </c>
      <c r="BX235" s="1104" t="s">
        <v>21</v>
      </c>
      <c r="BY235" s="931" t="s">
        <v>21</v>
      </c>
      <c r="BZ235" s="930"/>
      <c r="CA235" s="1074"/>
      <c r="CB235" s="930"/>
      <c r="CC235" s="930"/>
      <c r="CD235" s="925" t="s">
        <v>21</v>
      </c>
      <c r="CE235" s="1130" t="s">
        <v>21</v>
      </c>
      <c r="CF235" s="1129" t="s">
        <v>21</v>
      </c>
      <c r="CG235" s="1130" t="s">
        <v>21</v>
      </c>
      <c r="CH235" s="1130" t="s">
        <v>21</v>
      </c>
      <c r="CI235" s="1131" t="s">
        <v>21</v>
      </c>
      <c r="CJ235" s="1129" t="s">
        <v>21</v>
      </c>
      <c r="CK235" s="1130" t="s">
        <v>21</v>
      </c>
      <c r="CL235" s="1130" t="s">
        <v>21</v>
      </c>
      <c r="CM235" s="1131" t="s">
        <v>21</v>
      </c>
      <c r="CN235" s="1130" t="s">
        <v>21</v>
      </c>
      <c r="CP235" s="838" t="s">
        <v>21</v>
      </c>
      <c r="CQ235" s="838" t="s">
        <v>21</v>
      </c>
      <c r="CR235" s="836"/>
    </row>
    <row r="236" spans="1:96" x14ac:dyDescent="0.25">
      <c r="A236" s="935">
        <v>5</v>
      </c>
      <c r="B236" s="932" t="s">
        <v>2235</v>
      </c>
      <c r="C236" s="911">
        <v>600</v>
      </c>
      <c r="D236" s="911" t="s">
        <v>2116</v>
      </c>
      <c r="E236" s="912">
        <v>1170</v>
      </c>
      <c r="F236" s="912">
        <v>1168.0999999999999</v>
      </c>
      <c r="G236" s="910" t="s">
        <v>3046</v>
      </c>
      <c r="H236" s="912">
        <v>1164</v>
      </c>
      <c r="I236" s="912">
        <v>1162.0999999999999</v>
      </c>
      <c r="J236" s="914">
        <v>13.65</v>
      </c>
      <c r="K236" s="915"/>
      <c r="L236" s="916">
        <v>0.1</v>
      </c>
      <c r="M236" s="916">
        <v>0.06</v>
      </c>
      <c r="N236" s="916">
        <v>0.2</v>
      </c>
      <c r="O236" s="916">
        <v>4.84</v>
      </c>
      <c r="P236" s="915"/>
      <c r="Q236" s="916">
        <v>2.16</v>
      </c>
      <c r="R236" s="917">
        <v>0.33333333333333331</v>
      </c>
      <c r="S236" s="918">
        <v>1.4</v>
      </c>
      <c r="T236" s="918">
        <v>2.84</v>
      </c>
      <c r="U236" s="916">
        <v>4.5540000000000003</v>
      </c>
      <c r="V236" s="916">
        <v>0.92</v>
      </c>
      <c r="W236" s="915"/>
      <c r="X236" s="916">
        <v>0.28299999999999997</v>
      </c>
      <c r="Y236" s="916">
        <v>0.40699999999999997</v>
      </c>
      <c r="Z236" s="916">
        <v>4.5789999999999997</v>
      </c>
      <c r="AA236" s="916">
        <v>1.0229999999999999</v>
      </c>
      <c r="AB236" s="916">
        <v>3.0089999999999999</v>
      </c>
      <c r="AC236" s="915"/>
      <c r="AD236" s="919">
        <v>66.066000000000003</v>
      </c>
      <c r="AE236" s="920">
        <v>62.503</v>
      </c>
      <c r="AF236" s="920" t="s">
        <v>21</v>
      </c>
      <c r="AG236" s="920" t="s">
        <v>21</v>
      </c>
      <c r="AH236" s="921">
        <v>62.503</v>
      </c>
      <c r="AI236" s="921" t="s">
        <v>21</v>
      </c>
      <c r="AJ236" s="920" t="s">
        <v>21</v>
      </c>
      <c r="AK236" s="920" t="s">
        <v>21</v>
      </c>
      <c r="AL236" s="921" t="s">
        <v>21</v>
      </c>
      <c r="AM236" s="921" t="s">
        <v>21</v>
      </c>
      <c r="AN236" s="920"/>
      <c r="AO236" s="920" t="s">
        <v>21</v>
      </c>
      <c r="AP236" s="919">
        <v>19.11</v>
      </c>
      <c r="AQ236" s="922">
        <v>62.162100000000002</v>
      </c>
      <c r="AR236" s="923" t="s">
        <v>21</v>
      </c>
      <c r="AS236" s="923">
        <v>62.162100000000002</v>
      </c>
      <c r="AT236" s="923" t="s">
        <v>21</v>
      </c>
      <c r="AU236" s="923" t="s">
        <v>21</v>
      </c>
      <c r="AV236" s="924" t="s">
        <v>21</v>
      </c>
      <c r="AW236" s="924" t="s">
        <v>21</v>
      </c>
      <c r="AX236" s="924" t="s">
        <v>21</v>
      </c>
      <c r="AY236" s="924" t="s">
        <v>21</v>
      </c>
      <c r="AZ236" s="923" t="s">
        <v>21</v>
      </c>
      <c r="BA236" s="923"/>
      <c r="BB236" s="919">
        <v>1.911</v>
      </c>
      <c r="BC236" s="919" t="s">
        <v>21</v>
      </c>
      <c r="BD236" s="919" t="s">
        <v>2142</v>
      </c>
      <c r="BE236" s="925" t="s">
        <v>21</v>
      </c>
      <c r="BF236" s="926" t="s">
        <v>21</v>
      </c>
      <c r="BG236" s="925">
        <v>13.65</v>
      </c>
      <c r="BH236" s="926" t="s">
        <v>21</v>
      </c>
      <c r="BI236" s="925" t="s">
        <v>21</v>
      </c>
      <c r="BJ236" s="926" t="s">
        <v>21</v>
      </c>
      <c r="BK236" s="925" t="s">
        <v>21</v>
      </c>
      <c r="BL236" s="926" t="s">
        <v>21</v>
      </c>
      <c r="BM236" s="925" t="s">
        <v>21</v>
      </c>
      <c r="BN236" s="927"/>
      <c r="BO236" s="927"/>
      <c r="BP236" s="928">
        <v>1</v>
      </c>
      <c r="BQ236" s="928" t="s">
        <v>21</v>
      </c>
      <c r="BR236" s="928" t="s">
        <v>21</v>
      </c>
      <c r="BS236" s="928" t="s">
        <v>21</v>
      </c>
      <c r="BT236" s="928" t="s">
        <v>21</v>
      </c>
      <c r="BU236" s="928" t="s">
        <v>21</v>
      </c>
      <c r="BV236" s="929">
        <v>0.50000000000009104</v>
      </c>
      <c r="BW236" s="929">
        <v>1</v>
      </c>
      <c r="BX236" s="1104">
        <v>2</v>
      </c>
      <c r="BY236" s="931">
        <v>4</v>
      </c>
      <c r="BZ236" s="930"/>
      <c r="CA236" s="1074">
        <v>1</v>
      </c>
      <c r="CB236" s="930"/>
      <c r="CC236" s="930"/>
      <c r="CD236" s="925">
        <v>13.964</v>
      </c>
      <c r="CE236" s="1130">
        <v>41.073</v>
      </c>
      <c r="CF236" s="1129" t="s">
        <v>21</v>
      </c>
      <c r="CG236" s="1130" t="s">
        <v>21</v>
      </c>
      <c r="CH236" s="1130" t="s">
        <v>21</v>
      </c>
      <c r="CI236" s="1131" t="s">
        <v>21</v>
      </c>
      <c r="CJ236" s="1129" t="s">
        <v>21</v>
      </c>
      <c r="CK236" s="1130">
        <v>41.073</v>
      </c>
      <c r="CL236" s="1130" t="s">
        <v>21</v>
      </c>
      <c r="CM236" s="1131" t="s">
        <v>21</v>
      </c>
      <c r="CN236" s="1130" t="s">
        <v>21</v>
      </c>
      <c r="CP236" s="838" t="s">
        <v>21</v>
      </c>
      <c r="CQ236" s="838" t="s">
        <v>21</v>
      </c>
      <c r="CR236" s="836"/>
    </row>
    <row r="237" spans="1:96" x14ac:dyDescent="0.25">
      <c r="A237" s="935" t="s">
        <v>3060</v>
      </c>
      <c r="B237" s="932"/>
      <c r="C237" s="911"/>
      <c r="D237" s="911"/>
      <c r="E237" s="912"/>
      <c r="F237" s="912"/>
      <c r="G237" s="910"/>
      <c r="H237" s="912"/>
      <c r="I237" s="912"/>
      <c r="J237" s="914"/>
      <c r="K237" s="915"/>
      <c r="L237" s="916" t="s">
        <v>21</v>
      </c>
      <c r="M237" s="916" t="s">
        <v>21</v>
      </c>
      <c r="N237" s="916" t="s">
        <v>21</v>
      </c>
      <c r="O237" s="916" t="s">
        <v>21</v>
      </c>
      <c r="P237" s="915"/>
      <c r="Q237" s="916" t="s">
        <v>21</v>
      </c>
      <c r="R237" s="917" t="s">
        <v>21</v>
      </c>
      <c r="S237" s="918" t="s">
        <v>21</v>
      </c>
      <c r="T237" s="918" t="s">
        <v>21</v>
      </c>
      <c r="U237" s="916" t="s">
        <v>21</v>
      </c>
      <c r="V237" s="916" t="s">
        <v>21</v>
      </c>
      <c r="W237" s="915"/>
      <c r="X237" s="916" t="s">
        <v>21</v>
      </c>
      <c r="Y237" s="916" t="s">
        <v>21</v>
      </c>
      <c r="Z237" s="916" t="s">
        <v>21</v>
      </c>
      <c r="AA237" s="916" t="s">
        <v>21</v>
      </c>
      <c r="AB237" s="916" t="s">
        <v>21</v>
      </c>
      <c r="AC237" s="915"/>
      <c r="AD237" s="919" t="s">
        <v>21</v>
      </c>
      <c r="AE237" s="920" t="s">
        <v>21</v>
      </c>
      <c r="AF237" s="920" t="s">
        <v>21</v>
      </c>
      <c r="AG237" s="920" t="s">
        <v>21</v>
      </c>
      <c r="AH237" s="921" t="s">
        <v>21</v>
      </c>
      <c r="AI237" s="921" t="s">
        <v>21</v>
      </c>
      <c r="AJ237" s="920" t="s">
        <v>21</v>
      </c>
      <c r="AK237" s="920" t="s">
        <v>21</v>
      </c>
      <c r="AL237" s="921" t="s">
        <v>21</v>
      </c>
      <c r="AM237" s="921" t="s">
        <v>21</v>
      </c>
      <c r="AN237" s="920"/>
      <c r="AO237" s="920" t="s">
        <v>21</v>
      </c>
      <c r="AP237" s="919" t="s">
        <v>21</v>
      </c>
      <c r="AQ237" s="922" t="s">
        <v>21</v>
      </c>
      <c r="AR237" s="923" t="s">
        <v>21</v>
      </c>
      <c r="AS237" s="923" t="s">
        <v>21</v>
      </c>
      <c r="AT237" s="923" t="s">
        <v>21</v>
      </c>
      <c r="AU237" s="923" t="s">
        <v>21</v>
      </c>
      <c r="AV237" s="924" t="s">
        <v>21</v>
      </c>
      <c r="AW237" s="924" t="s">
        <v>21</v>
      </c>
      <c r="AX237" s="924" t="s">
        <v>21</v>
      </c>
      <c r="AY237" s="924" t="s">
        <v>21</v>
      </c>
      <c r="AZ237" s="923" t="s">
        <v>21</v>
      </c>
      <c r="BA237" s="923"/>
      <c r="BB237" s="919" t="s">
        <v>21</v>
      </c>
      <c r="BC237" s="919" t="s">
        <v>21</v>
      </c>
      <c r="BD237" s="919" t="s">
        <v>21</v>
      </c>
      <c r="BE237" s="925" t="s">
        <v>21</v>
      </c>
      <c r="BF237" s="926" t="s">
        <v>21</v>
      </c>
      <c r="BG237" s="925" t="s">
        <v>21</v>
      </c>
      <c r="BH237" s="926" t="s">
        <v>21</v>
      </c>
      <c r="BI237" s="925" t="s">
        <v>21</v>
      </c>
      <c r="BJ237" s="926" t="s">
        <v>21</v>
      </c>
      <c r="BK237" s="925" t="s">
        <v>21</v>
      </c>
      <c r="BL237" s="926" t="s">
        <v>21</v>
      </c>
      <c r="BM237" s="925" t="s">
        <v>21</v>
      </c>
      <c r="BN237" s="927"/>
      <c r="BO237" s="927"/>
      <c r="BP237" s="928" t="s">
        <v>21</v>
      </c>
      <c r="BQ237" s="928" t="s">
        <v>21</v>
      </c>
      <c r="BR237" s="928" t="s">
        <v>21</v>
      </c>
      <c r="BS237" s="928" t="s">
        <v>21</v>
      </c>
      <c r="BT237" s="928" t="s">
        <v>21</v>
      </c>
      <c r="BU237" s="928" t="s">
        <v>21</v>
      </c>
      <c r="BV237" s="929" t="s">
        <v>21</v>
      </c>
      <c r="BW237" s="929" t="s">
        <v>21</v>
      </c>
      <c r="BX237" s="1104" t="s">
        <v>21</v>
      </c>
      <c r="BY237" s="931" t="s">
        <v>21</v>
      </c>
      <c r="BZ237" s="930"/>
      <c r="CA237" s="1074"/>
      <c r="CB237" s="930"/>
      <c r="CC237" s="930"/>
      <c r="CD237" s="925" t="s">
        <v>21</v>
      </c>
      <c r="CE237" s="1130" t="s">
        <v>21</v>
      </c>
      <c r="CF237" s="1129" t="s">
        <v>21</v>
      </c>
      <c r="CG237" s="1130" t="s">
        <v>21</v>
      </c>
      <c r="CH237" s="1130" t="s">
        <v>21</v>
      </c>
      <c r="CI237" s="1131" t="s">
        <v>21</v>
      </c>
      <c r="CJ237" s="1129" t="s">
        <v>21</v>
      </c>
      <c r="CK237" s="1130" t="s">
        <v>21</v>
      </c>
      <c r="CL237" s="1130" t="s">
        <v>21</v>
      </c>
      <c r="CM237" s="1131" t="s">
        <v>21</v>
      </c>
      <c r="CN237" s="1130" t="s">
        <v>21</v>
      </c>
      <c r="CP237" s="838" t="s">
        <v>21</v>
      </c>
      <c r="CQ237" s="838" t="s">
        <v>21</v>
      </c>
      <c r="CR237" s="836"/>
    </row>
    <row r="238" spans="1:96" x14ac:dyDescent="0.25">
      <c r="A238" s="935" t="s">
        <v>3065</v>
      </c>
      <c r="B238" s="932"/>
      <c r="C238" s="911"/>
      <c r="D238" s="911"/>
      <c r="E238" s="912"/>
      <c r="F238" s="912"/>
      <c r="G238" s="910"/>
      <c r="H238" s="912"/>
      <c r="I238" s="912"/>
      <c r="J238" s="914"/>
      <c r="K238" s="915"/>
      <c r="L238" s="916" t="s">
        <v>21</v>
      </c>
      <c r="M238" s="916" t="s">
        <v>21</v>
      </c>
      <c r="N238" s="916" t="s">
        <v>21</v>
      </c>
      <c r="O238" s="916" t="s">
        <v>21</v>
      </c>
      <c r="P238" s="915"/>
      <c r="Q238" s="916" t="s">
        <v>21</v>
      </c>
      <c r="R238" s="917" t="s">
        <v>21</v>
      </c>
      <c r="S238" s="918" t="s">
        <v>21</v>
      </c>
      <c r="T238" s="918" t="s">
        <v>21</v>
      </c>
      <c r="U238" s="916" t="s">
        <v>21</v>
      </c>
      <c r="V238" s="916" t="s">
        <v>21</v>
      </c>
      <c r="W238" s="915"/>
      <c r="X238" s="916" t="s">
        <v>21</v>
      </c>
      <c r="Y238" s="916" t="s">
        <v>21</v>
      </c>
      <c r="Z238" s="916" t="s">
        <v>21</v>
      </c>
      <c r="AA238" s="916" t="s">
        <v>21</v>
      </c>
      <c r="AB238" s="916" t="s">
        <v>21</v>
      </c>
      <c r="AC238" s="915"/>
      <c r="AD238" s="919" t="s">
        <v>21</v>
      </c>
      <c r="AE238" s="920" t="s">
        <v>21</v>
      </c>
      <c r="AF238" s="920" t="s">
        <v>21</v>
      </c>
      <c r="AG238" s="920" t="s">
        <v>21</v>
      </c>
      <c r="AH238" s="921" t="s">
        <v>21</v>
      </c>
      <c r="AI238" s="921" t="s">
        <v>21</v>
      </c>
      <c r="AJ238" s="920" t="s">
        <v>21</v>
      </c>
      <c r="AK238" s="920" t="s">
        <v>21</v>
      </c>
      <c r="AL238" s="921" t="s">
        <v>21</v>
      </c>
      <c r="AM238" s="921" t="s">
        <v>21</v>
      </c>
      <c r="AN238" s="920"/>
      <c r="AO238" s="920" t="s">
        <v>21</v>
      </c>
      <c r="AP238" s="919" t="s">
        <v>21</v>
      </c>
      <c r="AQ238" s="922" t="s">
        <v>21</v>
      </c>
      <c r="AR238" s="923" t="s">
        <v>21</v>
      </c>
      <c r="AS238" s="923" t="s">
        <v>21</v>
      </c>
      <c r="AT238" s="923" t="s">
        <v>21</v>
      </c>
      <c r="AU238" s="923" t="s">
        <v>21</v>
      </c>
      <c r="AV238" s="924" t="s">
        <v>21</v>
      </c>
      <c r="AW238" s="924" t="s">
        <v>21</v>
      </c>
      <c r="AX238" s="924" t="s">
        <v>21</v>
      </c>
      <c r="AY238" s="924" t="s">
        <v>21</v>
      </c>
      <c r="AZ238" s="923" t="s">
        <v>21</v>
      </c>
      <c r="BA238" s="923"/>
      <c r="BB238" s="919" t="s">
        <v>21</v>
      </c>
      <c r="BC238" s="919" t="s">
        <v>21</v>
      </c>
      <c r="BD238" s="919" t="s">
        <v>21</v>
      </c>
      <c r="BE238" s="925" t="s">
        <v>21</v>
      </c>
      <c r="BF238" s="926" t="s">
        <v>21</v>
      </c>
      <c r="BG238" s="925" t="s">
        <v>21</v>
      </c>
      <c r="BH238" s="926" t="s">
        <v>21</v>
      </c>
      <c r="BI238" s="925" t="s">
        <v>21</v>
      </c>
      <c r="BJ238" s="926" t="s">
        <v>21</v>
      </c>
      <c r="BK238" s="925" t="s">
        <v>21</v>
      </c>
      <c r="BL238" s="926" t="s">
        <v>21</v>
      </c>
      <c r="BM238" s="925" t="s">
        <v>21</v>
      </c>
      <c r="BN238" s="927"/>
      <c r="BO238" s="927"/>
      <c r="BP238" s="928" t="s">
        <v>21</v>
      </c>
      <c r="BQ238" s="928" t="s">
        <v>21</v>
      </c>
      <c r="BR238" s="928" t="s">
        <v>21</v>
      </c>
      <c r="BS238" s="928" t="s">
        <v>21</v>
      </c>
      <c r="BT238" s="928" t="s">
        <v>21</v>
      </c>
      <c r="BU238" s="928" t="s">
        <v>21</v>
      </c>
      <c r="BV238" s="929" t="s">
        <v>21</v>
      </c>
      <c r="BW238" s="929" t="s">
        <v>21</v>
      </c>
      <c r="BX238" s="1104" t="s">
        <v>21</v>
      </c>
      <c r="BY238" s="931" t="s">
        <v>21</v>
      </c>
      <c r="BZ238" s="930"/>
      <c r="CA238" s="1074"/>
      <c r="CB238" s="930"/>
      <c r="CC238" s="930"/>
      <c r="CD238" s="925" t="s">
        <v>21</v>
      </c>
      <c r="CE238" s="1130" t="s">
        <v>21</v>
      </c>
      <c r="CF238" s="1129" t="s">
        <v>21</v>
      </c>
      <c r="CG238" s="1130" t="s">
        <v>21</v>
      </c>
      <c r="CH238" s="1130" t="s">
        <v>21</v>
      </c>
      <c r="CI238" s="1131" t="s">
        <v>21</v>
      </c>
      <c r="CJ238" s="1129" t="s">
        <v>21</v>
      </c>
      <c r="CK238" s="1130" t="s">
        <v>21</v>
      </c>
      <c r="CL238" s="1130" t="s">
        <v>21</v>
      </c>
      <c r="CM238" s="1131" t="s">
        <v>21</v>
      </c>
      <c r="CN238" s="1130" t="s">
        <v>21</v>
      </c>
      <c r="CP238" s="838" t="s">
        <v>21</v>
      </c>
      <c r="CQ238" s="838" t="s">
        <v>21</v>
      </c>
      <c r="CR238" s="836"/>
    </row>
    <row r="239" spans="1:96" x14ac:dyDescent="0.25">
      <c r="A239" s="935" t="s">
        <v>3083</v>
      </c>
      <c r="B239" s="932"/>
      <c r="C239" s="911"/>
      <c r="D239" s="911"/>
      <c r="E239" s="912"/>
      <c r="F239" s="912"/>
      <c r="G239" s="910"/>
      <c r="H239" s="912"/>
      <c r="I239" s="912"/>
      <c r="J239" s="914"/>
      <c r="K239" s="915"/>
      <c r="L239" s="916" t="s">
        <v>21</v>
      </c>
      <c r="M239" s="916" t="s">
        <v>21</v>
      </c>
      <c r="N239" s="916" t="s">
        <v>21</v>
      </c>
      <c r="O239" s="916" t="s">
        <v>21</v>
      </c>
      <c r="P239" s="915"/>
      <c r="Q239" s="916" t="s">
        <v>21</v>
      </c>
      <c r="R239" s="917" t="s">
        <v>21</v>
      </c>
      <c r="S239" s="918" t="s">
        <v>21</v>
      </c>
      <c r="T239" s="918" t="s">
        <v>21</v>
      </c>
      <c r="U239" s="916" t="s">
        <v>21</v>
      </c>
      <c r="V239" s="916" t="s">
        <v>21</v>
      </c>
      <c r="W239" s="915"/>
      <c r="X239" s="916" t="s">
        <v>21</v>
      </c>
      <c r="Y239" s="916" t="s">
        <v>21</v>
      </c>
      <c r="Z239" s="916" t="s">
        <v>21</v>
      </c>
      <c r="AA239" s="916" t="s">
        <v>21</v>
      </c>
      <c r="AB239" s="916" t="s">
        <v>21</v>
      </c>
      <c r="AC239" s="915"/>
      <c r="AD239" s="919" t="s">
        <v>21</v>
      </c>
      <c r="AE239" s="920" t="s">
        <v>21</v>
      </c>
      <c r="AF239" s="920" t="s">
        <v>21</v>
      </c>
      <c r="AG239" s="920" t="s">
        <v>21</v>
      </c>
      <c r="AH239" s="921" t="s">
        <v>21</v>
      </c>
      <c r="AI239" s="921" t="s">
        <v>21</v>
      </c>
      <c r="AJ239" s="920" t="s">
        <v>21</v>
      </c>
      <c r="AK239" s="920" t="s">
        <v>21</v>
      </c>
      <c r="AL239" s="921" t="s">
        <v>21</v>
      </c>
      <c r="AM239" s="921" t="s">
        <v>21</v>
      </c>
      <c r="AN239" s="920"/>
      <c r="AO239" s="920" t="s">
        <v>21</v>
      </c>
      <c r="AP239" s="919" t="s">
        <v>21</v>
      </c>
      <c r="AQ239" s="922" t="s">
        <v>21</v>
      </c>
      <c r="AR239" s="923" t="s">
        <v>21</v>
      </c>
      <c r="AS239" s="923" t="s">
        <v>21</v>
      </c>
      <c r="AT239" s="923" t="s">
        <v>21</v>
      </c>
      <c r="AU239" s="923" t="s">
        <v>21</v>
      </c>
      <c r="AV239" s="924" t="s">
        <v>21</v>
      </c>
      <c r="AW239" s="924" t="s">
        <v>21</v>
      </c>
      <c r="AX239" s="924" t="s">
        <v>21</v>
      </c>
      <c r="AY239" s="924" t="s">
        <v>21</v>
      </c>
      <c r="AZ239" s="923" t="s">
        <v>21</v>
      </c>
      <c r="BA239" s="923"/>
      <c r="BB239" s="919" t="s">
        <v>21</v>
      </c>
      <c r="BC239" s="919" t="s">
        <v>21</v>
      </c>
      <c r="BD239" s="919" t="s">
        <v>21</v>
      </c>
      <c r="BE239" s="925" t="s">
        <v>21</v>
      </c>
      <c r="BF239" s="926" t="s">
        <v>21</v>
      </c>
      <c r="BG239" s="925" t="s">
        <v>21</v>
      </c>
      <c r="BH239" s="926" t="s">
        <v>21</v>
      </c>
      <c r="BI239" s="925" t="s">
        <v>21</v>
      </c>
      <c r="BJ239" s="926" t="s">
        <v>21</v>
      </c>
      <c r="BK239" s="925" t="s">
        <v>21</v>
      </c>
      <c r="BL239" s="926" t="s">
        <v>21</v>
      </c>
      <c r="BM239" s="925" t="s">
        <v>21</v>
      </c>
      <c r="BN239" s="927"/>
      <c r="BO239" s="927"/>
      <c r="BP239" s="928" t="s">
        <v>21</v>
      </c>
      <c r="BQ239" s="928" t="s">
        <v>21</v>
      </c>
      <c r="BR239" s="928" t="s">
        <v>21</v>
      </c>
      <c r="BS239" s="928" t="s">
        <v>21</v>
      </c>
      <c r="BT239" s="928" t="s">
        <v>21</v>
      </c>
      <c r="BU239" s="928" t="s">
        <v>21</v>
      </c>
      <c r="BV239" s="929" t="s">
        <v>21</v>
      </c>
      <c r="BW239" s="929" t="s">
        <v>21</v>
      </c>
      <c r="BX239" s="1104" t="s">
        <v>21</v>
      </c>
      <c r="BY239" s="931" t="s">
        <v>21</v>
      </c>
      <c r="BZ239" s="930"/>
      <c r="CA239" s="1074"/>
      <c r="CB239" s="930"/>
      <c r="CC239" s="930"/>
      <c r="CD239" s="925" t="s">
        <v>21</v>
      </c>
      <c r="CE239" s="1130" t="s">
        <v>21</v>
      </c>
      <c r="CF239" s="1129" t="s">
        <v>21</v>
      </c>
      <c r="CG239" s="1130" t="s">
        <v>21</v>
      </c>
      <c r="CH239" s="1130" t="s">
        <v>21</v>
      </c>
      <c r="CI239" s="1131" t="s">
        <v>21</v>
      </c>
      <c r="CJ239" s="1129" t="s">
        <v>21</v>
      </c>
      <c r="CK239" s="1130" t="s">
        <v>21</v>
      </c>
      <c r="CL239" s="1130" t="s">
        <v>21</v>
      </c>
      <c r="CM239" s="1131" t="s">
        <v>21</v>
      </c>
      <c r="CN239" s="1130" t="s">
        <v>21</v>
      </c>
      <c r="CP239" s="838" t="s">
        <v>21</v>
      </c>
      <c r="CQ239" s="838" t="s">
        <v>21</v>
      </c>
      <c r="CR239" s="836"/>
    </row>
    <row r="240" spans="1:96" x14ac:dyDescent="0.25">
      <c r="A240" s="935"/>
      <c r="B240" s="932"/>
      <c r="C240" s="911"/>
      <c r="D240" s="911"/>
      <c r="E240" s="912"/>
      <c r="F240" s="912"/>
      <c r="G240" s="910"/>
      <c r="H240" s="912"/>
      <c r="I240" s="912"/>
      <c r="J240" s="914"/>
      <c r="K240" s="915"/>
      <c r="L240" s="916" t="s">
        <v>21</v>
      </c>
      <c r="M240" s="916" t="s">
        <v>21</v>
      </c>
      <c r="N240" s="916" t="s">
        <v>21</v>
      </c>
      <c r="O240" s="916" t="s">
        <v>21</v>
      </c>
      <c r="P240" s="915"/>
      <c r="Q240" s="916" t="s">
        <v>21</v>
      </c>
      <c r="R240" s="917" t="s">
        <v>21</v>
      </c>
      <c r="S240" s="918" t="s">
        <v>21</v>
      </c>
      <c r="T240" s="918" t="s">
        <v>21</v>
      </c>
      <c r="U240" s="916" t="s">
        <v>21</v>
      </c>
      <c r="V240" s="916" t="s">
        <v>21</v>
      </c>
      <c r="W240" s="915"/>
      <c r="X240" s="916" t="s">
        <v>21</v>
      </c>
      <c r="Y240" s="916" t="s">
        <v>21</v>
      </c>
      <c r="Z240" s="916" t="s">
        <v>21</v>
      </c>
      <c r="AA240" s="916" t="s">
        <v>21</v>
      </c>
      <c r="AB240" s="916" t="s">
        <v>21</v>
      </c>
      <c r="AC240" s="915"/>
      <c r="AD240" s="919" t="s">
        <v>21</v>
      </c>
      <c r="AE240" s="920" t="s">
        <v>21</v>
      </c>
      <c r="AF240" s="920" t="s">
        <v>21</v>
      </c>
      <c r="AG240" s="920" t="s">
        <v>21</v>
      </c>
      <c r="AH240" s="921" t="s">
        <v>21</v>
      </c>
      <c r="AI240" s="921" t="s">
        <v>21</v>
      </c>
      <c r="AJ240" s="920" t="s">
        <v>21</v>
      </c>
      <c r="AK240" s="920" t="s">
        <v>21</v>
      </c>
      <c r="AL240" s="921" t="s">
        <v>21</v>
      </c>
      <c r="AM240" s="921" t="s">
        <v>21</v>
      </c>
      <c r="AN240" s="920"/>
      <c r="AO240" s="920" t="s">
        <v>21</v>
      </c>
      <c r="AP240" s="919" t="s">
        <v>21</v>
      </c>
      <c r="AQ240" s="922" t="s">
        <v>21</v>
      </c>
      <c r="AR240" s="923" t="s">
        <v>21</v>
      </c>
      <c r="AS240" s="923" t="s">
        <v>21</v>
      </c>
      <c r="AT240" s="923" t="s">
        <v>21</v>
      </c>
      <c r="AU240" s="923" t="s">
        <v>21</v>
      </c>
      <c r="AV240" s="924" t="s">
        <v>21</v>
      </c>
      <c r="AW240" s="924" t="s">
        <v>21</v>
      </c>
      <c r="AX240" s="924" t="s">
        <v>21</v>
      </c>
      <c r="AY240" s="924" t="s">
        <v>21</v>
      </c>
      <c r="AZ240" s="923" t="s">
        <v>21</v>
      </c>
      <c r="BA240" s="923"/>
      <c r="BB240" s="919" t="s">
        <v>21</v>
      </c>
      <c r="BC240" s="919" t="s">
        <v>21</v>
      </c>
      <c r="BD240" s="919" t="s">
        <v>21</v>
      </c>
      <c r="BE240" s="925" t="s">
        <v>21</v>
      </c>
      <c r="BF240" s="926" t="s">
        <v>21</v>
      </c>
      <c r="BG240" s="925" t="s">
        <v>21</v>
      </c>
      <c r="BH240" s="926" t="s">
        <v>21</v>
      </c>
      <c r="BI240" s="925" t="s">
        <v>21</v>
      </c>
      <c r="BJ240" s="926" t="s">
        <v>21</v>
      </c>
      <c r="BK240" s="925" t="s">
        <v>21</v>
      </c>
      <c r="BL240" s="926" t="s">
        <v>21</v>
      </c>
      <c r="BM240" s="925" t="s">
        <v>21</v>
      </c>
      <c r="BN240" s="927"/>
      <c r="BO240" s="927"/>
      <c r="BP240" s="928" t="s">
        <v>21</v>
      </c>
      <c r="BQ240" s="928" t="s">
        <v>21</v>
      </c>
      <c r="BR240" s="928" t="s">
        <v>21</v>
      </c>
      <c r="BS240" s="928" t="s">
        <v>21</v>
      </c>
      <c r="BT240" s="928" t="s">
        <v>21</v>
      </c>
      <c r="BU240" s="928" t="s">
        <v>21</v>
      </c>
      <c r="BV240" s="929" t="s">
        <v>21</v>
      </c>
      <c r="BW240" s="929" t="s">
        <v>21</v>
      </c>
      <c r="BX240" s="1104" t="s">
        <v>21</v>
      </c>
      <c r="BY240" s="931" t="s">
        <v>21</v>
      </c>
      <c r="BZ240" s="930"/>
      <c r="CA240" s="1074"/>
      <c r="CB240" s="930"/>
      <c r="CC240" s="930"/>
      <c r="CD240" s="925" t="s">
        <v>21</v>
      </c>
      <c r="CE240" s="1130" t="s">
        <v>21</v>
      </c>
      <c r="CF240" s="1129" t="s">
        <v>21</v>
      </c>
      <c r="CG240" s="1130" t="s">
        <v>21</v>
      </c>
      <c r="CH240" s="1130" t="s">
        <v>21</v>
      </c>
      <c r="CI240" s="1131" t="s">
        <v>21</v>
      </c>
      <c r="CJ240" s="1129" t="s">
        <v>21</v>
      </c>
      <c r="CK240" s="1130" t="s">
        <v>21</v>
      </c>
      <c r="CL240" s="1130" t="s">
        <v>21</v>
      </c>
      <c r="CM240" s="1131" t="s">
        <v>21</v>
      </c>
      <c r="CN240" s="1130" t="s">
        <v>21</v>
      </c>
      <c r="CP240" s="838" t="s">
        <v>21</v>
      </c>
      <c r="CQ240" s="838" t="s">
        <v>21</v>
      </c>
      <c r="CR240" s="836"/>
    </row>
    <row r="241" spans="1:96" x14ac:dyDescent="0.25">
      <c r="A241" s="935">
        <v>6</v>
      </c>
      <c r="B241" s="932" t="s">
        <v>2236</v>
      </c>
      <c r="C241" s="911">
        <v>600</v>
      </c>
      <c r="D241" s="911" t="s">
        <v>2116</v>
      </c>
      <c r="E241" s="912">
        <v>1171.3</v>
      </c>
      <c r="F241" s="912">
        <v>1169.4000000000001</v>
      </c>
      <c r="G241" s="910" t="s">
        <v>3048</v>
      </c>
      <c r="H241" s="912">
        <v>1164</v>
      </c>
      <c r="I241" s="912">
        <v>1162.0999999999999</v>
      </c>
      <c r="J241" s="914">
        <v>43.06</v>
      </c>
      <c r="K241" s="915"/>
      <c r="L241" s="916">
        <v>0.1</v>
      </c>
      <c r="M241" s="916">
        <v>0.06</v>
      </c>
      <c r="N241" s="916">
        <v>0.2</v>
      </c>
      <c r="O241" s="916">
        <v>4.84</v>
      </c>
      <c r="P241" s="915"/>
      <c r="Q241" s="916">
        <v>2.16</v>
      </c>
      <c r="R241" s="917">
        <v>0.33333333333333331</v>
      </c>
      <c r="S241" s="918">
        <v>1.4</v>
      </c>
      <c r="T241" s="918">
        <v>2.84</v>
      </c>
      <c r="U241" s="916">
        <v>4.5540000000000003</v>
      </c>
      <c r="V241" s="916">
        <v>0.92</v>
      </c>
      <c r="W241" s="915"/>
      <c r="X241" s="916">
        <v>0.28299999999999997</v>
      </c>
      <c r="Y241" s="916">
        <v>0.40699999999999997</v>
      </c>
      <c r="Z241" s="916">
        <v>4.5789999999999997</v>
      </c>
      <c r="AA241" s="916">
        <v>1.0229999999999999</v>
      </c>
      <c r="AB241" s="916">
        <v>3.0089999999999999</v>
      </c>
      <c r="AC241" s="915"/>
      <c r="AD241" s="919">
        <v>208.41</v>
      </c>
      <c r="AE241" s="920">
        <v>197.172</v>
      </c>
      <c r="AF241" s="920" t="s">
        <v>21</v>
      </c>
      <c r="AG241" s="920" t="s">
        <v>21</v>
      </c>
      <c r="AH241" s="921">
        <v>197.172</v>
      </c>
      <c r="AI241" s="921" t="s">
        <v>21</v>
      </c>
      <c r="AJ241" s="920" t="s">
        <v>21</v>
      </c>
      <c r="AK241" s="920" t="s">
        <v>21</v>
      </c>
      <c r="AL241" s="921" t="s">
        <v>21</v>
      </c>
      <c r="AM241" s="921" t="s">
        <v>21</v>
      </c>
      <c r="AN241" s="920"/>
      <c r="AO241" s="920" t="s">
        <v>21</v>
      </c>
      <c r="AP241" s="919">
        <v>60.283999999999999</v>
      </c>
      <c r="AQ241" s="922">
        <v>196.09524000000002</v>
      </c>
      <c r="AR241" s="923" t="s">
        <v>21</v>
      </c>
      <c r="AS241" s="923">
        <v>196.09524000000002</v>
      </c>
      <c r="AT241" s="923" t="s">
        <v>21</v>
      </c>
      <c r="AU241" s="923" t="s">
        <v>21</v>
      </c>
      <c r="AV241" s="924" t="s">
        <v>21</v>
      </c>
      <c r="AW241" s="924" t="s">
        <v>21</v>
      </c>
      <c r="AX241" s="924" t="s">
        <v>21</v>
      </c>
      <c r="AY241" s="924" t="s">
        <v>21</v>
      </c>
      <c r="AZ241" s="923" t="s">
        <v>21</v>
      </c>
      <c r="BA241" s="923"/>
      <c r="BB241" s="919">
        <v>6.0279999999999996</v>
      </c>
      <c r="BC241" s="919" t="s">
        <v>21</v>
      </c>
      <c r="BD241" s="919" t="s">
        <v>2142</v>
      </c>
      <c r="BE241" s="925" t="s">
        <v>21</v>
      </c>
      <c r="BF241" s="926" t="s">
        <v>21</v>
      </c>
      <c r="BG241" s="925">
        <v>43.06</v>
      </c>
      <c r="BH241" s="926" t="s">
        <v>21</v>
      </c>
      <c r="BI241" s="925" t="s">
        <v>21</v>
      </c>
      <c r="BJ241" s="926" t="s">
        <v>21</v>
      </c>
      <c r="BK241" s="925" t="s">
        <v>21</v>
      </c>
      <c r="BL241" s="926" t="s">
        <v>21</v>
      </c>
      <c r="BM241" s="925" t="s">
        <v>21</v>
      </c>
      <c r="BN241" s="927"/>
      <c r="BO241" s="927"/>
      <c r="BP241" s="928">
        <v>1</v>
      </c>
      <c r="BQ241" s="928" t="s">
        <v>21</v>
      </c>
      <c r="BR241" s="928" t="s">
        <v>21</v>
      </c>
      <c r="BS241" s="928" t="s">
        <v>21</v>
      </c>
      <c r="BT241" s="928" t="s">
        <v>21</v>
      </c>
      <c r="BU241" s="928" t="s">
        <v>21</v>
      </c>
      <c r="BV241" s="929">
        <v>0.49999999999986366</v>
      </c>
      <c r="BW241" s="929">
        <v>0.5</v>
      </c>
      <c r="BX241" s="1104">
        <v>1</v>
      </c>
      <c r="BY241" s="931">
        <v>3</v>
      </c>
      <c r="BZ241" s="930"/>
      <c r="CA241" s="1074">
        <v>1</v>
      </c>
      <c r="CB241" s="930"/>
      <c r="CC241" s="930"/>
      <c r="CD241" s="925">
        <v>44.05</v>
      </c>
      <c r="CE241" s="1130">
        <v>129.56800000000001</v>
      </c>
      <c r="CF241" s="1129" t="s">
        <v>21</v>
      </c>
      <c r="CG241" s="1130" t="s">
        <v>21</v>
      </c>
      <c r="CH241" s="1130" t="s">
        <v>21</v>
      </c>
      <c r="CI241" s="1131" t="s">
        <v>21</v>
      </c>
      <c r="CJ241" s="1129" t="s">
        <v>21</v>
      </c>
      <c r="CK241" s="1130">
        <v>129.56800000000001</v>
      </c>
      <c r="CL241" s="1130" t="s">
        <v>21</v>
      </c>
      <c r="CM241" s="1131" t="s">
        <v>21</v>
      </c>
      <c r="CN241" s="1130" t="s">
        <v>21</v>
      </c>
      <c r="CP241" s="838" t="s">
        <v>21</v>
      </c>
      <c r="CQ241" s="838" t="s">
        <v>21</v>
      </c>
      <c r="CR241" s="836"/>
    </row>
    <row r="242" spans="1:96" x14ac:dyDescent="0.25">
      <c r="A242" s="935" t="s">
        <v>3060</v>
      </c>
      <c r="B242" s="932"/>
      <c r="C242" s="911"/>
      <c r="D242" s="911"/>
      <c r="E242" s="912"/>
      <c r="F242" s="912"/>
      <c r="G242" s="910"/>
      <c r="H242" s="912"/>
      <c r="I242" s="912"/>
      <c r="J242" s="914"/>
      <c r="K242" s="915"/>
      <c r="L242" s="916" t="s">
        <v>21</v>
      </c>
      <c r="M242" s="916" t="s">
        <v>21</v>
      </c>
      <c r="N242" s="916" t="s">
        <v>21</v>
      </c>
      <c r="O242" s="916" t="s">
        <v>21</v>
      </c>
      <c r="P242" s="915"/>
      <c r="Q242" s="916" t="s">
        <v>21</v>
      </c>
      <c r="R242" s="917" t="s">
        <v>21</v>
      </c>
      <c r="S242" s="918" t="s">
        <v>21</v>
      </c>
      <c r="T242" s="918" t="s">
        <v>21</v>
      </c>
      <c r="U242" s="916" t="s">
        <v>21</v>
      </c>
      <c r="V242" s="916" t="s">
        <v>21</v>
      </c>
      <c r="W242" s="915"/>
      <c r="X242" s="916" t="s">
        <v>21</v>
      </c>
      <c r="Y242" s="916" t="s">
        <v>21</v>
      </c>
      <c r="Z242" s="916" t="s">
        <v>21</v>
      </c>
      <c r="AA242" s="916" t="s">
        <v>21</v>
      </c>
      <c r="AB242" s="916" t="s">
        <v>21</v>
      </c>
      <c r="AC242" s="915"/>
      <c r="AD242" s="919" t="s">
        <v>21</v>
      </c>
      <c r="AE242" s="920" t="s">
        <v>21</v>
      </c>
      <c r="AF242" s="920" t="s">
        <v>21</v>
      </c>
      <c r="AG242" s="920" t="s">
        <v>21</v>
      </c>
      <c r="AH242" s="921" t="s">
        <v>21</v>
      </c>
      <c r="AI242" s="921" t="s">
        <v>21</v>
      </c>
      <c r="AJ242" s="920" t="s">
        <v>21</v>
      </c>
      <c r="AK242" s="920" t="s">
        <v>21</v>
      </c>
      <c r="AL242" s="921" t="s">
        <v>21</v>
      </c>
      <c r="AM242" s="921" t="s">
        <v>21</v>
      </c>
      <c r="AN242" s="920"/>
      <c r="AO242" s="920" t="s">
        <v>21</v>
      </c>
      <c r="AP242" s="919" t="s">
        <v>21</v>
      </c>
      <c r="AQ242" s="922" t="s">
        <v>21</v>
      </c>
      <c r="AR242" s="923" t="s">
        <v>21</v>
      </c>
      <c r="AS242" s="923" t="s">
        <v>21</v>
      </c>
      <c r="AT242" s="923" t="s">
        <v>21</v>
      </c>
      <c r="AU242" s="923" t="s">
        <v>21</v>
      </c>
      <c r="AV242" s="924" t="s">
        <v>21</v>
      </c>
      <c r="AW242" s="924" t="s">
        <v>21</v>
      </c>
      <c r="AX242" s="924" t="s">
        <v>21</v>
      </c>
      <c r="AY242" s="924" t="s">
        <v>21</v>
      </c>
      <c r="AZ242" s="923" t="s">
        <v>21</v>
      </c>
      <c r="BA242" s="923"/>
      <c r="BB242" s="919" t="s">
        <v>21</v>
      </c>
      <c r="BC242" s="919" t="s">
        <v>21</v>
      </c>
      <c r="BD242" s="919" t="s">
        <v>21</v>
      </c>
      <c r="BE242" s="925" t="s">
        <v>21</v>
      </c>
      <c r="BF242" s="926" t="s">
        <v>21</v>
      </c>
      <c r="BG242" s="925" t="s">
        <v>21</v>
      </c>
      <c r="BH242" s="926" t="s">
        <v>21</v>
      </c>
      <c r="BI242" s="925" t="s">
        <v>21</v>
      </c>
      <c r="BJ242" s="926" t="s">
        <v>21</v>
      </c>
      <c r="BK242" s="925" t="s">
        <v>21</v>
      </c>
      <c r="BL242" s="926" t="s">
        <v>21</v>
      </c>
      <c r="BM242" s="925" t="s">
        <v>21</v>
      </c>
      <c r="BN242" s="927"/>
      <c r="BO242" s="927"/>
      <c r="BP242" s="928" t="s">
        <v>21</v>
      </c>
      <c r="BQ242" s="928" t="s">
        <v>21</v>
      </c>
      <c r="BR242" s="928" t="s">
        <v>21</v>
      </c>
      <c r="BS242" s="928" t="s">
        <v>21</v>
      </c>
      <c r="BT242" s="928" t="s">
        <v>21</v>
      </c>
      <c r="BU242" s="928" t="s">
        <v>21</v>
      </c>
      <c r="BV242" s="929" t="s">
        <v>21</v>
      </c>
      <c r="BW242" s="929" t="s">
        <v>21</v>
      </c>
      <c r="BX242" s="1104" t="s">
        <v>21</v>
      </c>
      <c r="BY242" s="931" t="s">
        <v>21</v>
      </c>
      <c r="BZ242" s="930"/>
      <c r="CA242" s="1074"/>
      <c r="CB242" s="930"/>
      <c r="CC242" s="930"/>
      <c r="CD242" s="925" t="s">
        <v>21</v>
      </c>
      <c r="CE242" s="1130" t="s">
        <v>21</v>
      </c>
      <c r="CF242" s="1129" t="s">
        <v>21</v>
      </c>
      <c r="CG242" s="1130" t="s">
        <v>21</v>
      </c>
      <c r="CH242" s="1130" t="s">
        <v>21</v>
      </c>
      <c r="CI242" s="1131" t="s">
        <v>21</v>
      </c>
      <c r="CJ242" s="1129" t="s">
        <v>21</v>
      </c>
      <c r="CK242" s="1130" t="s">
        <v>21</v>
      </c>
      <c r="CL242" s="1130" t="s">
        <v>21</v>
      </c>
      <c r="CM242" s="1131" t="s">
        <v>21</v>
      </c>
      <c r="CN242" s="1130" t="s">
        <v>21</v>
      </c>
      <c r="CP242" s="838" t="s">
        <v>21</v>
      </c>
      <c r="CQ242" s="838" t="s">
        <v>21</v>
      </c>
      <c r="CR242" s="836"/>
    </row>
    <row r="243" spans="1:96" x14ac:dyDescent="0.25">
      <c r="A243" s="935" t="s">
        <v>3065</v>
      </c>
      <c r="B243" s="932"/>
      <c r="C243" s="911"/>
      <c r="D243" s="911"/>
      <c r="E243" s="912"/>
      <c r="F243" s="912"/>
      <c r="G243" s="910"/>
      <c r="H243" s="912"/>
      <c r="I243" s="912"/>
      <c r="J243" s="914"/>
      <c r="K243" s="915"/>
      <c r="L243" s="916" t="s">
        <v>21</v>
      </c>
      <c r="M243" s="916" t="s">
        <v>21</v>
      </c>
      <c r="N243" s="916" t="s">
        <v>21</v>
      </c>
      <c r="O243" s="916" t="s">
        <v>21</v>
      </c>
      <c r="P243" s="915"/>
      <c r="Q243" s="916" t="s">
        <v>21</v>
      </c>
      <c r="R243" s="917" t="s">
        <v>21</v>
      </c>
      <c r="S243" s="918" t="s">
        <v>21</v>
      </c>
      <c r="T243" s="918" t="s">
        <v>21</v>
      </c>
      <c r="U243" s="916" t="s">
        <v>21</v>
      </c>
      <c r="V243" s="916" t="s">
        <v>21</v>
      </c>
      <c r="W243" s="915"/>
      <c r="X243" s="916" t="s">
        <v>21</v>
      </c>
      <c r="Y243" s="916" t="s">
        <v>21</v>
      </c>
      <c r="Z243" s="916" t="s">
        <v>21</v>
      </c>
      <c r="AA243" s="916" t="s">
        <v>21</v>
      </c>
      <c r="AB243" s="916" t="s">
        <v>21</v>
      </c>
      <c r="AC243" s="915"/>
      <c r="AD243" s="919" t="s">
        <v>21</v>
      </c>
      <c r="AE243" s="920" t="s">
        <v>21</v>
      </c>
      <c r="AF243" s="920" t="s">
        <v>21</v>
      </c>
      <c r="AG243" s="920" t="s">
        <v>21</v>
      </c>
      <c r="AH243" s="921" t="s">
        <v>21</v>
      </c>
      <c r="AI243" s="921" t="s">
        <v>21</v>
      </c>
      <c r="AJ243" s="920" t="s">
        <v>21</v>
      </c>
      <c r="AK243" s="920" t="s">
        <v>21</v>
      </c>
      <c r="AL243" s="921" t="s">
        <v>21</v>
      </c>
      <c r="AM243" s="921" t="s">
        <v>21</v>
      </c>
      <c r="AN243" s="920"/>
      <c r="AO243" s="920" t="s">
        <v>21</v>
      </c>
      <c r="AP243" s="919" t="s">
        <v>21</v>
      </c>
      <c r="AQ243" s="922" t="s">
        <v>21</v>
      </c>
      <c r="AR243" s="923" t="s">
        <v>21</v>
      </c>
      <c r="AS243" s="923" t="s">
        <v>21</v>
      </c>
      <c r="AT243" s="923" t="s">
        <v>21</v>
      </c>
      <c r="AU243" s="923" t="s">
        <v>21</v>
      </c>
      <c r="AV243" s="924" t="s">
        <v>21</v>
      </c>
      <c r="AW243" s="924" t="s">
        <v>21</v>
      </c>
      <c r="AX243" s="924" t="s">
        <v>21</v>
      </c>
      <c r="AY243" s="924" t="s">
        <v>21</v>
      </c>
      <c r="AZ243" s="923" t="s">
        <v>21</v>
      </c>
      <c r="BA243" s="923"/>
      <c r="BB243" s="919" t="s">
        <v>21</v>
      </c>
      <c r="BC243" s="919" t="s">
        <v>21</v>
      </c>
      <c r="BD243" s="919" t="s">
        <v>21</v>
      </c>
      <c r="BE243" s="925" t="s">
        <v>21</v>
      </c>
      <c r="BF243" s="926" t="s">
        <v>21</v>
      </c>
      <c r="BG243" s="925" t="s">
        <v>21</v>
      </c>
      <c r="BH243" s="926" t="s">
        <v>21</v>
      </c>
      <c r="BI243" s="925" t="s">
        <v>21</v>
      </c>
      <c r="BJ243" s="926" t="s">
        <v>21</v>
      </c>
      <c r="BK243" s="925" t="s">
        <v>21</v>
      </c>
      <c r="BL243" s="926" t="s">
        <v>21</v>
      </c>
      <c r="BM243" s="925" t="s">
        <v>21</v>
      </c>
      <c r="BN243" s="927"/>
      <c r="BO243" s="927"/>
      <c r="BP243" s="928" t="s">
        <v>21</v>
      </c>
      <c r="BQ243" s="928" t="s">
        <v>21</v>
      </c>
      <c r="BR243" s="928" t="s">
        <v>21</v>
      </c>
      <c r="BS243" s="928" t="s">
        <v>21</v>
      </c>
      <c r="BT243" s="928" t="s">
        <v>21</v>
      </c>
      <c r="BU243" s="928" t="s">
        <v>21</v>
      </c>
      <c r="BV243" s="929" t="s">
        <v>21</v>
      </c>
      <c r="BW243" s="929" t="s">
        <v>21</v>
      </c>
      <c r="BX243" s="1104" t="s">
        <v>21</v>
      </c>
      <c r="BY243" s="931" t="s">
        <v>21</v>
      </c>
      <c r="BZ243" s="930"/>
      <c r="CA243" s="1074"/>
      <c r="CB243" s="930"/>
      <c r="CC243" s="930"/>
      <c r="CD243" s="925" t="s">
        <v>21</v>
      </c>
      <c r="CE243" s="1130" t="s">
        <v>21</v>
      </c>
      <c r="CF243" s="1129" t="s">
        <v>21</v>
      </c>
      <c r="CG243" s="1130" t="s">
        <v>21</v>
      </c>
      <c r="CH243" s="1130" t="s">
        <v>21</v>
      </c>
      <c r="CI243" s="1131" t="s">
        <v>21</v>
      </c>
      <c r="CJ243" s="1129" t="s">
        <v>21</v>
      </c>
      <c r="CK243" s="1130" t="s">
        <v>21</v>
      </c>
      <c r="CL243" s="1130" t="s">
        <v>21</v>
      </c>
      <c r="CM243" s="1131" t="s">
        <v>21</v>
      </c>
      <c r="CN243" s="1130" t="s">
        <v>21</v>
      </c>
      <c r="CP243" s="838" t="s">
        <v>21</v>
      </c>
      <c r="CQ243" s="838" t="s">
        <v>21</v>
      </c>
      <c r="CR243" s="836"/>
    </row>
    <row r="244" spans="1:96" x14ac:dyDescent="0.25">
      <c r="A244" s="935" t="s">
        <v>3083</v>
      </c>
      <c r="B244" s="932"/>
      <c r="C244" s="911"/>
      <c r="D244" s="911"/>
      <c r="E244" s="912"/>
      <c r="F244" s="912"/>
      <c r="G244" s="910"/>
      <c r="H244" s="912"/>
      <c r="I244" s="912"/>
      <c r="J244" s="914"/>
      <c r="K244" s="915"/>
      <c r="L244" s="916" t="s">
        <v>21</v>
      </c>
      <c r="M244" s="916" t="s">
        <v>21</v>
      </c>
      <c r="N244" s="916" t="s">
        <v>21</v>
      </c>
      <c r="O244" s="916" t="s">
        <v>21</v>
      </c>
      <c r="P244" s="915"/>
      <c r="Q244" s="916" t="s">
        <v>21</v>
      </c>
      <c r="R244" s="917" t="s">
        <v>21</v>
      </c>
      <c r="S244" s="918" t="s">
        <v>21</v>
      </c>
      <c r="T244" s="918" t="s">
        <v>21</v>
      </c>
      <c r="U244" s="916" t="s">
        <v>21</v>
      </c>
      <c r="V244" s="916" t="s">
        <v>21</v>
      </c>
      <c r="W244" s="915"/>
      <c r="X244" s="916" t="s">
        <v>21</v>
      </c>
      <c r="Y244" s="916" t="s">
        <v>21</v>
      </c>
      <c r="Z244" s="916" t="s">
        <v>21</v>
      </c>
      <c r="AA244" s="916" t="s">
        <v>21</v>
      </c>
      <c r="AB244" s="916" t="s">
        <v>21</v>
      </c>
      <c r="AC244" s="915"/>
      <c r="AD244" s="919" t="s">
        <v>21</v>
      </c>
      <c r="AE244" s="920" t="s">
        <v>21</v>
      </c>
      <c r="AF244" s="920" t="s">
        <v>21</v>
      </c>
      <c r="AG244" s="920" t="s">
        <v>21</v>
      </c>
      <c r="AH244" s="921" t="s">
        <v>21</v>
      </c>
      <c r="AI244" s="921" t="s">
        <v>21</v>
      </c>
      <c r="AJ244" s="920" t="s">
        <v>21</v>
      </c>
      <c r="AK244" s="920" t="s">
        <v>21</v>
      </c>
      <c r="AL244" s="921" t="s">
        <v>21</v>
      </c>
      <c r="AM244" s="921" t="s">
        <v>21</v>
      </c>
      <c r="AN244" s="920"/>
      <c r="AO244" s="920" t="s">
        <v>21</v>
      </c>
      <c r="AP244" s="919" t="s">
        <v>21</v>
      </c>
      <c r="AQ244" s="922" t="s">
        <v>21</v>
      </c>
      <c r="AR244" s="923" t="s">
        <v>21</v>
      </c>
      <c r="AS244" s="923" t="s">
        <v>21</v>
      </c>
      <c r="AT244" s="923" t="s">
        <v>21</v>
      </c>
      <c r="AU244" s="923" t="s">
        <v>21</v>
      </c>
      <c r="AV244" s="924" t="s">
        <v>21</v>
      </c>
      <c r="AW244" s="924" t="s">
        <v>21</v>
      </c>
      <c r="AX244" s="924" t="s">
        <v>21</v>
      </c>
      <c r="AY244" s="924" t="s">
        <v>21</v>
      </c>
      <c r="AZ244" s="923" t="s">
        <v>21</v>
      </c>
      <c r="BA244" s="923"/>
      <c r="BB244" s="919" t="s">
        <v>21</v>
      </c>
      <c r="BC244" s="919" t="s">
        <v>21</v>
      </c>
      <c r="BD244" s="919" t="s">
        <v>21</v>
      </c>
      <c r="BE244" s="925" t="s">
        <v>21</v>
      </c>
      <c r="BF244" s="926" t="s">
        <v>21</v>
      </c>
      <c r="BG244" s="925" t="s">
        <v>21</v>
      </c>
      <c r="BH244" s="926" t="s">
        <v>21</v>
      </c>
      <c r="BI244" s="925" t="s">
        <v>21</v>
      </c>
      <c r="BJ244" s="926" t="s">
        <v>21</v>
      </c>
      <c r="BK244" s="925" t="s">
        <v>21</v>
      </c>
      <c r="BL244" s="926" t="s">
        <v>21</v>
      </c>
      <c r="BM244" s="925" t="s">
        <v>21</v>
      </c>
      <c r="BN244" s="927"/>
      <c r="BO244" s="927"/>
      <c r="BP244" s="928" t="s">
        <v>21</v>
      </c>
      <c r="BQ244" s="928" t="s">
        <v>21</v>
      </c>
      <c r="BR244" s="928" t="s">
        <v>21</v>
      </c>
      <c r="BS244" s="928" t="s">
        <v>21</v>
      </c>
      <c r="BT244" s="928" t="s">
        <v>21</v>
      </c>
      <c r="BU244" s="928" t="s">
        <v>21</v>
      </c>
      <c r="BV244" s="929" t="s">
        <v>21</v>
      </c>
      <c r="BW244" s="929" t="s">
        <v>21</v>
      </c>
      <c r="BX244" s="1104" t="s">
        <v>21</v>
      </c>
      <c r="BY244" s="931" t="s">
        <v>21</v>
      </c>
      <c r="BZ244" s="930"/>
      <c r="CA244" s="1074"/>
      <c r="CB244" s="930"/>
      <c r="CC244" s="930"/>
      <c r="CD244" s="925" t="s">
        <v>21</v>
      </c>
      <c r="CE244" s="1130" t="s">
        <v>21</v>
      </c>
      <c r="CF244" s="1129" t="s">
        <v>21</v>
      </c>
      <c r="CG244" s="1130" t="s">
        <v>21</v>
      </c>
      <c r="CH244" s="1130" t="s">
        <v>21</v>
      </c>
      <c r="CI244" s="1131" t="s">
        <v>21</v>
      </c>
      <c r="CJ244" s="1129" t="s">
        <v>21</v>
      </c>
      <c r="CK244" s="1130" t="s">
        <v>21</v>
      </c>
      <c r="CL244" s="1130" t="s">
        <v>21</v>
      </c>
      <c r="CM244" s="1131" t="s">
        <v>21</v>
      </c>
      <c r="CN244" s="1130" t="s">
        <v>21</v>
      </c>
      <c r="CP244" s="838" t="s">
        <v>21</v>
      </c>
      <c r="CQ244" s="838" t="s">
        <v>21</v>
      </c>
      <c r="CR244" s="836"/>
    </row>
    <row r="245" spans="1:96" x14ac:dyDescent="0.25">
      <c r="A245" s="935"/>
      <c r="B245" s="932"/>
      <c r="C245" s="911"/>
      <c r="D245" s="911"/>
      <c r="E245" s="912"/>
      <c r="F245" s="912"/>
      <c r="G245" s="910"/>
      <c r="H245" s="912"/>
      <c r="I245" s="912"/>
      <c r="J245" s="914"/>
      <c r="K245" s="915"/>
      <c r="L245" s="916" t="s">
        <v>21</v>
      </c>
      <c r="M245" s="916" t="s">
        <v>21</v>
      </c>
      <c r="N245" s="916" t="s">
        <v>21</v>
      </c>
      <c r="O245" s="916" t="s">
        <v>21</v>
      </c>
      <c r="P245" s="915"/>
      <c r="Q245" s="916" t="s">
        <v>21</v>
      </c>
      <c r="R245" s="917" t="s">
        <v>21</v>
      </c>
      <c r="S245" s="918" t="s">
        <v>21</v>
      </c>
      <c r="T245" s="918" t="s">
        <v>21</v>
      </c>
      <c r="U245" s="916" t="s">
        <v>21</v>
      </c>
      <c r="V245" s="916" t="s">
        <v>21</v>
      </c>
      <c r="W245" s="915"/>
      <c r="X245" s="916" t="s">
        <v>21</v>
      </c>
      <c r="Y245" s="916" t="s">
        <v>21</v>
      </c>
      <c r="Z245" s="916" t="s">
        <v>21</v>
      </c>
      <c r="AA245" s="916" t="s">
        <v>21</v>
      </c>
      <c r="AB245" s="916" t="s">
        <v>21</v>
      </c>
      <c r="AC245" s="915"/>
      <c r="AD245" s="919" t="s">
        <v>21</v>
      </c>
      <c r="AE245" s="920" t="s">
        <v>21</v>
      </c>
      <c r="AF245" s="920" t="s">
        <v>21</v>
      </c>
      <c r="AG245" s="920" t="s">
        <v>21</v>
      </c>
      <c r="AH245" s="921" t="s">
        <v>21</v>
      </c>
      <c r="AI245" s="921" t="s">
        <v>21</v>
      </c>
      <c r="AJ245" s="920" t="s">
        <v>21</v>
      </c>
      <c r="AK245" s="920" t="s">
        <v>21</v>
      </c>
      <c r="AL245" s="921" t="s">
        <v>21</v>
      </c>
      <c r="AM245" s="921" t="s">
        <v>21</v>
      </c>
      <c r="AN245" s="920"/>
      <c r="AO245" s="920" t="s">
        <v>21</v>
      </c>
      <c r="AP245" s="919" t="s">
        <v>21</v>
      </c>
      <c r="AQ245" s="922" t="s">
        <v>21</v>
      </c>
      <c r="AR245" s="923" t="s">
        <v>21</v>
      </c>
      <c r="AS245" s="923" t="s">
        <v>21</v>
      </c>
      <c r="AT245" s="923" t="s">
        <v>21</v>
      </c>
      <c r="AU245" s="923" t="s">
        <v>21</v>
      </c>
      <c r="AV245" s="924" t="s">
        <v>21</v>
      </c>
      <c r="AW245" s="924" t="s">
        <v>21</v>
      </c>
      <c r="AX245" s="924" t="s">
        <v>21</v>
      </c>
      <c r="AY245" s="924" t="s">
        <v>21</v>
      </c>
      <c r="AZ245" s="923" t="s">
        <v>21</v>
      </c>
      <c r="BA245" s="923"/>
      <c r="BB245" s="919" t="s">
        <v>21</v>
      </c>
      <c r="BC245" s="919" t="s">
        <v>21</v>
      </c>
      <c r="BD245" s="919" t="s">
        <v>21</v>
      </c>
      <c r="BE245" s="925" t="s">
        <v>21</v>
      </c>
      <c r="BF245" s="926" t="s">
        <v>21</v>
      </c>
      <c r="BG245" s="925" t="s">
        <v>21</v>
      </c>
      <c r="BH245" s="926" t="s">
        <v>21</v>
      </c>
      <c r="BI245" s="925" t="s">
        <v>21</v>
      </c>
      <c r="BJ245" s="926" t="s">
        <v>21</v>
      </c>
      <c r="BK245" s="925" t="s">
        <v>21</v>
      </c>
      <c r="BL245" s="926" t="s">
        <v>21</v>
      </c>
      <c r="BM245" s="925" t="s">
        <v>21</v>
      </c>
      <c r="BN245" s="927"/>
      <c r="BO245" s="927"/>
      <c r="BP245" s="928" t="s">
        <v>21</v>
      </c>
      <c r="BQ245" s="928" t="s">
        <v>21</v>
      </c>
      <c r="BR245" s="928" t="s">
        <v>21</v>
      </c>
      <c r="BS245" s="928" t="s">
        <v>21</v>
      </c>
      <c r="BT245" s="928" t="s">
        <v>21</v>
      </c>
      <c r="BU245" s="928" t="s">
        <v>21</v>
      </c>
      <c r="BV245" s="929" t="s">
        <v>21</v>
      </c>
      <c r="BW245" s="929" t="s">
        <v>21</v>
      </c>
      <c r="BX245" s="1104" t="s">
        <v>21</v>
      </c>
      <c r="BY245" s="931" t="s">
        <v>21</v>
      </c>
      <c r="BZ245" s="930"/>
      <c r="CA245" s="1074"/>
      <c r="CB245" s="930"/>
      <c r="CC245" s="930"/>
      <c r="CD245" s="925" t="s">
        <v>21</v>
      </c>
      <c r="CE245" s="1130" t="s">
        <v>21</v>
      </c>
      <c r="CF245" s="1129" t="s">
        <v>21</v>
      </c>
      <c r="CG245" s="1130" t="s">
        <v>21</v>
      </c>
      <c r="CH245" s="1130" t="s">
        <v>21</v>
      </c>
      <c r="CI245" s="1131" t="s">
        <v>21</v>
      </c>
      <c r="CJ245" s="1129" t="s">
        <v>21</v>
      </c>
      <c r="CK245" s="1130" t="s">
        <v>21</v>
      </c>
      <c r="CL245" s="1130" t="s">
        <v>21</v>
      </c>
      <c r="CM245" s="1131" t="s">
        <v>21</v>
      </c>
      <c r="CN245" s="1130" t="s">
        <v>21</v>
      </c>
      <c r="CP245" s="838" t="s">
        <v>21</v>
      </c>
      <c r="CQ245" s="838" t="s">
        <v>21</v>
      </c>
      <c r="CR245" s="836"/>
    </row>
    <row r="246" spans="1:96" x14ac:dyDescent="0.25">
      <c r="A246" s="935">
        <v>7</v>
      </c>
      <c r="B246" s="932" t="s">
        <v>2269</v>
      </c>
      <c r="C246" s="911">
        <v>600</v>
      </c>
      <c r="D246" s="911" t="s">
        <v>2116</v>
      </c>
      <c r="E246" s="912">
        <v>1169</v>
      </c>
      <c r="F246" s="912">
        <v>1167.0999999999999</v>
      </c>
      <c r="G246" s="910" t="s">
        <v>3051</v>
      </c>
      <c r="H246" s="912">
        <v>1163</v>
      </c>
      <c r="I246" s="912">
        <v>1161.0999999999999</v>
      </c>
      <c r="J246" s="914">
        <v>13.97</v>
      </c>
      <c r="K246" s="915"/>
      <c r="L246" s="916">
        <v>0.1</v>
      </c>
      <c r="M246" s="916">
        <v>0.06</v>
      </c>
      <c r="N246" s="916">
        <v>0.2</v>
      </c>
      <c r="O246" s="916">
        <v>4.84</v>
      </c>
      <c r="P246" s="915"/>
      <c r="Q246" s="916">
        <v>2.16</v>
      </c>
      <c r="R246" s="917">
        <v>0.33333333333333331</v>
      </c>
      <c r="S246" s="918">
        <v>1.4</v>
      </c>
      <c r="T246" s="918">
        <v>2.84</v>
      </c>
      <c r="U246" s="916">
        <v>4.5540000000000003</v>
      </c>
      <c r="V246" s="916">
        <v>0.92</v>
      </c>
      <c r="W246" s="915"/>
      <c r="X246" s="916">
        <v>0.28299999999999997</v>
      </c>
      <c r="Y246" s="916">
        <v>0.40699999999999997</v>
      </c>
      <c r="Z246" s="916">
        <v>4.5789999999999997</v>
      </c>
      <c r="AA246" s="916">
        <v>1.0229999999999999</v>
      </c>
      <c r="AB246" s="916">
        <v>3.0089999999999999</v>
      </c>
      <c r="AC246" s="915"/>
      <c r="AD246" s="919">
        <v>67.614999999999995</v>
      </c>
      <c r="AE246" s="920">
        <v>63.969000000000001</v>
      </c>
      <c r="AF246" s="920" t="s">
        <v>21</v>
      </c>
      <c r="AG246" s="920" t="s">
        <v>21</v>
      </c>
      <c r="AH246" s="921">
        <v>63.969000000000001</v>
      </c>
      <c r="AI246" s="921" t="s">
        <v>21</v>
      </c>
      <c r="AJ246" s="920" t="s">
        <v>21</v>
      </c>
      <c r="AK246" s="920" t="s">
        <v>21</v>
      </c>
      <c r="AL246" s="921" t="s">
        <v>21</v>
      </c>
      <c r="AM246" s="921" t="s">
        <v>21</v>
      </c>
      <c r="AN246" s="920"/>
      <c r="AO246" s="920" t="s">
        <v>21</v>
      </c>
      <c r="AP246" s="919">
        <v>19.558</v>
      </c>
      <c r="AQ246" s="922">
        <v>63.619380000000007</v>
      </c>
      <c r="AR246" s="923" t="s">
        <v>21</v>
      </c>
      <c r="AS246" s="923">
        <v>63.619380000000007</v>
      </c>
      <c r="AT246" s="923" t="s">
        <v>21</v>
      </c>
      <c r="AU246" s="923" t="s">
        <v>21</v>
      </c>
      <c r="AV246" s="924" t="s">
        <v>21</v>
      </c>
      <c r="AW246" s="924" t="s">
        <v>21</v>
      </c>
      <c r="AX246" s="924" t="s">
        <v>21</v>
      </c>
      <c r="AY246" s="924" t="s">
        <v>21</v>
      </c>
      <c r="AZ246" s="923" t="s">
        <v>21</v>
      </c>
      <c r="BA246" s="923"/>
      <c r="BB246" s="919">
        <v>1.956</v>
      </c>
      <c r="BC246" s="919" t="s">
        <v>21</v>
      </c>
      <c r="BD246" s="919" t="s">
        <v>2142</v>
      </c>
      <c r="BE246" s="925" t="s">
        <v>21</v>
      </c>
      <c r="BF246" s="926" t="s">
        <v>21</v>
      </c>
      <c r="BG246" s="925">
        <v>13.97</v>
      </c>
      <c r="BH246" s="926" t="s">
        <v>21</v>
      </c>
      <c r="BI246" s="925" t="s">
        <v>21</v>
      </c>
      <c r="BJ246" s="926" t="s">
        <v>21</v>
      </c>
      <c r="BK246" s="925" t="s">
        <v>21</v>
      </c>
      <c r="BL246" s="926" t="s">
        <v>21</v>
      </c>
      <c r="BM246" s="925" t="s">
        <v>21</v>
      </c>
      <c r="BN246" s="927"/>
      <c r="BO246" s="927"/>
      <c r="BP246" s="928">
        <v>1</v>
      </c>
      <c r="BQ246" s="928" t="s">
        <v>21</v>
      </c>
      <c r="BR246" s="928" t="s">
        <v>21</v>
      </c>
      <c r="BS246" s="928" t="s">
        <v>21</v>
      </c>
      <c r="BT246" s="928" t="s">
        <v>21</v>
      </c>
      <c r="BU246" s="928" t="s">
        <v>21</v>
      </c>
      <c r="BV246" s="929">
        <v>0.50000000000009104</v>
      </c>
      <c r="BW246" s="929">
        <v>1</v>
      </c>
      <c r="BX246" s="1104">
        <v>2</v>
      </c>
      <c r="BY246" s="931">
        <v>4</v>
      </c>
      <c r="BZ246" s="930"/>
      <c r="CA246" s="1074">
        <v>1</v>
      </c>
      <c r="CB246" s="930"/>
      <c r="CC246" s="930"/>
      <c r="CD246" s="925">
        <v>14.291</v>
      </c>
      <c r="CE246" s="1130">
        <v>42.036000000000001</v>
      </c>
      <c r="CF246" s="1129" t="s">
        <v>21</v>
      </c>
      <c r="CG246" s="1130" t="s">
        <v>21</v>
      </c>
      <c r="CH246" s="1130" t="s">
        <v>21</v>
      </c>
      <c r="CI246" s="1131" t="s">
        <v>21</v>
      </c>
      <c r="CJ246" s="1129" t="s">
        <v>21</v>
      </c>
      <c r="CK246" s="1130">
        <v>42.036000000000001</v>
      </c>
      <c r="CL246" s="1130" t="s">
        <v>21</v>
      </c>
      <c r="CM246" s="1131" t="s">
        <v>21</v>
      </c>
      <c r="CN246" s="1130" t="s">
        <v>21</v>
      </c>
      <c r="CP246" s="838" t="s">
        <v>21</v>
      </c>
      <c r="CQ246" s="838" t="s">
        <v>21</v>
      </c>
      <c r="CR246" s="836"/>
    </row>
    <row r="247" spans="1:96" x14ac:dyDescent="0.25">
      <c r="A247" s="935" t="s">
        <v>3060</v>
      </c>
      <c r="B247" s="932"/>
      <c r="C247" s="911"/>
      <c r="D247" s="911"/>
      <c r="E247" s="912"/>
      <c r="F247" s="912"/>
      <c r="G247" s="910"/>
      <c r="H247" s="912"/>
      <c r="I247" s="912"/>
      <c r="J247" s="914"/>
      <c r="K247" s="915"/>
      <c r="L247" s="916" t="s">
        <v>21</v>
      </c>
      <c r="M247" s="916" t="s">
        <v>21</v>
      </c>
      <c r="N247" s="916" t="s">
        <v>21</v>
      </c>
      <c r="O247" s="916" t="s">
        <v>21</v>
      </c>
      <c r="P247" s="915"/>
      <c r="Q247" s="916" t="s">
        <v>21</v>
      </c>
      <c r="R247" s="917" t="s">
        <v>21</v>
      </c>
      <c r="S247" s="918" t="s">
        <v>21</v>
      </c>
      <c r="T247" s="918" t="s">
        <v>21</v>
      </c>
      <c r="U247" s="916" t="s">
        <v>21</v>
      </c>
      <c r="V247" s="916" t="s">
        <v>21</v>
      </c>
      <c r="W247" s="915"/>
      <c r="X247" s="916" t="s">
        <v>21</v>
      </c>
      <c r="Y247" s="916" t="s">
        <v>21</v>
      </c>
      <c r="Z247" s="916" t="s">
        <v>21</v>
      </c>
      <c r="AA247" s="916" t="s">
        <v>21</v>
      </c>
      <c r="AB247" s="916" t="s">
        <v>21</v>
      </c>
      <c r="AC247" s="915"/>
      <c r="AD247" s="919" t="s">
        <v>21</v>
      </c>
      <c r="AE247" s="920" t="s">
        <v>21</v>
      </c>
      <c r="AF247" s="920" t="s">
        <v>21</v>
      </c>
      <c r="AG247" s="920" t="s">
        <v>21</v>
      </c>
      <c r="AH247" s="921" t="s">
        <v>21</v>
      </c>
      <c r="AI247" s="921" t="s">
        <v>21</v>
      </c>
      <c r="AJ247" s="920" t="s">
        <v>21</v>
      </c>
      <c r="AK247" s="920" t="s">
        <v>21</v>
      </c>
      <c r="AL247" s="921" t="s">
        <v>21</v>
      </c>
      <c r="AM247" s="921" t="s">
        <v>21</v>
      </c>
      <c r="AN247" s="920"/>
      <c r="AO247" s="920" t="s">
        <v>21</v>
      </c>
      <c r="AP247" s="919" t="s">
        <v>21</v>
      </c>
      <c r="AQ247" s="922" t="s">
        <v>21</v>
      </c>
      <c r="AR247" s="923" t="s">
        <v>21</v>
      </c>
      <c r="AS247" s="923" t="s">
        <v>21</v>
      </c>
      <c r="AT247" s="923" t="s">
        <v>21</v>
      </c>
      <c r="AU247" s="923" t="s">
        <v>21</v>
      </c>
      <c r="AV247" s="924" t="s">
        <v>21</v>
      </c>
      <c r="AW247" s="924" t="s">
        <v>21</v>
      </c>
      <c r="AX247" s="924" t="s">
        <v>21</v>
      </c>
      <c r="AY247" s="924" t="s">
        <v>21</v>
      </c>
      <c r="AZ247" s="923" t="s">
        <v>21</v>
      </c>
      <c r="BA247" s="923"/>
      <c r="BB247" s="919" t="s">
        <v>21</v>
      </c>
      <c r="BC247" s="919" t="s">
        <v>21</v>
      </c>
      <c r="BD247" s="919" t="s">
        <v>21</v>
      </c>
      <c r="BE247" s="925" t="s">
        <v>21</v>
      </c>
      <c r="BF247" s="926" t="s">
        <v>21</v>
      </c>
      <c r="BG247" s="925" t="s">
        <v>21</v>
      </c>
      <c r="BH247" s="926" t="s">
        <v>21</v>
      </c>
      <c r="BI247" s="925" t="s">
        <v>21</v>
      </c>
      <c r="BJ247" s="926" t="s">
        <v>21</v>
      </c>
      <c r="BK247" s="925" t="s">
        <v>21</v>
      </c>
      <c r="BL247" s="926" t="s">
        <v>21</v>
      </c>
      <c r="BM247" s="925" t="s">
        <v>21</v>
      </c>
      <c r="BN247" s="927"/>
      <c r="BO247" s="927"/>
      <c r="BP247" s="928" t="s">
        <v>21</v>
      </c>
      <c r="BQ247" s="928" t="s">
        <v>21</v>
      </c>
      <c r="BR247" s="928" t="s">
        <v>21</v>
      </c>
      <c r="BS247" s="928" t="s">
        <v>21</v>
      </c>
      <c r="BT247" s="928" t="s">
        <v>21</v>
      </c>
      <c r="BU247" s="928" t="s">
        <v>21</v>
      </c>
      <c r="BV247" s="929" t="s">
        <v>21</v>
      </c>
      <c r="BW247" s="929" t="s">
        <v>21</v>
      </c>
      <c r="BX247" s="1104" t="s">
        <v>21</v>
      </c>
      <c r="BY247" s="931" t="s">
        <v>21</v>
      </c>
      <c r="BZ247" s="930"/>
      <c r="CA247" s="1074"/>
      <c r="CB247" s="930"/>
      <c r="CC247" s="930"/>
      <c r="CD247" s="925" t="s">
        <v>21</v>
      </c>
      <c r="CE247" s="1130" t="s">
        <v>21</v>
      </c>
      <c r="CF247" s="1129" t="s">
        <v>21</v>
      </c>
      <c r="CG247" s="1130" t="s">
        <v>21</v>
      </c>
      <c r="CH247" s="1130" t="s">
        <v>21</v>
      </c>
      <c r="CI247" s="1131" t="s">
        <v>21</v>
      </c>
      <c r="CJ247" s="1129" t="s">
        <v>21</v>
      </c>
      <c r="CK247" s="1130" t="s">
        <v>21</v>
      </c>
      <c r="CL247" s="1130" t="s">
        <v>21</v>
      </c>
      <c r="CM247" s="1131" t="s">
        <v>21</v>
      </c>
      <c r="CN247" s="1130" t="s">
        <v>21</v>
      </c>
      <c r="CP247" s="838" t="s">
        <v>21</v>
      </c>
      <c r="CQ247" s="838" t="s">
        <v>21</v>
      </c>
      <c r="CR247" s="836"/>
    </row>
    <row r="248" spans="1:96" x14ac:dyDescent="0.25">
      <c r="A248" s="935" t="s">
        <v>3065</v>
      </c>
      <c r="B248" s="932"/>
      <c r="C248" s="911"/>
      <c r="D248" s="911"/>
      <c r="E248" s="912"/>
      <c r="F248" s="912"/>
      <c r="G248" s="910"/>
      <c r="H248" s="912"/>
      <c r="I248" s="912"/>
      <c r="J248" s="914"/>
      <c r="K248" s="915"/>
      <c r="L248" s="916" t="s">
        <v>21</v>
      </c>
      <c r="M248" s="916" t="s">
        <v>21</v>
      </c>
      <c r="N248" s="916" t="s">
        <v>21</v>
      </c>
      <c r="O248" s="916" t="s">
        <v>21</v>
      </c>
      <c r="P248" s="915"/>
      <c r="Q248" s="916" t="s">
        <v>21</v>
      </c>
      <c r="R248" s="917" t="s">
        <v>21</v>
      </c>
      <c r="S248" s="918" t="s">
        <v>21</v>
      </c>
      <c r="T248" s="918" t="s">
        <v>21</v>
      </c>
      <c r="U248" s="916" t="s">
        <v>21</v>
      </c>
      <c r="V248" s="916" t="s">
        <v>21</v>
      </c>
      <c r="W248" s="915"/>
      <c r="X248" s="916" t="s">
        <v>21</v>
      </c>
      <c r="Y248" s="916" t="s">
        <v>21</v>
      </c>
      <c r="Z248" s="916" t="s">
        <v>21</v>
      </c>
      <c r="AA248" s="916" t="s">
        <v>21</v>
      </c>
      <c r="AB248" s="916" t="s">
        <v>21</v>
      </c>
      <c r="AC248" s="915"/>
      <c r="AD248" s="919" t="s">
        <v>21</v>
      </c>
      <c r="AE248" s="920" t="s">
        <v>21</v>
      </c>
      <c r="AF248" s="920" t="s">
        <v>21</v>
      </c>
      <c r="AG248" s="920" t="s">
        <v>21</v>
      </c>
      <c r="AH248" s="921" t="s">
        <v>21</v>
      </c>
      <c r="AI248" s="921" t="s">
        <v>21</v>
      </c>
      <c r="AJ248" s="920" t="s">
        <v>21</v>
      </c>
      <c r="AK248" s="920" t="s">
        <v>21</v>
      </c>
      <c r="AL248" s="921" t="s">
        <v>21</v>
      </c>
      <c r="AM248" s="921" t="s">
        <v>21</v>
      </c>
      <c r="AN248" s="920"/>
      <c r="AO248" s="920" t="s">
        <v>21</v>
      </c>
      <c r="AP248" s="919" t="s">
        <v>21</v>
      </c>
      <c r="AQ248" s="922" t="s">
        <v>21</v>
      </c>
      <c r="AR248" s="923" t="s">
        <v>21</v>
      </c>
      <c r="AS248" s="923" t="s">
        <v>21</v>
      </c>
      <c r="AT248" s="923" t="s">
        <v>21</v>
      </c>
      <c r="AU248" s="923" t="s">
        <v>21</v>
      </c>
      <c r="AV248" s="924" t="s">
        <v>21</v>
      </c>
      <c r="AW248" s="924" t="s">
        <v>21</v>
      </c>
      <c r="AX248" s="924" t="s">
        <v>21</v>
      </c>
      <c r="AY248" s="924" t="s">
        <v>21</v>
      </c>
      <c r="AZ248" s="923" t="s">
        <v>21</v>
      </c>
      <c r="BA248" s="923"/>
      <c r="BB248" s="919" t="s">
        <v>21</v>
      </c>
      <c r="BC248" s="919" t="s">
        <v>21</v>
      </c>
      <c r="BD248" s="919" t="s">
        <v>21</v>
      </c>
      <c r="BE248" s="925" t="s">
        <v>21</v>
      </c>
      <c r="BF248" s="926" t="s">
        <v>21</v>
      </c>
      <c r="BG248" s="925" t="s">
        <v>21</v>
      </c>
      <c r="BH248" s="926" t="s">
        <v>21</v>
      </c>
      <c r="BI248" s="925" t="s">
        <v>21</v>
      </c>
      <c r="BJ248" s="926" t="s">
        <v>21</v>
      </c>
      <c r="BK248" s="925" t="s">
        <v>21</v>
      </c>
      <c r="BL248" s="926" t="s">
        <v>21</v>
      </c>
      <c r="BM248" s="925" t="s">
        <v>21</v>
      </c>
      <c r="BN248" s="927"/>
      <c r="BO248" s="927"/>
      <c r="BP248" s="928" t="s">
        <v>21</v>
      </c>
      <c r="BQ248" s="928" t="s">
        <v>21</v>
      </c>
      <c r="BR248" s="928" t="s">
        <v>21</v>
      </c>
      <c r="BS248" s="928" t="s">
        <v>21</v>
      </c>
      <c r="BT248" s="928" t="s">
        <v>21</v>
      </c>
      <c r="BU248" s="928" t="s">
        <v>21</v>
      </c>
      <c r="BV248" s="929" t="s">
        <v>21</v>
      </c>
      <c r="BW248" s="929" t="s">
        <v>21</v>
      </c>
      <c r="BX248" s="1104" t="s">
        <v>21</v>
      </c>
      <c r="BY248" s="931" t="s">
        <v>21</v>
      </c>
      <c r="BZ248" s="930"/>
      <c r="CA248" s="1074"/>
      <c r="CB248" s="930"/>
      <c r="CC248" s="930"/>
      <c r="CD248" s="925" t="s">
        <v>21</v>
      </c>
      <c r="CE248" s="1130" t="s">
        <v>21</v>
      </c>
      <c r="CF248" s="1129" t="s">
        <v>21</v>
      </c>
      <c r="CG248" s="1130" t="s">
        <v>21</v>
      </c>
      <c r="CH248" s="1130" t="s">
        <v>21</v>
      </c>
      <c r="CI248" s="1131" t="s">
        <v>21</v>
      </c>
      <c r="CJ248" s="1129" t="s">
        <v>21</v>
      </c>
      <c r="CK248" s="1130" t="s">
        <v>21</v>
      </c>
      <c r="CL248" s="1130" t="s">
        <v>21</v>
      </c>
      <c r="CM248" s="1131" t="s">
        <v>21</v>
      </c>
      <c r="CN248" s="1130" t="s">
        <v>21</v>
      </c>
      <c r="CP248" s="838" t="s">
        <v>21</v>
      </c>
      <c r="CQ248" s="838" t="s">
        <v>21</v>
      </c>
      <c r="CR248" s="836"/>
    </row>
    <row r="249" spans="1:96" x14ac:dyDescent="0.25">
      <c r="A249" s="935" t="s">
        <v>3083</v>
      </c>
      <c r="B249" s="932"/>
      <c r="C249" s="911"/>
      <c r="D249" s="911"/>
      <c r="E249" s="912"/>
      <c r="F249" s="912"/>
      <c r="G249" s="910"/>
      <c r="H249" s="912"/>
      <c r="I249" s="912"/>
      <c r="J249" s="914"/>
      <c r="K249" s="915"/>
      <c r="L249" s="916" t="s">
        <v>21</v>
      </c>
      <c r="M249" s="916" t="s">
        <v>21</v>
      </c>
      <c r="N249" s="916" t="s">
        <v>21</v>
      </c>
      <c r="O249" s="916" t="s">
        <v>21</v>
      </c>
      <c r="P249" s="915"/>
      <c r="Q249" s="916" t="s">
        <v>21</v>
      </c>
      <c r="R249" s="917" t="s">
        <v>21</v>
      </c>
      <c r="S249" s="918" t="s">
        <v>21</v>
      </c>
      <c r="T249" s="918" t="s">
        <v>21</v>
      </c>
      <c r="U249" s="916" t="s">
        <v>21</v>
      </c>
      <c r="V249" s="916" t="s">
        <v>21</v>
      </c>
      <c r="W249" s="915"/>
      <c r="X249" s="916" t="s">
        <v>21</v>
      </c>
      <c r="Y249" s="916" t="s">
        <v>21</v>
      </c>
      <c r="Z249" s="916" t="s">
        <v>21</v>
      </c>
      <c r="AA249" s="916" t="s">
        <v>21</v>
      </c>
      <c r="AB249" s="916" t="s">
        <v>21</v>
      </c>
      <c r="AC249" s="915"/>
      <c r="AD249" s="919" t="s">
        <v>21</v>
      </c>
      <c r="AE249" s="920" t="s">
        <v>21</v>
      </c>
      <c r="AF249" s="920" t="s">
        <v>21</v>
      </c>
      <c r="AG249" s="920" t="s">
        <v>21</v>
      </c>
      <c r="AH249" s="921" t="s">
        <v>21</v>
      </c>
      <c r="AI249" s="921" t="s">
        <v>21</v>
      </c>
      <c r="AJ249" s="920" t="s">
        <v>21</v>
      </c>
      <c r="AK249" s="920" t="s">
        <v>21</v>
      </c>
      <c r="AL249" s="921" t="s">
        <v>21</v>
      </c>
      <c r="AM249" s="921" t="s">
        <v>21</v>
      </c>
      <c r="AN249" s="920"/>
      <c r="AO249" s="920" t="s">
        <v>21</v>
      </c>
      <c r="AP249" s="919" t="s">
        <v>21</v>
      </c>
      <c r="AQ249" s="922" t="s">
        <v>21</v>
      </c>
      <c r="AR249" s="923" t="s">
        <v>21</v>
      </c>
      <c r="AS249" s="923" t="s">
        <v>21</v>
      </c>
      <c r="AT249" s="923" t="s">
        <v>21</v>
      </c>
      <c r="AU249" s="923" t="s">
        <v>21</v>
      </c>
      <c r="AV249" s="924" t="s">
        <v>21</v>
      </c>
      <c r="AW249" s="924" t="s">
        <v>21</v>
      </c>
      <c r="AX249" s="924" t="s">
        <v>21</v>
      </c>
      <c r="AY249" s="924" t="s">
        <v>21</v>
      </c>
      <c r="AZ249" s="923" t="s">
        <v>21</v>
      </c>
      <c r="BA249" s="923"/>
      <c r="BB249" s="919" t="s">
        <v>21</v>
      </c>
      <c r="BC249" s="919" t="s">
        <v>21</v>
      </c>
      <c r="BD249" s="919" t="s">
        <v>21</v>
      </c>
      <c r="BE249" s="925" t="s">
        <v>21</v>
      </c>
      <c r="BF249" s="926" t="s">
        <v>21</v>
      </c>
      <c r="BG249" s="925" t="s">
        <v>21</v>
      </c>
      <c r="BH249" s="926" t="s">
        <v>21</v>
      </c>
      <c r="BI249" s="925" t="s">
        <v>21</v>
      </c>
      <c r="BJ249" s="926" t="s">
        <v>21</v>
      </c>
      <c r="BK249" s="925" t="s">
        <v>21</v>
      </c>
      <c r="BL249" s="926" t="s">
        <v>21</v>
      </c>
      <c r="BM249" s="925" t="s">
        <v>21</v>
      </c>
      <c r="BN249" s="927"/>
      <c r="BO249" s="927"/>
      <c r="BP249" s="928" t="s">
        <v>21</v>
      </c>
      <c r="BQ249" s="928" t="s">
        <v>21</v>
      </c>
      <c r="BR249" s="928" t="s">
        <v>21</v>
      </c>
      <c r="BS249" s="928" t="s">
        <v>21</v>
      </c>
      <c r="BT249" s="928" t="s">
        <v>21</v>
      </c>
      <c r="BU249" s="928" t="s">
        <v>21</v>
      </c>
      <c r="BV249" s="929" t="s">
        <v>21</v>
      </c>
      <c r="BW249" s="929" t="s">
        <v>21</v>
      </c>
      <c r="BX249" s="1104" t="s">
        <v>21</v>
      </c>
      <c r="BY249" s="931" t="s">
        <v>21</v>
      </c>
      <c r="BZ249" s="930"/>
      <c r="CA249" s="1074"/>
      <c r="CB249" s="930"/>
      <c r="CC249" s="930"/>
      <c r="CD249" s="925" t="s">
        <v>21</v>
      </c>
      <c r="CE249" s="1130" t="s">
        <v>21</v>
      </c>
      <c r="CF249" s="1129" t="s">
        <v>21</v>
      </c>
      <c r="CG249" s="1130" t="s">
        <v>21</v>
      </c>
      <c r="CH249" s="1130" t="s">
        <v>21</v>
      </c>
      <c r="CI249" s="1131" t="s">
        <v>21</v>
      </c>
      <c r="CJ249" s="1129" t="s">
        <v>21</v>
      </c>
      <c r="CK249" s="1130" t="s">
        <v>21</v>
      </c>
      <c r="CL249" s="1130" t="s">
        <v>21</v>
      </c>
      <c r="CM249" s="1131" t="s">
        <v>21</v>
      </c>
      <c r="CN249" s="1130" t="s">
        <v>21</v>
      </c>
      <c r="CP249" s="838" t="s">
        <v>21</v>
      </c>
      <c r="CQ249" s="838" t="s">
        <v>21</v>
      </c>
      <c r="CR249" s="836"/>
    </row>
    <row r="250" spans="1:96" x14ac:dyDescent="0.25">
      <c r="A250" s="935"/>
      <c r="B250" s="932"/>
      <c r="C250" s="911"/>
      <c r="D250" s="911"/>
      <c r="E250" s="912"/>
      <c r="F250" s="912"/>
      <c r="G250" s="910"/>
      <c r="H250" s="912"/>
      <c r="I250" s="912"/>
      <c r="J250" s="914"/>
      <c r="K250" s="915"/>
      <c r="L250" s="916" t="s">
        <v>21</v>
      </c>
      <c r="M250" s="916" t="s">
        <v>21</v>
      </c>
      <c r="N250" s="916" t="s">
        <v>21</v>
      </c>
      <c r="O250" s="916" t="s">
        <v>21</v>
      </c>
      <c r="P250" s="915"/>
      <c r="Q250" s="916" t="s">
        <v>21</v>
      </c>
      <c r="R250" s="917" t="s">
        <v>21</v>
      </c>
      <c r="S250" s="918" t="s">
        <v>21</v>
      </c>
      <c r="T250" s="918" t="s">
        <v>21</v>
      </c>
      <c r="U250" s="916" t="s">
        <v>21</v>
      </c>
      <c r="V250" s="916" t="s">
        <v>21</v>
      </c>
      <c r="W250" s="915"/>
      <c r="X250" s="916" t="s">
        <v>21</v>
      </c>
      <c r="Y250" s="916" t="s">
        <v>21</v>
      </c>
      <c r="Z250" s="916" t="s">
        <v>21</v>
      </c>
      <c r="AA250" s="916" t="s">
        <v>21</v>
      </c>
      <c r="AB250" s="916" t="s">
        <v>21</v>
      </c>
      <c r="AC250" s="915"/>
      <c r="AD250" s="919" t="s">
        <v>21</v>
      </c>
      <c r="AE250" s="920" t="s">
        <v>21</v>
      </c>
      <c r="AF250" s="920" t="s">
        <v>21</v>
      </c>
      <c r="AG250" s="920" t="s">
        <v>21</v>
      </c>
      <c r="AH250" s="921" t="s">
        <v>21</v>
      </c>
      <c r="AI250" s="921" t="s">
        <v>21</v>
      </c>
      <c r="AJ250" s="920" t="s">
        <v>21</v>
      </c>
      <c r="AK250" s="920" t="s">
        <v>21</v>
      </c>
      <c r="AL250" s="921" t="s">
        <v>21</v>
      </c>
      <c r="AM250" s="921" t="s">
        <v>21</v>
      </c>
      <c r="AN250" s="920"/>
      <c r="AO250" s="920" t="s">
        <v>21</v>
      </c>
      <c r="AP250" s="919" t="s">
        <v>21</v>
      </c>
      <c r="AQ250" s="922" t="s">
        <v>21</v>
      </c>
      <c r="AR250" s="923" t="s">
        <v>21</v>
      </c>
      <c r="AS250" s="923" t="s">
        <v>21</v>
      </c>
      <c r="AT250" s="923" t="s">
        <v>21</v>
      </c>
      <c r="AU250" s="923" t="s">
        <v>21</v>
      </c>
      <c r="AV250" s="924" t="s">
        <v>21</v>
      </c>
      <c r="AW250" s="924" t="s">
        <v>21</v>
      </c>
      <c r="AX250" s="924" t="s">
        <v>21</v>
      </c>
      <c r="AY250" s="924" t="s">
        <v>21</v>
      </c>
      <c r="AZ250" s="923" t="s">
        <v>21</v>
      </c>
      <c r="BA250" s="923"/>
      <c r="BB250" s="919" t="s">
        <v>21</v>
      </c>
      <c r="BC250" s="919" t="s">
        <v>21</v>
      </c>
      <c r="BD250" s="919" t="s">
        <v>21</v>
      </c>
      <c r="BE250" s="925" t="s">
        <v>21</v>
      </c>
      <c r="BF250" s="926" t="s">
        <v>21</v>
      </c>
      <c r="BG250" s="925" t="s">
        <v>21</v>
      </c>
      <c r="BH250" s="926" t="s">
        <v>21</v>
      </c>
      <c r="BI250" s="925" t="s">
        <v>21</v>
      </c>
      <c r="BJ250" s="926" t="s">
        <v>21</v>
      </c>
      <c r="BK250" s="925" t="s">
        <v>21</v>
      </c>
      <c r="BL250" s="926" t="s">
        <v>21</v>
      </c>
      <c r="BM250" s="925" t="s">
        <v>21</v>
      </c>
      <c r="BN250" s="927"/>
      <c r="BO250" s="927"/>
      <c r="BP250" s="928" t="s">
        <v>21</v>
      </c>
      <c r="BQ250" s="928" t="s">
        <v>21</v>
      </c>
      <c r="BR250" s="928" t="s">
        <v>21</v>
      </c>
      <c r="BS250" s="928" t="s">
        <v>21</v>
      </c>
      <c r="BT250" s="928" t="s">
        <v>21</v>
      </c>
      <c r="BU250" s="928" t="s">
        <v>21</v>
      </c>
      <c r="BV250" s="929" t="s">
        <v>21</v>
      </c>
      <c r="BW250" s="929" t="s">
        <v>21</v>
      </c>
      <c r="BX250" s="1104" t="s">
        <v>21</v>
      </c>
      <c r="BY250" s="931" t="s">
        <v>21</v>
      </c>
      <c r="BZ250" s="930"/>
      <c r="CA250" s="1074"/>
      <c r="CB250" s="930"/>
      <c r="CC250" s="930"/>
      <c r="CD250" s="925" t="s">
        <v>21</v>
      </c>
      <c r="CE250" s="1130" t="s">
        <v>21</v>
      </c>
      <c r="CF250" s="1129" t="s">
        <v>21</v>
      </c>
      <c r="CG250" s="1130" t="s">
        <v>21</v>
      </c>
      <c r="CH250" s="1130" t="s">
        <v>21</v>
      </c>
      <c r="CI250" s="1131" t="s">
        <v>21</v>
      </c>
      <c r="CJ250" s="1129" t="s">
        <v>21</v>
      </c>
      <c r="CK250" s="1130" t="s">
        <v>21</v>
      </c>
      <c r="CL250" s="1130" t="s">
        <v>21</v>
      </c>
      <c r="CM250" s="1131" t="s">
        <v>21</v>
      </c>
      <c r="CN250" s="1130" t="s">
        <v>21</v>
      </c>
      <c r="CP250" s="838" t="s">
        <v>21</v>
      </c>
      <c r="CQ250" s="838" t="s">
        <v>21</v>
      </c>
      <c r="CR250" s="836"/>
    </row>
    <row r="251" spans="1:96" s="1097" customFormat="1" x14ac:dyDescent="0.25">
      <c r="A251" s="1079" t="s">
        <v>3101</v>
      </c>
      <c r="B251" s="1078"/>
      <c r="C251" s="1076"/>
      <c r="D251" s="1076"/>
      <c r="E251" s="1077"/>
      <c r="F251" s="1077"/>
      <c r="G251" s="1078"/>
      <c r="H251" s="1077"/>
      <c r="I251" s="1077"/>
      <c r="J251" s="1080">
        <v>1071.4899999999998</v>
      </c>
      <c r="K251" s="1081"/>
      <c r="L251" s="1082"/>
      <c r="M251" s="1082"/>
      <c r="N251" s="1082"/>
      <c r="O251" s="1082"/>
      <c r="P251" s="1081"/>
      <c r="Q251" s="1082"/>
      <c r="R251" s="1083"/>
      <c r="S251" s="976"/>
      <c r="T251" s="976"/>
      <c r="U251" s="1082"/>
      <c r="V251" s="1082"/>
      <c r="W251" s="1081"/>
      <c r="X251" s="1082"/>
      <c r="Y251" s="1082"/>
      <c r="Z251" s="1082"/>
      <c r="AA251" s="1082"/>
      <c r="AB251" s="1082"/>
      <c r="AC251" s="1081"/>
      <c r="AD251" s="1084">
        <v>5836.6239999999998</v>
      </c>
      <c r="AE251" s="1085">
        <v>7115.9679999999998</v>
      </c>
      <c r="AF251" s="1085">
        <v>0</v>
      </c>
      <c r="AG251" s="1085">
        <v>0</v>
      </c>
      <c r="AH251" s="1086">
        <v>2177.6839999999997</v>
      </c>
      <c r="AI251" s="1086">
        <v>2856.7199999999993</v>
      </c>
      <c r="AJ251" s="1085">
        <v>0</v>
      </c>
      <c r="AK251" s="1085">
        <v>630.04999999999995</v>
      </c>
      <c r="AL251" s="1086">
        <v>0</v>
      </c>
      <c r="AM251" s="1086">
        <v>0</v>
      </c>
      <c r="AN251" s="1085">
        <v>0</v>
      </c>
      <c r="AO251" s="1085">
        <v>1451.5139999999999</v>
      </c>
      <c r="AP251" s="1084">
        <v>2165.4410000000003</v>
      </c>
      <c r="AQ251" s="1087" t="s">
        <v>21</v>
      </c>
      <c r="AR251" s="1088">
        <v>0</v>
      </c>
      <c r="AS251" s="1088">
        <v>2135.6198600000002</v>
      </c>
      <c r="AT251" s="1088">
        <v>0</v>
      </c>
      <c r="AU251" s="1088">
        <v>0</v>
      </c>
      <c r="AV251" s="1089">
        <v>0</v>
      </c>
      <c r="AW251" s="1089">
        <v>2277.6238600000001</v>
      </c>
      <c r="AX251" s="1089">
        <v>419.20956000000001</v>
      </c>
      <c r="AY251" s="1089">
        <v>0</v>
      </c>
      <c r="AZ251" s="1088">
        <v>659.77980000000002</v>
      </c>
      <c r="BA251" s="1088">
        <v>0</v>
      </c>
      <c r="BB251" s="1084">
        <v>63.184000000000005</v>
      </c>
      <c r="BC251" s="1084">
        <v>193.04000000000002</v>
      </c>
      <c r="BD251" s="1090"/>
      <c r="BE251" s="1088">
        <v>0</v>
      </c>
      <c r="BF251" s="1089">
        <v>0</v>
      </c>
      <c r="BG251" s="1088">
        <v>619.5</v>
      </c>
      <c r="BH251" s="1089">
        <v>368.03000000000009</v>
      </c>
      <c r="BI251" s="1088">
        <v>83.96</v>
      </c>
      <c r="BJ251" s="1089">
        <v>0</v>
      </c>
      <c r="BK251" s="1088">
        <v>0</v>
      </c>
      <c r="BL251" s="1089">
        <v>0</v>
      </c>
      <c r="BM251" s="1088">
        <v>0</v>
      </c>
      <c r="BN251" s="1091">
        <v>0</v>
      </c>
      <c r="BO251" s="1091">
        <v>0</v>
      </c>
      <c r="BP251" s="1092">
        <v>24</v>
      </c>
      <c r="BQ251" s="1092">
        <v>10</v>
      </c>
      <c r="BR251" s="1092">
        <v>5</v>
      </c>
      <c r="BS251" s="1092">
        <v>0</v>
      </c>
      <c r="BT251" s="1092">
        <v>0</v>
      </c>
      <c r="BU251" s="1092">
        <v>0</v>
      </c>
      <c r="BV251" s="1093">
        <v>29.222999999999651</v>
      </c>
      <c r="BW251" s="1093">
        <v>40</v>
      </c>
      <c r="BX251" s="1105">
        <v>80</v>
      </c>
      <c r="BY251" s="1095">
        <v>168</v>
      </c>
      <c r="BZ251" s="1094">
        <v>4</v>
      </c>
      <c r="CA251" s="1094">
        <v>16</v>
      </c>
      <c r="CB251" s="1094">
        <v>0</v>
      </c>
      <c r="CC251" s="1094">
        <v>0</v>
      </c>
      <c r="CD251" s="1088">
        <v>1695.8240000000003</v>
      </c>
      <c r="CE251" s="1133">
        <v>4583.1160000000009</v>
      </c>
      <c r="CF251" s="1132">
        <v>0</v>
      </c>
      <c r="CG251" s="1133">
        <v>0</v>
      </c>
      <c r="CH251" s="1133">
        <v>0</v>
      </c>
      <c r="CI251" s="1134">
        <v>0</v>
      </c>
      <c r="CJ251" s="1132">
        <v>0</v>
      </c>
      <c r="CK251" s="1133">
        <v>1469.1290000000004</v>
      </c>
      <c r="CL251" s="1133">
        <v>0</v>
      </c>
      <c r="CM251" s="1134">
        <v>0</v>
      </c>
      <c r="CN251" s="1133">
        <v>3113.9870000000001</v>
      </c>
      <c r="CO251" s="1096"/>
      <c r="CP251" s="1096" t="s">
        <v>21</v>
      </c>
      <c r="CQ251" s="1096" t="s">
        <v>21</v>
      </c>
    </row>
    <row r="252" spans="1:96" x14ac:dyDescent="0.25">
      <c r="A252" s="935"/>
      <c r="B252" s="932"/>
      <c r="C252" s="911"/>
      <c r="D252" s="911"/>
      <c r="E252" s="912"/>
      <c r="F252" s="912"/>
      <c r="G252" s="910"/>
      <c r="H252" s="912"/>
      <c r="I252" s="912"/>
      <c r="J252" s="914"/>
      <c r="K252" s="915"/>
      <c r="L252" s="916" t="s">
        <v>21</v>
      </c>
      <c r="M252" s="916" t="s">
        <v>21</v>
      </c>
      <c r="N252" s="916" t="s">
        <v>21</v>
      </c>
      <c r="O252" s="916" t="s">
        <v>21</v>
      </c>
      <c r="P252" s="915"/>
      <c r="Q252" s="916" t="s">
        <v>21</v>
      </c>
      <c r="R252" s="917" t="s">
        <v>21</v>
      </c>
      <c r="S252" s="918" t="s">
        <v>21</v>
      </c>
      <c r="T252" s="918" t="s">
        <v>21</v>
      </c>
      <c r="U252" s="916" t="s">
        <v>21</v>
      </c>
      <c r="V252" s="916" t="s">
        <v>21</v>
      </c>
      <c r="W252" s="915"/>
      <c r="X252" s="916" t="s">
        <v>21</v>
      </c>
      <c r="Y252" s="916" t="s">
        <v>21</v>
      </c>
      <c r="Z252" s="916" t="s">
        <v>21</v>
      </c>
      <c r="AA252" s="916" t="s">
        <v>21</v>
      </c>
      <c r="AB252" s="916" t="s">
        <v>21</v>
      </c>
      <c r="AC252" s="915"/>
      <c r="AD252" s="919" t="s">
        <v>21</v>
      </c>
      <c r="AE252" s="920" t="s">
        <v>21</v>
      </c>
      <c r="AF252" s="920" t="s">
        <v>21</v>
      </c>
      <c r="AG252" s="920" t="s">
        <v>21</v>
      </c>
      <c r="AH252" s="921" t="s">
        <v>21</v>
      </c>
      <c r="AI252" s="921" t="s">
        <v>21</v>
      </c>
      <c r="AJ252" s="920" t="s">
        <v>21</v>
      </c>
      <c r="AK252" s="920" t="s">
        <v>21</v>
      </c>
      <c r="AL252" s="921" t="s">
        <v>21</v>
      </c>
      <c r="AM252" s="921" t="s">
        <v>21</v>
      </c>
      <c r="AN252" s="920"/>
      <c r="AO252" s="920" t="s">
        <v>21</v>
      </c>
      <c r="AP252" s="919" t="s">
        <v>21</v>
      </c>
      <c r="AQ252" s="922" t="s">
        <v>21</v>
      </c>
      <c r="AR252" s="923" t="s">
        <v>21</v>
      </c>
      <c r="AS252" s="923" t="s">
        <v>21</v>
      </c>
      <c r="AT252" s="923" t="s">
        <v>21</v>
      </c>
      <c r="AU252" s="923" t="s">
        <v>21</v>
      </c>
      <c r="AV252" s="924" t="s">
        <v>21</v>
      </c>
      <c r="AW252" s="924" t="s">
        <v>21</v>
      </c>
      <c r="AX252" s="924" t="s">
        <v>21</v>
      </c>
      <c r="AY252" s="924" t="s">
        <v>21</v>
      </c>
      <c r="AZ252" s="923" t="s">
        <v>21</v>
      </c>
      <c r="BA252" s="923"/>
      <c r="BB252" s="919" t="s">
        <v>21</v>
      </c>
      <c r="BC252" s="919" t="s">
        <v>21</v>
      </c>
      <c r="BD252" s="919" t="s">
        <v>21</v>
      </c>
      <c r="BE252" s="925" t="s">
        <v>21</v>
      </c>
      <c r="BF252" s="926" t="s">
        <v>21</v>
      </c>
      <c r="BG252" s="925" t="s">
        <v>21</v>
      </c>
      <c r="BH252" s="926" t="s">
        <v>21</v>
      </c>
      <c r="BI252" s="925" t="s">
        <v>21</v>
      </c>
      <c r="BJ252" s="926" t="s">
        <v>21</v>
      </c>
      <c r="BK252" s="925" t="s">
        <v>21</v>
      </c>
      <c r="BL252" s="926" t="s">
        <v>21</v>
      </c>
      <c r="BM252" s="925" t="s">
        <v>21</v>
      </c>
      <c r="BN252" s="927"/>
      <c r="BO252" s="927"/>
      <c r="BP252" s="928" t="s">
        <v>21</v>
      </c>
      <c r="BQ252" s="928" t="s">
        <v>21</v>
      </c>
      <c r="BR252" s="928" t="s">
        <v>21</v>
      </c>
      <c r="BS252" s="928" t="s">
        <v>21</v>
      </c>
      <c r="BT252" s="928" t="s">
        <v>21</v>
      </c>
      <c r="BU252" s="928" t="s">
        <v>21</v>
      </c>
      <c r="BV252" s="929" t="s">
        <v>21</v>
      </c>
      <c r="BW252" s="929" t="s">
        <v>21</v>
      </c>
      <c r="BX252" s="1104" t="s">
        <v>21</v>
      </c>
      <c r="BY252" s="931" t="s">
        <v>21</v>
      </c>
      <c r="BZ252" s="930"/>
      <c r="CA252" s="1074"/>
      <c r="CB252" s="930"/>
      <c r="CC252" s="930"/>
      <c r="CD252" s="925" t="s">
        <v>21</v>
      </c>
      <c r="CE252" s="1130" t="s">
        <v>21</v>
      </c>
      <c r="CF252" s="1129" t="s">
        <v>21</v>
      </c>
      <c r="CG252" s="1130" t="s">
        <v>21</v>
      </c>
      <c r="CH252" s="1130" t="s">
        <v>21</v>
      </c>
      <c r="CI252" s="1131" t="s">
        <v>21</v>
      </c>
      <c r="CJ252" s="1129" t="s">
        <v>21</v>
      </c>
      <c r="CK252" s="1130" t="s">
        <v>21</v>
      </c>
      <c r="CL252" s="1130" t="s">
        <v>21</v>
      </c>
      <c r="CM252" s="1131" t="s">
        <v>21</v>
      </c>
      <c r="CN252" s="1130" t="s">
        <v>21</v>
      </c>
      <c r="CP252" s="838" t="s">
        <v>21</v>
      </c>
      <c r="CQ252" s="838" t="s">
        <v>21</v>
      </c>
      <c r="CR252" s="836"/>
    </row>
    <row r="253" spans="1:96" x14ac:dyDescent="0.25">
      <c r="A253" s="935"/>
      <c r="B253" s="932"/>
      <c r="C253" s="911"/>
      <c r="D253" s="911"/>
      <c r="E253" s="912"/>
      <c r="F253" s="912"/>
      <c r="G253" s="910"/>
      <c r="H253" s="912"/>
      <c r="I253" s="912"/>
      <c r="J253" s="914"/>
      <c r="K253" s="915"/>
      <c r="L253" s="916" t="s">
        <v>21</v>
      </c>
      <c r="M253" s="916" t="s">
        <v>21</v>
      </c>
      <c r="N253" s="916" t="s">
        <v>21</v>
      </c>
      <c r="O253" s="916" t="s">
        <v>21</v>
      </c>
      <c r="P253" s="915"/>
      <c r="Q253" s="916" t="s">
        <v>21</v>
      </c>
      <c r="R253" s="917" t="s">
        <v>21</v>
      </c>
      <c r="S253" s="918" t="s">
        <v>21</v>
      </c>
      <c r="T253" s="918" t="s">
        <v>21</v>
      </c>
      <c r="U253" s="916" t="s">
        <v>21</v>
      </c>
      <c r="V253" s="916" t="s">
        <v>21</v>
      </c>
      <c r="W253" s="915"/>
      <c r="X253" s="916" t="s">
        <v>21</v>
      </c>
      <c r="Y253" s="916" t="s">
        <v>21</v>
      </c>
      <c r="Z253" s="916" t="s">
        <v>21</v>
      </c>
      <c r="AA253" s="916" t="s">
        <v>21</v>
      </c>
      <c r="AB253" s="916" t="s">
        <v>21</v>
      </c>
      <c r="AC253" s="915"/>
      <c r="AD253" s="919" t="s">
        <v>21</v>
      </c>
      <c r="AE253" s="920" t="s">
        <v>21</v>
      </c>
      <c r="AF253" s="920" t="s">
        <v>21</v>
      </c>
      <c r="AG253" s="920" t="s">
        <v>21</v>
      </c>
      <c r="AH253" s="921" t="s">
        <v>21</v>
      </c>
      <c r="AI253" s="921" t="s">
        <v>21</v>
      </c>
      <c r="AJ253" s="920" t="s">
        <v>21</v>
      </c>
      <c r="AK253" s="920" t="s">
        <v>21</v>
      </c>
      <c r="AL253" s="921" t="s">
        <v>21</v>
      </c>
      <c r="AM253" s="921" t="s">
        <v>21</v>
      </c>
      <c r="AN253" s="920"/>
      <c r="AO253" s="920" t="s">
        <v>21</v>
      </c>
      <c r="AP253" s="919" t="s">
        <v>21</v>
      </c>
      <c r="AQ253" s="922" t="s">
        <v>21</v>
      </c>
      <c r="AR253" s="923" t="s">
        <v>21</v>
      </c>
      <c r="AS253" s="923" t="s">
        <v>21</v>
      </c>
      <c r="AT253" s="923" t="s">
        <v>21</v>
      </c>
      <c r="AU253" s="923" t="s">
        <v>21</v>
      </c>
      <c r="AV253" s="924" t="s">
        <v>21</v>
      </c>
      <c r="AW253" s="924" t="s">
        <v>21</v>
      </c>
      <c r="AX253" s="924" t="s">
        <v>21</v>
      </c>
      <c r="AY253" s="924" t="s">
        <v>21</v>
      </c>
      <c r="AZ253" s="923" t="s">
        <v>21</v>
      </c>
      <c r="BA253" s="923"/>
      <c r="BB253" s="919" t="s">
        <v>21</v>
      </c>
      <c r="BC253" s="919" t="s">
        <v>21</v>
      </c>
      <c r="BD253" s="919" t="s">
        <v>21</v>
      </c>
      <c r="BE253" s="925" t="s">
        <v>21</v>
      </c>
      <c r="BF253" s="926" t="s">
        <v>21</v>
      </c>
      <c r="BG253" s="925" t="s">
        <v>21</v>
      </c>
      <c r="BH253" s="926" t="s">
        <v>21</v>
      </c>
      <c r="BI253" s="925" t="s">
        <v>21</v>
      </c>
      <c r="BJ253" s="926" t="s">
        <v>21</v>
      </c>
      <c r="BK253" s="925" t="s">
        <v>21</v>
      </c>
      <c r="BL253" s="926" t="s">
        <v>21</v>
      </c>
      <c r="BM253" s="925" t="s">
        <v>21</v>
      </c>
      <c r="BN253" s="927"/>
      <c r="BO253" s="927"/>
      <c r="BP253" s="928" t="s">
        <v>21</v>
      </c>
      <c r="BQ253" s="928" t="s">
        <v>21</v>
      </c>
      <c r="BR253" s="928" t="s">
        <v>21</v>
      </c>
      <c r="BS253" s="928" t="s">
        <v>21</v>
      </c>
      <c r="BT253" s="928" t="s">
        <v>21</v>
      </c>
      <c r="BU253" s="928" t="s">
        <v>21</v>
      </c>
      <c r="BV253" s="929" t="s">
        <v>21</v>
      </c>
      <c r="BW253" s="929" t="s">
        <v>21</v>
      </c>
      <c r="BX253" s="1104" t="s">
        <v>21</v>
      </c>
      <c r="BY253" s="931" t="s">
        <v>21</v>
      </c>
      <c r="BZ253" s="930"/>
      <c r="CA253" s="1074"/>
      <c r="CB253" s="930"/>
      <c r="CC253" s="930"/>
      <c r="CD253" s="925" t="s">
        <v>21</v>
      </c>
      <c r="CE253" s="1130" t="s">
        <v>21</v>
      </c>
      <c r="CF253" s="1129" t="s">
        <v>21</v>
      </c>
      <c r="CG253" s="1130" t="s">
        <v>21</v>
      </c>
      <c r="CH253" s="1130" t="s">
        <v>21</v>
      </c>
      <c r="CI253" s="1131" t="s">
        <v>21</v>
      </c>
      <c r="CJ253" s="1129" t="s">
        <v>21</v>
      </c>
      <c r="CK253" s="1130" t="s">
        <v>21</v>
      </c>
      <c r="CL253" s="1130" t="s">
        <v>21</v>
      </c>
      <c r="CM253" s="1131" t="s">
        <v>21</v>
      </c>
      <c r="CN253" s="1130" t="s">
        <v>21</v>
      </c>
      <c r="CP253" s="838" t="s">
        <v>21</v>
      </c>
      <c r="CQ253" s="838" t="s">
        <v>21</v>
      </c>
      <c r="CR253" s="836"/>
    </row>
    <row r="254" spans="1:96" x14ac:dyDescent="0.25">
      <c r="AD254" s="941"/>
      <c r="AE254" s="941"/>
      <c r="AF254" s="940" t="s">
        <v>27</v>
      </c>
      <c r="AG254" s="940" t="s">
        <v>27</v>
      </c>
      <c r="AH254" s="940" t="s">
        <v>27</v>
      </c>
      <c r="AI254" s="940" t="s">
        <v>27</v>
      </c>
      <c r="AJ254" s="940" t="s">
        <v>27</v>
      </c>
      <c r="AK254" s="940" t="s">
        <v>27</v>
      </c>
      <c r="AL254" s="940" t="s">
        <v>27</v>
      </c>
      <c r="AM254" s="940" t="s">
        <v>27</v>
      </c>
      <c r="AN254" s="941"/>
      <c r="AO254" s="941"/>
      <c r="AP254" s="941"/>
      <c r="AQ254" s="941"/>
      <c r="AR254" s="941" t="s">
        <v>27</v>
      </c>
      <c r="AS254" s="941" t="s">
        <v>27</v>
      </c>
      <c r="AT254" s="941" t="s">
        <v>27</v>
      </c>
      <c r="AU254" s="941" t="s">
        <v>2117</v>
      </c>
      <c r="AV254" s="941" t="s">
        <v>27</v>
      </c>
      <c r="AW254" s="941" t="s">
        <v>27</v>
      </c>
      <c r="AX254" s="941" t="s">
        <v>27</v>
      </c>
      <c r="AY254" s="941" t="s">
        <v>2117</v>
      </c>
      <c r="AZ254" s="941" t="s">
        <v>2117</v>
      </c>
      <c r="BA254" s="941" t="s">
        <v>2117</v>
      </c>
      <c r="BB254" s="941" t="s">
        <v>27</v>
      </c>
      <c r="BC254" s="941" t="s">
        <v>27</v>
      </c>
      <c r="BN254" s="942"/>
      <c r="BO254" s="942"/>
      <c r="BP254" s="943"/>
      <c r="BQ254" s="943"/>
      <c r="BR254" s="943"/>
      <c r="BS254" s="943"/>
      <c r="BT254" s="943"/>
      <c r="BU254" s="943"/>
      <c r="BV254" s="943"/>
      <c r="BW254" s="942"/>
      <c r="BX254" s="942"/>
      <c r="BY254" s="942"/>
      <c r="BZ254" s="942"/>
      <c r="CA254" s="942"/>
      <c r="CE254" s="941"/>
      <c r="CF254" s="941"/>
      <c r="CG254" s="941"/>
      <c r="CH254" s="941"/>
      <c r="CI254" s="941"/>
      <c r="CJ254" s="941"/>
      <c r="CK254" s="941"/>
      <c r="CL254" s="941"/>
      <c r="CM254" s="941"/>
      <c r="CN254" s="941"/>
      <c r="CQ254" s="836"/>
      <c r="CR254" s="836"/>
    </row>
    <row r="255" spans="1:96" x14ac:dyDescent="0.25">
      <c r="AD255" s="941"/>
      <c r="AE255" s="941"/>
      <c r="AF255" s="940">
        <v>102276</v>
      </c>
      <c r="AG255" s="940">
        <v>90082</v>
      </c>
      <c r="AH255" s="940">
        <v>90084</v>
      </c>
      <c r="AI255" s="940">
        <v>102278</v>
      </c>
      <c r="AJ255" s="940">
        <v>90094</v>
      </c>
      <c r="AK255" s="940">
        <v>90087</v>
      </c>
      <c r="AL255" s="940">
        <v>102280</v>
      </c>
      <c r="AM255" s="940">
        <v>90090</v>
      </c>
      <c r="AN255" s="941"/>
      <c r="AO255" s="941"/>
      <c r="AP255" s="941"/>
      <c r="AQ255" s="941"/>
      <c r="AR255" s="940">
        <v>101576</v>
      </c>
      <c r="AS255" s="940">
        <v>101578</v>
      </c>
      <c r="AT255" s="940">
        <v>101580</v>
      </c>
      <c r="AU255" s="940" t="s">
        <v>2118</v>
      </c>
      <c r="AV255" s="940">
        <v>101577</v>
      </c>
      <c r="AW255" s="940">
        <v>101579</v>
      </c>
      <c r="AX255" s="940">
        <v>101581</v>
      </c>
      <c r="AY255" s="940" t="s">
        <v>2118</v>
      </c>
      <c r="AZ255" s="941" t="s">
        <v>2118</v>
      </c>
      <c r="BA255" s="941"/>
      <c r="BB255" s="940">
        <v>101623</v>
      </c>
      <c r="BC255" s="940">
        <v>101624</v>
      </c>
      <c r="BN255" s="942"/>
      <c r="BO255" s="942"/>
      <c r="BP255" s="943" t="s">
        <v>2387</v>
      </c>
      <c r="BQ255" s="943" t="s">
        <v>2392</v>
      </c>
      <c r="BR255" s="943" t="s">
        <v>2394</v>
      </c>
      <c r="BS255" s="943" t="s">
        <v>2397</v>
      </c>
      <c r="BT255" s="943" t="s">
        <v>2399</v>
      </c>
      <c r="BU255" s="943"/>
      <c r="BV255" s="943"/>
      <c r="BW255" s="942"/>
      <c r="BX255" s="942"/>
      <c r="BY255" s="942"/>
      <c r="BZ255" s="942"/>
      <c r="CA255" s="942"/>
      <c r="CD255" s="1117">
        <v>93382</v>
      </c>
      <c r="CE255" s="1117"/>
      <c r="CF255" s="1117">
        <v>93368</v>
      </c>
      <c r="CG255" s="1117">
        <v>93368</v>
      </c>
      <c r="CH255" s="1117">
        <v>93370</v>
      </c>
      <c r="CI255" s="1117">
        <v>93372</v>
      </c>
      <c r="CJ255" s="1117">
        <v>93367</v>
      </c>
      <c r="CK255" s="1117">
        <v>93369</v>
      </c>
      <c r="CL255" s="1117">
        <v>93371</v>
      </c>
      <c r="CM255" s="1117">
        <v>93373</v>
      </c>
      <c r="CN255" s="1117">
        <v>96386</v>
      </c>
      <c r="CQ255" s="836"/>
      <c r="CR255" s="836"/>
    </row>
    <row r="256" spans="1:96" s="947" customFormat="1" x14ac:dyDescent="0.25">
      <c r="A256" s="944"/>
      <c r="B256" s="945"/>
      <c r="C256" s="944"/>
      <c r="D256" s="944"/>
      <c r="E256" s="946"/>
      <c r="F256" s="946"/>
      <c r="G256" s="945" t="s">
        <v>2244</v>
      </c>
      <c r="H256" s="946">
        <v>1</v>
      </c>
      <c r="I256" s="946"/>
      <c r="J256" s="946">
        <v>4368.91</v>
      </c>
      <c r="L256" s="838"/>
      <c r="M256" s="838"/>
      <c r="N256" s="948"/>
      <c r="O256" s="949"/>
      <c r="P256" s="836"/>
      <c r="Q256" s="838"/>
      <c r="R256" s="836"/>
      <c r="S256" s="941"/>
      <c r="T256" s="941"/>
      <c r="U256" s="838"/>
      <c r="V256" s="838"/>
      <c r="X256" s="946"/>
      <c r="Y256" s="946"/>
      <c r="Z256" s="946"/>
      <c r="AA256" s="946"/>
      <c r="AB256" s="946"/>
      <c r="AD256" s="950">
        <v>23858.520999999997</v>
      </c>
      <c r="AE256" s="950">
        <v>30671.792999999998</v>
      </c>
      <c r="AF256" s="950">
        <v>41.042999999999999</v>
      </c>
      <c r="AG256" s="950">
        <v>0</v>
      </c>
      <c r="AH256" s="950">
        <v>10319.533999999998</v>
      </c>
      <c r="AI256" s="950">
        <v>10731.516000000001</v>
      </c>
      <c r="AJ256" s="950">
        <v>345.65600000000001</v>
      </c>
      <c r="AK256" s="950">
        <v>1496.931</v>
      </c>
      <c r="AL256" s="950">
        <v>0</v>
      </c>
      <c r="AM256" s="950">
        <v>0</v>
      </c>
      <c r="AN256" s="950">
        <v>0</v>
      </c>
      <c r="AO256" s="950">
        <v>7737.1130000000003</v>
      </c>
      <c r="AP256" s="950">
        <v>8606.6959999999963</v>
      </c>
      <c r="AQ256" s="946">
        <v>23415.172419999988</v>
      </c>
      <c r="AR256" s="946">
        <v>47.984310000000001</v>
      </c>
      <c r="AS256" s="946">
        <v>9927.5529800000004</v>
      </c>
      <c r="AT256" s="946">
        <v>286.22352000000001</v>
      </c>
      <c r="AU256" s="946">
        <v>0</v>
      </c>
      <c r="AV256" s="946">
        <v>0</v>
      </c>
      <c r="AW256" s="946">
        <v>8318.0353700000014</v>
      </c>
      <c r="AX256" s="946">
        <v>1045.02845</v>
      </c>
      <c r="AY256" s="946">
        <v>0</v>
      </c>
      <c r="AZ256" s="946">
        <v>3790.3477900000003</v>
      </c>
      <c r="BA256" s="946">
        <v>0</v>
      </c>
      <c r="BB256" s="950">
        <v>289.83500000000004</v>
      </c>
      <c r="BC256" s="950">
        <v>725.79599999999971</v>
      </c>
      <c r="BD256" s="948" t="s">
        <v>2119</v>
      </c>
      <c r="BE256" s="946">
        <v>0</v>
      </c>
      <c r="BF256" s="946">
        <v>0</v>
      </c>
      <c r="BG256" s="946">
        <v>2686.2699999999995</v>
      </c>
      <c r="BH256" s="946">
        <v>1141.18</v>
      </c>
      <c r="BI256" s="946">
        <v>414.33000000000004</v>
      </c>
      <c r="BJ256" s="946">
        <v>0</v>
      </c>
      <c r="BK256" s="946">
        <v>127.13</v>
      </c>
      <c r="BL256" s="946">
        <v>0</v>
      </c>
      <c r="BM256" s="946">
        <v>0</v>
      </c>
      <c r="BN256" s="951">
        <v>0</v>
      </c>
      <c r="BO256" s="951">
        <v>0</v>
      </c>
      <c r="BP256" s="952">
        <v>98</v>
      </c>
      <c r="BQ256" s="952">
        <v>33</v>
      </c>
      <c r="BR256" s="952">
        <v>14</v>
      </c>
      <c r="BS256" s="952">
        <v>0</v>
      </c>
      <c r="BT256" s="952">
        <v>4</v>
      </c>
      <c r="BU256" s="952">
        <v>0</v>
      </c>
      <c r="BV256" s="952"/>
      <c r="BW256" s="953">
        <v>162.5</v>
      </c>
      <c r="BX256" s="951">
        <v>325</v>
      </c>
      <c r="BY256" s="951">
        <v>661</v>
      </c>
      <c r="BZ256" s="951">
        <v>107</v>
      </c>
      <c r="CA256" s="951">
        <v>46</v>
      </c>
      <c r="CB256" s="951">
        <v>6</v>
      </c>
      <c r="CC256" s="951">
        <v>0</v>
      </c>
      <c r="CD256" s="946">
        <v>6925.3850000000002</v>
      </c>
      <c r="CE256" s="950">
        <v>20084.021999999997</v>
      </c>
      <c r="CF256" s="950">
        <v>0</v>
      </c>
      <c r="CG256" s="950">
        <v>0</v>
      </c>
      <c r="CH256" s="950">
        <v>0</v>
      </c>
      <c r="CI256" s="950">
        <v>0</v>
      </c>
      <c r="CJ256" s="950">
        <v>11.512</v>
      </c>
      <c r="CK256" s="950">
        <v>6464.1839999999993</v>
      </c>
      <c r="CL256" s="950">
        <v>757.76400000000001</v>
      </c>
      <c r="CM256" s="950">
        <v>0</v>
      </c>
      <c r="CN256" s="950">
        <v>12850.562</v>
      </c>
      <c r="CO256" s="946"/>
      <c r="CP256" s="946"/>
      <c r="CQ256" s="946"/>
    </row>
    <row r="257" spans="1:99" x14ac:dyDescent="0.25">
      <c r="A257" s="944"/>
      <c r="B257" s="945"/>
      <c r="C257" s="944"/>
      <c r="D257" s="944"/>
      <c r="E257" s="946"/>
      <c r="F257" s="946"/>
      <c r="G257" s="945" t="s">
        <v>3094</v>
      </c>
      <c r="H257" s="946">
        <v>1</v>
      </c>
      <c r="I257" s="946"/>
      <c r="J257" s="946">
        <v>4368.9099999999989</v>
      </c>
      <c r="K257" s="947"/>
      <c r="W257" s="941"/>
      <c r="X257" s="941"/>
      <c r="AA257" s="836"/>
      <c r="AC257" s="954" t="s">
        <v>2120</v>
      </c>
      <c r="AD257" s="950"/>
      <c r="AE257" s="941"/>
      <c r="AH257" s="836"/>
      <c r="AI257" s="836"/>
      <c r="AJ257" s="955"/>
      <c r="AK257" s="955"/>
      <c r="AY257" s="1903" t="s">
        <v>4025</v>
      </c>
      <c r="AZ257" s="838">
        <v>2816.1435600000004</v>
      </c>
      <c r="BB257" s="946"/>
      <c r="BC257" s="946"/>
      <c r="BD257" s="948">
        <v>0</v>
      </c>
      <c r="BE257" s="946"/>
      <c r="BF257" s="946"/>
      <c r="BG257" s="946"/>
      <c r="BH257" s="946"/>
      <c r="BI257" s="946"/>
      <c r="BJ257" s="946"/>
      <c r="BK257" s="946"/>
      <c r="BL257" s="946"/>
      <c r="BM257" s="946"/>
      <c r="BV257" s="956"/>
      <c r="BW257" s="956"/>
      <c r="BX257" s="956"/>
      <c r="BY257" s="951"/>
    </row>
    <row r="258" spans="1:99" s="838" customFormat="1" x14ac:dyDescent="0.25">
      <c r="A258" s="946"/>
      <c r="B258" s="946"/>
      <c r="C258" s="946"/>
      <c r="D258" s="946"/>
      <c r="E258" s="946"/>
      <c r="F258" s="947"/>
      <c r="G258" s="945" t="s">
        <v>2233</v>
      </c>
      <c r="H258" s="946">
        <v>2</v>
      </c>
      <c r="I258" s="946"/>
      <c r="J258" s="946"/>
      <c r="K258" s="836"/>
      <c r="L258" s="946"/>
      <c r="P258" s="836"/>
      <c r="R258" s="836"/>
      <c r="S258" s="941"/>
      <c r="T258" s="941"/>
      <c r="W258" s="836"/>
      <c r="AC258" s="954" t="s">
        <v>2121</v>
      </c>
      <c r="AD258" s="950">
        <v>23858.520999999997</v>
      </c>
      <c r="AE258" s="941"/>
      <c r="AQ258" s="957"/>
      <c r="AR258" s="957" t="s">
        <v>2122</v>
      </c>
      <c r="AS258" s="958"/>
      <c r="AT258" s="958"/>
      <c r="AU258" s="958"/>
      <c r="AV258" s="959"/>
      <c r="AY258" s="1903" t="s">
        <v>4026</v>
      </c>
      <c r="AZ258" s="838">
        <v>974.20422999999982</v>
      </c>
      <c r="BD258" s="960" t="s">
        <v>2123</v>
      </c>
      <c r="BE258" s="961"/>
      <c r="BF258" s="961"/>
      <c r="BG258" s="961"/>
      <c r="BH258" s="961"/>
      <c r="BI258" s="961"/>
      <c r="BJ258" s="961"/>
      <c r="BK258" s="961"/>
      <c r="BL258" s="961"/>
      <c r="BM258" s="961"/>
      <c r="BN258" s="962"/>
      <c r="BP258" s="963" t="s">
        <v>2124</v>
      </c>
      <c r="BQ258" s="964"/>
      <c r="BR258" s="965"/>
      <c r="BS258" s="965"/>
      <c r="BT258" s="965"/>
      <c r="BU258" s="965"/>
      <c r="BV258" s="965"/>
      <c r="BW258" s="961"/>
      <c r="BX258" s="961"/>
      <c r="BY258" s="961"/>
      <c r="BZ258" s="962"/>
      <c r="CB258" s="960" t="s">
        <v>2125</v>
      </c>
      <c r="CC258" s="966"/>
      <c r="CD258" s="966">
        <v>6925.3850000000002</v>
      </c>
      <c r="CE258" s="967">
        <v>20084.021999999997</v>
      </c>
      <c r="CF258" s="1115"/>
      <c r="CG258" s="1115"/>
      <c r="CH258" s="1115"/>
      <c r="CI258" s="1115"/>
      <c r="CJ258" s="1115"/>
      <c r="CK258" s="1115"/>
      <c r="CL258" s="1115"/>
      <c r="CM258" s="1115"/>
      <c r="CN258" s="1115"/>
      <c r="CR258" s="968" t="s">
        <v>2068</v>
      </c>
      <c r="CS258" s="969">
        <v>661</v>
      </c>
      <c r="CT258" s="957" t="s">
        <v>1937</v>
      </c>
      <c r="CU258" s="970"/>
    </row>
    <row r="259" spans="1:99" s="838" customFormat="1" x14ac:dyDescent="0.25">
      <c r="B259" s="950"/>
      <c r="C259" s="950"/>
      <c r="D259" s="950"/>
      <c r="E259" s="950"/>
      <c r="F259" s="950"/>
      <c r="G259" s="945" t="s">
        <v>2297</v>
      </c>
      <c r="H259" s="946">
        <v>1</v>
      </c>
      <c r="J259" s="836"/>
      <c r="K259" s="836"/>
      <c r="L259" s="971"/>
      <c r="O259" s="971"/>
      <c r="P259" s="836"/>
      <c r="R259" s="836"/>
      <c r="S259" s="941"/>
      <c r="T259" s="941"/>
      <c r="W259" s="836"/>
      <c r="AC259" s="836"/>
      <c r="AQ259" s="972"/>
      <c r="AR259" s="972"/>
      <c r="AS259" s="973" t="s">
        <v>2126</v>
      </c>
      <c r="AT259" s="973"/>
      <c r="AU259" s="973"/>
      <c r="AV259" s="974"/>
      <c r="BD259" s="975" t="s">
        <v>1739</v>
      </c>
      <c r="BE259" s="976" t="s">
        <v>2127</v>
      </c>
      <c r="BF259" s="977" t="s">
        <v>2128</v>
      </c>
      <c r="BG259" s="976" t="s">
        <v>2129</v>
      </c>
      <c r="BH259" s="976"/>
      <c r="BI259" s="976"/>
      <c r="BJ259" s="976"/>
      <c r="BK259" s="976"/>
      <c r="BL259" s="976"/>
      <c r="BM259" s="976" t="s">
        <v>1025</v>
      </c>
      <c r="BN259" s="978"/>
      <c r="BP259" s="979" t="s">
        <v>2127</v>
      </c>
      <c r="BQ259" s="980" t="s">
        <v>1739</v>
      </c>
      <c r="BR259" s="981" t="s">
        <v>2125</v>
      </c>
      <c r="BS259" s="982" t="s">
        <v>2130</v>
      </c>
      <c r="BT259" s="982"/>
      <c r="BU259" s="982"/>
      <c r="BV259" s="982"/>
      <c r="BW259" s="982"/>
      <c r="BX259" s="980"/>
      <c r="BY259" s="980"/>
      <c r="BZ259" s="983"/>
      <c r="CB259" s="984" t="s">
        <v>2131</v>
      </c>
      <c r="CC259" s="985"/>
      <c r="CD259" s="916">
        <v>6925.3850000000002</v>
      </c>
      <c r="CE259" s="986">
        <v>20084.021999999997</v>
      </c>
      <c r="CF259" s="1116"/>
      <c r="CG259" s="1116"/>
      <c r="CH259" s="1116"/>
      <c r="CI259" s="1116"/>
      <c r="CJ259" s="1116"/>
      <c r="CK259" s="1116"/>
      <c r="CL259" s="1116"/>
      <c r="CM259" s="1116"/>
      <c r="CN259" s="1116"/>
      <c r="CR259" s="987" t="s">
        <v>2129</v>
      </c>
      <c r="CS259" s="838">
        <v>661</v>
      </c>
      <c r="CT259" s="988" t="s">
        <v>2132</v>
      </c>
      <c r="CU259" s="989">
        <v>107</v>
      </c>
    </row>
    <row r="260" spans="1:99" s="838" customFormat="1" x14ac:dyDescent="0.25">
      <c r="A260" s="942"/>
      <c r="B260" s="942"/>
      <c r="C260" s="990"/>
      <c r="D260" s="991"/>
      <c r="E260" s="991"/>
      <c r="F260" s="991"/>
      <c r="G260" s="836"/>
      <c r="J260" s="836"/>
      <c r="K260" s="836"/>
      <c r="L260" s="971"/>
      <c r="O260" s="971"/>
      <c r="P260" s="836"/>
      <c r="R260" s="836"/>
      <c r="S260" s="941"/>
      <c r="T260" s="941"/>
      <c r="W260" s="836"/>
      <c r="AC260" s="836"/>
      <c r="AQ260" s="972"/>
      <c r="AR260" s="972"/>
      <c r="AS260" s="950" t="s">
        <v>2133</v>
      </c>
      <c r="AT260" s="950" t="s">
        <v>2134</v>
      </c>
      <c r="AU260" s="950" t="s">
        <v>2135</v>
      </c>
      <c r="AV260" s="992" t="s">
        <v>2136</v>
      </c>
      <c r="BD260" s="993" t="s">
        <v>2137</v>
      </c>
      <c r="BE260" s="994">
        <v>400</v>
      </c>
      <c r="BF260" s="995">
        <v>0</v>
      </c>
      <c r="BG260" s="916">
        <v>0</v>
      </c>
      <c r="BH260" s="916"/>
      <c r="BI260" s="916"/>
      <c r="BJ260" s="916"/>
      <c r="BK260" s="916"/>
      <c r="BL260" s="916"/>
      <c r="BM260" s="976" t="s">
        <v>2138</v>
      </c>
      <c r="BN260" s="986"/>
      <c r="BP260" s="996">
        <v>600</v>
      </c>
      <c r="BQ260" s="997" t="s">
        <v>2116</v>
      </c>
      <c r="BR260" s="998">
        <v>98</v>
      </c>
      <c r="BS260" s="999">
        <v>98</v>
      </c>
      <c r="BT260" s="999"/>
      <c r="BU260" s="999"/>
      <c r="BV260" s="999"/>
      <c r="BW260" s="999"/>
      <c r="BX260" s="999"/>
      <c r="BY260" s="999"/>
      <c r="BZ260" s="1000"/>
      <c r="CB260" s="984"/>
      <c r="CC260" s="985"/>
      <c r="CD260" s="916"/>
      <c r="CE260" s="986"/>
      <c r="CF260" s="1116"/>
      <c r="CG260" s="1116"/>
      <c r="CH260" s="1116"/>
      <c r="CI260" s="1116"/>
      <c r="CJ260" s="1116"/>
      <c r="CK260" s="1116"/>
      <c r="CL260" s="1116"/>
      <c r="CM260" s="1116"/>
      <c r="CN260" s="1116"/>
      <c r="CR260" s="987"/>
      <c r="CT260" s="987" t="s">
        <v>2129</v>
      </c>
      <c r="CU260" s="1001">
        <v>107</v>
      </c>
    </row>
    <row r="261" spans="1:99" s="838" customFormat="1" x14ac:dyDescent="0.25">
      <c r="A261" s="942"/>
      <c r="B261" s="942"/>
      <c r="C261" s="990"/>
      <c r="D261" s="991"/>
      <c r="E261" s="991"/>
      <c r="F261" s="991"/>
      <c r="G261" s="836"/>
      <c r="J261" s="836"/>
      <c r="K261" s="836"/>
      <c r="L261" s="971"/>
      <c r="O261" s="971"/>
      <c r="P261" s="836"/>
      <c r="R261" s="836"/>
      <c r="S261" s="941"/>
      <c r="T261" s="941"/>
      <c r="W261" s="836"/>
      <c r="AC261" s="836"/>
      <c r="AQ261" s="1002"/>
      <c r="AR261" s="1002" t="s">
        <v>2139</v>
      </c>
      <c r="AS261" s="950"/>
      <c r="AT261" s="950"/>
      <c r="AU261" s="950"/>
      <c r="AV261" s="992"/>
      <c r="BD261" s="993" t="s">
        <v>2137</v>
      </c>
      <c r="BE261" s="994">
        <v>500</v>
      </c>
      <c r="BF261" s="995">
        <v>0</v>
      </c>
      <c r="BG261" s="916">
        <v>0</v>
      </c>
      <c r="BH261" s="916"/>
      <c r="BI261" s="916"/>
      <c r="BJ261" s="916"/>
      <c r="BK261" s="916"/>
      <c r="BL261" s="916"/>
      <c r="BM261" s="976" t="s">
        <v>2140</v>
      </c>
      <c r="BN261" s="986"/>
      <c r="BP261" s="996">
        <v>800</v>
      </c>
      <c r="BQ261" s="997" t="s">
        <v>2116</v>
      </c>
      <c r="BR261" s="998">
        <v>33</v>
      </c>
      <c r="BS261" s="999">
        <v>33</v>
      </c>
      <c r="BT261" s="999"/>
      <c r="BU261" s="999"/>
      <c r="BV261" s="999"/>
      <c r="BW261" s="999"/>
      <c r="BX261" s="999"/>
      <c r="BY261" s="999"/>
      <c r="BZ261" s="1000"/>
      <c r="CB261" s="984"/>
      <c r="CC261" s="985"/>
      <c r="CD261" s="916"/>
      <c r="CE261" s="986"/>
      <c r="CF261" s="1116"/>
      <c r="CG261" s="1116"/>
      <c r="CH261" s="1116"/>
      <c r="CI261" s="1116"/>
      <c r="CJ261" s="1116"/>
      <c r="CK261" s="1116"/>
      <c r="CL261" s="1116"/>
      <c r="CM261" s="1116"/>
      <c r="CN261" s="1116"/>
      <c r="CR261" s="987"/>
      <c r="CT261" s="987"/>
      <c r="CU261" s="1001"/>
    </row>
    <row r="262" spans="1:99" s="838" customFormat="1" x14ac:dyDescent="0.25">
      <c r="A262" s="942"/>
      <c r="B262" s="942"/>
      <c r="C262" s="990"/>
      <c r="D262" s="991"/>
      <c r="E262" s="991"/>
      <c r="F262" s="991"/>
      <c r="G262" s="836"/>
      <c r="J262" s="836"/>
      <c r="K262" s="836"/>
      <c r="L262" s="971"/>
      <c r="O262" s="971"/>
      <c r="P262" s="836"/>
      <c r="R262" s="836"/>
      <c r="S262" s="941"/>
      <c r="T262" s="941"/>
      <c r="W262" s="836"/>
      <c r="AC262" s="836"/>
      <c r="AQ262" s="1003"/>
      <c r="AR262" s="1003">
        <v>400</v>
      </c>
      <c r="AS262" s="838">
        <v>0</v>
      </c>
      <c r="AT262" s="838">
        <v>0</v>
      </c>
      <c r="AU262" s="838">
        <v>0</v>
      </c>
      <c r="AV262" s="1001">
        <v>0</v>
      </c>
      <c r="BD262" s="993" t="s">
        <v>2137</v>
      </c>
      <c r="BE262" s="994">
        <v>600</v>
      </c>
      <c r="BF262" s="995">
        <v>43.2</v>
      </c>
      <c r="BG262" s="916">
        <v>43.2</v>
      </c>
      <c r="BH262" s="916"/>
      <c r="BI262" s="916"/>
      <c r="BJ262" s="916"/>
      <c r="BK262" s="916"/>
      <c r="BL262" s="916"/>
      <c r="BM262" s="976" t="s">
        <v>2141</v>
      </c>
      <c r="BN262" s="986"/>
      <c r="BP262" s="996">
        <v>1000</v>
      </c>
      <c r="BQ262" s="997" t="s">
        <v>2116</v>
      </c>
      <c r="BR262" s="998">
        <v>14</v>
      </c>
      <c r="BS262" s="999">
        <v>14</v>
      </c>
      <c r="BT262" s="999"/>
      <c r="BU262" s="999"/>
      <c r="BV262" s="999"/>
      <c r="BW262" s="999"/>
      <c r="BX262" s="999"/>
      <c r="BY262" s="999"/>
      <c r="BZ262" s="1000"/>
      <c r="CB262" s="984"/>
      <c r="CC262" s="985"/>
      <c r="CD262" s="916"/>
      <c r="CE262" s="986"/>
      <c r="CF262" s="1116"/>
      <c r="CG262" s="1116"/>
      <c r="CH262" s="1116"/>
      <c r="CI262" s="1116"/>
      <c r="CJ262" s="1116"/>
      <c r="CK262" s="1116"/>
      <c r="CL262" s="1116"/>
      <c r="CM262" s="1116"/>
      <c r="CN262" s="1116"/>
      <c r="CR262" s="987"/>
      <c r="CT262" s="987"/>
      <c r="CU262" s="1001"/>
    </row>
    <row r="263" spans="1:99" s="838" customFormat="1" x14ac:dyDescent="0.25">
      <c r="A263" s="942"/>
      <c r="B263" s="942"/>
      <c r="C263" s="990"/>
      <c r="D263" s="991"/>
      <c r="E263" s="991"/>
      <c r="F263" s="991"/>
      <c r="G263" s="836"/>
      <c r="J263" s="836"/>
      <c r="K263" s="836"/>
      <c r="L263" s="971"/>
      <c r="O263" s="971"/>
      <c r="P263" s="836"/>
      <c r="R263" s="836"/>
      <c r="S263" s="941"/>
      <c r="T263" s="941"/>
      <c r="W263" s="836"/>
      <c r="AC263" s="836"/>
      <c r="AQ263" s="1003"/>
      <c r="AR263" s="1003">
        <v>600</v>
      </c>
      <c r="AS263" s="838">
        <v>47.984310000000001</v>
      </c>
      <c r="AT263" s="838">
        <v>9927.5529800000004</v>
      </c>
      <c r="AU263" s="838">
        <v>286.22352000000001</v>
      </c>
      <c r="AV263" s="1001">
        <v>0</v>
      </c>
      <c r="BD263" s="993" t="s">
        <v>2142</v>
      </c>
      <c r="BE263" s="994">
        <v>400</v>
      </c>
      <c r="BF263" s="995">
        <v>0</v>
      </c>
      <c r="BG263" s="916">
        <v>0</v>
      </c>
      <c r="BH263" s="916"/>
      <c r="BI263" s="916"/>
      <c r="BJ263" s="916"/>
      <c r="BK263" s="916"/>
      <c r="BL263" s="916"/>
      <c r="BM263" s="976" t="s">
        <v>2143</v>
      </c>
      <c r="BN263" s="986"/>
      <c r="BP263" s="996">
        <v>1200</v>
      </c>
      <c r="BQ263" s="997" t="s">
        <v>2116</v>
      </c>
      <c r="BR263" s="998">
        <v>0</v>
      </c>
      <c r="BS263" s="999">
        <v>0</v>
      </c>
      <c r="BT263" s="999"/>
      <c r="BU263" s="999"/>
      <c r="BV263" s="999"/>
      <c r="BW263" s="999"/>
      <c r="BX263" s="999"/>
      <c r="BY263" s="999"/>
      <c r="BZ263" s="1000"/>
      <c r="CB263" s="984"/>
      <c r="CC263" s="985"/>
      <c r="CD263" s="916"/>
      <c r="CE263" s="986"/>
      <c r="CF263" s="1116"/>
      <c r="CG263" s="1116"/>
      <c r="CH263" s="1116"/>
      <c r="CI263" s="1116"/>
      <c r="CJ263" s="1116"/>
      <c r="CK263" s="1116"/>
      <c r="CL263" s="1116"/>
      <c r="CM263" s="1116"/>
      <c r="CN263" s="1116"/>
      <c r="CR263" s="987"/>
      <c r="CT263" s="987"/>
      <c r="CU263" s="1001"/>
    </row>
    <row r="264" spans="1:99" s="838" customFormat="1" x14ac:dyDescent="0.25">
      <c r="A264" s="942"/>
      <c r="B264" s="942"/>
      <c r="C264" s="990"/>
      <c r="D264" s="991"/>
      <c r="E264" s="991"/>
      <c r="F264" s="991"/>
      <c r="G264" s="836"/>
      <c r="J264" s="836"/>
      <c r="K264" s="836"/>
      <c r="L264" s="971"/>
      <c r="O264" s="971"/>
      <c r="P264" s="836"/>
      <c r="R264" s="836"/>
      <c r="S264" s="941"/>
      <c r="T264" s="941"/>
      <c r="W264" s="836"/>
      <c r="AC264" s="836"/>
      <c r="AQ264" s="1003"/>
      <c r="AR264" s="1003">
        <v>800</v>
      </c>
      <c r="AS264" s="838">
        <v>0</v>
      </c>
      <c r="AT264" s="838">
        <v>6049.7844400000004</v>
      </c>
      <c r="AU264" s="838">
        <v>625.81889000000001</v>
      </c>
      <c r="AV264" s="1001">
        <v>0</v>
      </c>
      <c r="BD264" s="993" t="s">
        <v>2142</v>
      </c>
      <c r="BE264" s="994">
        <v>500</v>
      </c>
      <c r="BF264" s="995">
        <v>0</v>
      </c>
      <c r="BG264" s="916">
        <v>0</v>
      </c>
      <c r="BH264" s="916"/>
      <c r="BI264" s="916"/>
      <c r="BJ264" s="916"/>
      <c r="BK264" s="916"/>
      <c r="BL264" s="916"/>
      <c r="BM264" s="976" t="s">
        <v>2144</v>
      </c>
      <c r="BN264" s="986"/>
      <c r="BP264" s="996">
        <v>1500</v>
      </c>
      <c r="BQ264" s="997" t="s">
        <v>2116</v>
      </c>
      <c r="BR264" s="998">
        <v>4</v>
      </c>
      <c r="BS264" s="999">
        <v>4</v>
      </c>
      <c r="BT264" s="999"/>
      <c r="BU264" s="999"/>
      <c r="BV264" s="999"/>
      <c r="BW264" s="999"/>
      <c r="BX264" s="999"/>
      <c r="BY264" s="999"/>
      <c r="BZ264" s="1000"/>
      <c r="CB264" s="984"/>
      <c r="CC264" s="985"/>
      <c r="CD264" s="916"/>
      <c r="CE264" s="986"/>
      <c r="CF264" s="1116"/>
      <c r="CG264" s="1116"/>
      <c r="CH264" s="1116"/>
      <c r="CI264" s="1116"/>
      <c r="CJ264" s="1116"/>
      <c r="CK264" s="1116"/>
      <c r="CL264" s="1116"/>
      <c r="CM264" s="1116"/>
      <c r="CN264" s="1116"/>
      <c r="CR264" s="987"/>
      <c r="CT264" s="987"/>
      <c r="CU264" s="1001"/>
    </row>
    <row r="265" spans="1:99" s="838" customFormat="1" x14ac:dyDescent="0.25">
      <c r="A265" s="942"/>
      <c r="B265" s="942"/>
      <c r="C265" s="990"/>
      <c r="D265" s="991"/>
      <c r="E265" s="991"/>
      <c r="F265" s="991"/>
      <c r="G265" s="836"/>
      <c r="J265" s="836"/>
      <c r="K265" s="836"/>
      <c r="L265" s="971"/>
      <c r="O265" s="971"/>
      <c r="P265" s="836"/>
      <c r="R265" s="836"/>
      <c r="S265" s="941"/>
      <c r="T265" s="941"/>
      <c r="W265" s="836"/>
      <c r="AC265" s="836"/>
      <c r="AQ265" s="1003"/>
      <c r="AR265" s="1003">
        <v>1000</v>
      </c>
      <c r="AS265" s="838">
        <v>0</v>
      </c>
      <c r="AT265" s="838">
        <v>2268.2509300000002</v>
      </c>
      <c r="AU265" s="838">
        <v>419.20956000000001</v>
      </c>
      <c r="AV265" s="1001">
        <v>0</v>
      </c>
      <c r="BD265" s="993" t="s">
        <v>2142</v>
      </c>
      <c r="BE265" s="994">
        <v>600</v>
      </c>
      <c r="BF265" s="995">
        <v>2418.13</v>
      </c>
      <c r="BG265" s="916">
        <v>2418.13</v>
      </c>
      <c r="BH265" s="916"/>
      <c r="BI265" s="916"/>
      <c r="BJ265" s="916"/>
      <c r="BK265" s="916"/>
      <c r="BL265" s="916"/>
      <c r="BM265" s="976" t="s">
        <v>2145</v>
      </c>
      <c r="BN265" s="986"/>
      <c r="BP265" s="996">
        <v>1200</v>
      </c>
      <c r="BQ265" s="997" t="s">
        <v>2146</v>
      </c>
      <c r="BR265" s="1004">
        <v>0</v>
      </c>
      <c r="BS265" s="1005">
        <v>0</v>
      </c>
      <c r="BT265" s="1005"/>
      <c r="BU265" s="1005"/>
      <c r="BV265" s="1005"/>
      <c r="BW265" s="1005"/>
      <c r="BX265" s="1005"/>
      <c r="BY265" s="1005"/>
      <c r="BZ265" s="1006"/>
      <c r="CB265" s="984"/>
      <c r="CC265" s="985"/>
      <c r="CD265" s="916"/>
      <c r="CE265" s="986"/>
      <c r="CF265" s="1116"/>
      <c r="CG265" s="1116"/>
      <c r="CH265" s="1116"/>
      <c r="CI265" s="1116"/>
      <c r="CJ265" s="1116"/>
      <c r="CK265" s="1116"/>
      <c r="CL265" s="1116"/>
      <c r="CM265" s="1116"/>
      <c r="CN265" s="1116"/>
      <c r="CR265" s="987"/>
      <c r="CT265" s="987"/>
      <c r="CU265" s="1001"/>
    </row>
    <row r="266" spans="1:99" s="838" customFormat="1" x14ac:dyDescent="0.25">
      <c r="A266" s="942"/>
      <c r="B266" s="942"/>
      <c r="C266" s="990"/>
      <c r="D266" s="991"/>
      <c r="E266" s="991"/>
      <c r="F266" s="991"/>
      <c r="G266" s="836"/>
      <c r="J266" s="836"/>
      <c r="K266" s="836"/>
      <c r="L266" s="971"/>
      <c r="P266" s="836"/>
      <c r="R266" s="836"/>
      <c r="S266" s="941"/>
      <c r="T266" s="941"/>
      <c r="W266" s="836"/>
      <c r="AC266" s="836"/>
      <c r="AQ266" s="1003"/>
      <c r="AR266" s="1003">
        <v>1200</v>
      </c>
      <c r="AS266" s="838">
        <v>0</v>
      </c>
      <c r="AT266" s="838">
        <v>0</v>
      </c>
      <c r="AU266" s="838">
        <v>0</v>
      </c>
      <c r="AV266" s="1001">
        <v>0</v>
      </c>
      <c r="BD266" s="993" t="s">
        <v>2142</v>
      </c>
      <c r="BE266" s="994">
        <v>800</v>
      </c>
      <c r="BF266" s="995">
        <v>893.7299999999999</v>
      </c>
      <c r="BG266" s="916">
        <v>893.7299999999999</v>
      </c>
      <c r="BH266" s="916"/>
      <c r="BI266" s="916"/>
      <c r="BJ266" s="916"/>
      <c r="BK266" s="916"/>
      <c r="BL266" s="916"/>
      <c r="BM266" s="976" t="s">
        <v>2147</v>
      </c>
      <c r="BN266" s="986"/>
      <c r="BO266" s="838">
        <v>1.6</v>
      </c>
      <c r="BP266" s="996">
        <v>1400</v>
      </c>
      <c r="BQ266" s="997" t="s">
        <v>2146</v>
      </c>
      <c r="BR266" s="1004">
        <v>0</v>
      </c>
      <c r="BS266" s="1005">
        <v>0</v>
      </c>
      <c r="BT266" s="1005"/>
      <c r="BU266" s="1005"/>
      <c r="BV266" s="1005"/>
      <c r="BW266" s="1005"/>
      <c r="BX266" s="1005"/>
      <c r="BY266" s="1005"/>
      <c r="BZ266" s="1006"/>
      <c r="CB266" s="1007"/>
      <c r="CC266" s="1008"/>
      <c r="CD266" s="1009"/>
      <c r="CE266" s="1010"/>
      <c r="CF266" s="1116"/>
      <c r="CG266" s="1116"/>
      <c r="CH266" s="1116"/>
      <c r="CI266" s="1116"/>
      <c r="CJ266" s="1116"/>
      <c r="CK266" s="1116"/>
      <c r="CL266" s="1116"/>
      <c r="CM266" s="1116"/>
      <c r="CN266" s="1116"/>
      <c r="CR266" s="1011"/>
      <c r="CS266" s="1012"/>
      <c r="CT266" s="987"/>
      <c r="CU266" s="1001"/>
    </row>
    <row r="267" spans="1:99" x14ac:dyDescent="0.25">
      <c r="A267" s="942"/>
      <c r="B267" s="942"/>
      <c r="C267" s="990"/>
      <c r="D267" s="991"/>
      <c r="E267" s="991"/>
      <c r="F267" s="991"/>
      <c r="G267" s="838"/>
      <c r="J267" s="836"/>
      <c r="L267" s="971"/>
      <c r="AQ267" s="1003"/>
      <c r="AR267" s="1003">
        <v>1500</v>
      </c>
      <c r="AS267" s="838">
        <v>0</v>
      </c>
      <c r="AT267" s="838">
        <v>0</v>
      </c>
      <c r="AU267" s="838">
        <v>0</v>
      </c>
      <c r="AV267" s="1001">
        <v>0</v>
      </c>
      <c r="BD267" s="993" t="s">
        <v>2142</v>
      </c>
      <c r="BE267" s="994">
        <v>1000</v>
      </c>
      <c r="BF267" s="995">
        <v>134.64000000000001</v>
      </c>
      <c r="BG267" s="916">
        <v>134.64000000000001</v>
      </c>
      <c r="BH267" s="916"/>
      <c r="BI267" s="916"/>
      <c r="BJ267" s="916"/>
      <c r="BK267" s="916"/>
      <c r="BL267" s="916"/>
      <c r="BM267" s="976" t="s">
        <v>2148</v>
      </c>
      <c r="BN267" s="986"/>
      <c r="BO267" s="838">
        <v>1.8</v>
      </c>
      <c r="BP267" s="996">
        <v>1600</v>
      </c>
      <c r="BQ267" s="997" t="s">
        <v>2146</v>
      </c>
      <c r="BR267" s="1004">
        <v>0</v>
      </c>
      <c r="BS267" s="1005">
        <v>0</v>
      </c>
      <c r="BT267" s="1005"/>
      <c r="BU267" s="1005"/>
      <c r="BV267" s="1005"/>
      <c r="BW267" s="1005"/>
      <c r="BX267" s="1005"/>
      <c r="BY267" s="1005"/>
      <c r="BZ267" s="1006"/>
      <c r="CS267" s="838"/>
      <c r="CT267" s="987"/>
      <c r="CU267" s="1001"/>
    </row>
    <row r="268" spans="1:99" x14ac:dyDescent="0.25">
      <c r="A268" s="942"/>
      <c r="B268" s="942"/>
      <c r="C268" s="990"/>
      <c r="D268" s="991"/>
      <c r="E268" s="991"/>
      <c r="F268" s="991"/>
      <c r="G268" s="836"/>
      <c r="J268" s="836"/>
      <c r="L268" s="971"/>
      <c r="AQ268" s="1002"/>
      <c r="AR268" s="1002" t="s">
        <v>2149</v>
      </c>
      <c r="AV268" s="1001"/>
      <c r="BD268" s="993" t="s">
        <v>2142</v>
      </c>
      <c r="BE268" s="994">
        <v>1200</v>
      </c>
      <c r="BF268" s="995">
        <v>0</v>
      </c>
      <c r="BG268" s="916">
        <v>0</v>
      </c>
      <c r="BH268" s="916"/>
      <c r="BI268" s="916"/>
      <c r="BJ268" s="916"/>
      <c r="BK268" s="916"/>
      <c r="BL268" s="916"/>
      <c r="BM268" s="976" t="s">
        <v>2150</v>
      </c>
      <c r="BN268" s="986"/>
      <c r="BO268" s="838">
        <v>2</v>
      </c>
      <c r="BP268" s="996">
        <v>1800</v>
      </c>
      <c r="BQ268" s="997" t="s">
        <v>2146</v>
      </c>
      <c r="BR268" s="1004">
        <v>0</v>
      </c>
      <c r="BS268" s="1005">
        <v>0</v>
      </c>
      <c r="BT268" s="1005"/>
      <c r="BU268" s="1005"/>
      <c r="BV268" s="1005"/>
      <c r="BW268" s="1005"/>
      <c r="BX268" s="1005"/>
      <c r="BY268" s="1005"/>
      <c r="BZ268" s="1006"/>
      <c r="CS268" s="838"/>
      <c r="CT268" s="988" t="s">
        <v>2151</v>
      </c>
      <c r="CU268" s="989">
        <v>46</v>
      </c>
    </row>
    <row r="269" spans="1:99" x14ac:dyDescent="0.25">
      <c r="A269" s="948"/>
      <c r="B269" s="948"/>
      <c r="C269" s="1013"/>
      <c r="D269" s="951"/>
      <c r="E269" s="951"/>
      <c r="F269" s="946"/>
      <c r="G269" s="836"/>
      <c r="J269" s="836"/>
      <c r="L269" s="971"/>
      <c r="AQ269" s="1003"/>
      <c r="AR269" s="1003">
        <v>1650</v>
      </c>
      <c r="AS269" s="838">
        <v>0</v>
      </c>
      <c r="AT269" s="838">
        <v>0</v>
      </c>
      <c r="AU269" s="838">
        <v>0</v>
      </c>
      <c r="AV269" s="1001">
        <v>0</v>
      </c>
      <c r="BD269" s="993" t="s">
        <v>2142</v>
      </c>
      <c r="BE269" s="994">
        <v>1500</v>
      </c>
      <c r="BF269" s="995">
        <v>0</v>
      </c>
      <c r="BG269" s="916">
        <v>0</v>
      </c>
      <c r="BH269" s="916"/>
      <c r="BI269" s="916"/>
      <c r="BJ269" s="916"/>
      <c r="BK269" s="916"/>
      <c r="BL269" s="916"/>
      <c r="BM269" s="976" t="s">
        <v>949</v>
      </c>
      <c r="BN269" s="986"/>
      <c r="BO269" s="838">
        <v>2.2000000000000002</v>
      </c>
      <c r="BP269" s="996">
        <v>2000</v>
      </c>
      <c r="BQ269" s="997" t="s">
        <v>2146</v>
      </c>
      <c r="BR269" s="1004">
        <v>0</v>
      </c>
      <c r="BS269" s="1005">
        <v>0</v>
      </c>
      <c r="BT269" s="1005"/>
      <c r="BU269" s="1005"/>
      <c r="BV269" s="1005"/>
      <c r="BW269" s="1005"/>
      <c r="BX269" s="1005"/>
      <c r="BY269" s="1005"/>
      <c r="BZ269" s="1006"/>
      <c r="CS269" s="838"/>
      <c r="CT269" s="987" t="s">
        <v>2129</v>
      </c>
      <c r="CU269" s="1001">
        <v>46</v>
      </c>
    </row>
    <row r="270" spans="1:99" x14ac:dyDescent="0.25">
      <c r="AQ270" s="1003"/>
      <c r="AR270" s="1003">
        <v>1800</v>
      </c>
      <c r="AS270" s="838">
        <v>0</v>
      </c>
      <c r="AT270" s="838">
        <v>0</v>
      </c>
      <c r="AU270" s="838">
        <v>0</v>
      </c>
      <c r="AV270" s="1001">
        <v>0</v>
      </c>
      <c r="BD270" s="993" t="s">
        <v>2152</v>
      </c>
      <c r="BE270" s="994">
        <v>400</v>
      </c>
      <c r="BF270" s="995">
        <v>0</v>
      </c>
      <c r="BG270" s="916">
        <v>0</v>
      </c>
      <c r="BH270" s="916"/>
      <c r="BI270" s="916"/>
      <c r="BJ270" s="916"/>
      <c r="BK270" s="916"/>
      <c r="BL270" s="916"/>
      <c r="BM270" s="976" t="s">
        <v>978</v>
      </c>
      <c r="BN270" s="986"/>
      <c r="BO270" s="838">
        <v>2.4</v>
      </c>
      <c r="BP270" s="996">
        <v>2200</v>
      </c>
      <c r="BQ270" s="997" t="s">
        <v>2146</v>
      </c>
      <c r="BR270" s="1004">
        <v>0</v>
      </c>
      <c r="BS270" s="1005">
        <v>0</v>
      </c>
      <c r="BT270" s="1005"/>
      <c r="BU270" s="1005"/>
      <c r="BV270" s="1005"/>
      <c r="BW270" s="1005"/>
      <c r="BX270" s="1005"/>
      <c r="BY270" s="1005"/>
      <c r="BZ270" s="1006"/>
      <c r="CS270" s="838"/>
      <c r="CT270" s="987"/>
      <c r="CU270" s="1001"/>
    </row>
    <row r="271" spans="1:99" x14ac:dyDescent="0.25">
      <c r="D271" s="1014"/>
      <c r="AQ271" s="1003"/>
      <c r="AR271" s="1003">
        <v>2000</v>
      </c>
      <c r="AS271" s="838">
        <v>0</v>
      </c>
      <c r="AT271" s="838">
        <v>0</v>
      </c>
      <c r="AU271" s="838">
        <v>0</v>
      </c>
      <c r="AV271" s="1001">
        <v>0</v>
      </c>
      <c r="BD271" s="993" t="s">
        <v>2152</v>
      </c>
      <c r="BE271" s="994">
        <v>500</v>
      </c>
      <c r="BF271" s="995">
        <v>0</v>
      </c>
      <c r="BG271" s="916">
        <v>0</v>
      </c>
      <c r="BH271" s="916"/>
      <c r="BI271" s="916"/>
      <c r="BJ271" s="916"/>
      <c r="BK271" s="916"/>
      <c r="BL271" s="916"/>
      <c r="BM271" s="976" t="s">
        <v>977</v>
      </c>
      <c r="BN271" s="986"/>
      <c r="BO271" s="838">
        <v>2.6</v>
      </c>
      <c r="BP271" s="996">
        <v>2400</v>
      </c>
      <c r="BQ271" s="997" t="s">
        <v>2146</v>
      </c>
      <c r="BR271" s="1004">
        <v>0</v>
      </c>
      <c r="BS271" s="1005">
        <v>0</v>
      </c>
      <c r="BT271" s="1005"/>
      <c r="BU271" s="1005"/>
      <c r="BV271" s="1005"/>
      <c r="BW271" s="1005"/>
      <c r="BX271" s="1005"/>
      <c r="BY271" s="1005"/>
      <c r="BZ271" s="1006"/>
      <c r="CS271" s="838"/>
      <c r="CT271" s="987"/>
      <c r="CU271" s="1001"/>
    </row>
    <row r="272" spans="1:99" x14ac:dyDescent="0.25">
      <c r="AQ272" s="1003"/>
      <c r="AR272" s="1003">
        <v>2200</v>
      </c>
      <c r="AS272" s="838">
        <v>0</v>
      </c>
      <c r="AT272" s="838">
        <v>0</v>
      </c>
      <c r="AU272" s="838">
        <v>0</v>
      </c>
      <c r="AV272" s="1001">
        <v>0</v>
      </c>
      <c r="BD272" s="993" t="s">
        <v>2152</v>
      </c>
      <c r="BE272" s="994">
        <v>600</v>
      </c>
      <c r="BF272" s="995">
        <v>224.94000000000003</v>
      </c>
      <c r="BG272" s="916">
        <v>224.94000000000003</v>
      </c>
      <c r="BH272" s="916"/>
      <c r="BI272" s="916"/>
      <c r="BJ272" s="916"/>
      <c r="BK272" s="916"/>
      <c r="BL272" s="916"/>
      <c r="BM272" s="976" t="s">
        <v>988</v>
      </c>
      <c r="BN272" s="986"/>
      <c r="BO272" s="838">
        <v>2.8</v>
      </c>
      <c r="BP272" s="996">
        <v>2600</v>
      </c>
      <c r="BQ272" s="997" t="s">
        <v>2146</v>
      </c>
      <c r="BR272" s="1004">
        <v>0</v>
      </c>
      <c r="BS272" s="1005">
        <v>0</v>
      </c>
      <c r="BT272" s="1005"/>
      <c r="BU272" s="1005"/>
      <c r="BV272" s="1005"/>
      <c r="BW272" s="1005"/>
      <c r="BX272" s="1005"/>
      <c r="BY272" s="1005"/>
      <c r="BZ272" s="1006"/>
      <c r="CS272" s="838"/>
      <c r="CT272" s="987"/>
      <c r="CU272" s="1001"/>
    </row>
    <row r="273" spans="1:99" x14ac:dyDescent="0.25">
      <c r="AQ273" s="1003"/>
      <c r="AR273" s="1003">
        <v>2400</v>
      </c>
      <c r="AS273" s="838">
        <v>0</v>
      </c>
      <c r="AT273" s="838">
        <v>0</v>
      </c>
      <c r="AU273" s="838">
        <v>0</v>
      </c>
      <c r="AV273" s="1001">
        <v>0</v>
      </c>
      <c r="BD273" s="993" t="s">
        <v>2152</v>
      </c>
      <c r="BE273" s="994">
        <v>800</v>
      </c>
      <c r="BF273" s="995">
        <v>247.45000000000002</v>
      </c>
      <c r="BG273" s="916">
        <v>247.45000000000002</v>
      </c>
      <c r="BH273" s="916"/>
      <c r="BI273" s="916"/>
      <c r="BJ273" s="916"/>
      <c r="BK273" s="916"/>
      <c r="BL273" s="916"/>
      <c r="BM273" s="976" t="s">
        <v>992</v>
      </c>
      <c r="BN273" s="986"/>
      <c r="BO273" s="838">
        <v>3</v>
      </c>
      <c r="BP273" s="996">
        <v>2800</v>
      </c>
      <c r="BQ273" s="997" t="s">
        <v>2146</v>
      </c>
      <c r="BR273" s="1004">
        <v>0</v>
      </c>
      <c r="BS273" s="1005">
        <v>0</v>
      </c>
      <c r="BT273" s="1005"/>
      <c r="BU273" s="1005"/>
      <c r="BV273" s="1005"/>
      <c r="BW273" s="1005"/>
      <c r="BX273" s="1005"/>
      <c r="BY273" s="1005"/>
      <c r="BZ273" s="1006"/>
      <c r="CS273" s="838"/>
      <c r="CT273" s="987"/>
      <c r="CU273" s="1001"/>
    </row>
    <row r="274" spans="1:99" ht="12.75" customHeight="1" x14ac:dyDescent="0.25">
      <c r="AQ274" s="1003"/>
      <c r="AR274" s="1003">
        <v>2600</v>
      </c>
      <c r="AS274" s="838">
        <v>0</v>
      </c>
      <c r="AT274" s="838">
        <v>0</v>
      </c>
      <c r="AU274" s="838">
        <v>0</v>
      </c>
      <c r="AV274" s="1001">
        <v>0</v>
      </c>
      <c r="BD274" s="993" t="s">
        <v>2152</v>
      </c>
      <c r="BE274" s="994">
        <v>1000</v>
      </c>
      <c r="BF274" s="995">
        <v>279.69</v>
      </c>
      <c r="BG274" s="916">
        <v>279.69</v>
      </c>
      <c r="BH274" s="916"/>
      <c r="BI274" s="916"/>
      <c r="BJ274" s="916"/>
      <c r="BK274" s="916"/>
      <c r="BL274" s="916"/>
      <c r="BM274" s="976" t="s">
        <v>1008</v>
      </c>
      <c r="BN274" s="986"/>
      <c r="BO274" s="838">
        <v>3.2</v>
      </c>
      <c r="BP274" s="996">
        <v>3000</v>
      </c>
      <c r="BQ274" s="997" t="s">
        <v>2146</v>
      </c>
      <c r="BR274" s="1004">
        <v>0</v>
      </c>
      <c r="BS274" s="1005">
        <v>0</v>
      </c>
      <c r="BT274" s="1005"/>
      <c r="BU274" s="1005"/>
      <c r="BV274" s="1005"/>
      <c r="BW274" s="1005"/>
      <c r="BX274" s="1005"/>
      <c r="BY274" s="1005"/>
      <c r="BZ274" s="1006"/>
      <c r="CS274" s="838"/>
      <c r="CT274" s="987"/>
      <c r="CU274" s="1001"/>
    </row>
    <row r="275" spans="1:99" x14ac:dyDescent="0.25">
      <c r="AQ275" s="1003"/>
      <c r="AR275" s="1003">
        <v>2800</v>
      </c>
      <c r="AS275" s="838">
        <v>0</v>
      </c>
      <c r="AT275" s="838">
        <v>0</v>
      </c>
      <c r="AU275" s="838">
        <v>0</v>
      </c>
      <c r="AV275" s="1001">
        <v>0</v>
      </c>
      <c r="BD275" s="993" t="s">
        <v>2152</v>
      </c>
      <c r="BE275" s="994">
        <v>1200</v>
      </c>
      <c r="BF275" s="995">
        <v>0</v>
      </c>
      <c r="BG275" s="916">
        <v>0</v>
      </c>
      <c r="BH275" s="916"/>
      <c r="BI275" s="916"/>
      <c r="BJ275" s="916"/>
      <c r="BK275" s="916"/>
      <c r="BL275" s="916"/>
      <c r="BM275" s="976" t="s">
        <v>1009</v>
      </c>
      <c r="BN275" s="986"/>
      <c r="BO275" s="838">
        <v>3.4</v>
      </c>
      <c r="BP275" s="996">
        <v>3200</v>
      </c>
      <c r="BQ275" s="997" t="s">
        <v>2146</v>
      </c>
      <c r="BR275" s="1004">
        <v>0</v>
      </c>
      <c r="BS275" s="1005">
        <v>0</v>
      </c>
      <c r="BT275" s="1005"/>
      <c r="BU275" s="1005"/>
      <c r="BV275" s="1005"/>
      <c r="BW275" s="1005"/>
      <c r="BX275" s="1005"/>
      <c r="BY275" s="1005"/>
      <c r="BZ275" s="1006"/>
      <c r="CS275" s="838"/>
      <c r="CT275" s="987"/>
      <c r="CU275" s="1001"/>
    </row>
    <row r="276" spans="1:99" x14ac:dyDescent="0.25">
      <c r="AQ276" s="1003"/>
      <c r="AR276" s="1003">
        <v>3000</v>
      </c>
      <c r="AS276" s="838">
        <v>0</v>
      </c>
      <c r="AT276" s="838">
        <v>0</v>
      </c>
      <c r="AU276" s="838">
        <v>0</v>
      </c>
      <c r="AV276" s="1001">
        <v>0</v>
      </c>
      <c r="BD276" s="993" t="s">
        <v>2152</v>
      </c>
      <c r="BE276" s="994">
        <v>1500</v>
      </c>
      <c r="BF276" s="995">
        <v>127.13</v>
      </c>
      <c r="BG276" s="916">
        <v>127.13</v>
      </c>
      <c r="BH276" s="916"/>
      <c r="BI276" s="916"/>
      <c r="BJ276" s="916"/>
      <c r="BK276" s="916"/>
      <c r="BL276" s="916"/>
      <c r="BM276" s="976" t="s">
        <v>1027</v>
      </c>
      <c r="BN276" s="986"/>
      <c r="BO276" s="838">
        <v>3.8</v>
      </c>
      <c r="BP276" s="996">
        <v>3600</v>
      </c>
      <c r="BQ276" s="997" t="s">
        <v>2146</v>
      </c>
      <c r="BR276" s="1004">
        <v>0</v>
      </c>
      <c r="BS276" s="1005">
        <v>0</v>
      </c>
      <c r="BT276" s="1005"/>
      <c r="BU276" s="1005"/>
      <c r="BV276" s="1005"/>
      <c r="BW276" s="1005"/>
      <c r="BX276" s="1005"/>
      <c r="BY276" s="1005"/>
      <c r="BZ276" s="1006"/>
      <c r="CS276" s="838"/>
      <c r="CT276" s="987"/>
      <c r="CU276" s="1001"/>
    </row>
    <row r="277" spans="1:99" x14ac:dyDescent="0.25">
      <c r="AQ277" s="1003"/>
      <c r="AR277" s="1003">
        <v>3200</v>
      </c>
      <c r="AS277" s="838">
        <v>0</v>
      </c>
      <c r="AT277" s="838">
        <v>0</v>
      </c>
      <c r="AU277" s="838">
        <v>0</v>
      </c>
      <c r="AV277" s="1001">
        <v>0</v>
      </c>
      <c r="BD277" s="993" t="s">
        <v>2153</v>
      </c>
      <c r="BE277" s="994">
        <v>400</v>
      </c>
      <c r="BF277" s="995">
        <v>0</v>
      </c>
      <c r="BG277" s="916">
        <v>0</v>
      </c>
      <c r="BH277" s="916"/>
      <c r="BI277" s="916"/>
      <c r="BJ277" s="916"/>
      <c r="BK277" s="916"/>
      <c r="BL277" s="916"/>
      <c r="BM277" s="976" t="s">
        <v>1068</v>
      </c>
      <c r="BN277" s="986"/>
      <c r="BO277" s="838">
        <v>4</v>
      </c>
      <c r="BP277" s="996">
        <v>3800</v>
      </c>
      <c r="BQ277" s="997" t="s">
        <v>2146</v>
      </c>
      <c r="BR277" s="1004">
        <v>0</v>
      </c>
      <c r="BS277" s="1005">
        <v>0</v>
      </c>
      <c r="BT277" s="1005"/>
      <c r="BU277" s="1005"/>
      <c r="BV277" s="1005"/>
      <c r="BW277" s="1005"/>
      <c r="BX277" s="1005"/>
      <c r="BY277" s="1005"/>
      <c r="BZ277" s="1006"/>
      <c r="CS277" s="838"/>
      <c r="CT277" s="988" t="s">
        <v>2154</v>
      </c>
      <c r="CU277" s="989">
        <v>6</v>
      </c>
    </row>
    <row r="278" spans="1:99" x14ac:dyDescent="0.25">
      <c r="AQ278" s="957"/>
      <c r="AR278" s="957"/>
      <c r="AS278" s="1015" t="s">
        <v>2155</v>
      </c>
      <c r="AT278" s="1015"/>
      <c r="AU278" s="1015"/>
      <c r="AV278" s="1016"/>
      <c r="BD278" s="993" t="s">
        <v>2153</v>
      </c>
      <c r="BE278" s="994">
        <v>500</v>
      </c>
      <c r="BF278" s="995">
        <v>0</v>
      </c>
      <c r="BG278" s="916">
        <v>0</v>
      </c>
      <c r="BH278" s="916"/>
      <c r="BI278" s="916"/>
      <c r="BJ278" s="916"/>
      <c r="BK278" s="916"/>
      <c r="BL278" s="916"/>
      <c r="BM278" s="976" t="s">
        <v>2156</v>
      </c>
      <c r="BN278" s="986"/>
      <c r="BP278" s="996">
        <v>1650</v>
      </c>
      <c r="BQ278" s="997" t="s">
        <v>2157</v>
      </c>
      <c r="BR278" s="1004">
        <v>0</v>
      </c>
      <c r="BS278" s="1005">
        <v>0</v>
      </c>
      <c r="BT278" s="1005"/>
      <c r="BU278" s="1005"/>
      <c r="BV278" s="1005"/>
      <c r="BW278" s="1005"/>
      <c r="BX278" s="1005"/>
      <c r="BY278" s="1005"/>
      <c r="BZ278" s="1006"/>
      <c r="CS278" s="838"/>
      <c r="CT278" s="987" t="s">
        <v>2129</v>
      </c>
      <c r="CU278" s="1001">
        <v>6</v>
      </c>
    </row>
    <row r="279" spans="1:99" x14ac:dyDescent="0.25">
      <c r="AQ279" s="972"/>
      <c r="AR279" s="972"/>
      <c r="AS279" s="2139" t="s">
        <v>2158</v>
      </c>
      <c r="AT279" s="2139"/>
      <c r="AU279" s="2139"/>
      <c r="AV279" s="2140"/>
      <c r="BD279" s="993" t="s">
        <v>2153</v>
      </c>
      <c r="BE279" s="994">
        <v>600</v>
      </c>
      <c r="BF279" s="995">
        <v>0</v>
      </c>
      <c r="BG279" s="916">
        <v>0</v>
      </c>
      <c r="BH279" s="916"/>
      <c r="BI279" s="916"/>
      <c r="BJ279" s="916"/>
      <c r="BK279" s="916"/>
      <c r="BL279" s="916"/>
      <c r="BM279" s="976" t="s">
        <v>2159</v>
      </c>
      <c r="BN279" s="986"/>
      <c r="BP279" s="996">
        <v>1800</v>
      </c>
      <c r="BQ279" s="997" t="s">
        <v>2157</v>
      </c>
      <c r="BR279" s="998">
        <v>0</v>
      </c>
      <c r="BS279" s="999">
        <v>0</v>
      </c>
      <c r="BT279" s="999"/>
      <c r="BU279" s="999"/>
      <c r="BV279" s="999"/>
      <c r="BW279" s="999"/>
      <c r="BX279" s="999"/>
      <c r="BY279" s="999"/>
      <c r="BZ279" s="1000"/>
      <c r="CS279" s="838"/>
      <c r="CT279" s="987"/>
      <c r="CU279" s="1001"/>
    </row>
    <row r="280" spans="1:99" x14ac:dyDescent="0.25">
      <c r="AQ280" s="972"/>
      <c r="AR280" s="972"/>
      <c r="AS280" s="2139"/>
      <c r="AT280" s="2139"/>
      <c r="AU280" s="2139"/>
      <c r="AV280" s="2140"/>
      <c r="BD280" s="993" t="s">
        <v>2153</v>
      </c>
      <c r="BE280" s="994">
        <v>800</v>
      </c>
      <c r="BF280" s="995">
        <v>0</v>
      </c>
      <c r="BG280" s="916">
        <v>0</v>
      </c>
      <c r="BH280" s="916"/>
      <c r="BI280" s="916"/>
      <c r="BJ280" s="916"/>
      <c r="BK280" s="916"/>
      <c r="BL280" s="916"/>
      <c r="BM280" s="976" t="s">
        <v>2160</v>
      </c>
      <c r="BN280" s="986"/>
      <c r="BP280" s="996">
        <v>2000</v>
      </c>
      <c r="BQ280" s="997" t="s">
        <v>2157</v>
      </c>
      <c r="BR280" s="998">
        <v>0</v>
      </c>
      <c r="BS280" s="999">
        <v>0</v>
      </c>
      <c r="BT280" s="999"/>
      <c r="BU280" s="999"/>
      <c r="BV280" s="999"/>
      <c r="BW280" s="999"/>
      <c r="BX280" s="999"/>
      <c r="BY280" s="999"/>
      <c r="BZ280" s="1000"/>
      <c r="CS280" s="838"/>
      <c r="CT280" s="987"/>
      <c r="CU280" s="1001"/>
    </row>
    <row r="281" spans="1:99" x14ac:dyDescent="0.25">
      <c r="AQ281" s="1002"/>
      <c r="AR281" s="1002"/>
      <c r="AS281" s="950" t="s">
        <v>2161</v>
      </c>
      <c r="AT281" s="950" t="s">
        <v>2162</v>
      </c>
      <c r="AU281" s="950" t="s">
        <v>2163</v>
      </c>
      <c r="AV281" s="992" t="s">
        <v>2164</v>
      </c>
      <c r="BD281" s="993" t="s">
        <v>2153</v>
      </c>
      <c r="BE281" s="994">
        <v>1000</v>
      </c>
      <c r="BF281" s="995">
        <v>0</v>
      </c>
      <c r="BG281" s="916">
        <v>0</v>
      </c>
      <c r="BH281" s="916"/>
      <c r="BI281" s="916"/>
      <c r="BJ281" s="916"/>
      <c r="BK281" s="916"/>
      <c r="BL281" s="916"/>
      <c r="BM281" s="976" t="s">
        <v>2165</v>
      </c>
      <c r="BN281" s="986"/>
      <c r="BP281" s="996">
        <v>2200</v>
      </c>
      <c r="BQ281" s="997" t="s">
        <v>2157</v>
      </c>
      <c r="BR281" s="998">
        <v>0</v>
      </c>
      <c r="BS281" s="999">
        <v>0</v>
      </c>
      <c r="BT281" s="999"/>
      <c r="BU281" s="999"/>
      <c r="BV281" s="999"/>
      <c r="BW281" s="999"/>
      <c r="BX281" s="999"/>
      <c r="BY281" s="999"/>
      <c r="BZ281" s="1000"/>
      <c r="CS281" s="838"/>
      <c r="CT281" s="987"/>
      <c r="CU281" s="1001"/>
    </row>
    <row r="282" spans="1:99" x14ac:dyDescent="0.25">
      <c r="AQ282" s="1002"/>
      <c r="AR282" s="1002" t="s">
        <v>2139</v>
      </c>
      <c r="AS282" s="950"/>
      <c r="AT282" s="950"/>
      <c r="AU282" s="950"/>
      <c r="AV282" s="992"/>
      <c r="BD282" s="993" t="s">
        <v>2153</v>
      </c>
      <c r="BE282" s="994">
        <v>1200</v>
      </c>
      <c r="BF282" s="995">
        <v>0</v>
      </c>
      <c r="BG282" s="916">
        <v>0</v>
      </c>
      <c r="BH282" s="916"/>
      <c r="BI282" s="916"/>
      <c r="BJ282" s="916"/>
      <c r="BK282" s="916"/>
      <c r="BL282" s="916"/>
      <c r="BM282" s="976" t="s">
        <v>2166</v>
      </c>
      <c r="BN282" s="986"/>
      <c r="BP282" s="996">
        <v>2400</v>
      </c>
      <c r="BQ282" s="997" t="s">
        <v>2157</v>
      </c>
      <c r="BR282" s="998">
        <v>0</v>
      </c>
      <c r="BS282" s="999">
        <v>0</v>
      </c>
      <c r="BT282" s="999"/>
      <c r="BU282" s="999"/>
      <c r="BV282" s="999"/>
      <c r="BW282" s="999"/>
      <c r="BX282" s="999"/>
      <c r="BY282" s="999"/>
      <c r="BZ282" s="1000"/>
      <c r="CS282" s="838"/>
      <c r="CT282" s="987"/>
      <c r="CU282" s="1001"/>
    </row>
    <row r="283" spans="1:99" x14ac:dyDescent="0.25">
      <c r="AQ283" s="1003"/>
      <c r="AR283" s="1003">
        <v>400</v>
      </c>
      <c r="AS283" s="838">
        <v>0</v>
      </c>
      <c r="AT283" s="838">
        <v>0</v>
      </c>
      <c r="AU283" s="838" t="e">
        <v>#REF!</v>
      </c>
      <c r="AV283" s="1001" t="e">
        <v>#REF!</v>
      </c>
      <c r="BD283" s="993" t="s">
        <v>2153</v>
      </c>
      <c r="BE283" s="994">
        <v>1500</v>
      </c>
      <c r="BF283" s="995">
        <v>0</v>
      </c>
      <c r="BG283" s="916">
        <v>0</v>
      </c>
      <c r="BH283" s="916"/>
      <c r="BI283" s="916"/>
      <c r="BJ283" s="916"/>
      <c r="BK283" s="916"/>
      <c r="BL283" s="916"/>
      <c r="BM283" s="976" t="s">
        <v>2167</v>
      </c>
      <c r="BN283" s="986"/>
      <c r="BP283" s="1017">
        <v>2600</v>
      </c>
      <c r="BQ283" s="1018" t="s">
        <v>2157</v>
      </c>
      <c r="BR283" s="1019">
        <v>0</v>
      </c>
      <c r="BS283" s="1020">
        <v>0</v>
      </c>
      <c r="BT283" s="1020"/>
      <c r="BU283" s="1020"/>
      <c r="BV283" s="1020"/>
      <c r="BW283" s="1020"/>
      <c r="BX283" s="1020"/>
      <c r="BY283" s="1020"/>
      <c r="BZ283" s="1021"/>
      <c r="CS283" s="838"/>
      <c r="CT283" s="987"/>
      <c r="CU283" s="1001"/>
    </row>
    <row r="284" spans="1:99" x14ac:dyDescent="0.25">
      <c r="AQ284" s="1003"/>
      <c r="AR284" s="1003">
        <v>600</v>
      </c>
      <c r="AS284" s="838">
        <v>2816.1435600000004</v>
      </c>
      <c r="AT284" s="838">
        <v>0</v>
      </c>
      <c r="AU284" s="838" t="e">
        <v>#REF!</v>
      </c>
      <c r="AV284" s="1001" t="e">
        <v>#REF!</v>
      </c>
      <c r="BC284" s="1022">
        <v>1000</v>
      </c>
      <c r="BD284" s="993" t="s">
        <v>2146</v>
      </c>
      <c r="BE284" s="994">
        <v>1200</v>
      </c>
      <c r="BF284" s="995">
        <v>0</v>
      </c>
      <c r="BG284" s="916">
        <v>0</v>
      </c>
      <c r="BH284" s="916"/>
      <c r="BI284" s="916"/>
      <c r="BJ284" s="916"/>
      <c r="BK284" s="916"/>
      <c r="BL284" s="916"/>
      <c r="BM284" s="916"/>
      <c r="BN284" s="986"/>
      <c r="BP284" s="1017">
        <v>2800</v>
      </c>
      <c r="BQ284" s="1018" t="s">
        <v>2157</v>
      </c>
      <c r="BR284" s="1019">
        <v>0</v>
      </c>
      <c r="BS284" s="1020">
        <v>0</v>
      </c>
      <c r="BT284" s="1020"/>
      <c r="BU284" s="1020"/>
      <c r="BV284" s="1020"/>
      <c r="BW284" s="1020"/>
      <c r="BX284" s="1020"/>
      <c r="BY284" s="1020"/>
      <c r="BZ284" s="1021"/>
      <c r="CS284" s="838"/>
      <c r="CT284" s="987"/>
      <c r="CU284" s="1001"/>
    </row>
    <row r="285" spans="1:99" x14ac:dyDescent="0.25">
      <c r="AQ285" s="1003"/>
      <c r="AR285" s="1003">
        <v>800</v>
      </c>
      <c r="AS285" s="838">
        <v>0</v>
      </c>
      <c r="AT285" s="838">
        <v>0</v>
      </c>
      <c r="AU285" s="838" t="e">
        <v>#REF!</v>
      </c>
      <c r="AV285" s="1001" t="e">
        <v>#REF!</v>
      </c>
      <c r="BC285" s="1022">
        <v>1200</v>
      </c>
      <c r="BD285" s="993" t="s">
        <v>2146</v>
      </c>
      <c r="BE285" s="994">
        <v>1400</v>
      </c>
      <c r="BF285" s="995">
        <v>0</v>
      </c>
      <c r="BG285" s="916">
        <v>0</v>
      </c>
      <c r="BH285" s="916"/>
      <c r="BI285" s="916"/>
      <c r="BJ285" s="916"/>
      <c r="BK285" s="916"/>
      <c r="BL285" s="916"/>
      <c r="BM285" s="916"/>
      <c r="BN285" s="986"/>
      <c r="BP285" s="1017">
        <v>3000</v>
      </c>
      <c r="BQ285" s="1018" t="s">
        <v>2157</v>
      </c>
      <c r="BR285" s="1019">
        <v>0</v>
      </c>
      <c r="BS285" s="1020">
        <v>0</v>
      </c>
      <c r="BT285" s="1020"/>
      <c r="BU285" s="1020"/>
      <c r="BV285" s="1020"/>
      <c r="BW285" s="1020"/>
      <c r="BX285" s="1020"/>
      <c r="BY285" s="1020"/>
      <c r="BZ285" s="1021"/>
      <c r="CS285" s="838"/>
      <c r="CT285" s="1011"/>
      <c r="CU285" s="1023"/>
    </row>
    <row r="286" spans="1:99" x14ac:dyDescent="0.25">
      <c r="AQ286" s="1003"/>
      <c r="AR286" s="1003">
        <v>1000</v>
      </c>
      <c r="AS286" s="838">
        <v>0</v>
      </c>
      <c r="AT286" s="838">
        <v>0</v>
      </c>
      <c r="AU286" s="838" t="e">
        <v>#REF!</v>
      </c>
      <c r="AV286" s="1001" t="e">
        <v>#REF!</v>
      </c>
      <c r="BC286" s="1022">
        <v>1400</v>
      </c>
      <c r="BD286" s="993" t="s">
        <v>2146</v>
      </c>
      <c r="BE286" s="994">
        <v>1600</v>
      </c>
      <c r="BF286" s="995">
        <v>0</v>
      </c>
      <c r="BG286" s="916">
        <v>0</v>
      </c>
      <c r="BH286" s="916"/>
      <c r="BI286" s="916"/>
      <c r="BJ286" s="916"/>
      <c r="BK286" s="916"/>
      <c r="BL286" s="916"/>
      <c r="BM286" s="916"/>
      <c r="BN286" s="986"/>
      <c r="BP286" s="1024">
        <v>3200</v>
      </c>
      <c r="BQ286" s="1025" t="s">
        <v>2157</v>
      </c>
      <c r="BR286" s="1026">
        <v>0</v>
      </c>
      <c r="BS286" s="1027">
        <v>0</v>
      </c>
      <c r="BT286" s="1027"/>
      <c r="BU286" s="1027"/>
      <c r="BV286" s="1027"/>
      <c r="BW286" s="1027"/>
      <c r="BX286" s="1027"/>
      <c r="BY286" s="1027"/>
      <c r="BZ286" s="1028"/>
    </row>
    <row r="287" spans="1:99" s="838" customFormat="1" x14ac:dyDescent="0.25">
      <c r="A287" s="939"/>
      <c r="B287" s="940"/>
      <c r="C287" s="939"/>
      <c r="D287" s="939"/>
      <c r="G287" s="940"/>
      <c r="K287" s="836"/>
      <c r="P287" s="836"/>
      <c r="R287" s="836"/>
      <c r="S287" s="941"/>
      <c r="T287" s="941"/>
      <c r="W287" s="836"/>
      <c r="AC287" s="836"/>
      <c r="AQ287" s="1003"/>
      <c r="AR287" s="1003">
        <v>1200</v>
      </c>
      <c r="AS287" s="838">
        <v>0</v>
      </c>
      <c r="AT287" s="838">
        <v>0</v>
      </c>
      <c r="AU287" s="838" t="e">
        <v>#REF!</v>
      </c>
      <c r="AV287" s="1001" t="e">
        <v>#REF!</v>
      </c>
      <c r="BC287" s="1022">
        <v>1600</v>
      </c>
      <c r="BD287" s="993" t="s">
        <v>2146</v>
      </c>
      <c r="BE287" s="994">
        <v>1800</v>
      </c>
      <c r="BF287" s="995">
        <v>0</v>
      </c>
      <c r="BG287" s="916">
        <v>0</v>
      </c>
      <c r="BH287" s="916"/>
      <c r="BI287" s="916"/>
      <c r="BJ287" s="916"/>
      <c r="BK287" s="916"/>
      <c r="BL287" s="916"/>
      <c r="BM287" s="916"/>
      <c r="BN287" s="986"/>
      <c r="BP287" s="838" t="s">
        <v>2168</v>
      </c>
      <c r="BQ287" s="832"/>
      <c r="BR287" s="832">
        <v>149</v>
      </c>
      <c r="BS287" s="832"/>
      <c r="BT287" s="832"/>
      <c r="BU287" s="832"/>
      <c r="BV287" s="832"/>
      <c r="CS287" s="836"/>
      <c r="CT287" s="836"/>
      <c r="CU287" s="836"/>
    </row>
    <row r="288" spans="1:99" s="838" customFormat="1" x14ac:dyDescent="0.25">
      <c r="A288" s="939"/>
      <c r="B288" s="940"/>
      <c r="C288" s="939"/>
      <c r="D288" s="939"/>
      <c r="G288" s="940"/>
      <c r="K288" s="836"/>
      <c r="P288" s="836"/>
      <c r="R288" s="836"/>
      <c r="S288" s="941"/>
      <c r="T288" s="941"/>
      <c r="W288" s="836"/>
      <c r="AC288" s="836"/>
      <c r="AQ288" s="1003"/>
      <c r="AR288" s="1003">
        <v>1500</v>
      </c>
      <c r="AS288" s="838">
        <v>974.20423000000005</v>
      </c>
      <c r="AT288" s="838">
        <v>0</v>
      </c>
      <c r="AU288" s="838" t="e">
        <v>#REF!</v>
      </c>
      <c r="AV288" s="1001" t="e">
        <v>#REF!</v>
      </c>
      <c r="BC288" s="1022">
        <v>1800</v>
      </c>
      <c r="BD288" s="993" t="s">
        <v>2146</v>
      </c>
      <c r="BE288" s="994">
        <v>2000</v>
      </c>
      <c r="BF288" s="995">
        <v>0</v>
      </c>
      <c r="BG288" s="916">
        <v>0</v>
      </c>
      <c r="BH288" s="916"/>
      <c r="BI288" s="916"/>
      <c r="BJ288" s="916"/>
      <c r="BK288" s="916"/>
      <c r="BL288" s="916"/>
      <c r="BM288" s="916"/>
      <c r="BN288" s="986"/>
      <c r="BP288" s="838" t="s">
        <v>2169</v>
      </c>
      <c r="BQ288" s="832"/>
      <c r="BR288" s="832">
        <v>149</v>
      </c>
      <c r="BS288" s="832"/>
      <c r="BT288" s="832"/>
      <c r="BU288" s="832"/>
      <c r="BV288" s="832"/>
      <c r="CS288" s="836"/>
      <c r="CT288" s="836"/>
      <c r="CU288" s="836"/>
    </row>
    <row r="289" spans="1:99" s="838" customFormat="1" x14ac:dyDescent="0.25">
      <c r="A289" s="939"/>
      <c r="B289" s="940"/>
      <c r="C289" s="939"/>
      <c r="D289" s="939"/>
      <c r="G289" s="940"/>
      <c r="K289" s="836"/>
      <c r="P289" s="836"/>
      <c r="R289" s="836"/>
      <c r="S289" s="941"/>
      <c r="T289" s="941"/>
      <c r="W289" s="836"/>
      <c r="AC289" s="836"/>
      <c r="AQ289" s="1003"/>
      <c r="AR289" s="1003" t="s">
        <v>2149</v>
      </c>
      <c r="AV289" s="1001"/>
      <c r="BC289" s="1022">
        <v>2000</v>
      </c>
      <c r="BD289" s="993" t="s">
        <v>2146</v>
      </c>
      <c r="BE289" s="994">
        <v>2200</v>
      </c>
      <c r="BF289" s="995">
        <v>0</v>
      </c>
      <c r="BG289" s="916">
        <v>0</v>
      </c>
      <c r="BH289" s="916"/>
      <c r="BI289" s="916"/>
      <c r="BJ289" s="916"/>
      <c r="BK289" s="916"/>
      <c r="BL289" s="916"/>
      <c r="BM289" s="916"/>
      <c r="BN289" s="986"/>
      <c r="BP289" s="960" t="s">
        <v>2170</v>
      </c>
      <c r="BQ289" s="965"/>
      <c r="BR289" s="965"/>
      <c r="BS289" s="965"/>
      <c r="BT289" s="965"/>
      <c r="BU289" s="965"/>
      <c r="BV289" s="965"/>
      <c r="BW289" s="961"/>
      <c r="BX289" s="961"/>
      <c r="BY289" s="961"/>
      <c r="BZ289" s="962"/>
      <c r="CS289" s="836"/>
      <c r="CT289" s="836"/>
      <c r="CU289" s="836"/>
    </row>
    <row r="290" spans="1:99" s="838" customFormat="1" x14ac:dyDescent="0.25">
      <c r="A290" s="939"/>
      <c r="B290" s="940"/>
      <c r="C290" s="939"/>
      <c r="D290" s="939"/>
      <c r="G290" s="940"/>
      <c r="K290" s="836"/>
      <c r="P290" s="836"/>
      <c r="R290" s="836"/>
      <c r="S290" s="941"/>
      <c r="T290" s="941"/>
      <c r="W290" s="836"/>
      <c r="AC290" s="836"/>
      <c r="AQ290" s="1003"/>
      <c r="AR290" s="1003">
        <v>1650</v>
      </c>
      <c r="AS290" s="838">
        <v>0</v>
      </c>
      <c r="AT290" s="838">
        <v>0</v>
      </c>
      <c r="AU290" s="838" t="e">
        <v>#REF!</v>
      </c>
      <c r="AV290" s="1001" t="e">
        <v>#REF!</v>
      </c>
      <c r="BC290" s="1022">
        <v>2200</v>
      </c>
      <c r="BD290" s="993" t="s">
        <v>2146</v>
      </c>
      <c r="BE290" s="994">
        <v>2400</v>
      </c>
      <c r="BF290" s="995">
        <v>0</v>
      </c>
      <c r="BG290" s="916">
        <v>0</v>
      </c>
      <c r="BH290" s="916"/>
      <c r="BI290" s="916"/>
      <c r="BJ290" s="916"/>
      <c r="BK290" s="916"/>
      <c r="BL290" s="916"/>
      <c r="BM290" s="916"/>
      <c r="BN290" s="986"/>
      <c r="BP290" s="979" t="s">
        <v>2127</v>
      </c>
      <c r="BQ290" s="980" t="s">
        <v>1739</v>
      </c>
      <c r="BR290" s="981" t="s">
        <v>2125</v>
      </c>
      <c r="BS290" s="982" t="s">
        <v>2130</v>
      </c>
      <c r="BT290" s="982">
        <v>0</v>
      </c>
      <c r="BU290" s="982">
        <v>0</v>
      </c>
      <c r="BV290" s="982">
        <v>0</v>
      </c>
      <c r="BW290" s="982">
        <v>0</v>
      </c>
      <c r="BX290" s="980">
        <v>0</v>
      </c>
      <c r="BY290" s="980">
        <v>0</v>
      </c>
      <c r="BZ290" s="983">
        <v>0</v>
      </c>
      <c r="CS290" s="836"/>
      <c r="CT290" s="836"/>
      <c r="CU290" s="836"/>
    </row>
    <row r="291" spans="1:99" s="838" customFormat="1" x14ac:dyDescent="0.25">
      <c r="A291" s="939"/>
      <c r="B291" s="940"/>
      <c r="C291" s="939"/>
      <c r="D291" s="939"/>
      <c r="G291" s="940"/>
      <c r="K291" s="836"/>
      <c r="P291" s="836"/>
      <c r="R291" s="836"/>
      <c r="S291" s="941"/>
      <c r="T291" s="941"/>
      <c r="W291" s="836"/>
      <c r="AC291" s="836"/>
      <c r="AQ291" s="1003"/>
      <c r="AR291" s="1003">
        <v>1800</v>
      </c>
      <c r="AS291" s="838">
        <v>0</v>
      </c>
      <c r="AT291" s="838">
        <v>0</v>
      </c>
      <c r="AU291" s="838" t="e">
        <v>#REF!</v>
      </c>
      <c r="AV291" s="1001" t="e">
        <v>#REF!</v>
      </c>
      <c r="BC291" s="1022">
        <v>2400</v>
      </c>
      <c r="BD291" s="993" t="s">
        <v>2146</v>
      </c>
      <c r="BE291" s="994">
        <v>2600</v>
      </c>
      <c r="BF291" s="995">
        <v>0</v>
      </c>
      <c r="BG291" s="916">
        <v>0</v>
      </c>
      <c r="BH291" s="916"/>
      <c r="BI291" s="916"/>
      <c r="BJ291" s="916"/>
      <c r="BK291" s="916"/>
      <c r="BL291" s="916"/>
      <c r="BM291" s="916"/>
      <c r="BN291" s="986"/>
      <c r="BP291" s="996">
        <v>1200</v>
      </c>
      <c r="BQ291" s="997" t="s">
        <v>2146</v>
      </c>
      <c r="BR291" s="998">
        <v>0</v>
      </c>
      <c r="BS291" s="999">
        <v>0</v>
      </c>
      <c r="BT291" s="999"/>
      <c r="BU291" s="999"/>
      <c r="BV291" s="999"/>
      <c r="BW291" s="999"/>
      <c r="BX291" s="999"/>
      <c r="BY291" s="999"/>
      <c r="BZ291" s="1029"/>
      <c r="CS291" s="836"/>
      <c r="CT291" s="836"/>
      <c r="CU291" s="836"/>
    </row>
    <row r="292" spans="1:99" s="838" customFormat="1" x14ac:dyDescent="0.25">
      <c r="A292" s="939"/>
      <c r="B292" s="940"/>
      <c r="C292" s="939"/>
      <c r="D292" s="939"/>
      <c r="G292" s="940"/>
      <c r="K292" s="836"/>
      <c r="P292" s="836"/>
      <c r="R292" s="836"/>
      <c r="S292" s="941"/>
      <c r="T292" s="941"/>
      <c r="W292" s="836"/>
      <c r="AC292" s="836"/>
      <c r="AQ292" s="1003"/>
      <c r="AR292" s="1003">
        <v>2000</v>
      </c>
      <c r="AS292" s="838">
        <v>0</v>
      </c>
      <c r="AT292" s="838">
        <v>0</v>
      </c>
      <c r="AU292" s="838" t="e">
        <v>#REF!</v>
      </c>
      <c r="AV292" s="1001" t="e">
        <v>#REF!</v>
      </c>
      <c r="BC292" s="1022">
        <v>2600</v>
      </c>
      <c r="BD292" s="993" t="s">
        <v>2146</v>
      </c>
      <c r="BE292" s="994">
        <v>2800</v>
      </c>
      <c r="BF292" s="995">
        <v>0</v>
      </c>
      <c r="BG292" s="916">
        <v>0</v>
      </c>
      <c r="BH292" s="916"/>
      <c r="BI292" s="916"/>
      <c r="BJ292" s="916"/>
      <c r="BK292" s="916"/>
      <c r="BL292" s="916"/>
      <c r="BM292" s="916"/>
      <c r="BN292" s="986"/>
      <c r="BP292" s="996">
        <v>1400</v>
      </c>
      <c r="BQ292" s="997" t="s">
        <v>2146</v>
      </c>
      <c r="BR292" s="998">
        <v>0</v>
      </c>
      <c r="BS292" s="999">
        <v>0</v>
      </c>
      <c r="BT292" s="999"/>
      <c r="BU292" s="999"/>
      <c r="BV292" s="999"/>
      <c r="BW292" s="999"/>
      <c r="BX292" s="999"/>
      <c r="BY292" s="999"/>
      <c r="BZ292" s="1029"/>
      <c r="CS292" s="836"/>
      <c r="CT292" s="836"/>
      <c r="CU292" s="836"/>
    </row>
    <row r="293" spans="1:99" s="838" customFormat="1" x14ac:dyDescent="0.25">
      <c r="A293" s="939"/>
      <c r="B293" s="940"/>
      <c r="C293" s="939"/>
      <c r="D293" s="939"/>
      <c r="G293" s="940"/>
      <c r="K293" s="836"/>
      <c r="P293" s="836"/>
      <c r="R293" s="836"/>
      <c r="S293" s="941"/>
      <c r="T293" s="941"/>
      <c r="W293" s="836"/>
      <c r="AC293" s="836"/>
      <c r="AQ293" s="1003"/>
      <c r="AR293" s="1003">
        <v>2200</v>
      </c>
      <c r="AS293" s="838">
        <v>0</v>
      </c>
      <c r="AT293" s="838">
        <v>0</v>
      </c>
      <c r="AU293" s="838" t="e">
        <v>#REF!</v>
      </c>
      <c r="AV293" s="1001" t="e">
        <v>#REF!</v>
      </c>
      <c r="BC293" s="1022">
        <v>2800</v>
      </c>
      <c r="BD293" s="993" t="s">
        <v>2146</v>
      </c>
      <c r="BE293" s="994">
        <v>3000</v>
      </c>
      <c r="BF293" s="995">
        <v>0</v>
      </c>
      <c r="BG293" s="916">
        <v>0</v>
      </c>
      <c r="BH293" s="916"/>
      <c r="BI293" s="916"/>
      <c r="BJ293" s="916"/>
      <c r="BK293" s="916"/>
      <c r="BL293" s="916"/>
      <c r="BM293" s="916"/>
      <c r="BN293" s="986"/>
      <c r="BP293" s="996">
        <v>1600</v>
      </c>
      <c r="BQ293" s="997" t="s">
        <v>2146</v>
      </c>
      <c r="BR293" s="998">
        <v>0</v>
      </c>
      <c r="BS293" s="999">
        <v>0</v>
      </c>
      <c r="BT293" s="999"/>
      <c r="BU293" s="999"/>
      <c r="BV293" s="999"/>
      <c r="BW293" s="999"/>
      <c r="BX293" s="999"/>
      <c r="BY293" s="999"/>
      <c r="BZ293" s="1029"/>
      <c r="CS293" s="836"/>
      <c r="CT293" s="836"/>
      <c r="CU293" s="836"/>
    </row>
    <row r="294" spans="1:99" s="838" customFormat="1" x14ac:dyDescent="0.25">
      <c r="A294" s="939"/>
      <c r="B294" s="940"/>
      <c r="C294" s="939"/>
      <c r="D294" s="939"/>
      <c r="G294" s="940"/>
      <c r="K294" s="836"/>
      <c r="P294" s="836"/>
      <c r="R294" s="836"/>
      <c r="S294" s="941"/>
      <c r="T294" s="941"/>
      <c r="W294" s="836"/>
      <c r="AC294" s="836"/>
      <c r="AQ294" s="1003"/>
      <c r="AR294" s="1003">
        <v>2400</v>
      </c>
      <c r="AS294" s="838">
        <v>0</v>
      </c>
      <c r="AT294" s="838">
        <v>0</v>
      </c>
      <c r="AU294" s="838" t="e">
        <v>#REF!</v>
      </c>
      <c r="AV294" s="1001" t="e">
        <v>#REF!</v>
      </c>
      <c r="BC294" s="1022">
        <v>3000</v>
      </c>
      <c r="BD294" s="993" t="s">
        <v>2146</v>
      </c>
      <c r="BE294" s="994">
        <v>3200</v>
      </c>
      <c r="BF294" s="995">
        <v>0</v>
      </c>
      <c r="BG294" s="916">
        <v>0</v>
      </c>
      <c r="BH294" s="916"/>
      <c r="BI294" s="916"/>
      <c r="BJ294" s="916"/>
      <c r="BK294" s="916"/>
      <c r="BL294" s="916"/>
      <c r="BM294" s="916"/>
      <c r="BN294" s="986"/>
      <c r="BP294" s="1017">
        <v>1800</v>
      </c>
      <c r="BQ294" s="1018" t="s">
        <v>2146</v>
      </c>
      <c r="BR294" s="1019">
        <v>0</v>
      </c>
      <c r="BS294" s="1020">
        <v>0</v>
      </c>
      <c r="BT294" s="1020"/>
      <c r="BU294" s="1020"/>
      <c r="BV294" s="1020"/>
      <c r="BW294" s="1020"/>
      <c r="BX294" s="1020"/>
      <c r="BY294" s="1020"/>
      <c r="BZ294" s="1030"/>
      <c r="CS294" s="836"/>
      <c r="CT294" s="836"/>
      <c r="CU294" s="836"/>
    </row>
    <row r="295" spans="1:99" s="838" customFormat="1" x14ac:dyDescent="0.25">
      <c r="A295" s="939"/>
      <c r="B295" s="940"/>
      <c r="C295" s="939"/>
      <c r="D295" s="939"/>
      <c r="G295" s="940"/>
      <c r="K295" s="836"/>
      <c r="P295" s="836"/>
      <c r="R295" s="836"/>
      <c r="S295" s="941"/>
      <c r="T295" s="941"/>
      <c r="W295" s="836"/>
      <c r="AC295" s="836"/>
      <c r="AQ295" s="1003"/>
      <c r="AR295" s="1003">
        <v>2600</v>
      </c>
      <c r="AS295" s="838">
        <v>0</v>
      </c>
      <c r="AT295" s="838">
        <v>0</v>
      </c>
      <c r="AU295" s="838" t="e">
        <v>#REF!</v>
      </c>
      <c r="AV295" s="1001" t="e">
        <v>#REF!</v>
      </c>
      <c r="BC295" s="1022">
        <v>3200</v>
      </c>
      <c r="BD295" s="993" t="s">
        <v>2146</v>
      </c>
      <c r="BE295" s="994">
        <v>3400</v>
      </c>
      <c r="BF295" s="995">
        <v>0</v>
      </c>
      <c r="BG295" s="916">
        <v>0</v>
      </c>
      <c r="BH295" s="916"/>
      <c r="BI295" s="916"/>
      <c r="BJ295" s="916"/>
      <c r="BK295" s="916"/>
      <c r="BL295" s="916"/>
      <c r="BM295" s="916"/>
      <c r="BN295" s="986"/>
      <c r="BP295" s="1017">
        <v>2000</v>
      </c>
      <c r="BQ295" s="1018" t="s">
        <v>2146</v>
      </c>
      <c r="BR295" s="1019">
        <v>0</v>
      </c>
      <c r="BS295" s="1020">
        <v>0</v>
      </c>
      <c r="BT295" s="1020"/>
      <c r="BU295" s="1020"/>
      <c r="BV295" s="1020"/>
      <c r="BW295" s="1020"/>
      <c r="BX295" s="1020"/>
      <c r="BY295" s="1020"/>
      <c r="BZ295" s="1030"/>
      <c r="CS295" s="836"/>
      <c r="CT295" s="836"/>
      <c r="CU295" s="836"/>
    </row>
    <row r="296" spans="1:99" s="838" customFormat="1" x14ac:dyDescent="0.25">
      <c r="A296" s="939"/>
      <c r="B296" s="940"/>
      <c r="C296" s="939"/>
      <c r="D296" s="939"/>
      <c r="G296" s="940"/>
      <c r="K296" s="836"/>
      <c r="P296" s="836"/>
      <c r="R296" s="836"/>
      <c r="S296" s="941"/>
      <c r="T296" s="941"/>
      <c r="W296" s="836"/>
      <c r="AC296" s="836"/>
      <c r="AQ296" s="1003"/>
      <c r="AR296" s="1003">
        <v>2800</v>
      </c>
      <c r="AS296" s="838">
        <v>0</v>
      </c>
      <c r="AT296" s="838">
        <v>0</v>
      </c>
      <c r="AU296" s="838" t="e">
        <v>#REF!</v>
      </c>
      <c r="AV296" s="1001" t="e">
        <v>#REF!</v>
      </c>
      <c r="BC296" s="1022">
        <v>3400</v>
      </c>
      <c r="BD296" s="993" t="s">
        <v>2146</v>
      </c>
      <c r="BE296" s="994">
        <v>3600</v>
      </c>
      <c r="BF296" s="995">
        <v>0</v>
      </c>
      <c r="BG296" s="916">
        <v>0</v>
      </c>
      <c r="BH296" s="916"/>
      <c r="BI296" s="916"/>
      <c r="BJ296" s="916"/>
      <c r="BK296" s="916"/>
      <c r="BL296" s="916"/>
      <c r="BM296" s="916"/>
      <c r="BN296" s="986"/>
      <c r="BP296" s="1017">
        <v>2200</v>
      </c>
      <c r="BQ296" s="1018" t="s">
        <v>2146</v>
      </c>
      <c r="BR296" s="1019">
        <v>0</v>
      </c>
      <c r="BS296" s="1020">
        <v>0</v>
      </c>
      <c r="BT296" s="1020"/>
      <c r="BU296" s="1020"/>
      <c r="BV296" s="1020"/>
      <c r="BW296" s="1020"/>
      <c r="BX296" s="1020"/>
      <c r="BY296" s="1020"/>
      <c r="BZ296" s="1030"/>
      <c r="CS296" s="836"/>
      <c r="CT296" s="836"/>
      <c r="CU296" s="836"/>
    </row>
    <row r="297" spans="1:99" s="838" customFormat="1" x14ac:dyDescent="0.25">
      <c r="A297" s="939"/>
      <c r="B297" s="940"/>
      <c r="C297" s="939"/>
      <c r="D297" s="939"/>
      <c r="G297" s="940"/>
      <c r="K297" s="836"/>
      <c r="P297" s="836"/>
      <c r="R297" s="836"/>
      <c r="S297" s="941"/>
      <c r="T297" s="941"/>
      <c r="W297" s="836"/>
      <c r="AC297" s="836"/>
      <c r="AQ297" s="1003"/>
      <c r="AR297" s="1003">
        <v>3000</v>
      </c>
      <c r="AS297" s="838">
        <v>0</v>
      </c>
      <c r="AT297" s="838">
        <v>0</v>
      </c>
      <c r="AU297" s="838" t="e">
        <v>#REF!</v>
      </c>
      <c r="AV297" s="1001" t="e">
        <v>#REF!</v>
      </c>
      <c r="BC297" s="1022">
        <v>3600</v>
      </c>
      <c r="BD297" s="993" t="s">
        <v>2146</v>
      </c>
      <c r="BE297" s="994">
        <v>3800</v>
      </c>
      <c r="BF297" s="995">
        <v>0</v>
      </c>
      <c r="BG297" s="916">
        <v>0</v>
      </c>
      <c r="BH297" s="916"/>
      <c r="BI297" s="916"/>
      <c r="BJ297" s="916"/>
      <c r="BK297" s="916"/>
      <c r="BL297" s="916"/>
      <c r="BM297" s="916"/>
      <c r="BN297" s="986"/>
      <c r="BP297" s="1017">
        <v>2400</v>
      </c>
      <c r="BQ297" s="1018" t="s">
        <v>2146</v>
      </c>
      <c r="BR297" s="1019">
        <v>0</v>
      </c>
      <c r="BS297" s="1020">
        <v>0</v>
      </c>
      <c r="BT297" s="1020"/>
      <c r="BU297" s="1020"/>
      <c r="BV297" s="1020"/>
      <c r="BW297" s="1020"/>
      <c r="BX297" s="1020"/>
      <c r="BY297" s="1020"/>
      <c r="BZ297" s="1030"/>
      <c r="CS297" s="836"/>
      <c r="CT297" s="836"/>
      <c r="CU297" s="836"/>
    </row>
    <row r="298" spans="1:99" s="838" customFormat="1" x14ac:dyDescent="0.25">
      <c r="A298" s="939"/>
      <c r="B298" s="940"/>
      <c r="C298" s="939"/>
      <c r="D298" s="939"/>
      <c r="G298" s="940"/>
      <c r="K298" s="836"/>
      <c r="P298" s="836"/>
      <c r="R298" s="836"/>
      <c r="S298" s="941"/>
      <c r="T298" s="941"/>
      <c r="W298" s="836"/>
      <c r="AC298" s="836"/>
      <c r="AQ298" s="1031"/>
      <c r="AR298" s="1031">
        <v>3200</v>
      </c>
      <c r="AS298" s="1012">
        <v>0</v>
      </c>
      <c r="AT298" s="1012">
        <v>0</v>
      </c>
      <c r="AU298" s="1012" t="e">
        <v>#REF!</v>
      </c>
      <c r="AV298" s="1023" t="e">
        <v>#REF!</v>
      </c>
      <c r="BD298" s="993" t="s">
        <v>2157</v>
      </c>
      <c r="BE298" s="994">
        <v>1650</v>
      </c>
      <c r="BF298" s="995">
        <v>0</v>
      </c>
      <c r="BG298" s="916">
        <v>0</v>
      </c>
      <c r="BH298" s="916"/>
      <c r="BI298" s="916"/>
      <c r="BJ298" s="916"/>
      <c r="BK298" s="916"/>
      <c r="BL298" s="916"/>
      <c r="BM298" s="916"/>
      <c r="BN298" s="986"/>
      <c r="BP298" s="1017">
        <v>2600</v>
      </c>
      <c r="BQ298" s="1018" t="s">
        <v>2146</v>
      </c>
      <c r="BR298" s="1019">
        <v>0</v>
      </c>
      <c r="BS298" s="1020">
        <v>0</v>
      </c>
      <c r="BT298" s="1020"/>
      <c r="BU298" s="1020"/>
      <c r="BV298" s="1020"/>
      <c r="BW298" s="1020"/>
      <c r="BX298" s="1020"/>
      <c r="BY298" s="1020"/>
      <c r="BZ298" s="1030"/>
      <c r="CS298" s="836"/>
      <c r="CT298" s="836"/>
      <c r="CU298" s="836"/>
    </row>
    <row r="299" spans="1:99" s="838" customFormat="1" x14ac:dyDescent="0.25">
      <c r="A299" s="939"/>
      <c r="B299" s="940"/>
      <c r="C299" s="939"/>
      <c r="D299" s="939"/>
      <c r="G299" s="940"/>
      <c r="K299" s="836"/>
      <c r="P299" s="836"/>
      <c r="R299" s="836"/>
      <c r="S299" s="941"/>
      <c r="T299" s="941"/>
      <c r="W299" s="836"/>
      <c r="AC299" s="836"/>
      <c r="AQ299" s="958"/>
      <c r="AR299" s="958"/>
      <c r="AS299" s="958"/>
      <c r="AT299" s="958"/>
      <c r="AU299" s="958"/>
      <c r="AV299" s="958"/>
      <c r="BD299" s="993" t="s">
        <v>2157</v>
      </c>
      <c r="BE299" s="994">
        <v>1800</v>
      </c>
      <c r="BF299" s="995">
        <v>0</v>
      </c>
      <c r="BG299" s="916">
        <v>0</v>
      </c>
      <c r="BH299" s="916"/>
      <c r="BI299" s="916"/>
      <c r="BJ299" s="916"/>
      <c r="BK299" s="916"/>
      <c r="BL299" s="916"/>
      <c r="BM299" s="916"/>
      <c r="BN299" s="986"/>
      <c r="BP299" s="1017">
        <v>2800</v>
      </c>
      <c r="BQ299" s="1018" t="s">
        <v>2146</v>
      </c>
      <c r="BR299" s="1019">
        <v>0</v>
      </c>
      <c r="BS299" s="1020">
        <v>0</v>
      </c>
      <c r="BT299" s="1020"/>
      <c r="BU299" s="1020"/>
      <c r="BV299" s="1020"/>
      <c r="BW299" s="1020"/>
      <c r="BX299" s="1020"/>
      <c r="BY299" s="1020"/>
      <c r="BZ299" s="1030"/>
      <c r="CS299" s="836"/>
      <c r="CT299" s="836"/>
      <c r="CU299" s="836"/>
    </row>
    <row r="300" spans="1:99" s="838" customFormat="1" x14ac:dyDescent="0.25">
      <c r="A300" s="939"/>
      <c r="B300" s="940"/>
      <c r="C300" s="939"/>
      <c r="D300" s="939"/>
      <c r="G300" s="940"/>
      <c r="K300" s="836"/>
      <c r="P300" s="836"/>
      <c r="R300" s="836"/>
      <c r="S300" s="941"/>
      <c r="T300" s="941"/>
      <c r="W300" s="836"/>
      <c r="AC300" s="836"/>
      <c r="AQ300" s="951"/>
      <c r="AR300" s="951"/>
      <c r="BD300" s="993" t="s">
        <v>2157</v>
      </c>
      <c r="BE300" s="994">
        <v>2000</v>
      </c>
      <c r="BF300" s="995">
        <v>0</v>
      </c>
      <c r="BG300" s="916">
        <v>0</v>
      </c>
      <c r="BH300" s="916"/>
      <c r="BI300" s="916"/>
      <c r="BJ300" s="916"/>
      <c r="BK300" s="916"/>
      <c r="BL300" s="916"/>
      <c r="BM300" s="916"/>
      <c r="BN300" s="986"/>
      <c r="BP300" s="1017">
        <v>3000</v>
      </c>
      <c r="BQ300" s="1018" t="s">
        <v>2146</v>
      </c>
      <c r="BR300" s="1019">
        <v>0</v>
      </c>
      <c r="BS300" s="1020">
        <v>0</v>
      </c>
      <c r="BT300" s="1020"/>
      <c r="BU300" s="1020"/>
      <c r="BV300" s="1020"/>
      <c r="BW300" s="1020"/>
      <c r="BX300" s="1020"/>
      <c r="BY300" s="1020"/>
      <c r="BZ300" s="1030"/>
      <c r="CS300" s="836"/>
      <c r="CT300" s="836"/>
      <c r="CU300" s="836"/>
    </row>
    <row r="301" spans="1:99" s="838" customFormat="1" x14ac:dyDescent="0.25">
      <c r="A301" s="939"/>
      <c r="B301" s="940"/>
      <c r="C301" s="939"/>
      <c r="D301" s="939"/>
      <c r="G301" s="940"/>
      <c r="K301" s="836"/>
      <c r="P301" s="836"/>
      <c r="R301" s="836"/>
      <c r="S301" s="941"/>
      <c r="T301" s="941"/>
      <c r="W301" s="836"/>
      <c r="AC301" s="836"/>
      <c r="AQ301" s="951"/>
      <c r="AR301" s="951"/>
      <c r="BD301" s="993" t="s">
        <v>2157</v>
      </c>
      <c r="BE301" s="994">
        <v>2200</v>
      </c>
      <c r="BF301" s="995">
        <v>0</v>
      </c>
      <c r="BG301" s="916">
        <v>0</v>
      </c>
      <c r="BH301" s="916"/>
      <c r="BI301" s="916"/>
      <c r="BJ301" s="916"/>
      <c r="BK301" s="916"/>
      <c r="BL301" s="916"/>
      <c r="BM301" s="916"/>
      <c r="BN301" s="986"/>
      <c r="BP301" s="1017">
        <v>3200</v>
      </c>
      <c r="BQ301" s="1018" t="s">
        <v>2146</v>
      </c>
      <c r="BR301" s="1019">
        <v>0</v>
      </c>
      <c r="BS301" s="1020">
        <v>0</v>
      </c>
      <c r="BT301" s="1020"/>
      <c r="BU301" s="1020"/>
      <c r="BV301" s="1020"/>
      <c r="BW301" s="1020"/>
      <c r="BX301" s="1020"/>
      <c r="BY301" s="1020"/>
      <c r="BZ301" s="1030"/>
      <c r="CS301" s="836"/>
      <c r="CT301" s="836"/>
      <c r="CU301" s="836"/>
    </row>
    <row r="302" spans="1:99" s="838" customFormat="1" x14ac:dyDescent="0.25">
      <c r="A302" s="939"/>
      <c r="B302" s="940"/>
      <c r="C302" s="939"/>
      <c r="D302" s="939"/>
      <c r="G302" s="940"/>
      <c r="K302" s="836"/>
      <c r="P302" s="836"/>
      <c r="R302" s="836"/>
      <c r="S302" s="941"/>
      <c r="T302" s="941"/>
      <c r="W302" s="836"/>
      <c r="AC302" s="836"/>
      <c r="AQ302" s="951"/>
      <c r="AR302" s="951"/>
      <c r="BD302" s="993" t="s">
        <v>2157</v>
      </c>
      <c r="BE302" s="994">
        <v>2400</v>
      </c>
      <c r="BF302" s="995">
        <v>0</v>
      </c>
      <c r="BG302" s="916">
        <v>0</v>
      </c>
      <c r="BH302" s="916"/>
      <c r="BI302" s="916"/>
      <c r="BJ302" s="916"/>
      <c r="BK302" s="916"/>
      <c r="BL302" s="916"/>
      <c r="BM302" s="916"/>
      <c r="BN302" s="986"/>
      <c r="BP302" s="1017">
        <v>3600</v>
      </c>
      <c r="BQ302" s="1018" t="s">
        <v>2146</v>
      </c>
      <c r="BR302" s="1019">
        <v>0</v>
      </c>
      <c r="BS302" s="1020">
        <v>0</v>
      </c>
      <c r="BT302" s="1020"/>
      <c r="BU302" s="1020"/>
      <c r="BV302" s="1020"/>
      <c r="BW302" s="1020"/>
      <c r="BX302" s="1020"/>
      <c r="BY302" s="1020"/>
      <c r="BZ302" s="1030"/>
      <c r="CS302" s="836"/>
      <c r="CT302" s="836"/>
      <c r="CU302" s="836"/>
    </row>
    <row r="303" spans="1:99" x14ac:dyDescent="0.25">
      <c r="AQ303" s="951"/>
      <c r="AR303" s="951"/>
      <c r="BD303" s="993" t="s">
        <v>2157</v>
      </c>
      <c r="BE303" s="994">
        <v>2600</v>
      </c>
      <c r="BF303" s="995">
        <v>0</v>
      </c>
      <c r="BG303" s="916">
        <v>0</v>
      </c>
      <c r="BH303" s="916"/>
      <c r="BI303" s="916"/>
      <c r="BJ303" s="916"/>
      <c r="BK303" s="916"/>
      <c r="BL303" s="916"/>
      <c r="BM303" s="916"/>
      <c r="BN303" s="986"/>
      <c r="BP303" s="1024">
        <v>3800</v>
      </c>
      <c r="BQ303" s="1025" t="s">
        <v>2146</v>
      </c>
      <c r="BR303" s="1026">
        <v>0</v>
      </c>
      <c r="BS303" s="1027">
        <v>0</v>
      </c>
      <c r="BT303" s="1027"/>
      <c r="BU303" s="1027"/>
      <c r="BV303" s="1027"/>
      <c r="BW303" s="1027"/>
      <c r="BX303" s="1027"/>
      <c r="BY303" s="1027"/>
      <c r="BZ303" s="1032"/>
    </row>
    <row r="304" spans="1:99" x14ac:dyDescent="0.25">
      <c r="AQ304" s="951"/>
      <c r="AR304" s="951"/>
      <c r="BD304" s="993" t="s">
        <v>2157</v>
      </c>
      <c r="BE304" s="994">
        <v>2800</v>
      </c>
      <c r="BF304" s="995">
        <v>0</v>
      </c>
      <c r="BG304" s="916">
        <v>0</v>
      </c>
      <c r="BH304" s="916"/>
      <c r="BI304" s="916"/>
      <c r="BJ304" s="916"/>
      <c r="BK304" s="916"/>
      <c r="BL304" s="916"/>
      <c r="BM304" s="916"/>
      <c r="BN304" s="986"/>
      <c r="BP304" s="838"/>
      <c r="BV304" s="832"/>
    </row>
    <row r="305" spans="1:99" x14ac:dyDescent="0.25">
      <c r="BD305" s="1033" t="s">
        <v>2157</v>
      </c>
      <c r="BE305" s="1034">
        <v>3000</v>
      </c>
      <c r="BF305" s="1035">
        <v>0</v>
      </c>
      <c r="BG305" s="1036">
        <v>0</v>
      </c>
      <c r="BH305" s="1036"/>
      <c r="BI305" s="1036"/>
      <c r="BJ305" s="1036"/>
      <c r="BK305" s="1036"/>
      <c r="BL305" s="1036"/>
      <c r="BM305" s="1036"/>
      <c r="BN305" s="1037"/>
      <c r="BP305" s="1038" t="s">
        <v>2171</v>
      </c>
      <c r="BQ305" s="965"/>
      <c r="BR305" s="965"/>
      <c r="BS305" s="965"/>
      <c r="BT305" s="965"/>
      <c r="BU305" s="965"/>
      <c r="BV305" s="965"/>
      <c r="BW305" s="961"/>
      <c r="BX305" s="961"/>
      <c r="BY305" s="961"/>
      <c r="BZ305" s="962"/>
    </row>
    <row r="306" spans="1:99" x14ac:dyDescent="0.25">
      <c r="BD306" s="1039" t="s">
        <v>2157</v>
      </c>
      <c r="BE306" s="1040">
        <v>3200</v>
      </c>
      <c r="BF306" s="1041">
        <v>0</v>
      </c>
      <c r="BG306" s="1009">
        <v>0</v>
      </c>
      <c r="BH306" s="1009"/>
      <c r="BI306" s="1009"/>
      <c r="BJ306" s="1009"/>
      <c r="BK306" s="1009"/>
      <c r="BL306" s="1009"/>
      <c r="BM306" s="1009"/>
      <c r="BN306" s="1010"/>
      <c r="BP306" s="979" t="s">
        <v>2127</v>
      </c>
      <c r="BQ306" s="980" t="s">
        <v>1053</v>
      </c>
      <c r="BR306" s="981" t="s">
        <v>2125</v>
      </c>
      <c r="BS306" s="982" t="s">
        <v>2130</v>
      </c>
      <c r="BT306" s="982">
        <v>0</v>
      </c>
      <c r="BU306" s="982">
        <v>0</v>
      </c>
      <c r="BV306" s="982">
        <v>0</v>
      </c>
      <c r="BW306" s="982">
        <v>0</v>
      </c>
      <c r="BX306" s="980">
        <v>0</v>
      </c>
      <c r="BY306" s="980">
        <v>0</v>
      </c>
      <c r="BZ306" s="983">
        <v>0</v>
      </c>
    </row>
    <row r="307" spans="1:99" x14ac:dyDescent="0.25">
      <c r="BP307" s="996" t="s">
        <v>2172</v>
      </c>
      <c r="BQ307" s="1042" t="s">
        <v>2173</v>
      </c>
      <c r="BR307" s="1043">
        <v>162.5</v>
      </c>
      <c r="BS307" s="1044">
        <v>162.5</v>
      </c>
      <c r="BT307" s="1044"/>
      <c r="BU307" s="1044"/>
      <c r="BV307" s="1044"/>
      <c r="BW307" s="1045"/>
      <c r="BX307" s="1045"/>
      <c r="BY307" s="1045"/>
      <c r="BZ307" s="1046"/>
    </row>
    <row r="308" spans="1:99" x14ac:dyDescent="0.25">
      <c r="BD308" s="1038" t="s">
        <v>2174</v>
      </c>
      <c r="BE308" s="1047"/>
      <c r="BF308" s="1047"/>
      <c r="BG308" s="1047"/>
      <c r="BH308" s="1047"/>
      <c r="BI308" s="1047"/>
      <c r="BJ308" s="1047"/>
      <c r="BK308" s="1047"/>
      <c r="BL308" s="1047"/>
      <c r="BM308" s="1047"/>
      <c r="BN308" s="1048"/>
      <c r="BP308" s="996" t="s">
        <v>2175</v>
      </c>
      <c r="BQ308" s="997" t="s">
        <v>1053</v>
      </c>
      <c r="BR308" s="998">
        <v>325</v>
      </c>
      <c r="BS308" s="999">
        <v>325</v>
      </c>
      <c r="BT308" s="999"/>
      <c r="BU308" s="999"/>
      <c r="BV308" s="999"/>
      <c r="BW308" s="999"/>
      <c r="BX308" s="999"/>
      <c r="BY308" s="999"/>
      <c r="BZ308" s="1000"/>
    </row>
    <row r="309" spans="1:99" x14ac:dyDescent="0.25">
      <c r="BD309" s="979" t="s">
        <v>1739</v>
      </c>
      <c r="BE309" s="980" t="s">
        <v>2127</v>
      </c>
      <c r="BF309" s="1049" t="s">
        <v>2176</v>
      </c>
      <c r="BG309" s="985" t="s">
        <v>2177</v>
      </c>
      <c r="BH309" s="985"/>
      <c r="BI309" s="985"/>
      <c r="BJ309" s="985"/>
      <c r="BK309" s="985"/>
      <c r="BL309" s="985"/>
      <c r="BM309" s="985"/>
      <c r="BN309" s="983"/>
      <c r="BP309" s="1050" t="s">
        <v>2175</v>
      </c>
      <c r="BQ309" s="1051" t="s">
        <v>2178</v>
      </c>
      <c r="BR309" s="1052">
        <v>42.9</v>
      </c>
      <c r="BS309" s="1053">
        <v>42.9</v>
      </c>
      <c r="BT309" s="1053"/>
      <c r="BU309" s="1053"/>
      <c r="BV309" s="1053"/>
      <c r="BW309" s="1053"/>
      <c r="BX309" s="1053"/>
      <c r="BY309" s="1053"/>
      <c r="BZ309" s="1054"/>
    </row>
    <row r="310" spans="1:99" s="838" customFormat="1" x14ac:dyDescent="0.25">
      <c r="A310" s="939"/>
      <c r="B310" s="940"/>
      <c r="C310" s="939"/>
      <c r="D310" s="939"/>
      <c r="G310" s="940"/>
      <c r="K310" s="836"/>
      <c r="P310" s="836"/>
      <c r="R310" s="836"/>
      <c r="S310" s="941"/>
      <c r="T310" s="941"/>
      <c r="W310" s="836"/>
      <c r="AC310" s="836"/>
      <c r="BD310" s="1055" t="s">
        <v>2137</v>
      </c>
      <c r="BE310" s="1056">
        <v>400</v>
      </c>
      <c r="BF310" s="1057">
        <v>0</v>
      </c>
      <c r="BG310" s="916">
        <v>0</v>
      </c>
      <c r="BH310" s="916"/>
      <c r="BI310" s="916"/>
      <c r="BJ310" s="916"/>
      <c r="BK310" s="916"/>
      <c r="BL310" s="916"/>
      <c r="BM310" s="916"/>
      <c r="BN310" s="986"/>
      <c r="BP310" s="1024" t="s">
        <v>2179</v>
      </c>
      <c r="BQ310" s="1025" t="s">
        <v>1053</v>
      </c>
      <c r="BR310" s="1026">
        <v>149</v>
      </c>
      <c r="BS310" s="1027">
        <v>149</v>
      </c>
      <c r="BT310" s="1027"/>
      <c r="BU310" s="1027"/>
      <c r="BV310" s="1027"/>
      <c r="BW310" s="1027"/>
      <c r="BX310" s="1027"/>
      <c r="BY310" s="1027"/>
      <c r="BZ310" s="1028"/>
      <c r="CS310" s="836"/>
      <c r="CT310" s="836"/>
      <c r="CU310" s="836"/>
    </row>
    <row r="311" spans="1:99" s="838" customFormat="1" x14ac:dyDescent="0.25">
      <c r="A311" s="939"/>
      <c r="B311" s="940"/>
      <c r="C311" s="939"/>
      <c r="D311" s="939"/>
      <c r="G311" s="940"/>
      <c r="K311" s="836"/>
      <c r="P311" s="836"/>
      <c r="R311" s="836"/>
      <c r="S311" s="941"/>
      <c r="T311" s="941"/>
      <c r="W311" s="836"/>
      <c r="AC311" s="836"/>
      <c r="BD311" s="1055" t="s">
        <v>2142</v>
      </c>
      <c r="BE311" s="1056">
        <v>400</v>
      </c>
      <c r="BF311" s="1057">
        <v>0</v>
      </c>
      <c r="BG311" s="916">
        <v>0</v>
      </c>
      <c r="BH311" s="916"/>
      <c r="BI311" s="916"/>
      <c r="BJ311" s="916"/>
      <c r="BK311" s="916"/>
      <c r="BL311" s="916"/>
      <c r="BM311" s="916"/>
      <c r="BN311" s="986"/>
      <c r="BP311" s="951"/>
      <c r="BQ311" s="951"/>
      <c r="BR311" s="1058" t="s">
        <v>21</v>
      </c>
      <c r="BS311" s="832"/>
      <c r="BT311" s="832"/>
      <c r="BU311" s="832"/>
      <c r="BV311" s="832"/>
      <c r="CS311" s="836"/>
      <c r="CT311" s="836"/>
      <c r="CU311" s="836"/>
    </row>
    <row r="312" spans="1:99" s="838" customFormat="1" x14ac:dyDescent="0.25">
      <c r="A312" s="939"/>
      <c r="B312" s="940"/>
      <c r="C312" s="939"/>
      <c r="D312" s="939"/>
      <c r="G312" s="940"/>
      <c r="K312" s="836"/>
      <c r="P312" s="836"/>
      <c r="R312" s="836"/>
      <c r="S312" s="941"/>
      <c r="T312" s="941"/>
      <c r="W312" s="836"/>
      <c r="AC312" s="836"/>
      <c r="BD312" s="1055" t="s">
        <v>2152</v>
      </c>
      <c r="BE312" s="1056">
        <v>400</v>
      </c>
      <c r="BF312" s="1057">
        <v>0</v>
      </c>
      <c r="BG312" s="916">
        <v>0</v>
      </c>
      <c r="BH312" s="916"/>
      <c r="BI312" s="916"/>
      <c r="BJ312" s="916"/>
      <c r="BK312" s="916"/>
      <c r="BL312" s="916"/>
      <c r="BM312" s="916"/>
      <c r="BN312" s="986"/>
      <c r="BP312" s="951"/>
      <c r="BQ312" s="951"/>
      <c r="BR312" s="1058" t="s">
        <v>21</v>
      </c>
      <c r="BS312" s="832"/>
      <c r="BT312" s="832"/>
      <c r="BU312" s="832"/>
      <c r="BV312" s="832"/>
      <c r="CS312" s="836"/>
      <c r="CT312" s="836"/>
      <c r="CU312" s="836"/>
    </row>
    <row r="313" spans="1:99" s="838" customFormat="1" x14ac:dyDescent="0.25">
      <c r="A313" s="939"/>
      <c r="B313" s="940"/>
      <c r="C313" s="939"/>
      <c r="D313" s="939"/>
      <c r="G313" s="940"/>
      <c r="K313" s="836"/>
      <c r="P313" s="836"/>
      <c r="R313" s="836"/>
      <c r="S313" s="941"/>
      <c r="T313" s="941"/>
      <c r="W313" s="836"/>
      <c r="AC313" s="836"/>
      <c r="BD313" s="1055" t="s">
        <v>2153</v>
      </c>
      <c r="BE313" s="1056">
        <v>400</v>
      </c>
      <c r="BF313" s="1057">
        <v>0</v>
      </c>
      <c r="BG313" s="916">
        <v>0</v>
      </c>
      <c r="BH313" s="916"/>
      <c r="BI313" s="916"/>
      <c r="BJ313" s="916"/>
      <c r="BK313" s="916"/>
      <c r="BL313" s="916"/>
      <c r="BM313" s="916"/>
      <c r="BN313" s="986"/>
      <c r="BP313" s="951"/>
      <c r="BQ313" s="951"/>
      <c r="BR313" s="1058" t="s">
        <v>21</v>
      </c>
      <c r="BS313" s="832"/>
      <c r="BT313" s="832"/>
      <c r="BU313" s="832"/>
      <c r="BV313" s="832"/>
      <c r="CS313" s="836"/>
      <c r="CT313" s="836"/>
      <c r="CU313" s="836"/>
    </row>
    <row r="314" spans="1:99" s="838" customFormat="1" x14ac:dyDescent="0.25">
      <c r="A314" s="939"/>
      <c r="B314" s="940"/>
      <c r="C314" s="939"/>
      <c r="D314" s="939"/>
      <c r="G314" s="940"/>
      <c r="K314" s="836"/>
      <c r="P314" s="836"/>
      <c r="R314" s="836"/>
      <c r="S314" s="941"/>
      <c r="T314" s="941"/>
      <c r="W314" s="836"/>
      <c r="AC314" s="836"/>
      <c r="BD314" s="1055" t="s">
        <v>2137</v>
      </c>
      <c r="BE314" s="1056">
        <v>500</v>
      </c>
      <c r="BF314" s="1057">
        <v>0</v>
      </c>
      <c r="BG314" s="916">
        <v>0</v>
      </c>
      <c r="BH314" s="916"/>
      <c r="BI314" s="916"/>
      <c r="BJ314" s="916"/>
      <c r="BK314" s="916"/>
      <c r="BL314" s="916"/>
      <c r="BM314" s="916"/>
      <c r="BN314" s="986"/>
      <c r="BP314" s="951"/>
      <c r="BQ314" s="951"/>
      <c r="BR314" s="1058" t="s">
        <v>21</v>
      </c>
      <c r="BS314" s="832"/>
      <c r="BT314" s="832"/>
      <c r="BU314" s="832"/>
      <c r="BV314" s="832"/>
      <c r="CS314" s="836"/>
      <c r="CT314" s="836"/>
      <c r="CU314" s="836"/>
    </row>
    <row r="315" spans="1:99" s="838" customFormat="1" x14ac:dyDescent="0.25">
      <c r="A315" s="939"/>
      <c r="B315" s="940"/>
      <c r="C315" s="939"/>
      <c r="D315" s="939"/>
      <c r="G315" s="940"/>
      <c r="K315" s="836"/>
      <c r="P315" s="836"/>
      <c r="R315" s="836"/>
      <c r="S315" s="941"/>
      <c r="T315" s="941"/>
      <c r="W315" s="836"/>
      <c r="AC315" s="836"/>
      <c r="BD315" s="1055" t="s">
        <v>2142</v>
      </c>
      <c r="BE315" s="1056">
        <v>500</v>
      </c>
      <c r="BF315" s="1057">
        <v>0</v>
      </c>
      <c r="BG315" s="916">
        <v>0</v>
      </c>
      <c r="BH315" s="916"/>
      <c r="BI315" s="916"/>
      <c r="BJ315" s="916"/>
      <c r="BK315" s="916"/>
      <c r="BL315" s="916"/>
      <c r="BM315" s="916"/>
      <c r="BN315" s="986"/>
      <c r="BP315" s="951"/>
      <c r="BQ315" s="951"/>
      <c r="BR315" s="1058" t="s">
        <v>21</v>
      </c>
      <c r="BS315" s="832"/>
      <c r="BT315" s="832"/>
      <c r="BU315" s="832"/>
      <c r="BV315" s="832"/>
      <c r="CS315" s="836"/>
      <c r="CT315" s="836"/>
      <c r="CU315" s="836"/>
    </row>
    <row r="316" spans="1:99" s="838" customFormat="1" x14ac:dyDescent="0.25">
      <c r="A316" s="939"/>
      <c r="B316" s="940"/>
      <c r="C316" s="939"/>
      <c r="D316" s="939"/>
      <c r="G316" s="940"/>
      <c r="K316" s="836"/>
      <c r="P316" s="836"/>
      <c r="R316" s="836"/>
      <c r="S316" s="941"/>
      <c r="T316" s="941"/>
      <c r="W316" s="836"/>
      <c r="AC316" s="836"/>
      <c r="BD316" s="1055" t="s">
        <v>2152</v>
      </c>
      <c r="BE316" s="1056">
        <v>500</v>
      </c>
      <c r="BF316" s="1057">
        <v>0</v>
      </c>
      <c r="BG316" s="916">
        <v>0</v>
      </c>
      <c r="BH316" s="916"/>
      <c r="BI316" s="916"/>
      <c r="BJ316" s="916"/>
      <c r="BK316" s="916"/>
      <c r="BL316" s="916"/>
      <c r="BM316" s="916"/>
      <c r="BN316" s="986"/>
      <c r="BQ316" s="832"/>
      <c r="BR316" s="832"/>
      <c r="BS316" s="832"/>
      <c r="BT316" s="832"/>
      <c r="BU316" s="832"/>
      <c r="BV316" s="832"/>
      <c r="CS316" s="836"/>
      <c r="CT316" s="836"/>
      <c r="CU316" s="836"/>
    </row>
    <row r="317" spans="1:99" s="838" customFormat="1" x14ac:dyDescent="0.25">
      <c r="A317" s="939"/>
      <c r="B317" s="940"/>
      <c r="C317" s="939"/>
      <c r="D317" s="939"/>
      <c r="G317" s="940"/>
      <c r="K317" s="836"/>
      <c r="P317" s="836"/>
      <c r="R317" s="836"/>
      <c r="S317" s="941"/>
      <c r="T317" s="941"/>
      <c r="W317" s="836"/>
      <c r="AC317" s="836"/>
      <c r="BD317" s="1055" t="s">
        <v>2153</v>
      </c>
      <c r="BE317" s="1056">
        <v>500</v>
      </c>
      <c r="BF317" s="1057">
        <v>0</v>
      </c>
      <c r="BG317" s="916">
        <v>0</v>
      </c>
      <c r="BH317" s="916"/>
      <c r="BI317" s="916"/>
      <c r="BJ317" s="916"/>
      <c r="BK317" s="916"/>
      <c r="BL317" s="916"/>
      <c r="BM317" s="916"/>
      <c r="BN317" s="986"/>
      <c r="BQ317" s="832"/>
      <c r="BR317" s="832"/>
      <c r="BS317" s="832"/>
      <c r="BT317" s="832"/>
      <c r="BU317" s="832"/>
      <c r="BV317" s="832"/>
      <c r="CS317" s="836"/>
      <c r="CT317" s="836"/>
      <c r="CU317" s="836"/>
    </row>
    <row r="318" spans="1:99" s="838" customFormat="1" x14ac:dyDescent="0.25">
      <c r="A318" s="939"/>
      <c r="B318" s="940"/>
      <c r="C318" s="939"/>
      <c r="D318" s="939"/>
      <c r="G318" s="940"/>
      <c r="K318" s="836"/>
      <c r="P318" s="836"/>
      <c r="R318" s="836"/>
      <c r="S318" s="941"/>
      <c r="T318" s="941"/>
      <c r="W318" s="836"/>
      <c r="AC318" s="836"/>
      <c r="BD318" s="1055" t="s">
        <v>2137</v>
      </c>
      <c r="BE318" s="1056">
        <v>600</v>
      </c>
      <c r="BF318" s="1057">
        <v>19.872</v>
      </c>
      <c r="BG318" s="916">
        <v>43.2</v>
      </c>
      <c r="BH318" s="916"/>
      <c r="BI318" s="916"/>
      <c r="BJ318" s="916"/>
      <c r="BK318" s="916"/>
      <c r="BL318" s="916"/>
      <c r="BM318" s="916"/>
      <c r="BN318" s="986"/>
      <c r="BQ318" s="832"/>
      <c r="BR318" s="832"/>
      <c r="BS318" s="832"/>
      <c r="BT318" s="832"/>
      <c r="BU318" s="832"/>
      <c r="BV318" s="832"/>
      <c r="CS318" s="836"/>
      <c r="CT318" s="836"/>
      <c r="CU318" s="836"/>
    </row>
    <row r="319" spans="1:99" s="838" customFormat="1" x14ac:dyDescent="0.25">
      <c r="A319" s="939"/>
      <c r="B319" s="940"/>
      <c r="C319" s="939"/>
      <c r="D319" s="939"/>
      <c r="G319" s="940"/>
      <c r="K319" s="836"/>
      <c r="P319" s="836"/>
      <c r="R319" s="836"/>
      <c r="S319" s="941"/>
      <c r="T319" s="941"/>
      <c r="W319" s="836"/>
      <c r="AC319" s="836"/>
      <c r="BD319" s="1055" t="s">
        <v>2142</v>
      </c>
      <c r="BE319" s="1056">
        <v>600</v>
      </c>
      <c r="BF319" s="1057">
        <v>1112.3398</v>
      </c>
      <c r="BG319" s="916">
        <v>2418.13</v>
      </c>
      <c r="BH319" s="916"/>
      <c r="BI319" s="916"/>
      <c r="BJ319" s="916"/>
      <c r="BK319" s="916"/>
      <c r="BL319" s="916"/>
      <c r="BM319" s="916"/>
      <c r="BN319" s="986"/>
      <c r="BQ319" s="832"/>
      <c r="BR319" s="832"/>
      <c r="BS319" s="832"/>
      <c r="BT319" s="832"/>
      <c r="BU319" s="832"/>
      <c r="BV319" s="832"/>
      <c r="CS319" s="836"/>
      <c r="CT319" s="836"/>
      <c r="CU319" s="836"/>
    </row>
    <row r="320" spans="1:99" s="838" customFormat="1" x14ac:dyDescent="0.25">
      <c r="A320" s="939"/>
      <c r="B320" s="940"/>
      <c r="C320" s="939"/>
      <c r="D320" s="939"/>
      <c r="G320" s="940"/>
      <c r="K320" s="836"/>
      <c r="P320" s="836"/>
      <c r="R320" s="836"/>
      <c r="S320" s="941"/>
      <c r="T320" s="941"/>
      <c r="W320" s="836"/>
      <c r="AC320" s="836"/>
      <c r="BD320" s="1055" t="s">
        <v>2152</v>
      </c>
      <c r="BE320" s="1056">
        <v>600</v>
      </c>
      <c r="BF320" s="1057">
        <v>103.47240000000001</v>
      </c>
      <c r="BG320" s="916">
        <v>224.94000000000003</v>
      </c>
      <c r="BH320" s="916"/>
      <c r="BI320" s="916"/>
      <c r="BJ320" s="916"/>
      <c r="BK320" s="916"/>
      <c r="BL320" s="916"/>
      <c r="BM320" s="916"/>
      <c r="BN320" s="986"/>
      <c r="BQ320" s="832"/>
      <c r="BR320" s="832"/>
      <c r="BS320" s="832"/>
      <c r="BT320" s="832"/>
      <c r="BU320" s="832"/>
      <c r="BV320" s="832"/>
      <c r="CS320" s="836"/>
      <c r="CT320" s="836"/>
      <c r="CU320" s="836"/>
    </row>
    <row r="321" spans="1:99" s="838" customFormat="1" x14ac:dyDescent="0.25">
      <c r="A321" s="939"/>
      <c r="B321" s="940"/>
      <c r="C321" s="939"/>
      <c r="D321" s="939"/>
      <c r="G321" s="940"/>
      <c r="K321" s="836"/>
      <c r="P321" s="836"/>
      <c r="R321" s="836"/>
      <c r="S321" s="941"/>
      <c r="T321" s="941"/>
      <c r="W321" s="836"/>
      <c r="AC321" s="836"/>
      <c r="BD321" s="1055" t="s">
        <v>2153</v>
      </c>
      <c r="BE321" s="1056">
        <v>600</v>
      </c>
      <c r="BF321" s="1057">
        <v>0</v>
      </c>
      <c r="BG321" s="916">
        <v>0</v>
      </c>
      <c r="BH321" s="916"/>
      <c r="BI321" s="916"/>
      <c r="BJ321" s="916"/>
      <c r="BK321" s="916"/>
      <c r="BL321" s="916"/>
      <c r="BM321" s="916"/>
      <c r="BN321" s="986"/>
      <c r="BQ321" s="832"/>
      <c r="BR321" s="832"/>
      <c r="BS321" s="832"/>
      <c r="BT321" s="832"/>
      <c r="BU321" s="832"/>
      <c r="BV321" s="832"/>
      <c r="CS321" s="836"/>
      <c r="CT321" s="836"/>
      <c r="CU321" s="836"/>
    </row>
    <row r="322" spans="1:99" s="838" customFormat="1" x14ac:dyDescent="0.25">
      <c r="A322" s="939"/>
      <c r="B322" s="940"/>
      <c r="C322" s="939"/>
      <c r="D322" s="939"/>
      <c r="G322" s="940"/>
      <c r="K322" s="836"/>
      <c r="P322" s="836"/>
      <c r="R322" s="836"/>
      <c r="S322" s="941"/>
      <c r="T322" s="941"/>
      <c r="W322" s="836"/>
      <c r="AC322" s="836"/>
      <c r="BD322" s="1055" t="s">
        <v>2137</v>
      </c>
      <c r="BE322" s="1056">
        <v>800</v>
      </c>
      <c r="BF322" s="1057">
        <v>0</v>
      </c>
      <c r="BG322" s="916">
        <v>0</v>
      </c>
      <c r="BH322" s="916"/>
      <c r="BI322" s="916"/>
      <c r="BJ322" s="916"/>
      <c r="BK322" s="916"/>
      <c r="BL322" s="916"/>
      <c r="BM322" s="916"/>
      <c r="BN322" s="986"/>
      <c r="BQ322" s="832"/>
      <c r="BR322" s="832"/>
      <c r="BS322" s="832"/>
      <c r="BT322" s="832"/>
      <c r="BU322" s="832"/>
      <c r="BV322" s="832"/>
      <c r="CS322" s="836"/>
      <c r="CT322" s="836"/>
      <c r="CU322" s="836"/>
    </row>
    <row r="323" spans="1:99" s="838" customFormat="1" x14ac:dyDescent="0.25">
      <c r="A323" s="939"/>
      <c r="B323" s="940"/>
      <c r="C323" s="939"/>
      <c r="D323" s="939"/>
      <c r="G323" s="940"/>
      <c r="K323" s="836"/>
      <c r="P323" s="836"/>
      <c r="R323" s="836"/>
      <c r="S323" s="941"/>
      <c r="T323" s="941"/>
      <c r="W323" s="836"/>
      <c r="AC323" s="836"/>
      <c r="BD323" s="1055" t="s">
        <v>2142</v>
      </c>
      <c r="BE323" s="1056">
        <v>800</v>
      </c>
      <c r="BF323" s="1057">
        <v>706.04669999999999</v>
      </c>
      <c r="BG323" s="916">
        <v>893.7299999999999</v>
      </c>
      <c r="BH323" s="916"/>
      <c r="BI323" s="916"/>
      <c r="BJ323" s="916"/>
      <c r="BK323" s="916"/>
      <c r="BL323" s="916"/>
      <c r="BM323" s="916"/>
      <c r="BN323" s="986"/>
      <c r="BQ323" s="832"/>
      <c r="BR323" s="832"/>
      <c r="BS323" s="832"/>
      <c r="BT323" s="832"/>
      <c r="BU323" s="832"/>
      <c r="BV323" s="832"/>
      <c r="CS323" s="836"/>
      <c r="CT323" s="836"/>
      <c r="CU323" s="836"/>
    </row>
    <row r="324" spans="1:99" s="838" customFormat="1" x14ac:dyDescent="0.25">
      <c r="A324" s="939"/>
      <c r="B324" s="940"/>
      <c r="C324" s="939"/>
      <c r="D324" s="939"/>
      <c r="G324" s="940"/>
      <c r="K324" s="836"/>
      <c r="P324" s="836"/>
      <c r="R324" s="836"/>
      <c r="S324" s="941"/>
      <c r="T324" s="941"/>
      <c r="W324" s="836"/>
      <c r="AC324" s="836"/>
      <c r="BD324" s="1055" t="s">
        <v>2152</v>
      </c>
      <c r="BE324" s="1056">
        <v>800</v>
      </c>
      <c r="BF324" s="1057">
        <v>195.48550000000003</v>
      </c>
      <c r="BG324" s="916">
        <v>247.45000000000002</v>
      </c>
      <c r="BH324" s="916"/>
      <c r="BI324" s="916"/>
      <c r="BJ324" s="916"/>
      <c r="BK324" s="916"/>
      <c r="BL324" s="916"/>
      <c r="BM324" s="916"/>
      <c r="BN324" s="986"/>
      <c r="BQ324" s="832"/>
      <c r="BR324" s="832"/>
      <c r="BS324" s="832"/>
      <c r="BT324" s="832"/>
      <c r="BU324" s="832"/>
      <c r="BV324" s="832"/>
      <c r="CS324" s="836"/>
      <c r="CT324" s="836"/>
      <c r="CU324" s="836"/>
    </row>
    <row r="325" spans="1:99" s="838" customFormat="1" x14ac:dyDescent="0.25">
      <c r="A325" s="939"/>
      <c r="B325" s="940"/>
      <c r="C325" s="939"/>
      <c r="D325" s="939"/>
      <c r="G325" s="940"/>
      <c r="K325" s="836"/>
      <c r="P325" s="836"/>
      <c r="R325" s="836"/>
      <c r="S325" s="941"/>
      <c r="T325" s="941"/>
      <c r="W325" s="836"/>
      <c r="AC325" s="836"/>
      <c r="BD325" s="1055" t="s">
        <v>2153</v>
      </c>
      <c r="BE325" s="1056">
        <v>800</v>
      </c>
      <c r="BF325" s="1057">
        <v>0</v>
      </c>
      <c r="BG325" s="916">
        <v>0</v>
      </c>
      <c r="BH325" s="916"/>
      <c r="BI325" s="916"/>
      <c r="BJ325" s="916"/>
      <c r="BK325" s="916"/>
      <c r="BL325" s="916"/>
      <c r="BM325" s="916"/>
      <c r="BN325" s="986"/>
      <c r="BQ325" s="832"/>
      <c r="BR325" s="832"/>
      <c r="BS325" s="832"/>
      <c r="BT325" s="832"/>
      <c r="BU325" s="832"/>
      <c r="BV325" s="832"/>
      <c r="CS325" s="836"/>
      <c r="CT325" s="836"/>
      <c r="CU325" s="836"/>
    </row>
    <row r="326" spans="1:99" s="838" customFormat="1" x14ac:dyDescent="0.25">
      <c r="A326" s="939"/>
      <c r="B326" s="940"/>
      <c r="C326" s="939"/>
      <c r="D326" s="939"/>
      <c r="G326" s="940"/>
      <c r="K326" s="836"/>
      <c r="P326" s="836"/>
      <c r="R326" s="836"/>
      <c r="S326" s="941"/>
      <c r="T326" s="941"/>
      <c r="W326" s="836"/>
      <c r="AC326" s="836"/>
      <c r="BD326" s="1055" t="s">
        <v>2137</v>
      </c>
      <c r="BE326" s="1056">
        <v>1000</v>
      </c>
      <c r="BF326" s="1057">
        <v>0</v>
      </c>
      <c r="BG326" s="916">
        <v>0</v>
      </c>
      <c r="BH326" s="916"/>
      <c r="BI326" s="916"/>
      <c r="BJ326" s="916"/>
      <c r="BK326" s="916"/>
      <c r="BL326" s="916"/>
      <c r="BM326" s="916"/>
      <c r="BN326" s="986"/>
      <c r="BQ326" s="832"/>
      <c r="BR326" s="832"/>
      <c r="BS326" s="832"/>
      <c r="BT326" s="832"/>
      <c r="BU326" s="832"/>
      <c r="BV326" s="832"/>
      <c r="CS326" s="836"/>
      <c r="CT326" s="836"/>
      <c r="CU326" s="836"/>
    </row>
    <row r="327" spans="1:99" s="838" customFormat="1" x14ac:dyDescent="0.25">
      <c r="A327" s="939"/>
      <c r="B327" s="940"/>
      <c r="C327" s="939"/>
      <c r="D327" s="939"/>
      <c r="G327" s="940"/>
      <c r="K327" s="836"/>
      <c r="P327" s="836"/>
      <c r="R327" s="836"/>
      <c r="S327" s="941"/>
      <c r="T327" s="941"/>
      <c r="W327" s="836"/>
      <c r="AC327" s="836"/>
      <c r="BD327" s="1055" t="s">
        <v>2142</v>
      </c>
      <c r="BE327" s="1056">
        <v>1000</v>
      </c>
      <c r="BF327" s="1057">
        <v>164.03864400000003</v>
      </c>
      <c r="BG327" s="916">
        <v>134.64000000000001</v>
      </c>
      <c r="BH327" s="916"/>
      <c r="BI327" s="916"/>
      <c r="BJ327" s="916"/>
      <c r="BK327" s="916"/>
      <c r="BL327" s="916"/>
      <c r="BM327" s="916"/>
      <c r="BN327" s="986"/>
      <c r="BQ327" s="832"/>
      <c r="BR327" s="832"/>
      <c r="BS327" s="832"/>
      <c r="BT327" s="832"/>
      <c r="BU327" s="832"/>
      <c r="BV327" s="832"/>
      <c r="CS327" s="836"/>
      <c r="CT327" s="836"/>
      <c r="CU327" s="836"/>
    </row>
    <row r="328" spans="1:99" s="838" customFormat="1" x14ac:dyDescent="0.25">
      <c r="A328" s="939"/>
      <c r="B328" s="940"/>
      <c r="C328" s="939"/>
      <c r="D328" s="939"/>
      <c r="G328" s="940"/>
      <c r="K328" s="836"/>
      <c r="P328" s="836"/>
      <c r="R328" s="836"/>
      <c r="S328" s="941"/>
      <c r="T328" s="941"/>
      <c r="W328" s="836"/>
      <c r="AC328" s="836"/>
      <c r="BD328" s="1055" t="s">
        <v>2152</v>
      </c>
      <c r="BE328" s="1056">
        <v>1000</v>
      </c>
      <c r="BF328" s="1057">
        <v>340.7603115</v>
      </c>
      <c r="BG328" s="916">
        <v>279.69</v>
      </c>
      <c r="BH328" s="916"/>
      <c r="BI328" s="916"/>
      <c r="BJ328" s="916"/>
      <c r="BK328" s="916"/>
      <c r="BL328" s="916"/>
      <c r="BM328" s="916"/>
      <c r="BN328" s="986"/>
      <c r="BQ328" s="832"/>
      <c r="BR328" s="832"/>
      <c r="BS328" s="832"/>
      <c r="BT328" s="832"/>
      <c r="BU328" s="832"/>
      <c r="BV328" s="832"/>
      <c r="CS328" s="836"/>
      <c r="CT328" s="836"/>
      <c r="CU328" s="836"/>
    </row>
    <row r="329" spans="1:99" s="838" customFormat="1" x14ac:dyDescent="0.25">
      <c r="A329" s="939"/>
      <c r="B329" s="940"/>
      <c r="C329" s="939"/>
      <c r="D329" s="939"/>
      <c r="G329" s="940"/>
      <c r="K329" s="836"/>
      <c r="P329" s="836"/>
      <c r="R329" s="836"/>
      <c r="S329" s="941"/>
      <c r="T329" s="941"/>
      <c r="W329" s="836"/>
      <c r="AC329" s="836"/>
      <c r="BD329" s="1055" t="s">
        <v>2153</v>
      </c>
      <c r="BE329" s="1056">
        <v>1000</v>
      </c>
      <c r="BF329" s="1057">
        <v>0</v>
      </c>
      <c r="BG329" s="916">
        <v>0</v>
      </c>
      <c r="BH329" s="916"/>
      <c r="BI329" s="916"/>
      <c r="BJ329" s="916"/>
      <c r="BK329" s="916"/>
      <c r="BL329" s="916"/>
      <c r="BM329" s="916"/>
      <c r="BN329" s="986"/>
      <c r="BQ329" s="832"/>
      <c r="BR329" s="832"/>
      <c r="BS329" s="832"/>
      <c r="BT329" s="832"/>
      <c r="BU329" s="832"/>
      <c r="BV329" s="832"/>
      <c r="CS329" s="836"/>
      <c r="CT329" s="836"/>
      <c r="CU329" s="836"/>
    </row>
    <row r="330" spans="1:99" s="838" customFormat="1" x14ac:dyDescent="0.25">
      <c r="A330" s="939"/>
      <c r="B330" s="940"/>
      <c r="C330" s="939"/>
      <c r="D330" s="939"/>
      <c r="G330" s="940"/>
      <c r="K330" s="836"/>
      <c r="P330" s="836"/>
      <c r="R330" s="836"/>
      <c r="S330" s="941"/>
      <c r="T330" s="941"/>
      <c r="W330" s="836"/>
      <c r="AC330" s="836"/>
      <c r="BD330" s="1055" t="s">
        <v>2137</v>
      </c>
      <c r="BE330" s="1056">
        <v>1200</v>
      </c>
      <c r="BF330" s="1057">
        <v>0</v>
      </c>
      <c r="BG330" s="916">
        <v>0</v>
      </c>
      <c r="BH330" s="916"/>
      <c r="BI330" s="916"/>
      <c r="BJ330" s="916"/>
      <c r="BK330" s="916"/>
      <c r="BL330" s="916"/>
      <c r="BM330" s="916"/>
      <c r="BN330" s="986"/>
      <c r="BQ330" s="832"/>
      <c r="BR330" s="832"/>
      <c r="BS330" s="832"/>
      <c r="BT330" s="832"/>
      <c r="BU330" s="832"/>
      <c r="BV330" s="832"/>
      <c r="CS330" s="836"/>
      <c r="CT330" s="836"/>
      <c r="CU330" s="836"/>
    </row>
    <row r="331" spans="1:99" s="838" customFormat="1" x14ac:dyDescent="0.25">
      <c r="A331" s="939"/>
      <c r="B331" s="940"/>
      <c r="C331" s="939"/>
      <c r="D331" s="939"/>
      <c r="G331" s="940"/>
      <c r="K331" s="836"/>
      <c r="P331" s="836"/>
      <c r="R331" s="836"/>
      <c r="S331" s="941"/>
      <c r="T331" s="941"/>
      <c r="W331" s="836"/>
      <c r="AC331" s="836"/>
      <c r="BD331" s="1055" t="s">
        <v>2142</v>
      </c>
      <c r="BE331" s="1056">
        <v>1200</v>
      </c>
      <c r="BF331" s="1057">
        <v>0</v>
      </c>
      <c r="BG331" s="916">
        <v>0</v>
      </c>
      <c r="BH331" s="916"/>
      <c r="BI331" s="916"/>
      <c r="BJ331" s="916"/>
      <c r="BK331" s="916"/>
      <c r="BL331" s="916"/>
      <c r="BM331" s="916"/>
      <c r="BN331" s="986"/>
      <c r="BP331" s="832"/>
      <c r="BQ331" s="832"/>
      <c r="BR331" s="832"/>
      <c r="BS331" s="832"/>
      <c r="BT331" s="832"/>
      <c r="BU331" s="832"/>
      <c r="CS331" s="836"/>
      <c r="CT331" s="836"/>
      <c r="CU331" s="836"/>
    </row>
    <row r="332" spans="1:99" s="838" customFormat="1" x14ac:dyDescent="0.25">
      <c r="A332" s="939"/>
      <c r="B332" s="940"/>
      <c r="C332" s="939"/>
      <c r="D332" s="939"/>
      <c r="G332" s="940"/>
      <c r="K332" s="836"/>
      <c r="P332" s="836"/>
      <c r="R332" s="836"/>
      <c r="S332" s="941"/>
      <c r="T332" s="941"/>
      <c r="W332" s="836"/>
      <c r="AC332" s="836"/>
      <c r="BD332" s="1055" t="s">
        <v>2152</v>
      </c>
      <c r="BE332" s="1056">
        <v>1200</v>
      </c>
      <c r="BF332" s="1057">
        <v>0</v>
      </c>
      <c r="BG332" s="916">
        <v>0</v>
      </c>
      <c r="BH332" s="916"/>
      <c r="BI332" s="916"/>
      <c r="BJ332" s="916"/>
      <c r="BK332" s="916"/>
      <c r="BL332" s="916"/>
      <c r="BM332" s="916"/>
      <c r="BN332" s="986"/>
      <c r="BP332" s="832"/>
      <c r="BQ332" s="832"/>
      <c r="BR332" s="832"/>
      <c r="BS332" s="832"/>
      <c r="BT332" s="832"/>
      <c r="BU332" s="832"/>
      <c r="CS332" s="836"/>
      <c r="CT332" s="836"/>
      <c r="CU332" s="836"/>
    </row>
    <row r="333" spans="1:99" s="838" customFormat="1" x14ac:dyDescent="0.25">
      <c r="A333" s="939"/>
      <c r="B333" s="940"/>
      <c r="C333" s="939"/>
      <c r="D333" s="939"/>
      <c r="G333" s="940"/>
      <c r="K333" s="836"/>
      <c r="P333" s="836"/>
      <c r="R333" s="836"/>
      <c r="S333" s="941"/>
      <c r="T333" s="941"/>
      <c r="W333" s="836"/>
      <c r="AC333" s="836"/>
      <c r="BD333" s="1055" t="s">
        <v>2153</v>
      </c>
      <c r="BE333" s="1056">
        <v>1200</v>
      </c>
      <c r="BF333" s="1057">
        <v>0</v>
      </c>
      <c r="BG333" s="916">
        <v>0</v>
      </c>
      <c r="BH333" s="916"/>
      <c r="BI333" s="916"/>
      <c r="BJ333" s="916"/>
      <c r="BK333" s="916"/>
      <c r="BL333" s="916"/>
      <c r="BM333" s="916"/>
      <c r="BN333" s="986"/>
      <c r="BP333" s="832"/>
      <c r="BQ333" s="832"/>
      <c r="BR333" s="832"/>
      <c r="BS333" s="832"/>
      <c r="BT333" s="832"/>
      <c r="BU333" s="832"/>
      <c r="CS333" s="836"/>
      <c r="CT333" s="836"/>
      <c r="CU333" s="836"/>
    </row>
    <row r="334" spans="1:99" s="838" customFormat="1" x14ac:dyDescent="0.25">
      <c r="A334" s="939"/>
      <c r="B334" s="940"/>
      <c r="C334" s="939"/>
      <c r="D334" s="939"/>
      <c r="G334" s="940"/>
      <c r="K334" s="836"/>
      <c r="P334" s="836"/>
      <c r="R334" s="836"/>
      <c r="S334" s="941"/>
      <c r="T334" s="941"/>
      <c r="W334" s="836"/>
      <c r="AC334" s="836"/>
      <c r="BD334" s="1055" t="s">
        <v>2137</v>
      </c>
      <c r="BE334" s="1056">
        <v>1500</v>
      </c>
      <c r="BF334" s="1057">
        <v>0</v>
      </c>
      <c r="BG334" s="916">
        <v>0</v>
      </c>
      <c r="BH334" s="916"/>
      <c r="BI334" s="916"/>
      <c r="BJ334" s="916"/>
      <c r="BK334" s="916"/>
      <c r="BL334" s="916"/>
      <c r="BM334" s="916"/>
      <c r="BN334" s="986"/>
      <c r="BP334" s="832"/>
      <c r="BQ334" s="832"/>
      <c r="BR334" s="832"/>
      <c r="BS334" s="832"/>
      <c r="BT334" s="832"/>
      <c r="BU334" s="832"/>
      <c r="CS334" s="836"/>
      <c r="CT334" s="836"/>
      <c r="CU334" s="836"/>
    </row>
    <row r="335" spans="1:99" s="838" customFormat="1" x14ac:dyDescent="0.25">
      <c r="A335" s="939"/>
      <c r="B335" s="940"/>
      <c r="C335" s="939"/>
      <c r="D335" s="939"/>
      <c r="G335" s="940"/>
      <c r="K335" s="836"/>
      <c r="P335" s="836"/>
      <c r="R335" s="836"/>
      <c r="S335" s="941"/>
      <c r="T335" s="941"/>
      <c r="W335" s="836"/>
      <c r="AC335" s="836"/>
      <c r="BD335" s="1059" t="s">
        <v>2142</v>
      </c>
      <c r="BE335" s="1060">
        <v>1500</v>
      </c>
      <c r="BF335" s="1057">
        <v>0</v>
      </c>
      <c r="BG335" s="1036">
        <v>0</v>
      </c>
      <c r="BH335" s="1036"/>
      <c r="BI335" s="1036"/>
      <c r="BJ335" s="1036"/>
      <c r="BK335" s="1036"/>
      <c r="BL335" s="1036"/>
      <c r="BM335" s="1036"/>
      <c r="BN335" s="1037"/>
      <c r="BP335" s="832"/>
      <c r="BQ335" s="832"/>
      <c r="BR335" s="832"/>
      <c r="BS335" s="832"/>
      <c r="BT335" s="832"/>
      <c r="BU335" s="832"/>
      <c r="CS335" s="836"/>
      <c r="CT335" s="836"/>
      <c r="CU335" s="836"/>
    </row>
    <row r="336" spans="1:99" s="838" customFormat="1" x14ac:dyDescent="0.25">
      <c r="A336" s="939"/>
      <c r="B336" s="940"/>
      <c r="C336" s="939"/>
      <c r="D336" s="939"/>
      <c r="G336" s="940"/>
      <c r="K336" s="836"/>
      <c r="P336" s="836"/>
      <c r="R336" s="836"/>
      <c r="S336" s="941"/>
      <c r="T336" s="941"/>
      <c r="W336" s="836"/>
      <c r="AC336" s="836"/>
      <c r="BD336" s="1059" t="s">
        <v>2152</v>
      </c>
      <c r="BE336" s="1060">
        <v>1500</v>
      </c>
      <c r="BF336" s="1057">
        <v>277.14339999999999</v>
      </c>
      <c r="BG336" s="1036">
        <v>127.13</v>
      </c>
      <c r="BH336" s="1036"/>
      <c r="BI336" s="1036"/>
      <c r="BJ336" s="1036"/>
      <c r="BK336" s="1036"/>
      <c r="BL336" s="1036"/>
      <c r="BM336" s="1036"/>
      <c r="BN336" s="1037"/>
      <c r="BP336" s="832"/>
      <c r="BQ336" s="832"/>
      <c r="BR336" s="832"/>
      <c r="BS336" s="832"/>
      <c r="BT336" s="832"/>
      <c r="BU336" s="832"/>
      <c r="CS336" s="836"/>
      <c r="CT336" s="836"/>
      <c r="CU336" s="836"/>
    </row>
    <row r="337" spans="1:99" s="838" customFormat="1" x14ac:dyDescent="0.25">
      <c r="A337" s="939"/>
      <c r="B337" s="940"/>
      <c r="C337" s="939"/>
      <c r="D337" s="939"/>
      <c r="G337" s="940"/>
      <c r="K337" s="836"/>
      <c r="P337" s="836"/>
      <c r="R337" s="836"/>
      <c r="S337" s="941"/>
      <c r="T337" s="941"/>
      <c r="W337" s="836"/>
      <c r="AC337" s="836"/>
      <c r="BD337" s="1059" t="s">
        <v>2153</v>
      </c>
      <c r="BE337" s="1060">
        <v>1500</v>
      </c>
      <c r="BF337" s="1057">
        <v>0</v>
      </c>
      <c r="BG337" s="1036">
        <v>0</v>
      </c>
      <c r="BH337" s="1036"/>
      <c r="BI337" s="1036"/>
      <c r="BJ337" s="1036"/>
      <c r="BK337" s="1036"/>
      <c r="BL337" s="1036"/>
      <c r="BM337" s="1036"/>
      <c r="BN337" s="1037"/>
      <c r="BP337" s="832"/>
      <c r="BQ337" s="832"/>
      <c r="BR337" s="832"/>
      <c r="BS337" s="832"/>
      <c r="BT337" s="832"/>
      <c r="BU337" s="832"/>
      <c r="CS337" s="836"/>
      <c r="CT337" s="836"/>
      <c r="CU337" s="836"/>
    </row>
    <row r="338" spans="1:99" s="838" customFormat="1" x14ac:dyDescent="0.25">
      <c r="A338" s="939"/>
      <c r="B338" s="940"/>
      <c r="C338" s="939"/>
      <c r="D338" s="939"/>
      <c r="G338" s="940"/>
      <c r="K338" s="836"/>
      <c r="P338" s="836"/>
      <c r="R338" s="836"/>
      <c r="S338" s="941"/>
      <c r="T338" s="941"/>
      <c r="W338" s="836"/>
      <c r="AC338" s="836"/>
      <c r="BD338" s="1007" t="s">
        <v>2180</v>
      </c>
      <c r="BE338" s="1008"/>
      <c r="BF338" s="1061">
        <v>2919.1587555000006</v>
      </c>
      <c r="BG338" s="1062">
        <v>4368.91</v>
      </c>
      <c r="BH338" s="1062">
        <v>0</v>
      </c>
      <c r="BI338" s="1062">
        <v>0</v>
      </c>
      <c r="BJ338" s="1062">
        <v>0</v>
      </c>
      <c r="BK338" s="1062">
        <v>0</v>
      </c>
      <c r="BL338" s="1062">
        <v>0</v>
      </c>
      <c r="BM338" s="1062">
        <v>0</v>
      </c>
      <c r="BN338" s="1063">
        <v>0</v>
      </c>
      <c r="BP338" s="832"/>
      <c r="BQ338" s="832"/>
      <c r="BR338" s="832"/>
      <c r="BS338" s="832"/>
      <c r="BT338" s="832"/>
      <c r="BU338" s="832"/>
      <c r="CS338" s="836"/>
      <c r="CT338" s="836"/>
      <c r="CU338" s="836"/>
    </row>
  </sheetData>
  <autoFilter ref="A9:CU253" xr:uid="{00000000-0009-0000-0000-000004000000}"/>
  <mergeCells count="59">
    <mergeCell ref="AS279:AV280"/>
    <mergeCell ref="BD5:BD8"/>
    <mergeCell ref="H6:H7"/>
    <mergeCell ref="I6:I7"/>
    <mergeCell ref="S6:S7"/>
    <mergeCell ref="T6:T7"/>
    <mergeCell ref="U6:U7"/>
    <mergeCell ref="Y6:Y7"/>
    <mergeCell ref="AQ6:AQ8"/>
    <mergeCell ref="BT5:BT7"/>
    <mergeCell ref="BU5:BU7"/>
    <mergeCell ref="CE5:CE7"/>
    <mergeCell ref="CN5:CN7"/>
    <mergeCell ref="BR5:BR7"/>
    <mergeCell ref="BS5:BS7"/>
    <mergeCell ref="CD4:CD7"/>
    <mergeCell ref="BX4:BX7"/>
    <mergeCell ref="BY4:BY7"/>
    <mergeCell ref="BZ4:BZ7"/>
    <mergeCell ref="CA4:CA7"/>
    <mergeCell ref="CB4:CB7"/>
    <mergeCell ref="CC4:CC7"/>
    <mergeCell ref="BK5:BK7"/>
    <mergeCell ref="BL5:BL7"/>
    <mergeCell ref="BM5:BM7"/>
    <mergeCell ref="BQ5:BQ7"/>
    <mergeCell ref="BE5:BE7"/>
    <mergeCell ref="BF5:BF7"/>
    <mergeCell ref="BG5:BG7"/>
    <mergeCell ref="BH5:BH7"/>
    <mergeCell ref="BI5:BI7"/>
    <mergeCell ref="BJ5:BJ7"/>
    <mergeCell ref="BN4:BO5"/>
    <mergeCell ref="BN6:BN7"/>
    <mergeCell ref="BO6:BO7"/>
    <mergeCell ref="A5:A7"/>
    <mergeCell ref="J5:J6"/>
    <mergeCell ref="L5:L7"/>
    <mergeCell ref="M5:M7"/>
    <mergeCell ref="N5:N7"/>
    <mergeCell ref="G6:G7"/>
    <mergeCell ref="B6:B7"/>
    <mergeCell ref="C6:C7"/>
    <mergeCell ref="D6:D7"/>
    <mergeCell ref="E6:E7"/>
    <mergeCell ref="F6:F7"/>
    <mergeCell ref="D2:H2"/>
    <mergeCell ref="AD4:AD7"/>
    <mergeCell ref="AE4:AE7"/>
    <mergeCell ref="AP4:AP7"/>
    <mergeCell ref="BB4:BC5"/>
    <mergeCell ref="Z5:Z7"/>
    <mergeCell ref="AA5:AA7"/>
    <mergeCell ref="AB5:AB7"/>
    <mergeCell ref="O5:O7"/>
    <mergeCell ref="Q5:Q7"/>
    <mergeCell ref="R5:R7"/>
    <mergeCell ref="V5:V7"/>
    <mergeCell ref="X6:X7"/>
  </mergeCells>
  <phoneticPr fontId="45" type="noConversion"/>
  <conditionalFormatting sqref="BZ18:CC30 BZ12:CC16 BZ189:CC189 CO11:CQ11 BZ33:CC44 BZ91:CC92 BZ97:CC145 BZ147:CC151 BZ153:CC187 BZ253:CC253">
    <cfRule type="expression" dxfId="75" priority="304" stopIfTrue="1">
      <formula>OR($C11="",$C11=0)</formula>
    </cfRule>
  </conditionalFormatting>
  <conditionalFormatting sqref="S10">
    <cfRule type="expression" dxfId="74" priority="303" stopIfTrue="1">
      <formula>OR($C10="",$C10=0)</formula>
    </cfRule>
  </conditionalFormatting>
  <conditionalFormatting sqref="R10">
    <cfRule type="expression" dxfId="73" priority="302" stopIfTrue="1">
      <formula>OR($C10="",$C10=0)</formula>
    </cfRule>
  </conditionalFormatting>
  <conditionalFormatting sqref="CB11:CC11">
    <cfRule type="expression" dxfId="72" priority="300" stopIfTrue="1">
      <formula>OR($C11="",$C11=0)</formula>
    </cfRule>
  </conditionalFormatting>
  <conditionalFormatting sqref="CA11">
    <cfRule type="expression" dxfId="71" priority="299" stopIfTrue="1">
      <formula>OR($C11="",$C11=0)</formula>
    </cfRule>
  </conditionalFormatting>
  <conditionalFormatting sqref="BZ11">
    <cfRule type="expression" dxfId="70" priority="298" stopIfTrue="1">
      <formula>OR($C11="",$C11=0)</formula>
    </cfRule>
  </conditionalFormatting>
  <conditionalFormatting sqref="BZ17:CC17">
    <cfRule type="expression" dxfId="69" priority="294" stopIfTrue="1">
      <formula>OR($C17="",$C17=0)</formula>
    </cfRule>
  </conditionalFormatting>
  <conditionalFormatting sqref="BZ93:CC95">
    <cfRule type="expression" dxfId="68" priority="292" stopIfTrue="1">
      <formula>OR($C93="",$C93=0)</formula>
    </cfRule>
  </conditionalFormatting>
  <conditionalFormatting sqref="BD188 L188:AC188">
    <cfRule type="expression" dxfId="67" priority="283" stopIfTrue="1">
      <formula>OR($C188="",$C188=0)</formula>
    </cfRule>
  </conditionalFormatting>
  <conditionalFormatting sqref="BZ31:CC32">
    <cfRule type="expression" dxfId="66" priority="279" stopIfTrue="1">
      <formula>OR($C31="",$C31=0)</formula>
    </cfRule>
  </conditionalFormatting>
  <conditionalFormatting sqref="BZ50:CC54">
    <cfRule type="expression" dxfId="65" priority="154" stopIfTrue="1">
      <formula>OR($C50="",$C50=0)</formula>
    </cfRule>
  </conditionalFormatting>
  <conditionalFormatting sqref="BD96 L96:AC96">
    <cfRule type="expression" dxfId="64" priority="163" stopIfTrue="1">
      <formula>OR($C96="",$C96=0)</formula>
    </cfRule>
  </conditionalFormatting>
  <conditionalFormatting sqref="BZ45:CC49">
    <cfRule type="expression" dxfId="63" priority="162" stopIfTrue="1">
      <formula>OR($C45="",$C45=0)</formula>
    </cfRule>
  </conditionalFormatting>
  <conditionalFormatting sqref="BZ55:CC59">
    <cfRule type="expression" dxfId="62" priority="146" stopIfTrue="1">
      <formula>OR($C55="",$C55=0)</formula>
    </cfRule>
  </conditionalFormatting>
  <conditionalFormatting sqref="BZ60:CC63 BZ66:CC66">
    <cfRule type="expression" dxfId="61" priority="138" stopIfTrue="1">
      <formula>OR($C60="",$C60=0)</formula>
    </cfRule>
  </conditionalFormatting>
  <conditionalFormatting sqref="BZ64:CC65">
    <cfRule type="expression" dxfId="60" priority="130" stopIfTrue="1">
      <formula>OR($C64="",$C64=0)</formula>
    </cfRule>
  </conditionalFormatting>
  <conditionalFormatting sqref="BZ67:CC70 BZ73:CC73">
    <cfRule type="expression" dxfId="59" priority="123" stopIfTrue="1">
      <formula>OR($C67="",$C67=0)</formula>
    </cfRule>
  </conditionalFormatting>
  <conditionalFormatting sqref="BZ71:CC72">
    <cfRule type="expression" dxfId="58" priority="115" stopIfTrue="1">
      <formula>OR($C71="",$C71=0)</formula>
    </cfRule>
  </conditionalFormatting>
  <conditionalFormatting sqref="BZ74:CC78">
    <cfRule type="expression" dxfId="57" priority="108" stopIfTrue="1">
      <formula>OR($C74="",$C74=0)</formula>
    </cfRule>
  </conditionalFormatting>
  <conditionalFormatting sqref="BZ79:CC83">
    <cfRule type="expression" dxfId="56" priority="93" stopIfTrue="1">
      <formula>OR($C79="",$C79=0)</formula>
    </cfRule>
  </conditionalFormatting>
  <conditionalFormatting sqref="BZ84:CC88">
    <cfRule type="expression" dxfId="55" priority="85" stopIfTrue="1">
      <formula>OR($C84="",$C84=0)</formula>
    </cfRule>
  </conditionalFormatting>
  <conditionalFormatting sqref="BZ90:CC90">
    <cfRule type="expression" dxfId="54" priority="63" stopIfTrue="1">
      <formula>OR($C90="",$C90=0)</formula>
    </cfRule>
  </conditionalFormatting>
  <conditionalFormatting sqref="BD89 L89:AC89">
    <cfRule type="expression" dxfId="53" priority="62" stopIfTrue="1">
      <formula>OR($C89="",$C89=0)</formula>
    </cfRule>
  </conditionalFormatting>
  <conditionalFormatting sqref="S11:S45 S47:S49 S56:S83 S51:S54 S86:S88">
    <cfRule type="expression" dxfId="52" priority="61" stopIfTrue="1">
      <formula>OR($C11="",$C11=0)</formula>
    </cfRule>
  </conditionalFormatting>
  <conditionalFormatting sqref="R11:R45 R61:R83 R47:R49 R56:R59 R51:R54 R86:R88">
    <cfRule type="expression" dxfId="51" priority="60" stopIfTrue="1">
      <formula>OR($C11="",$C11=0)</formula>
    </cfRule>
  </conditionalFormatting>
  <conditionalFormatting sqref="S90:S95">
    <cfRule type="expression" dxfId="50" priority="58" stopIfTrue="1">
      <formula>OR($C90="",$C90=0)</formula>
    </cfRule>
  </conditionalFormatting>
  <conditionalFormatting sqref="R90:R95">
    <cfRule type="expression" dxfId="49" priority="57" stopIfTrue="1">
      <formula>OR($C90="",$C90=0)</formula>
    </cfRule>
  </conditionalFormatting>
  <conditionalFormatting sqref="S97:S103 S113 S115:S147 S149:S176">
    <cfRule type="expression" dxfId="48" priority="55" stopIfTrue="1">
      <formula>OR($C97="",$C97=0)</formula>
    </cfRule>
  </conditionalFormatting>
  <conditionalFormatting sqref="R97:R103 R113 R115:R147 R149:R176">
    <cfRule type="expression" dxfId="47" priority="54" stopIfTrue="1">
      <formula>OR($C97="",$C97=0)</formula>
    </cfRule>
  </conditionalFormatting>
  <conditionalFormatting sqref="S177:S187">
    <cfRule type="expression" dxfId="46" priority="52" stopIfTrue="1">
      <formula>OR($C177="",$C177=0)</formula>
    </cfRule>
  </conditionalFormatting>
  <conditionalFormatting sqref="R177:R187">
    <cfRule type="expression" dxfId="45" priority="51" stopIfTrue="1">
      <formula>OR($C177="",$C177=0)</formula>
    </cfRule>
  </conditionalFormatting>
  <conditionalFormatting sqref="S189 S253">
    <cfRule type="expression" dxfId="44" priority="49" stopIfTrue="1">
      <formula>OR($C189="",$C189=0)</formula>
    </cfRule>
  </conditionalFormatting>
  <conditionalFormatting sqref="R189 R253">
    <cfRule type="expression" dxfId="43" priority="48" stopIfTrue="1">
      <formula>OR($C189="",$C189=0)</formula>
    </cfRule>
  </conditionalFormatting>
  <conditionalFormatting sqref="BZ190:CC220 BZ252:CC252">
    <cfRule type="expression" dxfId="42" priority="46" stopIfTrue="1">
      <formula>OR($C190="",$C190=0)</formula>
    </cfRule>
  </conditionalFormatting>
  <conditionalFormatting sqref="S191:S220 S252">
    <cfRule type="expression" dxfId="41" priority="45" stopIfTrue="1">
      <formula>OR($C191="",$C191=0)</formula>
    </cfRule>
  </conditionalFormatting>
  <conditionalFormatting sqref="R191:R220 R252">
    <cfRule type="expression" dxfId="40" priority="44" stopIfTrue="1">
      <formula>OR($C191="",$C191=0)</formula>
    </cfRule>
  </conditionalFormatting>
  <conditionalFormatting sqref="BZ221:CC231 BZ248:CC250">
    <cfRule type="expression" dxfId="39" priority="42" stopIfTrue="1">
      <formula>OR($C221="",$C221=0)</formula>
    </cfRule>
  </conditionalFormatting>
  <conditionalFormatting sqref="S230:S231 S248:S250">
    <cfRule type="expression" dxfId="38" priority="41" stopIfTrue="1">
      <formula>OR($C230="",$C230=0)</formula>
    </cfRule>
  </conditionalFormatting>
  <conditionalFormatting sqref="R230:R231 R248:R250">
    <cfRule type="expression" dxfId="37" priority="40" stopIfTrue="1">
      <formula>OR($C230="",$C230=0)</formula>
    </cfRule>
  </conditionalFormatting>
  <conditionalFormatting sqref="BZ232:CC247">
    <cfRule type="expression" dxfId="36" priority="38" stopIfTrue="1">
      <formula>OR($C232="",$C232=0)</formula>
    </cfRule>
  </conditionalFormatting>
  <conditionalFormatting sqref="S232:S247">
    <cfRule type="expression" dxfId="35" priority="37" stopIfTrue="1">
      <formula>OR($C232="",$C232=0)</formula>
    </cfRule>
  </conditionalFormatting>
  <conditionalFormatting sqref="R232:R247">
    <cfRule type="expression" dxfId="34" priority="36" stopIfTrue="1">
      <formula>OR($C232="",$C232=0)</formula>
    </cfRule>
  </conditionalFormatting>
  <conditionalFormatting sqref="BD251 L251:AC251">
    <cfRule type="expression" dxfId="33" priority="34" stopIfTrue="1">
      <formula>OR($C251="",$C251=0)</formula>
    </cfRule>
  </conditionalFormatting>
  <conditionalFormatting sqref="BE10">
    <cfRule type="expression" dxfId="32" priority="33" stopIfTrue="1">
      <formula>OR($C10="",$C10=0)</formula>
    </cfRule>
  </conditionalFormatting>
  <conditionalFormatting sqref="BE11:BE88">
    <cfRule type="expression" dxfId="31" priority="32" stopIfTrue="1">
      <formula>OR($C11="",$C11=0)</formula>
    </cfRule>
  </conditionalFormatting>
  <conditionalFormatting sqref="BE90:BE95">
    <cfRule type="expression" dxfId="30" priority="31" stopIfTrue="1">
      <formula>OR($C90="",$C90=0)</formula>
    </cfRule>
  </conditionalFormatting>
  <conditionalFormatting sqref="BE97:BE145">
    <cfRule type="expression" dxfId="29" priority="30" stopIfTrue="1">
      <formula>OR($C97="",$C97=0)</formula>
    </cfRule>
  </conditionalFormatting>
  <conditionalFormatting sqref="BE147:BE151">
    <cfRule type="expression" dxfId="28" priority="29" stopIfTrue="1">
      <formula>OR($C147="",$C147=0)</formula>
    </cfRule>
  </conditionalFormatting>
  <conditionalFormatting sqref="BE153:BE187">
    <cfRule type="expression" dxfId="27" priority="28" stopIfTrue="1">
      <formula>OR($C153="",$C153=0)</formula>
    </cfRule>
  </conditionalFormatting>
  <conditionalFormatting sqref="BE189:BE250">
    <cfRule type="expression" dxfId="26" priority="27" stopIfTrue="1">
      <formula>OR($C189="",$C189=0)</formula>
    </cfRule>
  </conditionalFormatting>
  <conditionalFormatting sqref="BE252:BE253">
    <cfRule type="expression" dxfId="25" priority="26" stopIfTrue="1">
      <formula>OR($C252="",$C252=0)</formula>
    </cfRule>
  </conditionalFormatting>
  <conditionalFormatting sqref="R60">
    <cfRule type="expression" dxfId="24" priority="25" stopIfTrue="1">
      <formula>OR($C60="",$C60=0)</formula>
    </cfRule>
  </conditionalFormatting>
  <conditionalFormatting sqref="S104:S112">
    <cfRule type="expression" dxfId="23" priority="24" stopIfTrue="1">
      <formula>OR($C104="",$C104=0)</formula>
    </cfRule>
  </conditionalFormatting>
  <conditionalFormatting sqref="R104:R112">
    <cfRule type="expression" dxfId="22" priority="23" stopIfTrue="1">
      <formula>OR($C104="",$C104=0)</formula>
    </cfRule>
  </conditionalFormatting>
  <conditionalFormatting sqref="S46">
    <cfRule type="expression" dxfId="21" priority="22" stopIfTrue="1">
      <formula>OR($C46="",$C46=0)</formula>
    </cfRule>
  </conditionalFormatting>
  <conditionalFormatting sqref="R46">
    <cfRule type="expression" dxfId="20" priority="21" stopIfTrue="1">
      <formula>OR($C46="",$C46=0)</formula>
    </cfRule>
  </conditionalFormatting>
  <conditionalFormatting sqref="S114">
    <cfRule type="expression" dxfId="19" priority="20" stopIfTrue="1">
      <formula>OR($C114="",$C114=0)</formula>
    </cfRule>
  </conditionalFormatting>
  <conditionalFormatting sqref="R114">
    <cfRule type="expression" dxfId="18" priority="19" stopIfTrue="1">
      <formula>OR($C114="",$C114=0)</formula>
    </cfRule>
  </conditionalFormatting>
  <conditionalFormatting sqref="S190">
    <cfRule type="expression" dxfId="17" priority="18" stopIfTrue="1">
      <formula>OR($C190="",$C190=0)</formula>
    </cfRule>
  </conditionalFormatting>
  <conditionalFormatting sqref="R190">
    <cfRule type="expression" dxfId="16" priority="17" stopIfTrue="1">
      <formula>OR($C190="",$C190=0)</formula>
    </cfRule>
  </conditionalFormatting>
  <conditionalFormatting sqref="S221">
    <cfRule type="expression" dxfId="15" priority="16" stopIfTrue="1">
      <formula>OR($C221="",$C221=0)</formula>
    </cfRule>
  </conditionalFormatting>
  <conditionalFormatting sqref="R221">
    <cfRule type="expression" dxfId="14" priority="15" stopIfTrue="1">
      <formula>OR($C221="",$C221=0)</formula>
    </cfRule>
  </conditionalFormatting>
  <conditionalFormatting sqref="S222:S223">
    <cfRule type="expression" dxfId="13" priority="14" stopIfTrue="1">
      <formula>OR($C222="",$C222=0)</formula>
    </cfRule>
  </conditionalFormatting>
  <conditionalFormatting sqref="R222:R223">
    <cfRule type="expression" dxfId="12" priority="13" stopIfTrue="1">
      <formula>OR($C222="",$C222=0)</formula>
    </cfRule>
  </conditionalFormatting>
  <conditionalFormatting sqref="S224:S229">
    <cfRule type="expression" dxfId="11" priority="12" stopIfTrue="1">
      <formula>OR($C224="",$C224=0)</formula>
    </cfRule>
  </conditionalFormatting>
  <conditionalFormatting sqref="R224:R229">
    <cfRule type="expression" dxfId="10" priority="11" stopIfTrue="1">
      <formula>OR($C224="",$C224=0)</formula>
    </cfRule>
  </conditionalFormatting>
  <conditionalFormatting sqref="S55">
    <cfRule type="expression" dxfId="9" priority="10" stopIfTrue="1">
      <formula>OR($C55="",$C55=0)</formula>
    </cfRule>
  </conditionalFormatting>
  <conditionalFormatting sqref="R55">
    <cfRule type="expression" dxfId="8" priority="9" stopIfTrue="1">
      <formula>OR($C55="",$C55=0)</formula>
    </cfRule>
  </conditionalFormatting>
  <conditionalFormatting sqref="S50">
    <cfRule type="expression" dxfId="7" priority="8" stopIfTrue="1">
      <formula>OR($C50="",$C50=0)</formula>
    </cfRule>
  </conditionalFormatting>
  <conditionalFormatting sqref="R50">
    <cfRule type="expression" dxfId="6" priority="7" stopIfTrue="1">
      <formula>OR($C50="",$C50=0)</formula>
    </cfRule>
  </conditionalFormatting>
  <conditionalFormatting sqref="S148">
    <cfRule type="expression" dxfId="5" priority="6" stopIfTrue="1">
      <formula>OR($C148="",$C148=0)</formula>
    </cfRule>
  </conditionalFormatting>
  <conditionalFormatting sqref="R148">
    <cfRule type="expression" dxfId="4" priority="5" stopIfTrue="1">
      <formula>OR($C148="",$C148=0)</formula>
    </cfRule>
  </conditionalFormatting>
  <conditionalFormatting sqref="S84">
    <cfRule type="expression" dxfId="3" priority="4" stopIfTrue="1">
      <formula>OR($C84="",$C84=0)</formula>
    </cfRule>
  </conditionalFormatting>
  <conditionalFormatting sqref="R84">
    <cfRule type="expression" dxfId="2" priority="3" stopIfTrue="1">
      <formula>OR($C84="",$C84=0)</formula>
    </cfRule>
  </conditionalFormatting>
  <conditionalFormatting sqref="S85">
    <cfRule type="expression" dxfId="1" priority="2" stopIfTrue="1">
      <formula>OR($C85="",$C85=0)</formula>
    </cfRule>
  </conditionalFormatting>
  <conditionalFormatting sqref="R85">
    <cfRule type="expression" dxfId="0" priority="1" stopIfTrue="1">
      <formula>OR($C85="",$C85=0)</formula>
    </cfRule>
  </conditionalFormatting>
  <pageMargins left="0.59055118110236227" right="0.59055118110236227" top="0.59055118110236227" bottom="0.78740157480314965" header="0.39370078740157483" footer="0.39370078740157483"/>
  <pageSetup paperSize="8" scale="26" fitToWidth="0"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09BB-4E25-4F81-B8F6-8E4FAED3D932}">
  <sheetPr>
    <tabColor theme="2" tint="-0.749992370372631"/>
    <pageSetUpPr fitToPage="1"/>
  </sheetPr>
  <dimension ref="A1:L43"/>
  <sheetViews>
    <sheetView workbookViewId="0">
      <selection sqref="A1:XFD1048576"/>
    </sheetView>
  </sheetViews>
  <sheetFormatPr defaultColWidth="9.140625" defaultRowHeight="12.75" x14ac:dyDescent="0.25"/>
  <cols>
    <col min="1" max="1" width="19.7109375" style="46" customWidth="1"/>
    <col min="2" max="2" width="4.140625" style="393" bestFit="1" customWidth="1"/>
    <col min="3" max="12" width="7.7109375" style="278" customWidth="1"/>
    <col min="13" max="16384" width="9.140625" style="46"/>
  </cols>
  <sheetData>
    <row r="1" spans="1:12" x14ac:dyDescent="0.25">
      <c r="A1" s="1636" t="s">
        <v>3215</v>
      </c>
      <c r="B1" s="1636"/>
      <c r="C1" s="1637"/>
      <c r="D1" s="1637"/>
      <c r="E1" s="1637"/>
      <c r="F1" s="1637"/>
      <c r="G1" s="1637"/>
      <c r="H1" s="1637"/>
      <c r="I1" s="1637"/>
      <c r="J1" s="1637"/>
      <c r="K1" s="1637"/>
      <c r="L1" s="1637"/>
    </row>
    <row r="2" spans="1:12" x14ac:dyDescent="0.25">
      <c r="A2" s="1635" t="s">
        <v>153</v>
      </c>
      <c r="B2" s="1633" t="s">
        <v>3501</v>
      </c>
    </row>
    <row r="3" spans="1:12" x14ac:dyDescent="0.25">
      <c r="A3" s="1635" t="s">
        <v>3632</v>
      </c>
      <c r="B3" s="1633" t="s">
        <v>1527</v>
      </c>
    </row>
    <row r="4" spans="1:12" x14ac:dyDescent="0.25">
      <c r="A4" s="1635" t="s">
        <v>155</v>
      </c>
      <c r="B4" s="1633" t="s">
        <v>1528</v>
      </c>
    </row>
    <row r="5" spans="1:12" s="1638" customFormat="1" ht="18.75" x14ac:dyDescent="0.25">
      <c r="A5" s="94" t="s">
        <v>3631</v>
      </c>
      <c r="B5" s="94"/>
      <c r="C5" s="95"/>
      <c r="D5" s="95"/>
      <c r="E5" s="95"/>
      <c r="F5" s="95"/>
      <c r="G5" s="95"/>
      <c r="H5" s="95"/>
      <c r="I5" s="95"/>
      <c r="J5" s="95"/>
      <c r="K5" s="95"/>
      <c r="L5" s="95"/>
    </row>
    <row r="6" spans="1:12" s="1638" customFormat="1" ht="18.75" x14ac:dyDescent="0.25">
      <c r="A6" s="94" t="s">
        <v>1804</v>
      </c>
      <c r="B6" s="94"/>
      <c r="C6" s="95"/>
      <c r="D6" s="95"/>
      <c r="E6" s="95"/>
      <c r="F6" s="95"/>
      <c r="G6" s="95"/>
      <c r="H6" s="95"/>
      <c r="I6" s="95"/>
      <c r="J6" s="95"/>
      <c r="K6" s="95"/>
      <c r="L6" s="95"/>
    </row>
    <row r="7" spans="1:12" s="1609" customFormat="1" x14ac:dyDescent="0.25">
      <c r="A7" s="1639" t="s">
        <v>3622</v>
      </c>
      <c r="B7" s="1641" t="s">
        <v>3612</v>
      </c>
      <c r="C7" s="1659">
        <v>3</v>
      </c>
      <c r="D7" s="1640">
        <v>3</v>
      </c>
      <c r="E7" s="1640">
        <v>3</v>
      </c>
      <c r="F7" s="1640">
        <v>3</v>
      </c>
      <c r="G7" s="1640">
        <v>3</v>
      </c>
      <c r="H7" s="1640">
        <v>3</v>
      </c>
      <c r="I7" s="1640">
        <v>3</v>
      </c>
      <c r="J7" s="1640">
        <v>3</v>
      </c>
      <c r="K7" s="1640">
        <v>3</v>
      </c>
      <c r="L7" s="1641">
        <v>3</v>
      </c>
    </row>
    <row r="8" spans="1:12" s="1609" customFormat="1" x14ac:dyDescent="0.25">
      <c r="A8" s="1642" t="s">
        <v>3610</v>
      </c>
      <c r="B8" s="1644" t="s">
        <v>3612</v>
      </c>
      <c r="C8" s="1677">
        <v>1</v>
      </c>
      <c r="D8" s="1678"/>
      <c r="E8" s="1678"/>
      <c r="F8" s="1678"/>
      <c r="G8" s="1678"/>
      <c r="H8" s="1678"/>
      <c r="I8" s="1678"/>
      <c r="J8" s="1678"/>
      <c r="K8" s="1678"/>
      <c r="L8" s="1679"/>
    </row>
    <row r="9" spans="1:12" s="1609" customFormat="1" x14ac:dyDescent="0.25">
      <c r="A9" s="1653" t="s">
        <v>3611</v>
      </c>
      <c r="B9" s="1655" t="s">
        <v>3612</v>
      </c>
      <c r="C9" s="1680">
        <v>1</v>
      </c>
      <c r="D9" s="1681"/>
      <c r="E9" s="1681"/>
      <c r="F9" s="1681"/>
      <c r="G9" s="1681"/>
      <c r="H9" s="1681"/>
      <c r="I9" s="1681"/>
      <c r="J9" s="1681"/>
      <c r="K9" s="1681"/>
      <c r="L9" s="1682"/>
    </row>
    <row r="10" spans="1:12" x14ac:dyDescent="0.25">
      <c r="A10" s="1656" t="s">
        <v>2437</v>
      </c>
      <c r="B10" s="1665" t="s">
        <v>3609</v>
      </c>
      <c r="C10" s="1683"/>
      <c r="D10" s="1684" t="s">
        <v>3626</v>
      </c>
      <c r="E10" s="1684" t="s">
        <v>3626</v>
      </c>
      <c r="F10" s="1684"/>
      <c r="G10" s="1684" t="s">
        <v>3626</v>
      </c>
      <c r="H10" s="1684"/>
      <c r="I10" s="1684"/>
      <c r="J10" s="1684"/>
      <c r="K10" s="1684"/>
      <c r="L10" s="1685"/>
    </row>
    <row r="11" spans="1:12" x14ac:dyDescent="0.25">
      <c r="A11" s="1645" t="s">
        <v>2972</v>
      </c>
      <c r="B11" s="1666" t="s">
        <v>20</v>
      </c>
      <c r="C11" s="1686"/>
      <c r="D11" s="1687">
        <v>50.14</v>
      </c>
      <c r="E11" s="1687">
        <v>37.6</v>
      </c>
      <c r="F11" s="1687"/>
      <c r="G11" s="1687">
        <v>58.51</v>
      </c>
      <c r="H11" s="1687"/>
      <c r="I11" s="1687"/>
      <c r="J11" s="1687"/>
      <c r="K11" s="1687"/>
      <c r="L11" s="1688"/>
    </row>
    <row r="12" spans="1:12" x14ac:dyDescent="0.25">
      <c r="A12" s="1645" t="s">
        <v>3623</v>
      </c>
      <c r="B12" s="1666" t="s">
        <v>28</v>
      </c>
      <c r="C12" s="1686"/>
      <c r="D12" s="1687">
        <v>2.5099999999999998</v>
      </c>
      <c r="E12" s="1687">
        <v>1.88</v>
      </c>
      <c r="F12" s="1687"/>
      <c r="G12" s="1687">
        <v>2.58</v>
      </c>
      <c r="H12" s="1687"/>
      <c r="I12" s="1687"/>
      <c r="J12" s="1687"/>
      <c r="K12" s="1687"/>
      <c r="L12" s="1688"/>
    </row>
    <row r="13" spans="1:12" x14ac:dyDescent="0.25">
      <c r="A13" s="1645" t="s">
        <v>1871</v>
      </c>
      <c r="B13" s="1666" t="s">
        <v>20</v>
      </c>
      <c r="C13" s="1686"/>
      <c r="D13" s="1687">
        <v>192.73</v>
      </c>
      <c r="E13" s="1687">
        <v>132.99</v>
      </c>
      <c r="F13" s="1687"/>
      <c r="G13" s="1687">
        <v>182.69</v>
      </c>
      <c r="H13" s="1687"/>
      <c r="I13" s="1687"/>
      <c r="J13" s="1687"/>
      <c r="K13" s="1687"/>
      <c r="L13" s="1688"/>
    </row>
    <row r="14" spans="1:12" x14ac:dyDescent="0.25">
      <c r="A14" s="1649" t="s">
        <v>1865</v>
      </c>
      <c r="B14" s="1667" t="s">
        <v>28</v>
      </c>
      <c r="C14" s="1689"/>
      <c r="D14" s="1690">
        <v>21.59</v>
      </c>
      <c r="E14" s="1690">
        <v>15.32</v>
      </c>
      <c r="F14" s="1690"/>
      <c r="G14" s="1690">
        <v>20.65</v>
      </c>
      <c r="H14" s="1690"/>
      <c r="I14" s="1690"/>
      <c r="J14" s="1690"/>
      <c r="K14" s="1690"/>
      <c r="L14" s="1691"/>
    </row>
    <row r="15" spans="1:12" x14ac:dyDescent="0.25">
      <c r="A15" s="1656" t="s">
        <v>3608</v>
      </c>
      <c r="B15" s="1665" t="s">
        <v>3609</v>
      </c>
      <c r="C15" s="1683" t="s">
        <v>3090</v>
      </c>
      <c r="D15" s="1684" t="s">
        <v>3090</v>
      </c>
      <c r="E15" s="1684" t="s">
        <v>3089</v>
      </c>
      <c r="F15" s="1684" t="s">
        <v>3089</v>
      </c>
      <c r="G15" s="1684" t="s">
        <v>3090</v>
      </c>
      <c r="H15" s="1684" t="s">
        <v>3089</v>
      </c>
      <c r="I15" s="1684" t="s">
        <v>3090</v>
      </c>
      <c r="J15" s="1684" t="s">
        <v>3089</v>
      </c>
      <c r="K15" s="1684" t="s">
        <v>3090</v>
      </c>
      <c r="L15" s="1685" t="s">
        <v>3090</v>
      </c>
    </row>
    <row r="16" spans="1:12" x14ac:dyDescent="0.25">
      <c r="A16" s="1645" t="s">
        <v>2972</v>
      </c>
      <c r="B16" s="1666" t="s">
        <v>20</v>
      </c>
      <c r="C16" s="1686">
        <v>14.45</v>
      </c>
      <c r="D16" s="1687">
        <v>14.45</v>
      </c>
      <c r="E16" s="1687">
        <v>10</v>
      </c>
      <c r="F16" s="1687">
        <v>10</v>
      </c>
      <c r="G16" s="1687">
        <v>14.45</v>
      </c>
      <c r="H16" s="1687">
        <v>10</v>
      </c>
      <c r="I16" s="1687">
        <v>14.45</v>
      </c>
      <c r="J16" s="1687">
        <v>10</v>
      </c>
      <c r="K16" s="1687">
        <v>14.45</v>
      </c>
      <c r="L16" s="1688">
        <v>14.45</v>
      </c>
    </row>
    <row r="17" spans="1:12" x14ac:dyDescent="0.25">
      <c r="A17" s="1645" t="s">
        <v>2888</v>
      </c>
      <c r="B17" s="1666" t="s">
        <v>28</v>
      </c>
      <c r="C17" s="1686">
        <v>0</v>
      </c>
      <c r="D17" s="1687">
        <v>0</v>
      </c>
      <c r="E17" s="1687">
        <v>0.96</v>
      </c>
      <c r="F17" s="1687">
        <v>0.96</v>
      </c>
      <c r="G17" s="1687">
        <v>0</v>
      </c>
      <c r="H17" s="1687">
        <v>0.96</v>
      </c>
      <c r="I17" s="1687">
        <v>0</v>
      </c>
      <c r="J17" s="1687">
        <v>0.96</v>
      </c>
      <c r="K17" s="1687">
        <v>0</v>
      </c>
      <c r="L17" s="1688">
        <v>0</v>
      </c>
    </row>
    <row r="18" spans="1:12" x14ac:dyDescent="0.25">
      <c r="A18" s="1645" t="s">
        <v>3623</v>
      </c>
      <c r="B18" s="1666" t="s">
        <v>28</v>
      </c>
      <c r="C18" s="1686">
        <v>0.4</v>
      </c>
      <c r="D18" s="1687">
        <v>0.4</v>
      </c>
      <c r="E18" s="1687">
        <v>0.45</v>
      </c>
      <c r="F18" s="1687">
        <v>0.45</v>
      </c>
      <c r="G18" s="1687">
        <v>0.4</v>
      </c>
      <c r="H18" s="1687">
        <v>0.45</v>
      </c>
      <c r="I18" s="1687">
        <v>0.4</v>
      </c>
      <c r="J18" s="1687">
        <v>0.45</v>
      </c>
      <c r="K18" s="1687">
        <v>0.4</v>
      </c>
      <c r="L18" s="1688">
        <v>0.4</v>
      </c>
    </row>
    <row r="19" spans="1:12" x14ac:dyDescent="0.25">
      <c r="A19" s="1645" t="s">
        <v>1871</v>
      </c>
      <c r="B19" s="1666" t="s">
        <v>20</v>
      </c>
      <c r="C19" s="1686">
        <v>35.409999999999997</v>
      </c>
      <c r="D19" s="1687">
        <v>35.409999999999997</v>
      </c>
      <c r="E19" s="1687">
        <v>77.13</v>
      </c>
      <c r="F19" s="1687">
        <v>77.13</v>
      </c>
      <c r="G19" s="1687">
        <v>35.409999999999997</v>
      </c>
      <c r="H19" s="1687">
        <v>77.13</v>
      </c>
      <c r="I19" s="1687">
        <v>35.409999999999997</v>
      </c>
      <c r="J19" s="1687">
        <v>77.13</v>
      </c>
      <c r="K19" s="1687">
        <v>35.409999999999997</v>
      </c>
      <c r="L19" s="1688">
        <v>35.409999999999997</v>
      </c>
    </row>
    <row r="20" spans="1:12" x14ac:dyDescent="0.25">
      <c r="A20" s="1649" t="s">
        <v>1865</v>
      </c>
      <c r="B20" s="1667" t="s">
        <v>28</v>
      </c>
      <c r="C20" s="1689">
        <v>4.3899999999999997</v>
      </c>
      <c r="D20" s="1690">
        <v>4.3899999999999997</v>
      </c>
      <c r="E20" s="1690">
        <v>11.15</v>
      </c>
      <c r="F20" s="1690">
        <v>11.15</v>
      </c>
      <c r="G20" s="1690">
        <v>4.3899999999999997</v>
      </c>
      <c r="H20" s="1690">
        <v>11.15</v>
      </c>
      <c r="I20" s="1690">
        <v>4.3899999999999997</v>
      </c>
      <c r="J20" s="1690">
        <v>11.15</v>
      </c>
      <c r="K20" s="1690">
        <v>4.3899999999999997</v>
      </c>
      <c r="L20" s="1691">
        <v>4.3899999999999997</v>
      </c>
    </row>
    <row r="21" spans="1:12" x14ac:dyDescent="0.25">
      <c r="A21" s="1656" t="s">
        <v>3624</v>
      </c>
      <c r="B21" s="1665"/>
      <c r="C21" s="1683"/>
      <c r="D21" s="1684"/>
      <c r="E21" s="1684"/>
      <c r="F21" s="1684"/>
      <c r="G21" s="1684"/>
      <c r="H21" s="1684"/>
      <c r="I21" s="1684"/>
      <c r="J21" s="1684"/>
      <c r="K21" s="1684"/>
      <c r="L21" s="1685"/>
    </row>
    <row r="22" spans="1:12" x14ac:dyDescent="0.25">
      <c r="A22" s="1645" t="s">
        <v>2731</v>
      </c>
      <c r="B22" s="1666" t="s">
        <v>20</v>
      </c>
      <c r="C22" s="1686">
        <v>29.88</v>
      </c>
      <c r="D22" s="1687">
        <v>67.7</v>
      </c>
      <c r="E22" s="1687">
        <v>60.48</v>
      </c>
      <c r="F22" s="1687">
        <v>25.24</v>
      </c>
      <c r="G22" s="1687">
        <v>56.62</v>
      </c>
      <c r="H22" s="1687">
        <v>28.48</v>
      </c>
      <c r="I22" s="1687">
        <v>61.55</v>
      </c>
      <c r="J22" s="1687">
        <v>28.48</v>
      </c>
      <c r="K22" s="1687">
        <v>27.58</v>
      </c>
      <c r="L22" s="1688">
        <v>40.770000000000003</v>
      </c>
    </row>
    <row r="23" spans="1:12" x14ac:dyDescent="0.25">
      <c r="A23" s="1645" t="s">
        <v>2717</v>
      </c>
      <c r="B23" s="1666" t="s">
        <v>28</v>
      </c>
      <c r="C23" s="1686">
        <v>12.87</v>
      </c>
      <c r="D23" s="1687">
        <v>28.21</v>
      </c>
      <c r="E23" s="1687">
        <v>23.81</v>
      </c>
      <c r="F23" s="1687">
        <v>14.73</v>
      </c>
      <c r="G23" s="1687">
        <v>32.99</v>
      </c>
      <c r="H23" s="1687">
        <v>13.38</v>
      </c>
      <c r="I23" s="1687">
        <v>27.52</v>
      </c>
      <c r="J23" s="1687">
        <v>13.38</v>
      </c>
      <c r="K23" s="1687">
        <v>12.34</v>
      </c>
      <c r="L23" s="1688">
        <v>19.420000000000002</v>
      </c>
    </row>
    <row r="24" spans="1:12" x14ac:dyDescent="0.25">
      <c r="A24" s="1649" t="s">
        <v>3625</v>
      </c>
      <c r="B24" s="1667" t="s">
        <v>20</v>
      </c>
      <c r="C24" s="1689">
        <v>7.166666666666667</v>
      </c>
      <c r="D24" s="1690">
        <v>10.766666666666667</v>
      </c>
      <c r="E24" s="1690">
        <v>21.3</v>
      </c>
      <c r="F24" s="1690">
        <v>4.13</v>
      </c>
      <c r="G24" s="1690">
        <v>11.97</v>
      </c>
      <c r="H24" s="1690">
        <v>2.9</v>
      </c>
      <c r="I24" s="1690">
        <v>28.53</v>
      </c>
      <c r="J24" s="1690">
        <v>2.9</v>
      </c>
      <c r="K24" s="1690">
        <v>7.1</v>
      </c>
      <c r="L24" s="1691">
        <v>16.03</v>
      </c>
    </row>
    <row r="26" spans="1:12" s="1633" customFormat="1" x14ac:dyDescent="0.25">
      <c r="A26" s="1674" t="s">
        <v>3627</v>
      </c>
      <c r="B26" s="1675"/>
      <c r="C26" s="1676"/>
      <c r="D26" s="1634"/>
      <c r="E26" s="1634"/>
      <c r="F26" s="1634"/>
      <c r="G26" s="1634"/>
      <c r="H26" s="1634"/>
      <c r="I26" s="1634"/>
      <c r="J26" s="1634"/>
      <c r="K26" s="1634"/>
      <c r="L26" s="1634"/>
    </row>
    <row r="27" spans="1:12" s="1633" customFormat="1" x14ac:dyDescent="0.25">
      <c r="A27" s="1671" t="s">
        <v>3628</v>
      </c>
      <c r="B27" s="1672"/>
      <c r="C27" s="1673"/>
      <c r="D27" s="1634"/>
      <c r="E27" s="1634"/>
      <c r="F27" s="1634"/>
      <c r="G27" s="1634"/>
      <c r="H27" s="1634"/>
      <c r="I27" s="1634"/>
      <c r="J27" s="1634"/>
      <c r="K27" s="1634"/>
      <c r="L27" s="1634"/>
    </row>
    <row r="28" spans="1:12" x14ac:dyDescent="0.25">
      <c r="A28" s="1645" t="s">
        <v>2972</v>
      </c>
      <c r="B28" s="1646" t="s">
        <v>20</v>
      </c>
      <c r="C28" s="1648">
        <v>146.25</v>
      </c>
    </row>
    <row r="29" spans="1:12" x14ac:dyDescent="0.25">
      <c r="A29" s="1645" t="s">
        <v>3623</v>
      </c>
      <c r="B29" s="1646" t="s">
        <v>28</v>
      </c>
      <c r="C29" s="1648">
        <v>6.97</v>
      </c>
    </row>
    <row r="30" spans="1:12" x14ac:dyDescent="0.25">
      <c r="A30" s="1645" t="s">
        <v>1871</v>
      </c>
      <c r="B30" s="1646" t="s">
        <v>20</v>
      </c>
      <c r="C30" s="1648">
        <v>508.41</v>
      </c>
    </row>
    <row r="31" spans="1:12" x14ac:dyDescent="0.25">
      <c r="A31" s="1645" t="s">
        <v>1865</v>
      </c>
      <c r="B31" s="1646" t="s">
        <v>28</v>
      </c>
      <c r="C31" s="1648">
        <v>57.559999999999995</v>
      </c>
    </row>
    <row r="32" spans="1:12" s="1633" customFormat="1" x14ac:dyDescent="0.25">
      <c r="A32" s="1668" t="s">
        <v>3629</v>
      </c>
      <c r="B32" s="1669"/>
      <c r="C32" s="1670"/>
      <c r="D32" s="1634"/>
      <c r="E32" s="1634"/>
      <c r="F32" s="1634"/>
      <c r="G32" s="1634"/>
      <c r="H32" s="1634"/>
      <c r="I32" s="1634"/>
      <c r="J32" s="1634"/>
      <c r="K32" s="1634"/>
      <c r="L32" s="1634"/>
    </row>
    <row r="33" spans="1:12" x14ac:dyDescent="0.25">
      <c r="A33" s="1645" t="s">
        <v>3090</v>
      </c>
      <c r="B33" s="1646" t="s">
        <v>39</v>
      </c>
      <c r="C33" s="1648">
        <v>6</v>
      </c>
    </row>
    <row r="34" spans="1:12" s="1633" customFormat="1" x14ac:dyDescent="0.25">
      <c r="A34" s="1668" t="s">
        <v>3630</v>
      </c>
      <c r="B34" s="1669"/>
      <c r="C34" s="1670"/>
      <c r="D34" s="1634"/>
      <c r="E34" s="1634"/>
      <c r="F34" s="1634"/>
      <c r="G34" s="1634"/>
      <c r="H34" s="1634"/>
      <c r="I34" s="1634"/>
      <c r="J34" s="1634"/>
      <c r="K34" s="1634"/>
      <c r="L34" s="1634"/>
    </row>
    <row r="35" spans="1:12" x14ac:dyDescent="0.25">
      <c r="A35" s="1645" t="s">
        <v>2972</v>
      </c>
      <c r="B35" s="1646" t="s">
        <v>20</v>
      </c>
      <c r="C35" s="1648">
        <v>40</v>
      </c>
    </row>
    <row r="36" spans="1:12" x14ac:dyDescent="0.25">
      <c r="A36" s="1645" t="s">
        <v>2888</v>
      </c>
      <c r="B36" s="1646" t="s">
        <v>28</v>
      </c>
      <c r="C36" s="1648">
        <v>3.84</v>
      </c>
    </row>
    <row r="37" spans="1:12" x14ac:dyDescent="0.25">
      <c r="A37" s="1645" t="s">
        <v>3623</v>
      </c>
      <c r="B37" s="1646" t="s">
        <v>28</v>
      </c>
      <c r="C37" s="1648">
        <v>1.8</v>
      </c>
    </row>
    <row r="38" spans="1:12" x14ac:dyDescent="0.25">
      <c r="A38" s="1645" t="s">
        <v>1871</v>
      </c>
      <c r="B38" s="1646" t="s">
        <v>20</v>
      </c>
      <c r="C38" s="1648">
        <v>308.52</v>
      </c>
    </row>
    <row r="39" spans="1:12" x14ac:dyDescent="0.25">
      <c r="A39" s="1649" t="s">
        <v>1865</v>
      </c>
      <c r="B39" s="1650" t="s">
        <v>28</v>
      </c>
      <c r="C39" s="1652">
        <v>44.6</v>
      </c>
    </row>
    <row r="40" spans="1:12" s="1633" customFormat="1" x14ac:dyDescent="0.25">
      <c r="A40" s="1668" t="s">
        <v>3624</v>
      </c>
      <c r="B40" s="1669"/>
      <c r="C40" s="1670"/>
      <c r="D40" s="1634"/>
      <c r="E40" s="1634"/>
      <c r="F40" s="1634"/>
      <c r="G40" s="1634"/>
      <c r="H40" s="1634"/>
      <c r="I40" s="1634"/>
      <c r="J40" s="1634"/>
      <c r="K40" s="1634"/>
      <c r="L40" s="1634"/>
    </row>
    <row r="41" spans="1:12" x14ac:dyDescent="0.25">
      <c r="A41" s="1645" t="s">
        <v>2731</v>
      </c>
      <c r="B41" s="1646" t="s">
        <v>20</v>
      </c>
      <c r="C41" s="1648">
        <v>426.78000000000003</v>
      </c>
    </row>
    <row r="42" spans="1:12" x14ac:dyDescent="0.25">
      <c r="A42" s="1645" t="s">
        <v>2717</v>
      </c>
      <c r="B42" s="1646" t="s">
        <v>28</v>
      </c>
      <c r="C42" s="1648">
        <v>198.65000000000003</v>
      </c>
    </row>
    <row r="43" spans="1:12" x14ac:dyDescent="0.25">
      <c r="A43" s="1649" t="s">
        <v>3625</v>
      </c>
      <c r="B43" s="1650" t="s">
        <v>20</v>
      </c>
      <c r="C43" s="1652">
        <v>112.79333333333334</v>
      </c>
    </row>
  </sheetData>
  <printOptions horizontalCentered="1"/>
  <pageMargins left="0.78740157480314965" right="0.59055118110236227" top="0.78740157480314965" bottom="0.78740157480314965" header="0.59055118110236227" footer="0.59055118110236227"/>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428DE-69F2-4CEF-A144-DD2A8CAD98DE}">
  <sheetPr>
    <tabColor theme="2" tint="-0.749992370372631"/>
  </sheetPr>
  <dimension ref="A1:K27"/>
  <sheetViews>
    <sheetView workbookViewId="0"/>
  </sheetViews>
  <sheetFormatPr defaultColWidth="9.140625" defaultRowHeight="15" x14ac:dyDescent="0.25"/>
  <cols>
    <col min="1" max="3" width="14.7109375" style="334" customWidth="1"/>
    <col min="4" max="7" width="14.7109375" style="1113" customWidth="1"/>
    <col min="8" max="9" width="14.7109375" style="296" customWidth="1"/>
    <col min="10" max="10" width="14.7109375" style="334" customWidth="1"/>
    <col min="11" max="11" width="14.7109375" style="1110" customWidth="1"/>
    <col min="12" max="16384" width="9.140625" style="233"/>
  </cols>
  <sheetData>
    <row r="1" spans="1:11" x14ac:dyDescent="0.25">
      <c r="A1" s="233" t="s">
        <v>2424</v>
      </c>
    </row>
    <row r="2" spans="1:11" x14ac:dyDescent="0.25">
      <c r="A2" s="122" t="s">
        <v>153</v>
      </c>
    </row>
    <row r="3" spans="1:11" x14ac:dyDescent="0.25">
      <c r="A3" s="122" t="s">
        <v>184</v>
      </c>
    </row>
    <row r="4" spans="1:11" x14ac:dyDescent="0.25">
      <c r="A4" s="233" t="s">
        <v>2426</v>
      </c>
    </row>
    <row r="5" spans="1:11" x14ac:dyDescent="0.25">
      <c r="A5" s="2144" t="s">
        <v>2446</v>
      </c>
      <c r="B5" s="2144" t="s">
        <v>2445</v>
      </c>
      <c r="C5" s="2143" t="s">
        <v>2478</v>
      </c>
      <c r="D5" s="1114" t="s">
        <v>2453</v>
      </c>
      <c r="E5" s="1114"/>
      <c r="F5" s="1114"/>
      <c r="G5" s="1114"/>
      <c r="H5" s="1112" t="s">
        <v>2425</v>
      </c>
      <c r="I5" s="1112"/>
      <c r="J5" s="1108" t="s">
        <v>2447</v>
      </c>
      <c r="K5" s="1111"/>
    </row>
    <row r="6" spans="1:11" x14ac:dyDescent="0.25">
      <c r="A6" s="2144"/>
      <c r="B6" s="2144"/>
      <c r="C6" s="2143"/>
      <c r="D6" s="1113" t="s">
        <v>2075</v>
      </c>
      <c r="E6" s="1113" t="s">
        <v>2450</v>
      </c>
      <c r="F6" s="1113" t="s">
        <v>2427</v>
      </c>
      <c r="G6" s="1113" t="s">
        <v>17</v>
      </c>
      <c r="H6" s="296" t="s">
        <v>1094</v>
      </c>
      <c r="I6" s="296" t="s">
        <v>17</v>
      </c>
      <c r="J6" s="334" t="s">
        <v>2448</v>
      </c>
      <c r="K6" s="1110" t="s">
        <v>2449</v>
      </c>
    </row>
    <row r="7" spans="1:11" x14ac:dyDescent="0.25">
      <c r="A7" s="334">
        <v>1</v>
      </c>
      <c r="B7" s="334">
        <v>1</v>
      </c>
      <c r="C7" s="334" t="s">
        <v>2427</v>
      </c>
      <c r="D7" s="1113">
        <v>1</v>
      </c>
      <c r="E7" s="1113">
        <v>1</v>
      </c>
      <c r="G7" s="1113">
        <f t="shared" ref="G7:G19" si="0">SUM(D7:F7)</f>
        <v>2</v>
      </c>
      <c r="H7" s="296">
        <f>1 * 1 * 0.12</f>
        <v>0.12</v>
      </c>
      <c r="I7" s="296">
        <f t="shared" ref="I7:I16" si="1">G7 * $H$7</f>
        <v>0.24</v>
      </c>
      <c r="J7" s="1109">
        <f>'MLQ-PESP'!$C$11</f>
        <v>2.5</v>
      </c>
      <c r="K7" s="1110">
        <f t="shared" ref="K7:K16" si="2">I7 * $J$7</f>
        <v>0.6</v>
      </c>
    </row>
    <row r="8" spans="1:11" x14ac:dyDescent="0.25">
      <c r="B8" s="334">
        <v>2</v>
      </c>
      <c r="C8" s="334" t="s">
        <v>2427</v>
      </c>
      <c r="D8" s="1113">
        <v>1</v>
      </c>
      <c r="E8" s="1113">
        <v>1</v>
      </c>
      <c r="G8" s="1113">
        <f t="shared" si="0"/>
        <v>2</v>
      </c>
      <c r="I8" s="296">
        <f t="shared" si="1"/>
        <v>0.24</v>
      </c>
      <c r="K8" s="1110">
        <f t="shared" si="2"/>
        <v>0.6</v>
      </c>
    </row>
    <row r="9" spans="1:11" x14ac:dyDescent="0.25">
      <c r="B9" s="334">
        <v>6</v>
      </c>
      <c r="C9" s="334" t="s">
        <v>2427</v>
      </c>
      <c r="D9" s="1113">
        <v>1</v>
      </c>
      <c r="E9" s="1113">
        <v>1</v>
      </c>
      <c r="G9" s="1113">
        <f t="shared" si="0"/>
        <v>2</v>
      </c>
      <c r="I9" s="296">
        <f t="shared" si="1"/>
        <v>0.24</v>
      </c>
      <c r="K9" s="1110">
        <f t="shared" si="2"/>
        <v>0.6</v>
      </c>
    </row>
    <row r="10" spans="1:11" x14ac:dyDescent="0.25">
      <c r="B10" s="334" t="s">
        <v>2471</v>
      </c>
      <c r="C10" s="334" t="s">
        <v>2427</v>
      </c>
      <c r="E10" s="1113">
        <v>2</v>
      </c>
      <c r="G10" s="1113">
        <f>SUM(D10:F10)</f>
        <v>2</v>
      </c>
      <c r="I10" s="296">
        <f>G10 * $H$7</f>
        <v>0.24</v>
      </c>
      <c r="K10" s="1110">
        <f t="shared" si="2"/>
        <v>0.6</v>
      </c>
    </row>
    <row r="11" spans="1:11" x14ac:dyDescent="0.25">
      <c r="B11" s="334" t="s">
        <v>2471</v>
      </c>
      <c r="C11" s="334" t="s">
        <v>2427</v>
      </c>
      <c r="E11" s="1113">
        <v>6</v>
      </c>
      <c r="G11" s="1113">
        <f>SUM(D11:F11)</f>
        <v>6</v>
      </c>
      <c r="I11" s="296">
        <f>G11 * $H$7</f>
        <v>0.72</v>
      </c>
      <c r="K11" s="1110">
        <f>I11 * $J$7</f>
        <v>1.7999999999999998</v>
      </c>
    </row>
    <row r="12" spans="1:11" x14ac:dyDescent="0.25">
      <c r="A12" s="334">
        <v>4</v>
      </c>
      <c r="B12" s="334">
        <v>1</v>
      </c>
      <c r="C12" s="334" t="s">
        <v>2427</v>
      </c>
      <c r="D12" s="1113">
        <v>1</v>
      </c>
      <c r="E12" s="1113">
        <v>1</v>
      </c>
      <c r="G12" s="1113">
        <f t="shared" si="0"/>
        <v>2</v>
      </c>
      <c r="I12" s="296">
        <f t="shared" si="1"/>
        <v>0.24</v>
      </c>
      <c r="K12" s="1110">
        <f t="shared" si="2"/>
        <v>0.6</v>
      </c>
    </row>
    <row r="13" spans="1:11" x14ac:dyDescent="0.25">
      <c r="B13" s="334">
        <v>3</v>
      </c>
      <c r="C13" s="334" t="s">
        <v>2427</v>
      </c>
      <c r="D13" s="1113">
        <v>1</v>
      </c>
      <c r="E13" s="1113">
        <v>1</v>
      </c>
      <c r="G13" s="1113">
        <f t="shared" si="0"/>
        <v>2</v>
      </c>
      <c r="I13" s="296">
        <f t="shared" si="1"/>
        <v>0.24</v>
      </c>
      <c r="K13" s="1110">
        <f t="shared" si="2"/>
        <v>0.6</v>
      </c>
    </row>
    <row r="14" spans="1:11" x14ac:dyDescent="0.25">
      <c r="B14" s="334">
        <v>9</v>
      </c>
      <c r="C14" s="334" t="s">
        <v>2427</v>
      </c>
      <c r="D14" s="1113">
        <v>1</v>
      </c>
      <c r="G14" s="1113">
        <f t="shared" si="0"/>
        <v>1</v>
      </c>
      <c r="I14" s="296">
        <f t="shared" si="1"/>
        <v>0.12</v>
      </c>
      <c r="K14" s="1110">
        <f t="shared" si="2"/>
        <v>0.3</v>
      </c>
    </row>
    <row r="15" spans="1:11" x14ac:dyDescent="0.25">
      <c r="C15" s="334" t="s">
        <v>2427</v>
      </c>
      <c r="E15" s="1113">
        <v>1</v>
      </c>
      <c r="G15" s="1113">
        <f t="shared" si="0"/>
        <v>1</v>
      </c>
      <c r="I15" s="296">
        <f t="shared" si="1"/>
        <v>0.12</v>
      </c>
      <c r="K15" s="1110">
        <f t="shared" si="2"/>
        <v>0.3</v>
      </c>
    </row>
    <row r="16" spans="1:11" x14ac:dyDescent="0.25">
      <c r="B16" s="334">
        <v>10</v>
      </c>
      <c r="C16" s="334" t="s">
        <v>2427</v>
      </c>
      <c r="E16" s="1113">
        <v>1</v>
      </c>
      <c r="G16" s="1113">
        <f t="shared" si="0"/>
        <v>1</v>
      </c>
      <c r="I16" s="296">
        <f t="shared" si="1"/>
        <v>0.12</v>
      </c>
      <c r="K16" s="1110">
        <f t="shared" si="2"/>
        <v>0.3</v>
      </c>
    </row>
    <row r="17" spans="1:11" x14ac:dyDescent="0.25">
      <c r="B17" s="334">
        <v>16</v>
      </c>
      <c r="C17" s="334" t="s">
        <v>2427</v>
      </c>
      <c r="D17" s="1113">
        <v>1</v>
      </c>
      <c r="E17" s="1113">
        <v>1</v>
      </c>
      <c r="G17" s="1113">
        <f t="shared" si="0"/>
        <v>2</v>
      </c>
      <c r="I17" s="296">
        <f>G17 * $H$7</f>
        <v>0.24</v>
      </c>
      <c r="K17" s="1110">
        <f>I17 * $J$7</f>
        <v>0.6</v>
      </c>
    </row>
    <row r="18" spans="1:11" x14ac:dyDescent="0.25">
      <c r="B18" s="334">
        <v>17</v>
      </c>
      <c r="C18" s="334" t="s">
        <v>2087</v>
      </c>
      <c r="F18" s="1113">
        <v>1</v>
      </c>
      <c r="G18" s="1113">
        <f t="shared" si="0"/>
        <v>1</v>
      </c>
      <c r="I18" s="296">
        <f t="shared" ref="I18:I27" si="3">G18 * $H$7</f>
        <v>0.12</v>
      </c>
      <c r="K18" s="1110">
        <f t="shared" ref="K18:K27" si="4">I18 * $J$7</f>
        <v>0.3</v>
      </c>
    </row>
    <row r="19" spans="1:11" x14ac:dyDescent="0.25">
      <c r="B19" s="334">
        <v>18</v>
      </c>
      <c r="C19" s="334" t="s">
        <v>2427</v>
      </c>
      <c r="D19" s="1113">
        <v>1</v>
      </c>
      <c r="G19" s="1113">
        <f t="shared" si="0"/>
        <v>1</v>
      </c>
      <c r="I19" s="296">
        <f t="shared" si="3"/>
        <v>0.12</v>
      </c>
      <c r="K19" s="1110">
        <f t="shared" si="4"/>
        <v>0.3</v>
      </c>
    </row>
    <row r="20" spans="1:11" x14ac:dyDescent="0.25">
      <c r="A20" s="334">
        <v>5</v>
      </c>
      <c r="B20" s="334">
        <v>11</v>
      </c>
      <c r="C20" s="334" t="s">
        <v>2427</v>
      </c>
      <c r="D20" s="1113">
        <v>1</v>
      </c>
      <c r="G20" s="1113">
        <f t="shared" ref="G20:G27" si="5">SUM(D20:F20)</f>
        <v>1</v>
      </c>
      <c r="I20" s="296">
        <f t="shared" si="3"/>
        <v>0.12</v>
      </c>
      <c r="K20" s="1110">
        <f t="shared" si="4"/>
        <v>0.3</v>
      </c>
    </row>
    <row r="21" spans="1:11" x14ac:dyDescent="0.25">
      <c r="B21" s="334">
        <v>12</v>
      </c>
      <c r="C21" s="334" t="s">
        <v>2427</v>
      </c>
      <c r="D21" s="1113">
        <v>1</v>
      </c>
      <c r="G21" s="1113">
        <f t="shared" si="5"/>
        <v>1</v>
      </c>
      <c r="I21" s="296">
        <f t="shared" si="3"/>
        <v>0.12</v>
      </c>
      <c r="K21" s="1110">
        <f t="shared" si="4"/>
        <v>0.3</v>
      </c>
    </row>
    <row r="22" spans="1:11" x14ac:dyDescent="0.25">
      <c r="G22" s="1113">
        <f t="shared" si="5"/>
        <v>0</v>
      </c>
      <c r="I22" s="296">
        <f t="shared" si="3"/>
        <v>0</v>
      </c>
      <c r="K22" s="1110">
        <f t="shared" si="4"/>
        <v>0</v>
      </c>
    </row>
    <row r="23" spans="1:11" x14ac:dyDescent="0.25">
      <c r="G23" s="1113">
        <f t="shared" si="5"/>
        <v>0</v>
      </c>
      <c r="I23" s="296">
        <f t="shared" si="3"/>
        <v>0</v>
      </c>
      <c r="K23" s="1110">
        <f t="shared" si="4"/>
        <v>0</v>
      </c>
    </row>
    <row r="24" spans="1:11" x14ac:dyDescent="0.25">
      <c r="G24" s="1113">
        <f t="shared" si="5"/>
        <v>0</v>
      </c>
      <c r="I24" s="296">
        <f t="shared" si="3"/>
        <v>0</v>
      </c>
      <c r="K24" s="1110">
        <f t="shared" si="4"/>
        <v>0</v>
      </c>
    </row>
    <row r="25" spans="1:11" x14ac:dyDescent="0.25">
      <c r="G25" s="1113">
        <f t="shared" si="5"/>
        <v>0</v>
      </c>
      <c r="I25" s="296">
        <f t="shared" si="3"/>
        <v>0</v>
      </c>
      <c r="K25" s="1110">
        <f t="shared" si="4"/>
        <v>0</v>
      </c>
    </row>
    <row r="26" spans="1:11" x14ac:dyDescent="0.25">
      <c r="G26" s="1113">
        <f t="shared" si="5"/>
        <v>0</v>
      </c>
      <c r="I26" s="296">
        <f t="shared" si="3"/>
        <v>0</v>
      </c>
      <c r="K26" s="1110">
        <f t="shared" si="4"/>
        <v>0</v>
      </c>
    </row>
    <row r="27" spans="1:11" x14ac:dyDescent="0.25">
      <c r="G27" s="1113">
        <f t="shared" si="5"/>
        <v>0</v>
      </c>
      <c r="I27" s="296">
        <f t="shared" si="3"/>
        <v>0</v>
      </c>
      <c r="K27" s="1110">
        <f t="shared" si="4"/>
        <v>0</v>
      </c>
    </row>
  </sheetData>
  <mergeCells count="3">
    <mergeCell ref="C5:C6"/>
    <mergeCell ref="B5:B6"/>
    <mergeCell ref="A5:A6"/>
  </mergeCells>
  <pageMargins left="0.511811024" right="0.511811024" top="0.78740157499999996" bottom="0.78740157499999996" header="0.31496062000000002" footer="0.31496062000000002"/>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1B44B-70D9-42A7-8C22-D30F7BAA4E2C}">
  <sheetPr>
    <tabColor theme="2" tint="-0.749992370372631"/>
    <pageSetUpPr fitToPage="1"/>
  </sheetPr>
  <dimension ref="A1:E18"/>
  <sheetViews>
    <sheetView workbookViewId="0">
      <selection sqref="A1:XFD1048576"/>
    </sheetView>
  </sheetViews>
  <sheetFormatPr defaultRowHeight="15" x14ac:dyDescent="0.25"/>
  <cols>
    <col min="1" max="1" width="18.7109375" customWidth="1"/>
    <col min="4" max="4" width="18.28515625" customWidth="1"/>
  </cols>
  <sheetData>
    <row r="1" spans="1:5" x14ac:dyDescent="0.25">
      <c r="A1" s="2147" t="s">
        <v>3824</v>
      </c>
      <c r="B1" s="2147"/>
      <c r="D1" s="2147" t="s">
        <v>3823</v>
      </c>
      <c r="E1" s="2147"/>
    </row>
    <row r="2" spans="1:5" x14ac:dyDescent="0.25">
      <c r="A2" s="2145" t="s">
        <v>3822</v>
      </c>
      <c r="B2" s="2146"/>
      <c r="D2" s="2145" t="s">
        <v>3821</v>
      </c>
      <c r="E2" s="2146"/>
    </row>
    <row r="3" spans="1:5" x14ac:dyDescent="0.25">
      <c r="A3" s="1779" t="s">
        <v>3812</v>
      </c>
      <c r="B3" s="1779">
        <v>8</v>
      </c>
      <c r="D3" s="1779" t="s">
        <v>3812</v>
      </c>
      <c r="E3" s="1779">
        <v>1</v>
      </c>
    </row>
    <row r="4" spans="1:5" x14ac:dyDescent="0.25">
      <c r="A4" s="1779" t="s">
        <v>3811</v>
      </c>
      <c r="B4" s="1779">
        <v>6</v>
      </c>
      <c r="D4" s="1779" t="s">
        <v>3811</v>
      </c>
      <c r="E4" s="1779">
        <v>0</v>
      </c>
    </row>
    <row r="5" spans="1:5" x14ac:dyDescent="0.25">
      <c r="A5" s="2145" t="s">
        <v>3820</v>
      </c>
      <c r="B5" s="2146"/>
      <c r="D5" s="2145" t="s">
        <v>3819</v>
      </c>
      <c r="E5" s="2146"/>
    </row>
    <row r="6" spans="1:5" x14ac:dyDescent="0.25">
      <c r="A6" s="1779" t="s">
        <v>3812</v>
      </c>
      <c r="B6" s="1779">
        <v>2</v>
      </c>
      <c r="D6" s="1779" t="s">
        <v>3812</v>
      </c>
      <c r="E6" s="1779">
        <v>9</v>
      </c>
    </row>
    <row r="7" spans="1:5" x14ac:dyDescent="0.25">
      <c r="A7" s="1779" t="s">
        <v>3811</v>
      </c>
      <c r="B7" s="1779">
        <v>0</v>
      </c>
      <c r="D7" s="1779" t="s">
        <v>3811</v>
      </c>
      <c r="E7" s="1779">
        <v>19</v>
      </c>
    </row>
    <row r="8" spans="1:5" x14ac:dyDescent="0.25">
      <c r="A8" s="2145" t="s">
        <v>3818</v>
      </c>
      <c r="B8" s="2146"/>
      <c r="D8" s="2145" t="s">
        <v>3817</v>
      </c>
      <c r="E8" s="2146"/>
    </row>
    <row r="9" spans="1:5" x14ac:dyDescent="0.25">
      <c r="A9" s="1779" t="s">
        <v>3812</v>
      </c>
      <c r="B9" s="1779">
        <v>6</v>
      </c>
      <c r="D9" s="1779" t="s">
        <v>3812</v>
      </c>
      <c r="E9" s="1779">
        <v>1</v>
      </c>
    </row>
    <row r="10" spans="1:5" x14ac:dyDescent="0.25">
      <c r="A10" s="1779" t="s">
        <v>3811</v>
      </c>
      <c r="B10" s="1779">
        <v>5</v>
      </c>
      <c r="D10" s="1779" t="s">
        <v>3811</v>
      </c>
      <c r="E10" s="1779">
        <v>0</v>
      </c>
    </row>
    <row r="11" spans="1:5" x14ac:dyDescent="0.25">
      <c r="A11" s="2145" t="s">
        <v>3816</v>
      </c>
      <c r="B11" s="2146"/>
      <c r="D11" s="2145" t="s">
        <v>3815</v>
      </c>
      <c r="E11" s="2146"/>
    </row>
    <row r="12" spans="1:5" x14ac:dyDescent="0.25">
      <c r="A12" s="1779" t="s">
        <v>3812</v>
      </c>
      <c r="B12" s="1779">
        <v>37</v>
      </c>
      <c r="D12" s="1779" t="s">
        <v>3812</v>
      </c>
      <c r="E12" s="1779">
        <v>6</v>
      </c>
    </row>
    <row r="13" spans="1:5" x14ac:dyDescent="0.25">
      <c r="A13" s="1779" t="s">
        <v>3811</v>
      </c>
      <c r="B13" s="1779">
        <v>31</v>
      </c>
      <c r="D13" s="1779" t="s">
        <v>3811</v>
      </c>
      <c r="E13" s="1779">
        <v>21</v>
      </c>
    </row>
    <row r="14" spans="1:5" x14ac:dyDescent="0.25">
      <c r="A14" s="2145" t="s">
        <v>3814</v>
      </c>
      <c r="B14" s="2146"/>
      <c r="D14" s="2145" t="s">
        <v>3813</v>
      </c>
      <c r="E14" s="2146"/>
    </row>
    <row r="15" spans="1:5" x14ac:dyDescent="0.25">
      <c r="A15" s="1779" t="s">
        <v>3812</v>
      </c>
      <c r="B15" s="1779">
        <v>12</v>
      </c>
      <c r="D15" s="1779" t="s">
        <v>3812</v>
      </c>
      <c r="E15" s="1779">
        <v>15</v>
      </c>
    </row>
    <row r="16" spans="1:5" ht="15.75" thickBot="1" x14ac:dyDescent="0.3">
      <c r="A16" s="1778" t="s">
        <v>3811</v>
      </c>
      <c r="B16" s="1778">
        <v>23</v>
      </c>
      <c r="D16" s="1778" t="s">
        <v>3811</v>
      </c>
      <c r="E16" s="1778">
        <v>5</v>
      </c>
    </row>
    <row r="17" spans="1:5" x14ac:dyDescent="0.25">
      <c r="A17" s="1777" t="s">
        <v>3810</v>
      </c>
      <c r="B17" s="1776">
        <v>65</v>
      </c>
      <c r="D17" s="1777" t="s">
        <v>3810</v>
      </c>
      <c r="E17" s="1776">
        <v>32</v>
      </c>
    </row>
    <row r="18" spans="1:5" ht="15.75" thickBot="1" x14ac:dyDescent="0.3">
      <c r="A18" s="1775" t="s">
        <v>3809</v>
      </c>
      <c r="B18" s="1774">
        <v>65</v>
      </c>
      <c r="D18" s="1775" t="s">
        <v>3809</v>
      </c>
      <c r="E18" s="1774">
        <v>45</v>
      </c>
    </row>
  </sheetData>
  <mergeCells count="12">
    <mergeCell ref="D14:E14"/>
    <mergeCell ref="A11:B11"/>
    <mergeCell ref="A1:B1"/>
    <mergeCell ref="D1:E1"/>
    <mergeCell ref="A2:B2"/>
    <mergeCell ref="A5:B5"/>
    <mergeCell ref="A8:B8"/>
    <mergeCell ref="A14:B14"/>
    <mergeCell ref="D2:E2"/>
    <mergeCell ref="D5:E5"/>
    <mergeCell ref="D8:E8"/>
    <mergeCell ref="D11:E11"/>
  </mergeCells>
  <printOptions horizontalCentered="1"/>
  <pageMargins left="0.78740157480314965" right="0.59055118110236227" top="0.78740157480314965" bottom="0.78740157480314965" header="0.59055118110236227" footer="0.59055118110236227"/>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8C4F5-8FB8-493B-A00B-AF8F36824A16}">
  <sheetPr>
    <tabColor theme="2" tint="-0.749992370372631"/>
    <pageSetUpPr fitToPage="1"/>
  </sheetPr>
  <dimension ref="A1:Y54"/>
  <sheetViews>
    <sheetView workbookViewId="0">
      <selection sqref="A1:XFD1048576"/>
    </sheetView>
  </sheetViews>
  <sheetFormatPr defaultColWidth="9.140625" defaultRowHeight="15" x14ac:dyDescent="0.25"/>
  <cols>
    <col min="1" max="1" width="17.7109375" style="233" customWidth="1"/>
    <col min="2" max="2" width="9.85546875" style="233" bestFit="1" customWidth="1"/>
    <col min="3" max="5" width="9.28515625" style="233" bestFit="1" customWidth="1"/>
    <col min="6" max="6" width="9.28515625" style="233" customWidth="1"/>
    <col min="7" max="7" width="9.28515625" style="233" bestFit="1" customWidth="1"/>
    <col min="8" max="9" width="9.7109375" style="233" bestFit="1" customWidth="1"/>
    <col min="10" max="14" width="9.28515625" style="233" bestFit="1" customWidth="1"/>
    <col min="15" max="16" width="9.7109375" style="233" bestFit="1" customWidth="1"/>
    <col min="17" max="21" width="9.28515625" style="233" bestFit="1" customWidth="1"/>
    <col min="22" max="16384" width="9.140625" style="233"/>
  </cols>
  <sheetData>
    <row r="1" spans="1:19" x14ac:dyDescent="0.25">
      <c r="A1" s="233" t="s">
        <v>2181</v>
      </c>
    </row>
    <row r="3" spans="1:19" x14ac:dyDescent="0.25">
      <c r="A3" s="233" t="s">
        <v>2182</v>
      </c>
    </row>
    <row r="4" spans="1:19" x14ac:dyDescent="0.25">
      <c r="A4" s="233" t="s">
        <v>2183</v>
      </c>
      <c r="B4" s="1064">
        <v>400</v>
      </c>
      <c r="C4" s="1064">
        <v>500</v>
      </c>
      <c r="D4" s="1064">
        <v>600</v>
      </c>
      <c r="E4" s="1064">
        <v>750</v>
      </c>
      <c r="F4" s="1064">
        <v>800</v>
      </c>
      <c r="G4" s="1064">
        <v>1000</v>
      </c>
      <c r="H4" s="1064">
        <v>1200</v>
      </c>
      <c r="I4" s="1064">
        <v>1500</v>
      </c>
      <c r="J4" s="1064">
        <v>1600</v>
      </c>
    </row>
    <row r="5" spans="1:19" x14ac:dyDescent="0.25">
      <c r="A5" s="233" t="s">
        <v>2184</v>
      </c>
      <c r="B5" s="1064">
        <v>45</v>
      </c>
      <c r="C5" s="1064">
        <v>50</v>
      </c>
      <c r="D5" s="1064">
        <v>60</v>
      </c>
      <c r="E5" s="1064">
        <v>70.5</v>
      </c>
      <c r="F5" s="1064">
        <v>76</v>
      </c>
      <c r="G5" s="1064">
        <v>90</v>
      </c>
      <c r="H5" s="1064">
        <v>108</v>
      </c>
      <c r="I5" s="1064">
        <v>135</v>
      </c>
      <c r="J5" s="1064">
        <v>148</v>
      </c>
      <c r="L5" s="2148" t="s">
        <v>2185</v>
      </c>
      <c r="M5" s="2148"/>
      <c r="N5" s="2148"/>
      <c r="O5" s="2148"/>
      <c r="P5" s="2148"/>
      <c r="Q5" s="2148"/>
      <c r="R5" s="2148"/>
      <c r="S5" s="2148"/>
    </row>
    <row r="6" spans="1:19" x14ac:dyDescent="0.25">
      <c r="A6" s="233" t="s">
        <v>2186</v>
      </c>
      <c r="B6" s="1064">
        <v>45</v>
      </c>
      <c r="C6" s="1064">
        <v>50</v>
      </c>
      <c r="D6" s="1064">
        <v>60</v>
      </c>
      <c r="E6" s="1064">
        <v>70.5</v>
      </c>
      <c r="F6" s="1064">
        <v>76</v>
      </c>
      <c r="G6" s="1064">
        <v>90</v>
      </c>
      <c r="H6" s="1064">
        <v>108</v>
      </c>
      <c r="I6" s="1064">
        <v>135</v>
      </c>
      <c r="J6" s="1064">
        <v>148</v>
      </c>
      <c r="L6" s="2148"/>
      <c r="M6" s="2148"/>
      <c r="N6" s="2148"/>
      <c r="O6" s="2148"/>
      <c r="P6" s="2148"/>
      <c r="Q6" s="2148"/>
      <c r="R6" s="2148"/>
      <c r="S6" s="2148"/>
    </row>
    <row r="7" spans="1:19" x14ac:dyDescent="0.25">
      <c r="A7" s="233" t="s">
        <v>2187</v>
      </c>
      <c r="B7" s="1064">
        <v>100</v>
      </c>
      <c r="C7" s="1064">
        <v>100</v>
      </c>
      <c r="D7" s="1064">
        <v>100</v>
      </c>
      <c r="E7" s="1064">
        <v>150</v>
      </c>
      <c r="F7" s="1064">
        <v>150</v>
      </c>
      <c r="G7" s="1064">
        <v>150</v>
      </c>
      <c r="H7" s="1064">
        <v>150</v>
      </c>
      <c r="I7" s="1064">
        <v>150</v>
      </c>
      <c r="J7" s="1064">
        <v>200</v>
      </c>
      <c r="L7" s="2148"/>
      <c r="M7" s="2148"/>
      <c r="N7" s="2148"/>
      <c r="O7" s="2148"/>
      <c r="P7" s="2148"/>
      <c r="Q7" s="2148"/>
      <c r="R7" s="2148"/>
      <c r="S7" s="2148"/>
    </row>
    <row r="8" spans="1:19" x14ac:dyDescent="0.25">
      <c r="A8" s="233" t="s">
        <v>2188</v>
      </c>
      <c r="B8" s="1064">
        <v>590</v>
      </c>
      <c r="C8" s="1064">
        <v>700</v>
      </c>
      <c r="D8" s="1064">
        <v>820</v>
      </c>
      <c r="E8" s="1064">
        <v>1041</v>
      </c>
      <c r="F8" s="1064">
        <v>1102</v>
      </c>
      <c r="G8" s="1064">
        <v>1330</v>
      </c>
      <c r="H8" s="1064">
        <v>1566</v>
      </c>
      <c r="I8" s="1064">
        <v>1920</v>
      </c>
      <c r="J8" s="1064">
        <v>2096</v>
      </c>
      <c r="L8" s="2148"/>
      <c r="M8" s="2148"/>
      <c r="N8" s="2148"/>
      <c r="O8" s="2148"/>
      <c r="P8" s="2148"/>
      <c r="Q8" s="2148"/>
      <c r="R8" s="2148"/>
      <c r="S8" s="2148"/>
    </row>
    <row r="9" spans="1:19" ht="15" customHeight="1" x14ac:dyDescent="0.25">
      <c r="A9" s="233" t="s">
        <v>2189</v>
      </c>
      <c r="B9" s="1065">
        <v>0.2465</v>
      </c>
      <c r="C9" s="1066">
        <v>0.33699999999999997</v>
      </c>
      <c r="D9" s="1066">
        <v>0.45999999999999996</v>
      </c>
      <c r="E9" s="1066">
        <v>0.625</v>
      </c>
      <c r="F9" s="1066">
        <v>0.79</v>
      </c>
      <c r="G9" s="1066">
        <v>1.21835</v>
      </c>
      <c r="H9" s="1066">
        <v>1.3973333333333333</v>
      </c>
      <c r="I9" s="1066">
        <v>2.1800000000000002</v>
      </c>
      <c r="J9" s="1066">
        <v>2.4648533333333336</v>
      </c>
      <c r="L9" s="2148"/>
      <c r="M9" s="2148"/>
      <c r="N9" s="2148"/>
      <c r="O9" s="2148"/>
      <c r="P9" s="2148"/>
      <c r="Q9" s="2148"/>
      <c r="R9" s="2148"/>
      <c r="S9" s="2148"/>
    </row>
    <row r="10" spans="1:19" x14ac:dyDescent="0.25">
      <c r="A10" s="233" t="s">
        <v>2190</v>
      </c>
      <c r="B10" s="1065">
        <v>0.2465</v>
      </c>
      <c r="C10" s="1066">
        <v>0.33699999999999997</v>
      </c>
      <c r="D10" s="1066">
        <v>0.45999999999999996</v>
      </c>
      <c r="E10" s="1066">
        <v>0.625</v>
      </c>
      <c r="F10" s="1066">
        <v>0.79</v>
      </c>
      <c r="G10" s="1066">
        <v>1.21835</v>
      </c>
      <c r="H10" s="1066">
        <v>1.3973333333333333</v>
      </c>
      <c r="I10" s="1066">
        <v>2.1800000000000002</v>
      </c>
      <c r="J10" s="1066">
        <v>2.4648533333333336</v>
      </c>
      <c r="L10" s="2148"/>
      <c r="M10" s="2148"/>
      <c r="N10" s="2148"/>
      <c r="O10" s="2148"/>
      <c r="P10" s="2148"/>
      <c r="Q10" s="2148"/>
      <c r="R10" s="2148"/>
      <c r="S10" s="2148"/>
    </row>
    <row r="11" spans="1:19" x14ac:dyDescent="0.25">
      <c r="A11" s="233" t="s">
        <v>2191</v>
      </c>
      <c r="B11" s="1065">
        <v>0.2465</v>
      </c>
      <c r="C11" s="1066">
        <v>0.33699999999999997</v>
      </c>
      <c r="D11" s="1066">
        <v>0.45999999999999996</v>
      </c>
      <c r="E11" s="1066">
        <v>0.625</v>
      </c>
      <c r="F11" s="1066">
        <v>0.79</v>
      </c>
      <c r="G11" s="1066">
        <v>1.21835</v>
      </c>
      <c r="H11" s="1066">
        <v>1.3973333333333333</v>
      </c>
      <c r="I11" s="1066">
        <v>2.1800000000000002</v>
      </c>
      <c r="J11" s="1066">
        <v>2.4648533333333336</v>
      </c>
      <c r="L11" s="2148"/>
      <c r="M11" s="2148"/>
      <c r="N11" s="2148"/>
      <c r="O11" s="2148"/>
      <c r="P11" s="2148"/>
      <c r="Q11" s="2148"/>
      <c r="R11" s="2148"/>
      <c r="S11" s="2148"/>
    </row>
    <row r="12" spans="1:19" x14ac:dyDescent="0.25">
      <c r="A12" s="233" t="s">
        <v>2192</v>
      </c>
      <c r="B12" s="1065">
        <v>0.2465</v>
      </c>
      <c r="C12" s="1066">
        <v>0.33699999999999997</v>
      </c>
      <c r="D12" s="1066">
        <v>0.45999999999999996</v>
      </c>
      <c r="E12" s="1066">
        <v>0.625</v>
      </c>
      <c r="F12" s="1066">
        <v>0.79</v>
      </c>
      <c r="G12" s="1066">
        <v>1.21835</v>
      </c>
      <c r="H12" s="1066">
        <v>1.3973333333333333</v>
      </c>
      <c r="I12" s="1066">
        <v>2.1800000000000002</v>
      </c>
      <c r="J12" s="1066">
        <v>2.4648533333333336</v>
      </c>
      <c r="L12" s="2148"/>
      <c r="M12" s="2148"/>
      <c r="N12" s="2148"/>
      <c r="O12" s="2148"/>
      <c r="P12" s="2148"/>
      <c r="Q12" s="2148"/>
      <c r="R12" s="2148"/>
      <c r="S12" s="2148"/>
    </row>
    <row r="13" spans="1:19" x14ac:dyDescent="0.25">
      <c r="A13" s="233" t="s">
        <v>2193</v>
      </c>
      <c r="B13" s="1067">
        <v>0.33333333333333331</v>
      </c>
    </row>
    <row r="14" spans="1:19" x14ac:dyDescent="0.25">
      <c r="A14" s="233" t="s">
        <v>2194</v>
      </c>
      <c r="B14" s="233" t="s">
        <v>2195</v>
      </c>
    </row>
    <row r="15" spans="1:19" x14ac:dyDescent="0.25">
      <c r="A15" s="233" t="s">
        <v>2196</v>
      </c>
      <c r="B15" s="233" t="s">
        <v>2195</v>
      </c>
    </row>
    <row r="17" spans="1:25" x14ac:dyDescent="0.25">
      <c r="A17" s="233" t="s">
        <v>2197</v>
      </c>
    </row>
    <row r="18" spans="1:25" x14ac:dyDescent="0.25">
      <c r="A18" s="233" t="s">
        <v>2198</v>
      </c>
      <c r="B18" s="1064">
        <v>1200</v>
      </c>
      <c r="C18" s="1064">
        <v>1400</v>
      </c>
      <c r="D18" s="1064">
        <v>1600</v>
      </c>
      <c r="E18" s="1064">
        <v>1800</v>
      </c>
      <c r="F18" s="1064">
        <v>2000</v>
      </c>
      <c r="G18" s="1064">
        <v>2200</v>
      </c>
      <c r="H18" s="1064">
        <v>2400</v>
      </c>
      <c r="I18" s="1064">
        <v>2600</v>
      </c>
      <c r="J18" s="1064">
        <v>2800</v>
      </c>
      <c r="K18" s="1064">
        <v>3000</v>
      </c>
      <c r="L18" s="1064">
        <v>3200</v>
      </c>
      <c r="M18" s="1064">
        <v>3400</v>
      </c>
      <c r="N18" s="1064">
        <v>3600</v>
      </c>
      <c r="O18" s="1064">
        <v>3800</v>
      </c>
      <c r="P18" s="1064">
        <v>4000</v>
      </c>
      <c r="Q18" s="1064">
        <v>4200</v>
      </c>
      <c r="R18" s="1064">
        <v>4400</v>
      </c>
      <c r="S18" s="1064">
        <v>4600</v>
      </c>
      <c r="T18" s="1064">
        <v>4800</v>
      </c>
      <c r="U18" s="1064"/>
    </row>
    <row r="19" spans="1:25" x14ac:dyDescent="0.25">
      <c r="A19" s="233" t="s">
        <v>2199</v>
      </c>
      <c r="B19" s="1064">
        <v>45</v>
      </c>
      <c r="C19" s="1064">
        <v>45</v>
      </c>
      <c r="D19" s="1064">
        <v>45</v>
      </c>
      <c r="E19" s="1064">
        <v>45</v>
      </c>
      <c r="F19" s="1064">
        <v>45</v>
      </c>
      <c r="G19" s="1064">
        <v>45</v>
      </c>
      <c r="H19" s="1064">
        <v>45</v>
      </c>
      <c r="I19" s="1064">
        <v>45</v>
      </c>
      <c r="J19" s="1064">
        <v>45</v>
      </c>
      <c r="K19" s="1064">
        <v>45</v>
      </c>
      <c r="L19" s="1064">
        <v>45</v>
      </c>
      <c r="M19" s="1064">
        <v>45</v>
      </c>
      <c r="N19" s="1064">
        <v>45</v>
      </c>
      <c r="O19" s="1064">
        <v>45</v>
      </c>
      <c r="P19" s="1064">
        <v>45</v>
      </c>
      <c r="Q19" s="1064">
        <v>45</v>
      </c>
      <c r="R19" s="1064">
        <v>45</v>
      </c>
      <c r="S19" s="1064">
        <v>45</v>
      </c>
      <c r="T19" s="1064">
        <v>45</v>
      </c>
      <c r="U19" s="1064"/>
    </row>
    <row r="20" spans="1:25" x14ac:dyDescent="0.25">
      <c r="A20" s="233" t="s">
        <v>2200</v>
      </c>
      <c r="B20" s="1064">
        <v>55</v>
      </c>
      <c r="C20" s="1064">
        <v>55</v>
      </c>
      <c r="D20" s="1064">
        <v>55</v>
      </c>
      <c r="E20" s="1064">
        <v>55</v>
      </c>
      <c r="F20" s="1064">
        <v>55</v>
      </c>
      <c r="G20" s="1064">
        <v>55</v>
      </c>
      <c r="H20" s="1064">
        <v>55</v>
      </c>
      <c r="I20" s="1064">
        <v>55</v>
      </c>
      <c r="J20" s="1064">
        <v>55</v>
      </c>
      <c r="K20" s="1064">
        <v>55</v>
      </c>
      <c r="L20" s="1064">
        <v>55</v>
      </c>
      <c r="M20" s="1064">
        <v>55</v>
      </c>
      <c r="N20" s="1064">
        <v>55</v>
      </c>
      <c r="O20" s="1064">
        <v>55</v>
      </c>
      <c r="P20" s="1064">
        <v>55</v>
      </c>
      <c r="Q20" s="1064">
        <v>55</v>
      </c>
      <c r="R20" s="1064">
        <v>55</v>
      </c>
      <c r="S20" s="1064">
        <v>55</v>
      </c>
      <c r="T20" s="1064">
        <v>55</v>
      </c>
      <c r="U20" s="1064"/>
    </row>
    <row r="21" spans="1:25" x14ac:dyDescent="0.25">
      <c r="A21" s="233" t="s">
        <v>2201</v>
      </c>
      <c r="B21" s="1064">
        <v>100</v>
      </c>
      <c r="C21" s="1064">
        <v>100</v>
      </c>
      <c r="D21" s="1064">
        <v>100</v>
      </c>
      <c r="E21" s="1064">
        <v>100</v>
      </c>
      <c r="F21" s="1064">
        <v>100</v>
      </c>
      <c r="G21" s="1064">
        <v>100</v>
      </c>
      <c r="H21" s="1064">
        <v>100</v>
      </c>
      <c r="I21" s="1064">
        <v>100</v>
      </c>
      <c r="J21" s="1064">
        <v>100</v>
      </c>
      <c r="K21" s="1064">
        <v>100</v>
      </c>
      <c r="L21" s="1064">
        <v>100</v>
      </c>
      <c r="M21" s="1064">
        <v>100</v>
      </c>
      <c r="N21" s="1064">
        <v>100</v>
      </c>
      <c r="O21" s="1064">
        <v>100</v>
      </c>
      <c r="P21" s="1064">
        <v>100</v>
      </c>
      <c r="Q21" s="1064">
        <v>100</v>
      </c>
      <c r="R21" s="1064">
        <v>100</v>
      </c>
      <c r="S21" s="1064">
        <v>100</v>
      </c>
      <c r="T21" s="1064">
        <v>100</v>
      </c>
      <c r="U21" s="1064" t="s">
        <v>21</v>
      </c>
    </row>
    <row r="22" spans="1:25" x14ac:dyDescent="0.25">
      <c r="A22" s="233" t="s">
        <v>2202</v>
      </c>
      <c r="B22" s="1064">
        <v>1400</v>
      </c>
      <c r="C22" s="1064">
        <v>1600</v>
      </c>
      <c r="D22" s="1064">
        <v>1800</v>
      </c>
      <c r="E22" s="1064">
        <v>2000</v>
      </c>
      <c r="F22" s="1064">
        <v>2200</v>
      </c>
      <c r="G22" s="1064">
        <v>2400</v>
      </c>
      <c r="H22" s="1064">
        <v>2600</v>
      </c>
      <c r="I22" s="1064">
        <v>2800</v>
      </c>
      <c r="J22" s="1064">
        <v>3000</v>
      </c>
      <c r="K22" s="1064">
        <v>3200</v>
      </c>
      <c r="L22" s="1064">
        <v>3400</v>
      </c>
      <c r="M22" s="1064">
        <v>3600</v>
      </c>
      <c r="N22" s="1064">
        <v>3800</v>
      </c>
      <c r="O22" s="1064">
        <v>4000</v>
      </c>
      <c r="P22" s="1064">
        <v>4200</v>
      </c>
      <c r="Q22" s="1064">
        <v>4400</v>
      </c>
      <c r="R22" s="1064">
        <v>4600</v>
      </c>
      <c r="S22" s="1064">
        <v>4800</v>
      </c>
      <c r="T22" s="1064">
        <v>5000</v>
      </c>
      <c r="U22" s="1064"/>
      <c r="V22" s="233" t="s">
        <v>21</v>
      </c>
    </row>
    <row r="23" spans="1:25" x14ac:dyDescent="0.25">
      <c r="A23" s="233" t="s">
        <v>2203</v>
      </c>
      <c r="B23" s="1068" t="s">
        <v>2204</v>
      </c>
      <c r="C23" s="1064"/>
      <c r="D23" s="1064"/>
      <c r="E23" s="1064"/>
      <c r="F23" s="1064"/>
      <c r="G23" s="1064"/>
      <c r="H23" s="1064"/>
      <c r="I23" s="1064"/>
      <c r="J23" s="1064"/>
      <c r="K23" s="1064"/>
      <c r="L23" s="1064"/>
      <c r="M23" s="1064"/>
      <c r="N23" s="1064"/>
      <c r="O23" s="1064"/>
      <c r="P23" s="1064"/>
      <c r="Q23" s="1064"/>
      <c r="R23" s="1064"/>
      <c r="S23" s="1064"/>
      <c r="T23" s="1064"/>
      <c r="U23" s="1064"/>
    </row>
    <row r="24" spans="1:25" x14ac:dyDescent="0.25">
      <c r="A24" s="1069"/>
    </row>
    <row r="25" spans="1:25" x14ac:dyDescent="0.25">
      <c r="A25" s="1069" t="s">
        <v>2205</v>
      </c>
    </row>
    <row r="26" spans="1:25" x14ac:dyDescent="0.25">
      <c r="A26" s="233" t="s">
        <v>2206</v>
      </c>
      <c r="B26" s="1064">
        <v>1650</v>
      </c>
      <c r="C26" s="1064">
        <v>1800</v>
      </c>
      <c r="D26" s="1064">
        <v>2000</v>
      </c>
      <c r="E26" s="1064">
        <v>2200</v>
      </c>
      <c r="F26" s="1064">
        <v>2400</v>
      </c>
      <c r="G26" s="1064">
        <v>2600</v>
      </c>
      <c r="H26" s="1064">
        <v>2800</v>
      </c>
      <c r="I26" s="1064">
        <v>3000</v>
      </c>
      <c r="J26" s="1064">
        <v>3200</v>
      </c>
      <c r="K26" s="1064">
        <v>3600</v>
      </c>
      <c r="L26" s="1070"/>
      <c r="M26" s="1070"/>
      <c r="N26" s="1064"/>
      <c r="O26" s="1064"/>
      <c r="P26" s="1064"/>
      <c r="Q26" s="1064"/>
      <c r="R26" s="1064"/>
      <c r="S26" s="1070"/>
      <c r="T26" s="1070"/>
      <c r="U26" s="1064"/>
      <c r="V26" s="1064"/>
      <c r="W26" s="1064"/>
      <c r="X26" s="1064"/>
    </row>
    <row r="27" spans="1:25" x14ac:dyDescent="0.25">
      <c r="A27" s="233" t="s">
        <v>2207</v>
      </c>
      <c r="B27" s="1064">
        <v>1650</v>
      </c>
      <c r="C27" s="1064">
        <v>1800</v>
      </c>
      <c r="D27" s="1064">
        <v>2000</v>
      </c>
      <c r="E27" s="1064">
        <v>2200</v>
      </c>
      <c r="F27" s="1064">
        <v>2400</v>
      </c>
      <c r="G27" s="1064">
        <v>2600</v>
      </c>
      <c r="H27" s="1064">
        <v>2800</v>
      </c>
      <c r="I27" s="1064">
        <v>3000</v>
      </c>
      <c r="J27" s="1064">
        <v>3200</v>
      </c>
      <c r="K27" s="1064">
        <v>3600</v>
      </c>
      <c r="L27" s="1070" t="s">
        <v>21</v>
      </c>
      <c r="M27" s="1070" t="s">
        <v>21</v>
      </c>
      <c r="N27" s="1064" t="s">
        <v>21</v>
      </c>
      <c r="O27" s="1064" t="s">
        <v>21</v>
      </c>
      <c r="P27" s="1064" t="s">
        <v>21</v>
      </c>
      <c r="Q27" s="1064" t="s">
        <v>21</v>
      </c>
      <c r="R27" s="1064" t="s">
        <v>21</v>
      </c>
      <c r="S27" s="1070" t="s">
        <v>21</v>
      </c>
      <c r="T27" s="1070" t="s">
        <v>21</v>
      </c>
      <c r="U27" s="1064" t="s">
        <v>21</v>
      </c>
      <c r="V27" s="1064" t="s">
        <v>21</v>
      </c>
      <c r="W27" s="1064" t="s">
        <v>21</v>
      </c>
      <c r="X27" s="1064" t="s">
        <v>21</v>
      </c>
      <c r="Y27" s="233" t="s">
        <v>21</v>
      </c>
    </row>
    <row r="28" spans="1:25" x14ac:dyDescent="0.25">
      <c r="A28" s="233" t="s">
        <v>2208</v>
      </c>
      <c r="B28" s="1064">
        <v>150</v>
      </c>
      <c r="C28" s="1064">
        <v>150</v>
      </c>
      <c r="D28" s="1064">
        <v>150</v>
      </c>
      <c r="E28" s="1064">
        <v>150</v>
      </c>
      <c r="F28" s="1064">
        <v>150</v>
      </c>
      <c r="G28" s="1064">
        <v>150</v>
      </c>
      <c r="H28" s="1064">
        <v>150</v>
      </c>
      <c r="I28" s="1064">
        <v>200</v>
      </c>
      <c r="J28" s="1064">
        <v>200</v>
      </c>
      <c r="K28" s="1064">
        <v>200</v>
      </c>
      <c r="L28" s="1070" t="s">
        <v>21</v>
      </c>
      <c r="M28" s="1070" t="s">
        <v>21</v>
      </c>
      <c r="N28" s="1064" t="s">
        <v>21</v>
      </c>
      <c r="O28" s="1064" t="s">
        <v>21</v>
      </c>
      <c r="P28" s="1064" t="s">
        <v>21</v>
      </c>
      <c r="Q28" s="1064" t="s">
        <v>21</v>
      </c>
      <c r="R28" s="1064" t="s">
        <v>21</v>
      </c>
      <c r="S28" s="1070" t="s">
        <v>21</v>
      </c>
      <c r="T28" s="1070" t="s">
        <v>21</v>
      </c>
      <c r="U28" s="1064" t="s">
        <v>21</v>
      </c>
      <c r="V28" s="1064" t="s">
        <v>21</v>
      </c>
      <c r="W28" s="1064" t="s">
        <v>21</v>
      </c>
      <c r="X28" s="1064" t="s">
        <v>21</v>
      </c>
      <c r="Y28" s="233" t="s">
        <v>21</v>
      </c>
    </row>
    <row r="29" spans="1:25" x14ac:dyDescent="0.25">
      <c r="A29" s="233" t="s">
        <v>2209</v>
      </c>
      <c r="B29" s="1064">
        <v>1950</v>
      </c>
      <c r="C29" s="1064">
        <v>2100</v>
      </c>
      <c r="D29" s="1064">
        <v>2300</v>
      </c>
      <c r="E29" s="1064">
        <v>2500</v>
      </c>
      <c r="F29" s="1064">
        <v>2700</v>
      </c>
      <c r="G29" s="1064">
        <v>2900</v>
      </c>
      <c r="H29" s="1064">
        <v>3100</v>
      </c>
      <c r="I29" s="1064">
        <v>3400</v>
      </c>
      <c r="J29" s="1064">
        <v>3600</v>
      </c>
      <c r="K29" s="1064">
        <v>3800</v>
      </c>
      <c r="L29" s="1070" t="s">
        <v>21</v>
      </c>
      <c r="M29" s="1070" t="s">
        <v>21</v>
      </c>
      <c r="N29" s="1064" t="s">
        <v>21</v>
      </c>
      <c r="O29" s="1064" t="s">
        <v>21</v>
      </c>
      <c r="P29" s="1064" t="s">
        <v>21</v>
      </c>
      <c r="Q29" s="1064" t="s">
        <v>21</v>
      </c>
      <c r="R29" s="1064" t="s">
        <v>21</v>
      </c>
      <c r="S29" s="1070" t="s">
        <v>21</v>
      </c>
      <c r="T29" s="1070" t="s">
        <v>21</v>
      </c>
      <c r="U29" s="1064" t="s">
        <v>21</v>
      </c>
      <c r="V29" s="1064" t="s">
        <v>21</v>
      </c>
      <c r="W29" s="1064" t="s">
        <v>21</v>
      </c>
      <c r="X29" s="1064" t="s">
        <v>21</v>
      </c>
      <c r="Y29" s="233" t="s">
        <v>21</v>
      </c>
    </row>
    <row r="30" spans="1:25" x14ac:dyDescent="0.25">
      <c r="A30" s="233" t="s">
        <v>2210</v>
      </c>
      <c r="B30" s="1064">
        <v>1950</v>
      </c>
      <c r="C30" s="1064">
        <v>2100</v>
      </c>
      <c r="D30" s="1064">
        <v>2300</v>
      </c>
      <c r="E30" s="1064">
        <v>2500</v>
      </c>
      <c r="F30" s="1064">
        <v>2700</v>
      </c>
      <c r="G30" s="1064">
        <v>2900</v>
      </c>
      <c r="H30" s="1064">
        <v>3100</v>
      </c>
      <c r="I30" s="1064">
        <v>3400</v>
      </c>
      <c r="J30" s="1064">
        <v>3600</v>
      </c>
      <c r="K30" s="1064">
        <v>3800</v>
      </c>
      <c r="L30" s="1070" t="s">
        <v>21</v>
      </c>
      <c r="M30" s="1070" t="s">
        <v>21</v>
      </c>
      <c r="N30" s="1064" t="s">
        <v>21</v>
      </c>
      <c r="O30" s="1064" t="s">
        <v>21</v>
      </c>
      <c r="P30" s="1064" t="s">
        <v>21</v>
      </c>
      <c r="Q30" s="1064" t="s">
        <v>21</v>
      </c>
      <c r="R30" s="1064" t="s">
        <v>21</v>
      </c>
      <c r="S30" s="1070" t="s">
        <v>21</v>
      </c>
      <c r="T30" s="1070" t="s">
        <v>21</v>
      </c>
      <c r="U30" s="1064" t="s">
        <v>21</v>
      </c>
      <c r="V30" s="1064" t="s">
        <v>21</v>
      </c>
      <c r="W30" s="1064" t="s">
        <v>21</v>
      </c>
      <c r="X30" s="1064" t="s">
        <v>21</v>
      </c>
      <c r="Y30" s="233" t="s">
        <v>21</v>
      </c>
    </row>
    <row r="31" spans="1:25" x14ac:dyDescent="0.25">
      <c r="A31" s="233" t="s">
        <v>2211</v>
      </c>
      <c r="B31" s="1070">
        <v>2.72</v>
      </c>
      <c r="C31" s="1070">
        <v>3.24</v>
      </c>
      <c r="D31" s="1070">
        <v>4</v>
      </c>
      <c r="E31" s="1070">
        <v>4.84</v>
      </c>
      <c r="F31" s="1070">
        <v>5.76</v>
      </c>
      <c r="G31" s="1070">
        <v>6.76</v>
      </c>
      <c r="H31" s="1070">
        <v>7.84</v>
      </c>
      <c r="I31" s="1070">
        <v>9</v>
      </c>
      <c r="J31" s="1070">
        <v>10.24</v>
      </c>
      <c r="K31" s="1064">
        <v>12.96</v>
      </c>
      <c r="L31" s="1070" t="s">
        <v>21</v>
      </c>
      <c r="M31" s="1070" t="s">
        <v>21</v>
      </c>
      <c r="N31" s="1064" t="s">
        <v>21</v>
      </c>
      <c r="O31" s="1064" t="s">
        <v>21</v>
      </c>
      <c r="P31" s="1064" t="s">
        <v>21</v>
      </c>
      <c r="Q31" s="1064" t="s">
        <v>21</v>
      </c>
      <c r="R31" s="1064" t="s">
        <v>21</v>
      </c>
      <c r="S31" s="1070" t="s">
        <v>21</v>
      </c>
      <c r="T31" s="1070" t="s">
        <v>21</v>
      </c>
      <c r="U31" s="1064" t="s">
        <v>21</v>
      </c>
      <c r="V31" s="1064" t="s">
        <v>21</v>
      </c>
      <c r="W31" s="1064" t="s">
        <v>21</v>
      </c>
      <c r="X31" s="1064" t="s">
        <v>21</v>
      </c>
      <c r="Y31" s="233" t="s">
        <v>21</v>
      </c>
    </row>
    <row r="32" spans="1:25" x14ac:dyDescent="0.25">
      <c r="A32" s="233" t="s">
        <v>2212</v>
      </c>
      <c r="B32" s="1070">
        <v>3.8</v>
      </c>
      <c r="C32" s="1070">
        <v>4.41</v>
      </c>
      <c r="D32" s="1070">
        <v>5.29</v>
      </c>
      <c r="E32" s="1070">
        <v>6.25</v>
      </c>
      <c r="F32" s="1070">
        <v>7.29</v>
      </c>
      <c r="G32" s="1070">
        <v>8.41</v>
      </c>
      <c r="H32" s="1070">
        <v>9.61</v>
      </c>
      <c r="I32" s="1070">
        <v>11.56</v>
      </c>
      <c r="J32" s="1070">
        <v>12.96</v>
      </c>
      <c r="K32" s="1064">
        <v>14.44</v>
      </c>
      <c r="L32" s="1070" t="s">
        <v>21</v>
      </c>
      <c r="M32" s="1070" t="s">
        <v>21</v>
      </c>
      <c r="N32" s="1064" t="s">
        <v>21</v>
      </c>
      <c r="O32" s="1064" t="s">
        <v>21</v>
      </c>
      <c r="P32" s="1064" t="s">
        <v>21</v>
      </c>
      <c r="Q32" s="1064" t="s">
        <v>21</v>
      </c>
      <c r="R32" s="1064" t="s">
        <v>21</v>
      </c>
      <c r="S32" s="1070" t="s">
        <v>21</v>
      </c>
      <c r="T32" s="1070" t="s">
        <v>21</v>
      </c>
      <c r="U32" s="1064" t="s">
        <v>21</v>
      </c>
      <c r="V32" s="1064" t="s">
        <v>21</v>
      </c>
      <c r="W32" s="1064" t="s">
        <v>21</v>
      </c>
      <c r="X32" s="1064" t="s">
        <v>21</v>
      </c>
      <c r="Y32" s="233" t="s">
        <v>21</v>
      </c>
    </row>
    <row r="33" spans="1:24" x14ac:dyDescent="0.25">
      <c r="A33" s="233" t="s">
        <v>2213</v>
      </c>
      <c r="B33" s="47">
        <v>0.2</v>
      </c>
      <c r="C33" s="47">
        <v>0.2</v>
      </c>
      <c r="D33" s="47">
        <v>0.2</v>
      </c>
      <c r="E33" s="47">
        <v>0.2</v>
      </c>
      <c r="F33" s="47">
        <v>0.2</v>
      </c>
      <c r="G33" s="47">
        <v>0.2</v>
      </c>
      <c r="H33" s="47">
        <v>0.2</v>
      </c>
      <c r="I33" s="47">
        <v>0.2</v>
      </c>
      <c r="J33" s="47">
        <v>0.2</v>
      </c>
      <c r="K33" s="47">
        <v>0.2</v>
      </c>
      <c r="L33" s="1070"/>
      <c r="M33" s="1070"/>
      <c r="N33" s="1064"/>
      <c r="O33" s="1064"/>
      <c r="P33" s="1064"/>
      <c r="Q33" s="1064"/>
      <c r="R33" s="1064"/>
      <c r="S33" s="1070"/>
      <c r="T33" s="1070"/>
      <c r="U33" s="1064"/>
      <c r="V33" s="1064"/>
      <c r="W33" s="1064"/>
      <c r="X33" s="1064"/>
    </row>
    <row r="34" spans="1:24" x14ac:dyDescent="0.25">
      <c r="A34" s="233" t="s">
        <v>2214</v>
      </c>
      <c r="B34" s="1071" t="s">
        <v>2215</v>
      </c>
    </row>
    <row r="36" spans="1:24" x14ac:dyDescent="0.25">
      <c r="A36" s="233" t="s">
        <v>2066</v>
      </c>
    </row>
    <row r="37" spans="1:24" x14ac:dyDescent="0.25">
      <c r="A37" s="233" t="s">
        <v>2216</v>
      </c>
      <c r="B37" s="1064">
        <v>400</v>
      </c>
      <c r="C37" s="1064">
        <v>500</v>
      </c>
      <c r="D37" s="1064">
        <v>600</v>
      </c>
      <c r="E37" s="1064">
        <v>800</v>
      </c>
      <c r="F37" s="1064">
        <v>1000</v>
      </c>
      <c r="G37" s="1064">
        <v>1200</v>
      </c>
      <c r="H37" s="1064">
        <v>1500</v>
      </c>
      <c r="I37" s="1064">
        <v>1600</v>
      </c>
    </row>
    <row r="38" spans="1:24" x14ac:dyDescent="0.25">
      <c r="A38" s="233" t="s">
        <v>2217</v>
      </c>
      <c r="B38" s="1064"/>
      <c r="C38" s="1064"/>
      <c r="D38" s="1064"/>
      <c r="E38" s="1064"/>
      <c r="F38" s="1064"/>
      <c r="G38" s="1064"/>
      <c r="H38" s="1064"/>
      <c r="I38" s="1064"/>
      <c r="J38" s="1064">
        <v>1650</v>
      </c>
      <c r="K38" s="1064">
        <v>1800</v>
      </c>
      <c r="L38" s="1064">
        <v>2000</v>
      </c>
      <c r="M38" s="1064">
        <v>2200</v>
      </c>
      <c r="N38" s="1064">
        <v>2400</v>
      </c>
      <c r="O38" s="1064">
        <v>2600</v>
      </c>
      <c r="P38" s="1064">
        <v>2800</v>
      </c>
      <c r="Q38" s="1064">
        <v>3000</v>
      </c>
      <c r="R38" s="1064">
        <v>3200</v>
      </c>
    </row>
    <row r="39" spans="1:24" x14ac:dyDescent="0.25">
      <c r="A39" s="233" t="s">
        <v>2218</v>
      </c>
      <c r="B39" s="47">
        <v>1.4</v>
      </c>
      <c r="C39" s="47">
        <v>1.4</v>
      </c>
      <c r="D39" s="47">
        <v>1.4</v>
      </c>
      <c r="E39" s="47">
        <v>1.5</v>
      </c>
      <c r="F39" s="47">
        <v>2.1</v>
      </c>
      <c r="G39" s="47">
        <v>2.5</v>
      </c>
      <c r="H39" s="47">
        <v>3</v>
      </c>
      <c r="I39" s="47">
        <v>3</v>
      </c>
      <c r="J39" s="47">
        <v>2</v>
      </c>
      <c r="K39" s="47">
        <v>2.15</v>
      </c>
      <c r="L39" s="47">
        <v>2.35</v>
      </c>
      <c r="M39" s="47">
        <v>2.5499999999999998</v>
      </c>
      <c r="N39" s="47">
        <v>2.75</v>
      </c>
      <c r="O39" s="47">
        <v>2.95</v>
      </c>
      <c r="P39" s="47">
        <v>3.15</v>
      </c>
      <c r="Q39" s="47">
        <v>3.45</v>
      </c>
      <c r="R39" s="47">
        <v>3.65</v>
      </c>
    </row>
    <row r="40" spans="1:24" x14ac:dyDescent="0.25">
      <c r="A40" s="233" t="s">
        <v>2219</v>
      </c>
    </row>
    <row r="41" spans="1:24" x14ac:dyDescent="0.25">
      <c r="A41" s="233" t="s">
        <v>2220</v>
      </c>
      <c r="B41" s="1064">
        <v>600</v>
      </c>
    </row>
    <row r="42" spans="1:24" x14ac:dyDescent="0.25">
      <c r="A42" s="233" t="s">
        <v>2221</v>
      </c>
      <c r="B42" s="1072">
        <v>0.13200000000000001</v>
      </c>
    </row>
    <row r="44" spans="1:24" x14ac:dyDescent="0.25">
      <c r="A44" s="233" t="s">
        <v>2222</v>
      </c>
    </row>
    <row r="45" spans="1:24" x14ac:dyDescent="0.25">
      <c r="A45" s="233" t="s">
        <v>2206</v>
      </c>
      <c r="B45" s="1064">
        <v>1650</v>
      </c>
      <c r="C45" s="1064">
        <v>1800</v>
      </c>
      <c r="D45" s="1064">
        <v>2000</v>
      </c>
      <c r="E45" s="1064">
        <v>2200</v>
      </c>
      <c r="F45" s="1064">
        <v>2400</v>
      </c>
      <c r="G45" s="1064">
        <v>2600</v>
      </c>
      <c r="H45" s="1064">
        <v>2800</v>
      </c>
      <c r="I45" s="1064">
        <v>3000</v>
      </c>
      <c r="J45" s="1064">
        <v>3200</v>
      </c>
      <c r="K45" s="1064">
        <v>3600</v>
      </c>
    </row>
    <row r="46" spans="1:24" x14ac:dyDescent="0.25">
      <c r="A46" s="233" t="s">
        <v>2207</v>
      </c>
      <c r="B46" s="1064">
        <v>1650</v>
      </c>
      <c r="C46" s="1064">
        <v>1800</v>
      </c>
      <c r="D46" s="1064">
        <v>2000</v>
      </c>
      <c r="E46" s="1064">
        <v>2200</v>
      </c>
      <c r="F46" s="1064">
        <v>2400</v>
      </c>
      <c r="G46" s="1064">
        <v>2600</v>
      </c>
      <c r="H46" s="1064">
        <v>2800</v>
      </c>
      <c r="I46" s="1064">
        <v>3000</v>
      </c>
      <c r="J46" s="1064">
        <v>3200</v>
      </c>
      <c r="K46" s="1064">
        <v>3600</v>
      </c>
    </row>
    <row r="47" spans="1:24" x14ac:dyDescent="0.25">
      <c r="A47" s="233" t="s">
        <v>2208</v>
      </c>
      <c r="B47" s="1064">
        <v>150</v>
      </c>
      <c r="C47" s="1064">
        <v>150</v>
      </c>
      <c r="D47" s="1064">
        <v>150</v>
      </c>
      <c r="E47" s="1064">
        <v>150</v>
      </c>
      <c r="F47" s="1064">
        <v>150</v>
      </c>
      <c r="G47" s="1064">
        <v>150</v>
      </c>
      <c r="H47" s="1064">
        <v>150</v>
      </c>
      <c r="I47" s="1064">
        <v>200</v>
      </c>
      <c r="J47" s="1064">
        <v>200</v>
      </c>
      <c r="K47" s="1064">
        <v>200</v>
      </c>
    </row>
    <row r="48" spans="1:24" x14ac:dyDescent="0.25">
      <c r="A48" s="233" t="s">
        <v>2209</v>
      </c>
      <c r="B48" s="1064">
        <v>1950</v>
      </c>
      <c r="C48" s="1064">
        <v>2100</v>
      </c>
      <c r="D48" s="1064">
        <v>2300</v>
      </c>
      <c r="E48" s="1064">
        <v>2500</v>
      </c>
      <c r="F48" s="1064">
        <v>2700</v>
      </c>
      <c r="G48" s="1064">
        <v>2900</v>
      </c>
      <c r="H48" s="1064">
        <v>3100</v>
      </c>
      <c r="I48" s="1064">
        <v>3400</v>
      </c>
      <c r="J48" s="1064">
        <v>3600</v>
      </c>
      <c r="K48" s="1064">
        <v>3800</v>
      </c>
    </row>
    <row r="49" spans="1:11" x14ac:dyDescent="0.25">
      <c r="A49" s="233" t="s">
        <v>2210</v>
      </c>
      <c r="B49" s="1064">
        <v>1950</v>
      </c>
      <c r="C49" s="1064">
        <v>2100</v>
      </c>
      <c r="D49" s="1064">
        <v>2300</v>
      </c>
      <c r="E49" s="1064">
        <v>2500</v>
      </c>
      <c r="F49" s="1064">
        <v>2700</v>
      </c>
      <c r="G49" s="1064">
        <v>2900</v>
      </c>
      <c r="H49" s="1064">
        <v>3100</v>
      </c>
      <c r="I49" s="1064">
        <v>3400</v>
      </c>
      <c r="J49" s="1064">
        <v>3600</v>
      </c>
      <c r="K49" s="1064">
        <v>3800</v>
      </c>
    </row>
    <row r="50" spans="1:11" x14ac:dyDescent="0.25">
      <c r="A50" s="233" t="s">
        <v>2211</v>
      </c>
      <c r="B50" s="1070">
        <v>2.72</v>
      </c>
      <c r="C50" s="1070">
        <v>3.24</v>
      </c>
      <c r="D50" s="1070">
        <v>4</v>
      </c>
      <c r="E50" s="1070">
        <v>4.84</v>
      </c>
      <c r="F50" s="1070">
        <v>5.76</v>
      </c>
      <c r="G50" s="1070">
        <v>6.76</v>
      </c>
      <c r="H50" s="1070">
        <v>7.84</v>
      </c>
      <c r="I50" s="1070">
        <v>9</v>
      </c>
      <c r="J50" s="1070">
        <v>10.24</v>
      </c>
      <c r="K50" s="1064">
        <v>12.96</v>
      </c>
    </row>
    <row r="51" spans="1:11" x14ac:dyDescent="0.25">
      <c r="A51" s="233" t="s">
        <v>2212</v>
      </c>
      <c r="B51" s="1070">
        <v>3.8</v>
      </c>
      <c r="C51" s="1070">
        <v>4.41</v>
      </c>
      <c r="D51" s="1070">
        <v>5.29</v>
      </c>
      <c r="E51" s="1070">
        <v>6.25</v>
      </c>
      <c r="F51" s="1070">
        <v>7.29</v>
      </c>
      <c r="G51" s="1070">
        <v>8.41</v>
      </c>
      <c r="H51" s="1070">
        <v>9.61</v>
      </c>
      <c r="I51" s="1070">
        <v>11.56</v>
      </c>
      <c r="J51" s="1070">
        <v>12.96</v>
      </c>
      <c r="K51" s="1064">
        <v>14.44</v>
      </c>
    </row>
    <row r="52" spans="1:11" x14ac:dyDescent="0.25">
      <c r="A52" s="233" t="s">
        <v>2213</v>
      </c>
      <c r="B52" s="47">
        <v>0.2</v>
      </c>
      <c r="C52" s="47">
        <v>0.2</v>
      </c>
      <c r="D52" s="47">
        <v>0.2</v>
      </c>
      <c r="E52" s="47">
        <v>0.2</v>
      </c>
      <c r="F52" s="47">
        <v>0.2</v>
      </c>
      <c r="G52" s="47">
        <v>0.2</v>
      </c>
      <c r="H52" s="47">
        <v>0.2</v>
      </c>
      <c r="I52" s="47">
        <v>0.2</v>
      </c>
      <c r="J52" s="47">
        <v>0.2</v>
      </c>
      <c r="K52" s="47">
        <v>0.2</v>
      </c>
    </row>
    <row r="53" spans="1:11" x14ac:dyDescent="0.25">
      <c r="A53" s="233" t="s">
        <v>2221</v>
      </c>
      <c r="B53" s="1065">
        <v>2.6999999999999993</v>
      </c>
      <c r="C53" s="1065">
        <v>2.9249999999999998</v>
      </c>
      <c r="D53" s="1065">
        <v>3.2250000000000001</v>
      </c>
      <c r="E53" s="1065">
        <v>3.5250000000000004</v>
      </c>
      <c r="F53" s="1065">
        <v>3.8250000000000006</v>
      </c>
      <c r="G53" s="1065">
        <v>4.1250000000000009</v>
      </c>
      <c r="H53" s="1065">
        <v>4.4249999999999989</v>
      </c>
      <c r="I53" s="1065">
        <v>6.4000000000000012</v>
      </c>
      <c r="J53" s="1065">
        <v>6.8000000000000016</v>
      </c>
      <c r="K53" s="1065">
        <v>3.6999999999999966</v>
      </c>
    </row>
    <row r="54" spans="1:11" x14ac:dyDescent="0.25">
      <c r="A54" s="233" t="s">
        <v>2223</v>
      </c>
    </row>
  </sheetData>
  <mergeCells count="1">
    <mergeCell ref="L5:S12"/>
  </mergeCells>
  <printOptions horizontalCentered="1"/>
  <pageMargins left="0.59055118110236227" right="0.59055118110236227" top="0.78740157480314965" bottom="0.78740157480314965" header="0.59055118110236227" footer="0.59055118110236227"/>
  <pageSetup paperSize="9" scale="5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23934-D081-4DFD-BCFE-150E8B56EB7F}">
  <sheetPr>
    <tabColor theme="2" tint="-0.749992370372631"/>
    <pageSetUpPr fitToPage="1"/>
  </sheetPr>
  <dimension ref="A1:AB147"/>
  <sheetViews>
    <sheetView topLeftCell="G1" workbookViewId="0">
      <pane ySplit="8" topLeftCell="A9" activePane="bottomLeft" state="frozen"/>
      <selection pane="bottomLeft" activeCell="G1" sqref="A1:XFD1048576"/>
    </sheetView>
  </sheetViews>
  <sheetFormatPr defaultColWidth="9.85546875" defaultRowHeight="12.75" x14ac:dyDescent="0.25"/>
  <cols>
    <col min="1" max="1" width="23.140625" style="1574" customWidth="1"/>
    <col min="2" max="2" width="11.7109375" style="1575" customWidth="1"/>
    <col min="3" max="3" width="9.140625" style="1574" bestFit="1" customWidth="1"/>
    <col min="4" max="4" width="10.85546875" style="1574" customWidth="1"/>
    <col min="5" max="5" width="12.140625" style="1575" customWidth="1"/>
    <col min="6" max="6" width="12.85546875" style="1576" customWidth="1"/>
    <col min="7" max="7" width="11.85546875" style="1575" customWidth="1"/>
    <col min="8" max="8" width="15.5703125" style="1577" customWidth="1"/>
    <col min="9" max="9" width="13" style="1578" customWidth="1"/>
    <col min="10" max="10" width="14.28515625" style="1577" bestFit="1" customWidth="1"/>
    <col min="11" max="13" width="15.28515625" style="1554" customWidth="1"/>
    <col min="14" max="14" width="9.85546875" style="1554"/>
    <col min="15" max="15" width="50.28515625" style="1554" customWidth="1"/>
    <col min="16" max="16" width="16.42578125" style="1554" customWidth="1"/>
    <col min="17" max="17" width="13.42578125" style="1554" customWidth="1"/>
    <col min="18" max="18" width="6.140625" style="1555" bestFit="1" customWidth="1"/>
    <col min="19" max="19" width="10" style="1556" bestFit="1" customWidth="1"/>
    <col min="20" max="20" width="10" style="1556" customWidth="1"/>
    <col min="21" max="21" width="10" style="1555" bestFit="1" customWidth="1"/>
    <col min="22" max="22" width="9.140625" style="1555" bestFit="1" customWidth="1"/>
    <col min="23" max="23" width="10" style="1555" bestFit="1" customWidth="1"/>
    <col min="24" max="24" width="10" style="1555" customWidth="1"/>
    <col min="25" max="25" width="11.42578125" style="1556" bestFit="1" customWidth="1"/>
    <col min="26" max="26" width="10" style="1555" customWidth="1"/>
    <col min="27" max="27" width="9.85546875" style="1555"/>
    <col min="28" max="28" width="11.42578125" style="1556" bestFit="1" customWidth="1"/>
    <col min="29" max="16384" width="9.85546875" style="1554"/>
  </cols>
  <sheetData>
    <row r="1" spans="1:28" ht="21.75" customHeight="1" x14ac:dyDescent="0.25">
      <c r="A1" s="2152" t="s">
        <v>1691</v>
      </c>
      <c r="B1" s="2153"/>
      <c r="C1" s="2153"/>
      <c r="D1" s="2153"/>
      <c r="E1" s="2153"/>
      <c r="F1" s="2153"/>
      <c r="G1" s="2153"/>
      <c r="H1" s="2153"/>
      <c r="I1" s="2153"/>
      <c r="J1" s="2153"/>
      <c r="K1" s="2153"/>
      <c r="L1" s="2153"/>
      <c r="M1" s="2153"/>
      <c r="N1" s="2153"/>
      <c r="O1" s="2153"/>
      <c r="P1" s="2153"/>
      <c r="Q1" s="2154"/>
    </row>
    <row r="2" spans="1:28" ht="18.75" customHeight="1" x14ac:dyDescent="0.25">
      <c r="A2" s="2155" t="s">
        <v>3494</v>
      </c>
      <c r="B2" s="2156"/>
      <c r="C2" s="2156"/>
      <c r="D2" s="2156"/>
      <c r="E2" s="2156"/>
      <c r="F2" s="2156"/>
      <c r="G2" s="2156"/>
      <c r="H2" s="2156"/>
      <c r="I2" s="2156"/>
      <c r="J2" s="2156"/>
      <c r="K2" s="2156"/>
      <c r="L2" s="2156"/>
      <c r="M2" s="2156"/>
      <c r="N2" s="2156"/>
      <c r="O2" s="2156"/>
      <c r="P2" s="2156"/>
      <c r="Q2" s="2157"/>
    </row>
    <row r="3" spans="1:28" ht="15.75" customHeight="1" x14ac:dyDescent="0.25">
      <c r="A3" s="2155" t="s">
        <v>3488</v>
      </c>
      <c r="B3" s="2156"/>
      <c r="C3" s="2156"/>
      <c r="D3" s="2156"/>
      <c r="E3" s="2156"/>
      <c r="F3" s="2156"/>
      <c r="G3" s="2156"/>
      <c r="H3" s="2156"/>
      <c r="I3" s="2156"/>
      <c r="J3" s="2156"/>
      <c r="K3" s="2156"/>
      <c r="L3" s="2156"/>
      <c r="M3" s="2156"/>
      <c r="N3" s="2156"/>
      <c r="O3" s="2156"/>
      <c r="P3" s="2156"/>
      <c r="Q3" s="2157"/>
    </row>
    <row r="4" spans="1:28" ht="20.25" customHeight="1" thickBot="1" x14ac:dyDescent="0.3">
      <c r="A4" s="2158"/>
      <c r="B4" s="2159"/>
      <c r="C4" s="2159"/>
      <c r="D4" s="2159"/>
      <c r="E4" s="2159"/>
      <c r="F4" s="2159"/>
      <c r="G4" s="2159"/>
      <c r="H4" s="2159"/>
      <c r="I4" s="2159"/>
      <c r="J4" s="2159"/>
      <c r="K4" s="2159"/>
      <c r="L4" s="2159"/>
      <c r="M4" s="2159"/>
      <c r="N4" s="2159"/>
      <c r="O4" s="2159"/>
      <c r="P4" s="2159"/>
      <c r="Q4" s="2160"/>
    </row>
    <row r="5" spans="1:28" ht="15.75" customHeight="1" x14ac:dyDescent="0.25">
      <c r="A5" s="2161" t="s">
        <v>1688</v>
      </c>
      <c r="B5" s="2164" t="s">
        <v>3205</v>
      </c>
      <c r="C5" s="2166" t="s">
        <v>1149</v>
      </c>
      <c r="D5" s="2184" t="s">
        <v>1690</v>
      </c>
      <c r="E5" s="2186" t="s">
        <v>1689</v>
      </c>
      <c r="F5" s="2187"/>
      <c r="G5" s="2188"/>
      <c r="H5" s="1553" t="s">
        <v>172</v>
      </c>
      <c r="I5" s="2168" t="s">
        <v>3206</v>
      </c>
      <c r="J5" s="2164" t="s">
        <v>3207</v>
      </c>
      <c r="K5" s="2164" t="s">
        <v>3208</v>
      </c>
      <c r="L5" s="2171" t="s">
        <v>3674</v>
      </c>
      <c r="M5" s="2171" t="s">
        <v>3675</v>
      </c>
      <c r="N5" s="2181" t="s">
        <v>1683</v>
      </c>
      <c r="O5" s="1552"/>
      <c r="P5" s="2149" t="s">
        <v>3486</v>
      </c>
      <c r="Q5" s="2149" t="s">
        <v>3485</v>
      </c>
    </row>
    <row r="6" spans="1:28" ht="14.25" customHeight="1" x14ac:dyDescent="0.25">
      <c r="A6" s="2162"/>
      <c r="B6" s="2165"/>
      <c r="C6" s="2167"/>
      <c r="D6" s="2185"/>
      <c r="E6" s="1557" t="s">
        <v>1687</v>
      </c>
      <c r="F6" s="1526" t="s">
        <v>964</v>
      </c>
      <c r="G6" s="1520" t="s">
        <v>1686</v>
      </c>
      <c r="H6" s="1558" t="s">
        <v>1684</v>
      </c>
      <c r="I6" s="2169"/>
      <c r="J6" s="2165"/>
      <c r="K6" s="2165"/>
      <c r="L6" s="2172"/>
      <c r="M6" s="2172"/>
      <c r="N6" s="2182"/>
      <c r="O6" s="1540"/>
      <c r="P6" s="2150"/>
      <c r="Q6" s="2150"/>
    </row>
    <row r="7" spans="1:28" ht="16.5" customHeight="1" x14ac:dyDescent="0.25">
      <c r="A7" s="2162"/>
      <c r="B7" s="2165"/>
      <c r="C7" s="2167"/>
      <c r="D7" s="2185"/>
      <c r="E7" s="1557" t="s">
        <v>1682</v>
      </c>
      <c r="F7" s="1526" t="s">
        <v>1681</v>
      </c>
      <c r="G7" s="1520" t="s">
        <v>1680</v>
      </c>
      <c r="H7" s="1559"/>
      <c r="I7" s="2169"/>
      <c r="J7" s="2165"/>
      <c r="K7" s="2165"/>
      <c r="L7" s="2172"/>
      <c r="M7" s="2172"/>
      <c r="N7" s="2183"/>
      <c r="O7" s="1540"/>
      <c r="P7" s="2150"/>
      <c r="Q7" s="2150"/>
      <c r="R7" s="2179" t="s">
        <v>3497</v>
      </c>
      <c r="S7" s="2178" t="s">
        <v>3496</v>
      </c>
      <c r="T7" s="2196" t="s">
        <v>3331</v>
      </c>
      <c r="U7" s="2177" t="s">
        <v>3495</v>
      </c>
      <c r="V7" s="2177" t="s">
        <v>963</v>
      </c>
      <c r="W7" s="2195" t="s">
        <v>1685</v>
      </c>
      <c r="X7" s="2195" t="s">
        <v>1823</v>
      </c>
      <c r="Y7" s="2195" t="s">
        <v>4050</v>
      </c>
      <c r="Z7" s="2195" t="s">
        <v>4051</v>
      </c>
      <c r="AA7" s="1579" t="s">
        <v>3316</v>
      </c>
      <c r="AB7" s="1580"/>
    </row>
    <row r="8" spans="1:28" ht="15.75" thickBot="1" x14ac:dyDescent="0.3">
      <c r="A8" s="2163"/>
      <c r="B8" s="1560" t="s">
        <v>1678</v>
      </c>
      <c r="C8" s="1561" t="s">
        <v>1678</v>
      </c>
      <c r="D8" s="1551" t="s">
        <v>3209</v>
      </c>
      <c r="E8" s="1562" t="s">
        <v>3209</v>
      </c>
      <c r="F8" s="1563" t="s">
        <v>3210</v>
      </c>
      <c r="G8" s="1564" t="s">
        <v>3210</v>
      </c>
      <c r="H8" s="1565" t="s">
        <v>1678</v>
      </c>
      <c r="I8" s="2170"/>
      <c r="J8" s="2180"/>
      <c r="K8" s="2180"/>
      <c r="L8" s="2173"/>
      <c r="M8" s="2173"/>
      <c r="N8" s="1551" t="s">
        <v>1677</v>
      </c>
      <c r="O8" s="1550"/>
      <c r="P8" s="2151"/>
      <c r="Q8" s="2151"/>
      <c r="R8" s="2179"/>
      <c r="S8" s="2178"/>
      <c r="T8" s="2196"/>
      <c r="U8" s="2177"/>
      <c r="V8" s="2177"/>
      <c r="W8" s="2177"/>
      <c r="X8" s="2177"/>
      <c r="Y8" s="2177"/>
      <c r="Z8" s="2177"/>
      <c r="AA8" s="1581" t="s">
        <v>3483</v>
      </c>
      <c r="AB8" s="1582" t="s">
        <v>3480</v>
      </c>
    </row>
    <row r="9" spans="1:28" x14ac:dyDescent="0.25">
      <c r="A9" s="2189" t="s">
        <v>3211</v>
      </c>
      <c r="B9" s="1549">
        <v>56.77</v>
      </c>
      <c r="C9" s="1549">
        <v>7</v>
      </c>
      <c r="D9" s="1548">
        <v>0</v>
      </c>
      <c r="E9" s="1547">
        <v>505.53685000000002</v>
      </c>
      <c r="F9" s="2191">
        <v>678.05</v>
      </c>
      <c r="G9" s="2193">
        <v>27.65</v>
      </c>
      <c r="H9" s="1545">
        <v>113.54</v>
      </c>
      <c r="I9" s="1586">
        <v>5.5E-2</v>
      </c>
      <c r="J9" s="1546">
        <v>0.18</v>
      </c>
      <c r="K9" s="1546">
        <v>0.2</v>
      </c>
      <c r="L9" s="1735"/>
      <c r="M9" s="1735"/>
      <c r="N9" s="1545">
        <v>0</v>
      </c>
      <c r="O9" s="1519"/>
      <c r="P9" s="1566" t="s">
        <v>3483</v>
      </c>
      <c r="Q9" s="1566"/>
      <c r="R9" s="1555">
        <v>0</v>
      </c>
      <c r="S9" s="1556">
        <v>397.39000000000004</v>
      </c>
      <c r="T9" s="1555">
        <v>0</v>
      </c>
      <c r="U9" s="1555">
        <v>79.478000000000009</v>
      </c>
      <c r="V9" s="1555">
        <v>71.530200000000008</v>
      </c>
      <c r="W9" s="1555">
        <v>397.39000000000004</v>
      </c>
      <c r="Y9" s="1556">
        <v>397.39000000000004</v>
      </c>
      <c r="AA9" s="1555">
        <v>21.856450000000002</v>
      </c>
      <c r="AB9" s="1556">
        <v>0</v>
      </c>
    </row>
    <row r="10" spans="1:28" x14ac:dyDescent="0.25">
      <c r="A10" s="2190"/>
      <c r="B10" s="1526">
        <v>40</v>
      </c>
      <c r="C10" s="1526">
        <v>25</v>
      </c>
      <c r="D10" s="1525">
        <v>0</v>
      </c>
      <c r="E10" s="1524">
        <v>1076.1999999999998</v>
      </c>
      <c r="F10" s="2192"/>
      <c r="G10" s="2194"/>
      <c r="H10" s="1520">
        <v>80</v>
      </c>
      <c r="I10" s="1587">
        <v>5.5E-2</v>
      </c>
      <c r="J10" s="1521">
        <v>0.18</v>
      </c>
      <c r="K10" s="1521">
        <v>0.2</v>
      </c>
      <c r="L10" s="1736"/>
      <c r="M10" s="1736"/>
      <c r="N10" s="1520">
        <v>0</v>
      </c>
      <c r="O10" s="1519"/>
      <c r="P10" s="1566" t="s">
        <v>3483</v>
      </c>
      <c r="Q10" s="1566"/>
      <c r="R10" s="1555">
        <v>0</v>
      </c>
      <c r="S10" s="1556">
        <v>1000</v>
      </c>
      <c r="T10" s="1555">
        <v>0</v>
      </c>
      <c r="U10" s="1555">
        <v>200</v>
      </c>
      <c r="V10" s="1555">
        <v>180</v>
      </c>
      <c r="W10" s="1555">
        <v>1000</v>
      </c>
      <c r="Y10" s="1556">
        <v>1000</v>
      </c>
      <c r="AA10" s="1555">
        <v>55</v>
      </c>
      <c r="AB10" s="1556">
        <v>0</v>
      </c>
    </row>
    <row r="11" spans="1:28" x14ac:dyDescent="0.25">
      <c r="A11" s="1530" t="s">
        <v>1676</v>
      </c>
      <c r="B11" s="1526">
        <v>280.42</v>
      </c>
      <c r="C11" s="1526">
        <v>6</v>
      </c>
      <c r="D11" s="1525">
        <v>0</v>
      </c>
      <c r="E11" s="1524">
        <v>2086.3248000000003</v>
      </c>
      <c r="F11" s="1523">
        <v>470.51</v>
      </c>
      <c r="G11" s="1544">
        <v>54.01</v>
      </c>
      <c r="H11" s="1520">
        <v>560.84</v>
      </c>
      <c r="I11" s="1522">
        <v>0.08</v>
      </c>
      <c r="J11" s="1521">
        <v>0</v>
      </c>
      <c r="K11" s="1521">
        <v>0.12</v>
      </c>
      <c r="L11" s="1736"/>
      <c r="M11" s="1736"/>
      <c r="N11" s="1520">
        <v>0</v>
      </c>
      <c r="O11" s="1519"/>
      <c r="P11" s="1566" t="s">
        <v>3480</v>
      </c>
      <c r="Q11" s="1566"/>
      <c r="R11" s="1555">
        <v>0</v>
      </c>
      <c r="S11" s="1556">
        <v>1682.52</v>
      </c>
      <c r="T11" s="1555">
        <v>0</v>
      </c>
      <c r="U11" s="1555">
        <v>201.9024</v>
      </c>
      <c r="V11" s="1555">
        <v>0</v>
      </c>
      <c r="W11" s="1555">
        <v>0</v>
      </c>
      <c r="Y11" s="1556" t="s">
        <v>21</v>
      </c>
      <c r="AA11" s="1555">
        <v>0</v>
      </c>
      <c r="AB11" s="1556">
        <v>1682.52</v>
      </c>
    </row>
    <row r="12" spans="1:28" x14ac:dyDescent="0.25">
      <c r="A12" s="1530" t="s">
        <v>1675</v>
      </c>
      <c r="B12" s="1526">
        <v>59</v>
      </c>
      <c r="C12" s="1526">
        <v>5</v>
      </c>
      <c r="D12" s="1525">
        <v>0</v>
      </c>
      <c r="E12" s="1524">
        <v>379.96000000000004</v>
      </c>
      <c r="F12" s="1523">
        <v>85.12</v>
      </c>
      <c r="G12" s="1544">
        <v>0.75</v>
      </c>
      <c r="H12" s="1520">
        <v>118</v>
      </c>
      <c r="I12" s="1522">
        <v>0.08</v>
      </c>
      <c r="J12" s="1521">
        <v>0</v>
      </c>
      <c r="K12" s="1521">
        <v>0.12</v>
      </c>
      <c r="L12" s="1736"/>
      <c r="M12" s="1736"/>
      <c r="N12" s="1520">
        <v>0</v>
      </c>
      <c r="O12" s="1519"/>
      <c r="P12" s="1566" t="s">
        <v>3480</v>
      </c>
      <c r="Q12" s="1566"/>
      <c r="R12" s="1555">
        <v>0</v>
      </c>
      <c r="S12" s="1556">
        <v>295</v>
      </c>
      <c r="T12" s="1555">
        <v>0</v>
      </c>
      <c r="U12" s="1555">
        <v>35.4</v>
      </c>
      <c r="V12" s="1555">
        <v>0</v>
      </c>
      <c r="W12" s="1555">
        <v>0</v>
      </c>
      <c r="Y12" s="1556" t="s">
        <v>21</v>
      </c>
      <c r="AA12" s="1555">
        <v>0</v>
      </c>
      <c r="AB12" s="1556">
        <v>295</v>
      </c>
    </row>
    <row r="13" spans="1:28" x14ac:dyDescent="0.25">
      <c r="A13" s="1530" t="s">
        <v>1674</v>
      </c>
      <c r="B13" s="1526">
        <v>27.5</v>
      </c>
      <c r="C13" s="1526">
        <v>5</v>
      </c>
      <c r="D13" s="1525">
        <v>0</v>
      </c>
      <c r="E13" s="1524">
        <v>177.10000000000002</v>
      </c>
      <c r="F13" s="1523">
        <v>42.77</v>
      </c>
      <c r="G13" s="1544">
        <v>0</v>
      </c>
      <c r="H13" s="1520">
        <v>55</v>
      </c>
      <c r="I13" s="1522">
        <v>0.08</v>
      </c>
      <c r="J13" s="1521">
        <v>0</v>
      </c>
      <c r="K13" s="1521">
        <v>0.12</v>
      </c>
      <c r="L13" s="1736"/>
      <c r="M13" s="1736"/>
      <c r="N13" s="1520">
        <v>0</v>
      </c>
      <c r="O13" s="1519"/>
      <c r="P13" s="1566" t="s">
        <v>3480</v>
      </c>
      <c r="Q13" s="1566"/>
      <c r="R13" s="1555">
        <v>0</v>
      </c>
      <c r="S13" s="1556">
        <v>137.5</v>
      </c>
      <c r="T13" s="1555">
        <v>0</v>
      </c>
      <c r="U13" s="1555">
        <v>16.5</v>
      </c>
      <c r="V13" s="1555">
        <v>0</v>
      </c>
      <c r="W13" s="1555">
        <v>0</v>
      </c>
      <c r="Y13" s="1556" t="s">
        <v>21</v>
      </c>
      <c r="AA13" s="1555">
        <v>0</v>
      </c>
      <c r="AB13" s="1556">
        <v>137.5</v>
      </c>
    </row>
    <row r="14" spans="1:28" s="1752" customFormat="1" x14ac:dyDescent="0.25">
      <c r="A14" s="1738" t="s">
        <v>1673</v>
      </c>
      <c r="B14" s="1739">
        <v>86.22</v>
      </c>
      <c r="C14" s="1739">
        <v>5</v>
      </c>
      <c r="D14" s="1740">
        <v>0</v>
      </c>
      <c r="E14" s="1741">
        <v>555.2568</v>
      </c>
      <c r="F14" s="1742">
        <v>102.6</v>
      </c>
      <c r="G14" s="1743">
        <v>29.86</v>
      </c>
      <c r="H14" s="1744">
        <v>172.44</v>
      </c>
      <c r="I14" s="1745">
        <v>0.08</v>
      </c>
      <c r="J14" s="1746">
        <v>0</v>
      </c>
      <c r="K14" s="1746">
        <v>0.12</v>
      </c>
      <c r="L14" s="1747">
        <v>0.6</v>
      </c>
      <c r="M14" s="1747"/>
      <c r="N14" s="1744">
        <v>0</v>
      </c>
      <c r="O14" s="1748"/>
      <c r="P14" s="1749" t="s">
        <v>3480</v>
      </c>
      <c r="Q14" s="1749"/>
      <c r="R14" s="1750">
        <v>0</v>
      </c>
      <c r="S14" s="1751">
        <v>431.1</v>
      </c>
      <c r="T14" s="1750">
        <v>258.66000000000003</v>
      </c>
      <c r="U14" s="1750">
        <v>51.731999999999999</v>
      </c>
      <c r="V14" s="1750">
        <v>0</v>
      </c>
      <c r="W14" s="1750">
        <v>0</v>
      </c>
      <c r="X14" s="1750"/>
      <c r="Y14" s="1751" t="s">
        <v>21</v>
      </c>
      <c r="Z14" s="1750"/>
      <c r="AA14" s="1750">
        <v>0</v>
      </c>
      <c r="AB14" s="1751">
        <v>431.1</v>
      </c>
    </row>
    <row r="15" spans="1:28" x14ac:dyDescent="0.25">
      <c r="A15" s="1530" t="s">
        <v>3493</v>
      </c>
      <c r="B15" s="1526">
        <v>87.44</v>
      </c>
      <c r="C15" s="1526">
        <v>5</v>
      </c>
      <c r="D15" s="1525">
        <v>0</v>
      </c>
      <c r="E15" s="1524">
        <v>563.11360000000002</v>
      </c>
      <c r="F15" s="1523">
        <v>99.68</v>
      </c>
      <c r="G15" s="1544">
        <v>5.12</v>
      </c>
      <c r="H15" s="1520">
        <v>174.88</v>
      </c>
      <c r="I15" s="1522">
        <v>0.08</v>
      </c>
      <c r="J15" s="1521">
        <v>0</v>
      </c>
      <c r="K15" s="1521">
        <v>0.12</v>
      </c>
      <c r="L15" s="1736"/>
      <c r="M15" s="1736"/>
      <c r="N15" s="1520">
        <v>0</v>
      </c>
      <c r="O15" s="1519"/>
      <c r="P15" s="1566" t="s">
        <v>3480</v>
      </c>
      <c r="Q15" s="1566"/>
      <c r="R15" s="1555">
        <v>0</v>
      </c>
      <c r="S15" s="1556">
        <v>437.2</v>
      </c>
      <c r="T15" s="1555">
        <v>0</v>
      </c>
      <c r="U15" s="1555">
        <v>52.463999999999999</v>
      </c>
      <c r="V15" s="1555">
        <v>0</v>
      </c>
      <c r="W15" s="1555">
        <v>0</v>
      </c>
      <c r="Y15" s="1556" t="s">
        <v>21</v>
      </c>
      <c r="AA15" s="1555">
        <v>0</v>
      </c>
      <c r="AB15" s="1556">
        <v>437.2</v>
      </c>
    </row>
    <row r="16" spans="1:28" s="1752" customFormat="1" x14ac:dyDescent="0.25">
      <c r="A16" s="1738" t="s">
        <v>1672</v>
      </c>
      <c r="B16" s="1739">
        <v>63.53</v>
      </c>
      <c r="C16" s="1739">
        <v>5</v>
      </c>
      <c r="D16" s="1740">
        <v>0</v>
      </c>
      <c r="E16" s="1741">
        <v>409.13320000000004</v>
      </c>
      <c r="F16" s="1742">
        <v>181.35</v>
      </c>
      <c r="G16" s="1743">
        <v>0</v>
      </c>
      <c r="H16" s="1744">
        <v>127.06</v>
      </c>
      <c r="I16" s="1745">
        <v>0.08</v>
      </c>
      <c r="J16" s="1746">
        <v>0</v>
      </c>
      <c r="K16" s="1746">
        <v>0.12</v>
      </c>
      <c r="L16" s="1747">
        <v>0.6</v>
      </c>
      <c r="M16" s="1747"/>
      <c r="N16" s="1744">
        <v>0</v>
      </c>
      <c r="O16" s="1748"/>
      <c r="P16" s="1749" t="s">
        <v>3480</v>
      </c>
      <c r="Q16" s="1749"/>
      <c r="R16" s="1750">
        <v>0</v>
      </c>
      <c r="S16" s="1751">
        <v>317.64999999999998</v>
      </c>
      <c r="T16" s="1750">
        <v>190.58999999999997</v>
      </c>
      <c r="U16" s="1750">
        <v>38.117999999999995</v>
      </c>
      <c r="V16" s="1750">
        <v>0</v>
      </c>
      <c r="W16" s="1750">
        <v>0</v>
      </c>
      <c r="X16" s="1750"/>
      <c r="Y16" s="1751" t="s">
        <v>21</v>
      </c>
      <c r="Z16" s="1750"/>
      <c r="AA16" s="1750">
        <v>0</v>
      </c>
      <c r="AB16" s="1751">
        <v>317.64999999999998</v>
      </c>
    </row>
    <row r="17" spans="1:28" s="1752" customFormat="1" x14ac:dyDescent="0.25">
      <c r="A17" s="1753" t="s">
        <v>1671</v>
      </c>
      <c r="B17" s="1739">
        <v>57.36</v>
      </c>
      <c r="C17" s="1739">
        <v>5</v>
      </c>
      <c r="D17" s="1740">
        <v>0</v>
      </c>
      <c r="E17" s="1741">
        <v>369.39840000000004</v>
      </c>
      <c r="F17" s="1742">
        <v>106.19</v>
      </c>
      <c r="G17" s="1743">
        <v>1.02</v>
      </c>
      <c r="H17" s="1744">
        <v>114.72</v>
      </c>
      <c r="I17" s="1745">
        <v>0.08</v>
      </c>
      <c r="J17" s="1746">
        <v>0</v>
      </c>
      <c r="K17" s="1746">
        <v>0.12</v>
      </c>
      <c r="L17" s="1747">
        <v>0.6</v>
      </c>
      <c r="M17" s="1747"/>
      <c r="N17" s="1744">
        <v>0</v>
      </c>
      <c r="O17" s="1748"/>
      <c r="P17" s="1749" t="s">
        <v>3480</v>
      </c>
      <c r="Q17" s="1749"/>
      <c r="R17" s="1750">
        <v>0</v>
      </c>
      <c r="S17" s="1751">
        <v>286.8</v>
      </c>
      <c r="T17" s="1750">
        <v>172.08</v>
      </c>
      <c r="U17" s="1750">
        <v>34.415999999999997</v>
      </c>
      <c r="V17" s="1750">
        <v>0</v>
      </c>
      <c r="W17" s="1750">
        <v>0</v>
      </c>
      <c r="X17" s="1750"/>
      <c r="Y17" s="1751" t="s">
        <v>21</v>
      </c>
      <c r="Z17" s="1750"/>
      <c r="AA17" s="1750">
        <v>0</v>
      </c>
      <c r="AB17" s="1751">
        <v>286.8</v>
      </c>
    </row>
    <row r="18" spans="1:28" x14ac:dyDescent="0.25">
      <c r="A18" s="1527" t="s">
        <v>1670</v>
      </c>
      <c r="B18" s="1526">
        <v>45.94</v>
      </c>
      <c r="C18" s="1526">
        <v>4.4000000000000004</v>
      </c>
      <c r="D18" s="1525">
        <v>0</v>
      </c>
      <c r="E18" s="1524">
        <v>268.28960000000001</v>
      </c>
      <c r="F18" s="1523">
        <v>56.84</v>
      </c>
      <c r="G18" s="1544">
        <v>0</v>
      </c>
      <c r="H18" s="1520">
        <v>91.88</v>
      </c>
      <c r="I18" s="1522">
        <v>0.08</v>
      </c>
      <c r="J18" s="1521">
        <v>0</v>
      </c>
      <c r="K18" s="1521">
        <v>0.12</v>
      </c>
      <c r="L18" s="1736"/>
      <c r="M18" s="1736"/>
      <c r="N18" s="1520">
        <v>0</v>
      </c>
      <c r="O18" s="1519"/>
      <c r="P18" s="1566" t="s">
        <v>3480</v>
      </c>
      <c r="Q18" s="1566"/>
      <c r="R18" s="1555">
        <v>0</v>
      </c>
      <c r="S18" s="1556">
        <v>202.136</v>
      </c>
      <c r="T18" s="1555">
        <v>0</v>
      </c>
      <c r="U18" s="1555">
        <v>24.256319999999999</v>
      </c>
      <c r="V18" s="1555">
        <v>0</v>
      </c>
      <c r="W18" s="1555">
        <v>0</v>
      </c>
      <c r="Y18" s="1556" t="s">
        <v>21</v>
      </c>
      <c r="AA18" s="1555">
        <v>0</v>
      </c>
      <c r="AB18" s="1556">
        <v>202.136</v>
      </c>
    </row>
    <row r="19" spans="1:28" s="1752" customFormat="1" x14ac:dyDescent="0.25">
      <c r="A19" s="1753" t="s">
        <v>1669</v>
      </c>
      <c r="B19" s="1739">
        <v>86.51</v>
      </c>
      <c r="C19" s="1739">
        <v>5</v>
      </c>
      <c r="D19" s="1740">
        <v>0</v>
      </c>
      <c r="E19" s="1741">
        <v>557.12440000000004</v>
      </c>
      <c r="F19" s="1742">
        <v>140.05000000000001</v>
      </c>
      <c r="G19" s="1743">
        <v>0</v>
      </c>
      <c r="H19" s="1744">
        <v>173.02</v>
      </c>
      <c r="I19" s="1745">
        <v>0.08</v>
      </c>
      <c r="J19" s="1746">
        <v>0</v>
      </c>
      <c r="K19" s="1746">
        <v>0.12</v>
      </c>
      <c r="L19" s="1747">
        <v>0.6</v>
      </c>
      <c r="M19" s="1747"/>
      <c r="N19" s="1744">
        <v>0</v>
      </c>
      <c r="O19" s="1748"/>
      <c r="P19" s="1749" t="s">
        <v>3480</v>
      </c>
      <c r="Q19" s="1749"/>
      <c r="R19" s="1750">
        <v>0</v>
      </c>
      <c r="S19" s="1751">
        <v>432.55</v>
      </c>
      <c r="T19" s="1750">
        <v>259.52999999999997</v>
      </c>
      <c r="U19" s="1750">
        <v>51.905999999999999</v>
      </c>
      <c r="V19" s="1750">
        <v>0</v>
      </c>
      <c r="W19" s="1750">
        <v>0</v>
      </c>
      <c r="X19" s="1750"/>
      <c r="Y19" s="1751" t="s">
        <v>21</v>
      </c>
      <c r="Z19" s="1750"/>
      <c r="AA19" s="1750">
        <v>0</v>
      </c>
      <c r="AB19" s="1751">
        <v>432.55</v>
      </c>
    </row>
    <row r="20" spans="1:28" s="1752" customFormat="1" x14ac:dyDescent="0.25">
      <c r="A20" s="1753" t="s">
        <v>1668</v>
      </c>
      <c r="B20" s="1739">
        <v>73.63</v>
      </c>
      <c r="C20" s="1739">
        <v>5</v>
      </c>
      <c r="D20" s="1740">
        <v>0</v>
      </c>
      <c r="E20" s="1741">
        <v>474.17720000000003</v>
      </c>
      <c r="F20" s="1742">
        <v>146.22999999999999</v>
      </c>
      <c r="G20" s="1743">
        <v>0</v>
      </c>
      <c r="H20" s="1744">
        <v>147.26</v>
      </c>
      <c r="I20" s="1745">
        <v>0.08</v>
      </c>
      <c r="J20" s="1746">
        <v>0</v>
      </c>
      <c r="K20" s="1746">
        <v>0.12</v>
      </c>
      <c r="L20" s="1747">
        <v>0.6</v>
      </c>
      <c r="M20" s="1747"/>
      <c r="N20" s="1744">
        <v>0</v>
      </c>
      <c r="O20" s="1748"/>
      <c r="P20" s="1749" t="s">
        <v>3480</v>
      </c>
      <c r="Q20" s="1749"/>
      <c r="R20" s="1750">
        <v>0</v>
      </c>
      <c r="S20" s="1751">
        <v>368.15</v>
      </c>
      <c r="T20" s="1750">
        <v>220.89</v>
      </c>
      <c r="U20" s="1750">
        <v>44.177999999999997</v>
      </c>
      <c r="V20" s="1750">
        <v>0</v>
      </c>
      <c r="W20" s="1750">
        <v>0</v>
      </c>
      <c r="X20" s="1750"/>
      <c r="Y20" s="1751" t="s">
        <v>21</v>
      </c>
      <c r="Z20" s="1750"/>
      <c r="AA20" s="1750">
        <v>0</v>
      </c>
      <c r="AB20" s="1751">
        <v>368.15</v>
      </c>
    </row>
    <row r="21" spans="1:28" s="1752" customFormat="1" x14ac:dyDescent="0.25">
      <c r="A21" s="1753" t="s">
        <v>1667</v>
      </c>
      <c r="B21" s="1739">
        <v>47.63</v>
      </c>
      <c r="C21" s="1739">
        <v>5</v>
      </c>
      <c r="D21" s="1740">
        <v>0</v>
      </c>
      <c r="E21" s="1741">
        <v>306.73720000000003</v>
      </c>
      <c r="F21" s="1742">
        <v>71.010000000000005</v>
      </c>
      <c r="G21" s="1743">
        <v>0</v>
      </c>
      <c r="H21" s="1744">
        <v>95.26</v>
      </c>
      <c r="I21" s="1745">
        <v>0.08</v>
      </c>
      <c r="J21" s="1746">
        <v>0</v>
      </c>
      <c r="K21" s="1746">
        <v>0.12</v>
      </c>
      <c r="L21" s="1747">
        <v>0.6</v>
      </c>
      <c r="M21" s="1747"/>
      <c r="N21" s="1744">
        <v>0</v>
      </c>
      <c r="O21" s="1748"/>
      <c r="P21" s="1749" t="s">
        <v>3480</v>
      </c>
      <c r="Q21" s="1749"/>
      <c r="R21" s="1750">
        <v>0</v>
      </c>
      <c r="S21" s="1751">
        <v>238.15</v>
      </c>
      <c r="T21" s="1750">
        <v>142.88999999999999</v>
      </c>
      <c r="U21" s="1750">
        <v>28.577999999999999</v>
      </c>
      <c r="V21" s="1750">
        <v>0</v>
      </c>
      <c r="W21" s="1750">
        <v>0</v>
      </c>
      <c r="X21" s="1750"/>
      <c r="Y21" s="1751" t="s">
        <v>21</v>
      </c>
      <c r="Z21" s="1750"/>
      <c r="AA21" s="1750">
        <v>0</v>
      </c>
      <c r="AB21" s="1751">
        <v>238.15</v>
      </c>
    </row>
    <row r="22" spans="1:28" s="1752" customFormat="1" x14ac:dyDescent="0.25">
      <c r="A22" s="1753" t="s">
        <v>1666</v>
      </c>
      <c r="B22" s="1739">
        <v>142.62</v>
      </c>
      <c r="C22" s="1739">
        <v>6</v>
      </c>
      <c r="D22" s="1740">
        <v>0</v>
      </c>
      <c r="E22" s="1741">
        <v>1061.0928000000001</v>
      </c>
      <c r="F22" s="1742">
        <v>287.54000000000002</v>
      </c>
      <c r="G22" s="1743">
        <v>1.76</v>
      </c>
      <c r="H22" s="1744">
        <v>285.24</v>
      </c>
      <c r="I22" s="1745">
        <v>0.08</v>
      </c>
      <c r="J22" s="1746">
        <v>0</v>
      </c>
      <c r="K22" s="1746">
        <v>0.12</v>
      </c>
      <c r="L22" s="1747">
        <v>0.6</v>
      </c>
      <c r="M22" s="1747"/>
      <c r="N22" s="1744">
        <v>0</v>
      </c>
      <c r="O22" s="1748"/>
      <c r="P22" s="1749" t="s">
        <v>3480</v>
      </c>
      <c r="Q22" s="1749"/>
      <c r="R22" s="1750">
        <v>0</v>
      </c>
      <c r="S22" s="1751">
        <v>855.72</v>
      </c>
      <c r="T22" s="1750">
        <v>513.43200000000002</v>
      </c>
      <c r="U22" s="1750">
        <v>102.68640000000001</v>
      </c>
      <c r="V22" s="1750">
        <v>0</v>
      </c>
      <c r="W22" s="1750">
        <v>0</v>
      </c>
      <c r="X22" s="1750"/>
      <c r="Y22" s="1751" t="s">
        <v>21</v>
      </c>
      <c r="Z22" s="1750"/>
      <c r="AA22" s="1750">
        <v>0</v>
      </c>
      <c r="AB22" s="1751">
        <v>855.72</v>
      </c>
    </row>
    <row r="23" spans="1:28" s="1752" customFormat="1" x14ac:dyDescent="0.25">
      <c r="A23" s="1753" t="s">
        <v>1665</v>
      </c>
      <c r="B23" s="1739">
        <v>154.82</v>
      </c>
      <c r="C23" s="1739">
        <v>6</v>
      </c>
      <c r="D23" s="1740">
        <v>0</v>
      </c>
      <c r="E23" s="1741">
        <v>1151.8607999999999</v>
      </c>
      <c r="F23" s="1742">
        <v>337.43</v>
      </c>
      <c r="G23" s="1743">
        <v>10.46</v>
      </c>
      <c r="H23" s="1744">
        <v>309.64</v>
      </c>
      <c r="I23" s="1745">
        <v>0.08</v>
      </c>
      <c r="J23" s="1746">
        <v>0</v>
      </c>
      <c r="K23" s="1746">
        <v>0.12</v>
      </c>
      <c r="L23" s="1747">
        <v>0.6</v>
      </c>
      <c r="M23" s="1747"/>
      <c r="N23" s="1744">
        <v>0</v>
      </c>
      <c r="O23" s="1748"/>
      <c r="P23" s="1749" t="s">
        <v>3480</v>
      </c>
      <c r="Q23" s="1749"/>
      <c r="R23" s="1750">
        <v>0</v>
      </c>
      <c r="S23" s="1751">
        <v>928.92</v>
      </c>
      <c r="T23" s="1750">
        <v>557.35199999999998</v>
      </c>
      <c r="U23" s="1750">
        <v>111.4704</v>
      </c>
      <c r="V23" s="1750">
        <v>0</v>
      </c>
      <c r="W23" s="1750">
        <v>0</v>
      </c>
      <c r="X23" s="1750"/>
      <c r="Y23" s="1751" t="s">
        <v>21</v>
      </c>
      <c r="Z23" s="1750"/>
      <c r="AA23" s="1750">
        <v>0</v>
      </c>
      <c r="AB23" s="1751">
        <v>928.92</v>
      </c>
    </row>
    <row r="24" spans="1:28" x14ac:dyDescent="0.25">
      <c r="A24" s="1527" t="s">
        <v>1664</v>
      </c>
      <c r="B24" s="1526">
        <v>205</v>
      </c>
      <c r="C24" s="1526">
        <v>7</v>
      </c>
      <c r="D24" s="1525">
        <v>0</v>
      </c>
      <c r="E24" s="1524">
        <v>1825.5249999999999</v>
      </c>
      <c r="F24" s="1523">
        <v>717.98</v>
      </c>
      <c r="G24" s="1544">
        <v>527.6</v>
      </c>
      <c r="H24" s="1520">
        <v>410</v>
      </c>
      <c r="I24" s="1587">
        <v>5.5E-2</v>
      </c>
      <c r="J24" s="1521">
        <v>0.18</v>
      </c>
      <c r="K24" s="1521">
        <v>0.2</v>
      </c>
      <c r="L24" s="1736"/>
      <c r="M24" s="1736"/>
      <c r="N24" s="1520">
        <v>295.2</v>
      </c>
      <c r="O24" s="1519"/>
      <c r="P24" s="1566" t="s">
        <v>3483</v>
      </c>
      <c r="Q24" s="1566"/>
      <c r="R24" s="1555">
        <v>0</v>
      </c>
      <c r="S24" s="1556">
        <v>1435</v>
      </c>
      <c r="T24" s="1555">
        <v>0</v>
      </c>
      <c r="U24" s="1555">
        <v>287</v>
      </c>
      <c r="V24" s="1555">
        <v>258.3</v>
      </c>
      <c r="W24" s="1555">
        <v>1435</v>
      </c>
      <c r="Y24" s="1556">
        <v>1435</v>
      </c>
      <c r="AA24" s="1555">
        <v>78.924999999999997</v>
      </c>
      <c r="AB24" s="1556">
        <v>0</v>
      </c>
    </row>
    <row r="25" spans="1:28" s="1752" customFormat="1" x14ac:dyDescent="0.25">
      <c r="A25" s="1753" t="s">
        <v>1663</v>
      </c>
      <c r="B25" s="1739">
        <v>172.54</v>
      </c>
      <c r="C25" s="1739">
        <v>6</v>
      </c>
      <c r="D25" s="1740">
        <v>0</v>
      </c>
      <c r="E25" s="1741">
        <v>1283.6976</v>
      </c>
      <c r="F25" s="1742">
        <v>361.46</v>
      </c>
      <c r="G25" s="1743">
        <v>42.9</v>
      </c>
      <c r="H25" s="1744">
        <v>345.08</v>
      </c>
      <c r="I25" s="1745">
        <v>0.08</v>
      </c>
      <c r="J25" s="1746">
        <v>0</v>
      </c>
      <c r="K25" s="1746">
        <v>0.12</v>
      </c>
      <c r="L25" s="1747">
        <v>0.6</v>
      </c>
      <c r="M25" s="1747"/>
      <c r="N25" s="1744">
        <v>0</v>
      </c>
      <c r="O25" s="1748"/>
      <c r="P25" s="1749" t="s">
        <v>3480</v>
      </c>
      <c r="Q25" s="1749"/>
      <c r="R25" s="1750">
        <v>0</v>
      </c>
      <c r="S25" s="1751">
        <v>1035.24</v>
      </c>
      <c r="T25" s="1750">
        <v>621.14400000000001</v>
      </c>
      <c r="U25" s="1750">
        <v>124.22879999999999</v>
      </c>
      <c r="V25" s="1750">
        <v>0</v>
      </c>
      <c r="W25" s="1750">
        <v>0</v>
      </c>
      <c r="X25" s="1750"/>
      <c r="Y25" s="1751" t="s">
        <v>21</v>
      </c>
      <c r="Z25" s="1750"/>
      <c r="AA25" s="1750">
        <v>0</v>
      </c>
      <c r="AB25" s="1751">
        <v>1035.24</v>
      </c>
    </row>
    <row r="26" spans="1:28" s="1752" customFormat="1" x14ac:dyDescent="0.25">
      <c r="A26" s="1753" t="s">
        <v>1662</v>
      </c>
      <c r="B26" s="1739">
        <v>184.5</v>
      </c>
      <c r="C26" s="1739">
        <v>6</v>
      </c>
      <c r="D26" s="1740">
        <v>0</v>
      </c>
      <c r="E26" s="1741">
        <v>1372.68</v>
      </c>
      <c r="F26" s="1742">
        <v>390.87</v>
      </c>
      <c r="G26" s="1743">
        <v>12.58</v>
      </c>
      <c r="H26" s="1744">
        <v>369</v>
      </c>
      <c r="I26" s="1745">
        <v>0.08</v>
      </c>
      <c r="J26" s="1746">
        <v>0</v>
      </c>
      <c r="K26" s="1746">
        <v>0.12</v>
      </c>
      <c r="L26" s="1747">
        <v>0.6</v>
      </c>
      <c r="M26" s="1747"/>
      <c r="N26" s="1744">
        <v>0</v>
      </c>
      <c r="O26" s="1748"/>
      <c r="P26" s="1749" t="s">
        <v>3480</v>
      </c>
      <c r="Q26" s="1749"/>
      <c r="R26" s="1750">
        <v>0</v>
      </c>
      <c r="S26" s="1751">
        <v>1107</v>
      </c>
      <c r="T26" s="1750">
        <v>664.19999999999993</v>
      </c>
      <c r="U26" s="1750">
        <v>132.84</v>
      </c>
      <c r="V26" s="1750">
        <v>0</v>
      </c>
      <c r="W26" s="1750">
        <v>0</v>
      </c>
      <c r="X26" s="1750"/>
      <c r="Y26" s="1751" t="s">
        <v>21</v>
      </c>
      <c r="Z26" s="1750"/>
      <c r="AA26" s="1750">
        <v>0</v>
      </c>
      <c r="AB26" s="1751">
        <v>1107</v>
      </c>
    </row>
    <row r="27" spans="1:28" s="1752" customFormat="1" x14ac:dyDescent="0.25">
      <c r="A27" s="1753" t="s">
        <v>1661</v>
      </c>
      <c r="B27" s="1739">
        <v>197.15</v>
      </c>
      <c r="C27" s="1739">
        <v>5</v>
      </c>
      <c r="D27" s="1740">
        <v>0</v>
      </c>
      <c r="E27" s="1741">
        <v>1269.6460000000002</v>
      </c>
      <c r="F27" s="1742">
        <v>463.98</v>
      </c>
      <c r="G27" s="1743">
        <v>0.17</v>
      </c>
      <c r="H27" s="1744">
        <v>394.3</v>
      </c>
      <c r="I27" s="1745">
        <v>0.08</v>
      </c>
      <c r="J27" s="1746">
        <v>0</v>
      </c>
      <c r="K27" s="1746">
        <v>0.12</v>
      </c>
      <c r="L27" s="1747">
        <v>0.6</v>
      </c>
      <c r="M27" s="1747"/>
      <c r="N27" s="1744">
        <v>0</v>
      </c>
      <c r="O27" s="1748"/>
      <c r="P27" s="1749" t="s">
        <v>3480</v>
      </c>
      <c r="Q27" s="1749"/>
      <c r="R27" s="1750">
        <v>0</v>
      </c>
      <c r="S27" s="1751">
        <v>985.75</v>
      </c>
      <c r="T27" s="1750">
        <v>591.44999999999993</v>
      </c>
      <c r="U27" s="1750">
        <v>118.28999999999999</v>
      </c>
      <c r="V27" s="1750">
        <v>0</v>
      </c>
      <c r="W27" s="1750">
        <v>0</v>
      </c>
      <c r="X27" s="1750"/>
      <c r="Y27" s="1751" t="s">
        <v>21</v>
      </c>
      <c r="Z27" s="1750"/>
      <c r="AA27" s="1750">
        <v>0</v>
      </c>
      <c r="AB27" s="1751">
        <v>985.75</v>
      </c>
    </row>
    <row r="28" spans="1:28" x14ac:dyDescent="0.25">
      <c r="A28" s="1527" t="s">
        <v>1660</v>
      </c>
      <c r="B28" s="1526">
        <v>158.11000000000001</v>
      </c>
      <c r="C28" s="1526">
        <v>5</v>
      </c>
      <c r="D28" s="1525">
        <v>0</v>
      </c>
      <c r="E28" s="1524">
        <v>1018.2284000000002</v>
      </c>
      <c r="F28" s="1523">
        <v>250.28</v>
      </c>
      <c r="G28" s="1544">
        <v>0.17</v>
      </c>
      <c r="H28" s="1520">
        <v>316.22000000000003</v>
      </c>
      <c r="I28" s="1522">
        <v>0.08</v>
      </c>
      <c r="J28" s="1521">
        <v>0</v>
      </c>
      <c r="K28" s="1521">
        <v>0.12</v>
      </c>
      <c r="L28" s="1736"/>
      <c r="M28" s="1736"/>
      <c r="N28" s="1520">
        <v>0</v>
      </c>
      <c r="O28" s="1519"/>
      <c r="P28" s="1566" t="s">
        <v>3480</v>
      </c>
      <c r="Q28" s="1566"/>
      <c r="R28" s="1555">
        <v>0</v>
      </c>
      <c r="S28" s="1556">
        <v>790.55000000000007</v>
      </c>
      <c r="T28" s="1555">
        <v>0</v>
      </c>
      <c r="U28" s="1555">
        <v>94.866</v>
      </c>
      <c r="V28" s="1555">
        <v>0</v>
      </c>
      <c r="W28" s="1555">
        <v>0</v>
      </c>
      <c r="Y28" s="1556" t="s">
        <v>21</v>
      </c>
      <c r="AA28" s="1555">
        <v>0</v>
      </c>
      <c r="AB28" s="1556">
        <v>790.55000000000007</v>
      </c>
    </row>
    <row r="29" spans="1:28" x14ac:dyDescent="0.25">
      <c r="A29" s="1527" t="s">
        <v>1659</v>
      </c>
      <c r="B29" s="1526">
        <v>124.73</v>
      </c>
      <c r="C29" s="1526">
        <v>5</v>
      </c>
      <c r="D29" s="1525">
        <v>0</v>
      </c>
      <c r="E29" s="1524">
        <v>803.26120000000003</v>
      </c>
      <c r="F29" s="1523">
        <v>185.15</v>
      </c>
      <c r="G29" s="1544">
        <v>55.3</v>
      </c>
      <c r="H29" s="1520">
        <v>249.46</v>
      </c>
      <c r="I29" s="1522">
        <v>0.08</v>
      </c>
      <c r="J29" s="1521">
        <v>0</v>
      </c>
      <c r="K29" s="1521">
        <v>0.12</v>
      </c>
      <c r="L29" s="1736"/>
      <c r="M29" s="1736"/>
      <c r="N29" s="1520">
        <v>0</v>
      </c>
      <c r="O29" s="1519"/>
      <c r="P29" s="1566" t="s">
        <v>3480</v>
      </c>
      <c r="Q29" s="1566"/>
      <c r="R29" s="1555">
        <v>0</v>
      </c>
      <c r="S29" s="1556">
        <v>623.65</v>
      </c>
      <c r="T29" s="1555">
        <v>0</v>
      </c>
      <c r="U29" s="1555">
        <v>74.837999999999994</v>
      </c>
      <c r="V29" s="1555">
        <v>0</v>
      </c>
      <c r="W29" s="1555">
        <v>0</v>
      </c>
      <c r="Y29" s="1556" t="s">
        <v>21</v>
      </c>
      <c r="AA29" s="1555">
        <v>0</v>
      </c>
      <c r="AB29" s="1556">
        <v>623.65</v>
      </c>
    </row>
    <row r="30" spans="1:28" x14ac:dyDescent="0.25">
      <c r="A30" s="1527" t="s">
        <v>1658</v>
      </c>
      <c r="B30" s="1526">
        <v>158.57</v>
      </c>
      <c r="C30" s="1526">
        <v>4.4000000000000004</v>
      </c>
      <c r="D30" s="1525">
        <v>0</v>
      </c>
      <c r="E30" s="1524">
        <v>926.04880000000003</v>
      </c>
      <c r="F30" s="1523">
        <v>153</v>
      </c>
      <c r="G30" s="1544">
        <v>35.9</v>
      </c>
      <c r="H30" s="1520">
        <v>317.14</v>
      </c>
      <c r="I30" s="1522">
        <v>0.08</v>
      </c>
      <c r="J30" s="1521">
        <v>0</v>
      </c>
      <c r="K30" s="1521">
        <v>0.12</v>
      </c>
      <c r="L30" s="1736"/>
      <c r="M30" s="1736"/>
      <c r="N30" s="1520">
        <v>0</v>
      </c>
      <c r="O30" s="1519"/>
      <c r="P30" s="1566" t="s">
        <v>3480</v>
      </c>
      <c r="Q30" s="1566"/>
      <c r="R30" s="1555">
        <v>0</v>
      </c>
      <c r="S30" s="1556">
        <v>697.70799999999997</v>
      </c>
      <c r="T30" s="1555">
        <v>0</v>
      </c>
      <c r="U30" s="1555">
        <v>83.724959999999996</v>
      </c>
      <c r="V30" s="1555">
        <v>0</v>
      </c>
      <c r="W30" s="1555">
        <v>0</v>
      </c>
      <c r="Y30" s="1556" t="s">
        <v>21</v>
      </c>
      <c r="AA30" s="1555">
        <v>0</v>
      </c>
      <c r="AB30" s="1556">
        <v>697.70799999999997</v>
      </c>
    </row>
    <row r="31" spans="1:28" x14ac:dyDescent="0.25">
      <c r="A31" s="1527" t="s">
        <v>1657</v>
      </c>
      <c r="B31" s="1526">
        <v>99.21</v>
      </c>
      <c r="C31" s="1526">
        <v>4.4000000000000004</v>
      </c>
      <c r="D31" s="1525">
        <v>0</v>
      </c>
      <c r="E31" s="1524">
        <v>579.38640000000009</v>
      </c>
      <c r="F31" s="1523">
        <v>117.82</v>
      </c>
      <c r="G31" s="1544">
        <v>4.49</v>
      </c>
      <c r="H31" s="1520">
        <v>198.42</v>
      </c>
      <c r="I31" s="1522">
        <v>0.08</v>
      </c>
      <c r="J31" s="1521">
        <v>0</v>
      </c>
      <c r="K31" s="1521">
        <v>0.12</v>
      </c>
      <c r="L31" s="1736"/>
      <c r="M31" s="1736"/>
      <c r="N31" s="1520">
        <v>0</v>
      </c>
      <c r="O31" s="1519"/>
      <c r="P31" s="1566" t="s">
        <v>3480</v>
      </c>
      <c r="Q31" s="1566"/>
      <c r="R31" s="1555">
        <v>0</v>
      </c>
      <c r="S31" s="1556">
        <v>436.524</v>
      </c>
      <c r="T31" s="1555">
        <v>0</v>
      </c>
      <c r="U31" s="1555">
        <v>52.38288</v>
      </c>
      <c r="V31" s="1555">
        <v>0</v>
      </c>
      <c r="W31" s="1555">
        <v>0</v>
      </c>
      <c r="Y31" s="1556" t="s">
        <v>21</v>
      </c>
      <c r="AA31" s="1555">
        <v>0</v>
      </c>
      <c r="AB31" s="1556">
        <v>436.524</v>
      </c>
    </row>
    <row r="32" spans="1:28" x14ac:dyDescent="0.25">
      <c r="A32" s="1527" t="s">
        <v>1656</v>
      </c>
      <c r="B32" s="1526">
        <v>84.05</v>
      </c>
      <c r="C32" s="1526">
        <v>4.4000000000000004</v>
      </c>
      <c r="D32" s="1525">
        <v>0</v>
      </c>
      <c r="E32" s="1524">
        <v>490.85200000000003</v>
      </c>
      <c r="F32" s="1523">
        <v>104.04</v>
      </c>
      <c r="G32" s="1544">
        <v>10.07</v>
      </c>
      <c r="H32" s="1520">
        <v>168.1</v>
      </c>
      <c r="I32" s="1522">
        <v>0.08</v>
      </c>
      <c r="J32" s="1521">
        <v>0</v>
      </c>
      <c r="K32" s="1521">
        <v>0.12</v>
      </c>
      <c r="L32" s="1736"/>
      <c r="M32" s="1736"/>
      <c r="N32" s="1520">
        <v>0</v>
      </c>
      <c r="O32" s="1519"/>
      <c r="P32" s="1566" t="s">
        <v>3480</v>
      </c>
      <c r="Q32" s="1566"/>
      <c r="R32" s="1555">
        <v>0</v>
      </c>
      <c r="S32" s="1556">
        <v>369.82</v>
      </c>
      <c r="T32" s="1555">
        <v>0</v>
      </c>
      <c r="U32" s="1555">
        <v>44.378399999999999</v>
      </c>
      <c r="V32" s="1555">
        <v>0</v>
      </c>
      <c r="W32" s="1555">
        <v>0</v>
      </c>
      <c r="Y32" s="1556" t="s">
        <v>21</v>
      </c>
      <c r="AA32" s="1555">
        <v>0</v>
      </c>
      <c r="AB32" s="1556">
        <v>369.82</v>
      </c>
    </row>
    <row r="33" spans="1:28" x14ac:dyDescent="0.25">
      <c r="A33" s="1527" t="s">
        <v>1655</v>
      </c>
      <c r="B33" s="1526">
        <v>66.05</v>
      </c>
      <c r="C33" s="1526">
        <v>4.4000000000000004</v>
      </c>
      <c r="D33" s="1525">
        <v>0</v>
      </c>
      <c r="E33" s="1524">
        <v>385.73200000000003</v>
      </c>
      <c r="F33" s="1523">
        <v>154.03</v>
      </c>
      <c r="G33" s="1544">
        <v>3.88</v>
      </c>
      <c r="H33" s="1520">
        <v>132.1</v>
      </c>
      <c r="I33" s="1522">
        <v>0.08</v>
      </c>
      <c r="J33" s="1521">
        <v>0</v>
      </c>
      <c r="K33" s="1521">
        <v>0.12</v>
      </c>
      <c r="L33" s="1736"/>
      <c r="M33" s="1736"/>
      <c r="N33" s="1520">
        <v>0</v>
      </c>
      <c r="O33" s="1519"/>
      <c r="P33" s="1566" t="s">
        <v>3480</v>
      </c>
      <c r="Q33" s="1566"/>
      <c r="R33" s="1555">
        <v>0</v>
      </c>
      <c r="S33" s="1556">
        <v>290.62</v>
      </c>
      <c r="T33" s="1555">
        <v>0</v>
      </c>
      <c r="U33" s="1555">
        <v>34.874400000000001</v>
      </c>
      <c r="V33" s="1555">
        <v>0</v>
      </c>
      <c r="W33" s="1555">
        <v>0</v>
      </c>
      <c r="Y33" s="1556" t="s">
        <v>21</v>
      </c>
      <c r="AA33" s="1555">
        <v>0</v>
      </c>
      <c r="AB33" s="1556">
        <v>290.62</v>
      </c>
    </row>
    <row r="34" spans="1:28" x14ac:dyDescent="0.25">
      <c r="A34" s="1527" t="s">
        <v>1654</v>
      </c>
      <c r="B34" s="1526">
        <v>64.31</v>
      </c>
      <c r="C34" s="1526">
        <v>4</v>
      </c>
      <c r="D34" s="1525">
        <v>0</v>
      </c>
      <c r="E34" s="1524">
        <v>349.84640000000002</v>
      </c>
      <c r="F34" s="1523">
        <v>90.67</v>
      </c>
      <c r="G34" s="1544">
        <v>0.16</v>
      </c>
      <c r="H34" s="1520">
        <v>128.62</v>
      </c>
      <c r="I34" s="1522">
        <v>0.08</v>
      </c>
      <c r="J34" s="1521">
        <v>0</v>
      </c>
      <c r="K34" s="1521">
        <v>0.12</v>
      </c>
      <c r="L34" s="1736"/>
      <c r="M34" s="1736"/>
      <c r="N34" s="1520">
        <v>0</v>
      </c>
      <c r="O34" s="1519"/>
      <c r="P34" s="1566" t="s">
        <v>3480</v>
      </c>
      <c r="Q34" s="1566"/>
      <c r="R34" s="1555">
        <v>0</v>
      </c>
      <c r="S34" s="1556">
        <v>257.24</v>
      </c>
      <c r="T34" s="1555">
        <v>0</v>
      </c>
      <c r="U34" s="1555">
        <v>30.8688</v>
      </c>
      <c r="V34" s="1555">
        <v>0</v>
      </c>
      <c r="W34" s="1555">
        <v>0</v>
      </c>
      <c r="Y34" s="1556" t="s">
        <v>21</v>
      </c>
      <c r="AA34" s="1555">
        <v>0</v>
      </c>
      <c r="AB34" s="1556">
        <v>257.24</v>
      </c>
    </row>
    <row r="35" spans="1:28" x14ac:dyDescent="0.25">
      <c r="A35" s="1527" t="s">
        <v>1653</v>
      </c>
      <c r="B35" s="1526">
        <v>53.74</v>
      </c>
      <c r="C35" s="1526">
        <v>4.4000000000000004</v>
      </c>
      <c r="D35" s="1525">
        <v>0</v>
      </c>
      <c r="E35" s="1524">
        <v>313.84160000000003</v>
      </c>
      <c r="F35" s="1523">
        <v>90.67</v>
      </c>
      <c r="G35" s="1544">
        <v>0.16</v>
      </c>
      <c r="H35" s="1520">
        <v>107.48</v>
      </c>
      <c r="I35" s="1522">
        <v>0.08</v>
      </c>
      <c r="J35" s="1521">
        <v>0</v>
      </c>
      <c r="K35" s="1521">
        <v>0.12</v>
      </c>
      <c r="L35" s="1736"/>
      <c r="M35" s="1736"/>
      <c r="N35" s="1520">
        <v>0</v>
      </c>
      <c r="O35" s="1519"/>
      <c r="P35" s="1566" t="s">
        <v>3480</v>
      </c>
      <c r="Q35" s="1566"/>
      <c r="R35" s="1555">
        <v>0</v>
      </c>
      <c r="S35" s="1556">
        <v>236.45600000000002</v>
      </c>
      <c r="T35" s="1555">
        <v>0</v>
      </c>
      <c r="U35" s="1555">
        <v>28.37472</v>
      </c>
      <c r="V35" s="1555">
        <v>0</v>
      </c>
      <c r="W35" s="1555">
        <v>0</v>
      </c>
      <c r="Y35" s="1556" t="s">
        <v>21</v>
      </c>
      <c r="AA35" s="1555">
        <v>0</v>
      </c>
      <c r="AB35" s="1556">
        <v>236.45600000000002</v>
      </c>
    </row>
    <row r="36" spans="1:28" x14ac:dyDescent="0.25">
      <c r="A36" s="1527" t="s">
        <v>1652</v>
      </c>
      <c r="B36" s="1526">
        <v>116.96</v>
      </c>
      <c r="C36" s="1526">
        <v>4.4000000000000004</v>
      </c>
      <c r="D36" s="1525">
        <v>0</v>
      </c>
      <c r="E36" s="1524">
        <v>683.04640000000006</v>
      </c>
      <c r="F36" s="1523">
        <v>138.29</v>
      </c>
      <c r="G36" s="1544">
        <v>0.75</v>
      </c>
      <c r="H36" s="1520">
        <v>233.92</v>
      </c>
      <c r="I36" s="1522">
        <v>0.08</v>
      </c>
      <c r="J36" s="1521">
        <v>0</v>
      </c>
      <c r="K36" s="1521">
        <v>0.12</v>
      </c>
      <c r="L36" s="1736"/>
      <c r="M36" s="1736"/>
      <c r="N36" s="1520">
        <v>0</v>
      </c>
      <c r="O36" s="1519"/>
      <c r="P36" s="1566" t="s">
        <v>3480</v>
      </c>
      <c r="Q36" s="1566"/>
      <c r="R36" s="1555">
        <v>0</v>
      </c>
      <c r="S36" s="1556">
        <v>514.62400000000002</v>
      </c>
      <c r="T36" s="1555">
        <v>0</v>
      </c>
      <c r="U36" s="1555">
        <v>61.75488</v>
      </c>
      <c r="V36" s="1555">
        <v>0</v>
      </c>
      <c r="W36" s="1555">
        <v>0</v>
      </c>
      <c r="Y36" s="1556" t="s">
        <v>21</v>
      </c>
      <c r="AA36" s="1555">
        <v>0</v>
      </c>
      <c r="AB36" s="1556">
        <v>514.62400000000002</v>
      </c>
    </row>
    <row r="37" spans="1:28" x14ac:dyDescent="0.25">
      <c r="A37" s="1527" t="s">
        <v>1651</v>
      </c>
      <c r="B37" s="1526">
        <v>139.88999999999999</v>
      </c>
      <c r="C37" s="1526">
        <v>5</v>
      </c>
      <c r="D37" s="1525">
        <v>0</v>
      </c>
      <c r="E37" s="1524">
        <v>900.89159999999993</v>
      </c>
      <c r="F37" s="1523">
        <v>232.62</v>
      </c>
      <c r="G37" s="1544">
        <v>14.1</v>
      </c>
      <c r="H37" s="1520">
        <v>279.77999999999997</v>
      </c>
      <c r="I37" s="1522">
        <v>0.08</v>
      </c>
      <c r="J37" s="1521">
        <v>0</v>
      </c>
      <c r="K37" s="1521">
        <v>0.12</v>
      </c>
      <c r="L37" s="1736"/>
      <c r="M37" s="1736"/>
      <c r="N37" s="1520">
        <v>0</v>
      </c>
      <c r="O37" s="1519"/>
      <c r="P37" s="1566" t="s">
        <v>3480</v>
      </c>
      <c r="Q37" s="1566"/>
      <c r="R37" s="1555">
        <v>0</v>
      </c>
      <c r="S37" s="1556">
        <v>699.44999999999993</v>
      </c>
      <c r="T37" s="1555">
        <v>0</v>
      </c>
      <c r="U37" s="1555">
        <v>83.933999999999983</v>
      </c>
      <c r="V37" s="1555">
        <v>0</v>
      </c>
      <c r="W37" s="1555">
        <v>0</v>
      </c>
      <c r="Y37" s="1556" t="s">
        <v>21</v>
      </c>
      <c r="AA37" s="1555">
        <v>0</v>
      </c>
      <c r="AB37" s="1556">
        <v>699.44999999999993</v>
      </c>
    </row>
    <row r="38" spans="1:28" x14ac:dyDescent="0.25">
      <c r="A38" s="1527" t="s">
        <v>1650</v>
      </c>
      <c r="B38" s="1526">
        <v>37.869999999999997</v>
      </c>
      <c r="C38" s="1526">
        <v>4.4000000000000004</v>
      </c>
      <c r="D38" s="1525">
        <v>0</v>
      </c>
      <c r="E38" s="1524">
        <v>221.16080000000002</v>
      </c>
      <c r="F38" s="1523">
        <v>60.5</v>
      </c>
      <c r="G38" s="1544">
        <v>0</v>
      </c>
      <c r="H38" s="1520">
        <v>75.739999999999995</v>
      </c>
      <c r="I38" s="1522">
        <v>0.08</v>
      </c>
      <c r="J38" s="1521">
        <v>0</v>
      </c>
      <c r="K38" s="1521">
        <v>0.12</v>
      </c>
      <c r="L38" s="1736"/>
      <c r="M38" s="1736"/>
      <c r="N38" s="1520">
        <v>0</v>
      </c>
      <c r="O38" s="1519"/>
      <c r="P38" s="1566" t="s">
        <v>3480</v>
      </c>
      <c r="Q38" s="1566"/>
      <c r="R38" s="1555">
        <v>0</v>
      </c>
      <c r="S38" s="1556">
        <v>166.62800000000001</v>
      </c>
      <c r="T38" s="1555">
        <v>0</v>
      </c>
      <c r="U38" s="1555">
        <v>19.995360000000002</v>
      </c>
      <c r="V38" s="1555">
        <v>0</v>
      </c>
      <c r="W38" s="1555">
        <v>0</v>
      </c>
      <c r="Y38" s="1556" t="s">
        <v>21</v>
      </c>
      <c r="AA38" s="1555">
        <v>0</v>
      </c>
      <c r="AB38" s="1556">
        <v>166.62800000000001</v>
      </c>
    </row>
    <row r="39" spans="1:28" x14ac:dyDescent="0.25">
      <c r="A39" s="2174" t="s">
        <v>1649</v>
      </c>
      <c r="B39" s="1526">
        <v>17</v>
      </c>
      <c r="C39" s="1526">
        <v>5</v>
      </c>
      <c r="D39" s="1525">
        <v>0</v>
      </c>
      <c r="E39" s="1524">
        <v>109.48</v>
      </c>
      <c r="F39" s="2175">
        <v>65.72</v>
      </c>
      <c r="G39" s="2176">
        <v>0</v>
      </c>
      <c r="H39" s="1520">
        <v>34</v>
      </c>
      <c r="I39" s="1522">
        <v>0.08</v>
      </c>
      <c r="J39" s="1521">
        <v>0</v>
      </c>
      <c r="K39" s="1521">
        <v>0.12</v>
      </c>
      <c r="L39" s="1736"/>
      <c r="M39" s="1736"/>
      <c r="N39" s="1520">
        <v>0</v>
      </c>
      <c r="O39" s="1519"/>
      <c r="P39" s="1566" t="s">
        <v>3480</v>
      </c>
      <c r="Q39" s="1566"/>
      <c r="R39" s="1555">
        <v>0</v>
      </c>
      <c r="S39" s="1556">
        <v>85</v>
      </c>
      <c r="T39" s="1555">
        <v>0</v>
      </c>
      <c r="U39" s="1555">
        <v>10.199999999999999</v>
      </c>
      <c r="V39" s="1555">
        <v>0</v>
      </c>
      <c r="W39" s="1555">
        <v>0</v>
      </c>
      <c r="Y39" s="1556" t="s">
        <v>21</v>
      </c>
      <c r="AA39" s="1555">
        <v>0</v>
      </c>
      <c r="AB39" s="1556">
        <v>85</v>
      </c>
    </row>
    <row r="40" spans="1:28" x14ac:dyDescent="0.25">
      <c r="A40" s="2174"/>
      <c r="B40" s="1526">
        <v>16.98</v>
      </c>
      <c r="C40" s="1526">
        <v>9</v>
      </c>
      <c r="D40" s="1525">
        <v>0</v>
      </c>
      <c r="E40" s="1524">
        <v>177.27120000000002</v>
      </c>
      <c r="F40" s="2175"/>
      <c r="G40" s="2176"/>
      <c r="H40" s="1520">
        <v>33.96</v>
      </c>
      <c r="I40" s="1522">
        <v>0.08</v>
      </c>
      <c r="J40" s="1521">
        <v>0</v>
      </c>
      <c r="K40" s="1521">
        <v>0.12</v>
      </c>
      <c r="L40" s="1736"/>
      <c r="M40" s="1736"/>
      <c r="N40" s="1520">
        <v>0</v>
      </c>
      <c r="O40" s="1519"/>
      <c r="P40" s="1566" t="s">
        <v>3480</v>
      </c>
      <c r="Q40" s="1566"/>
      <c r="R40" s="1555">
        <v>0</v>
      </c>
      <c r="S40" s="1556">
        <v>152.82</v>
      </c>
      <c r="T40" s="1555">
        <v>0</v>
      </c>
      <c r="U40" s="1555">
        <v>18.3384</v>
      </c>
      <c r="V40" s="1555">
        <v>0</v>
      </c>
      <c r="W40" s="1555">
        <v>0</v>
      </c>
      <c r="Y40" s="1556" t="s">
        <v>21</v>
      </c>
      <c r="AA40" s="1555">
        <v>0</v>
      </c>
      <c r="AB40" s="1556">
        <v>152.82</v>
      </c>
    </row>
    <row r="41" spans="1:28" x14ac:dyDescent="0.25">
      <c r="A41" s="1527" t="s">
        <v>1648</v>
      </c>
      <c r="B41" s="1526">
        <v>357.38</v>
      </c>
      <c r="C41" s="1526">
        <v>5</v>
      </c>
      <c r="D41" s="1525">
        <v>0</v>
      </c>
      <c r="E41" s="1524">
        <v>2301.5272</v>
      </c>
      <c r="F41" s="1523">
        <v>591.12</v>
      </c>
      <c r="G41" s="1544">
        <v>6.82</v>
      </c>
      <c r="H41" s="1520">
        <v>714.76</v>
      </c>
      <c r="I41" s="1522">
        <v>0.08</v>
      </c>
      <c r="J41" s="1521">
        <v>0</v>
      </c>
      <c r="K41" s="1521">
        <v>0.12</v>
      </c>
      <c r="L41" s="1736"/>
      <c r="M41" s="1736"/>
      <c r="N41" s="1520">
        <v>0</v>
      </c>
      <c r="O41" s="1519"/>
      <c r="P41" s="1566" t="s">
        <v>3480</v>
      </c>
      <c r="Q41" s="1566"/>
      <c r="R41" s="1555">
        <v>0</v>
      </c>
      <c r="S41" s="1556">
        <v>1786.9</v>
      </c>
      <c r="T41" s="1555">
        <v>0</v>
      </c>
      <c r="U41" s="1555">
        <v>214.428</v>
      </c>
      <c r="V41" s="1555">
        <v>0</v>
      </c>
      <c r="W41" s="1555">
        <v>0</v>
      </c>
      <c r="Y41" s="1556" t="s">
        <v>21</v>
      </c>
      <c r="AA41" s="1555">
        <v>0</v>
      </c>
      <c r="AB41" s="1556">
        <v>1786.9</v>
      </c>
    </row>
    <row r="42" spans="1:28" x14ac:dyDescent="0.25">
      <c r="A42" s="1527" t="s">
        <v>1647</v>
      </c>
      <c r="B42" s="1526">
        <v>140.22999999999999</v>
      </c>
      <c r="C42" s="1526">
        <v>5</v>
      </c>
      <c r="D42" s="1525">
        <v>0</v>
      </c>
      <c r="E42" s="1524">
        <v>903.08119999999997</v>
      </c>
      <c r="F42" s="1523">
        <v>152.66999999999999</v>
      </c>
      <c r="G42" s="1544">
        <v>7.0000000000000007E-2</v>
      </c>
      <c r="H42" s="1520">
        <v>280.45999999999998</v>
      </c>
      <c r="I42" s="1522">
        <v>0.08</v>
      </c>
      <c r="J42" s="1521">
        <v>0</v>
      </c>
      <c r="K42" s="1521">
        <v>0.12</v>
      </c>
      <c r="L42" s="1736"/>
      <c r="M42" s="1736"/>
      <c r="N42" s="1520">
        <v>0</v>
      </c>
      <c r="O42" s="1519"/>
      <c r="P42" s="1566" t="s">
        <v>3480</v>
      </c>
      <c r="Q42" s="1566"/>
      <c r="R42" s="1555">
        <v>0</v>
      </c>
      <c r="S42" s="1556">
        <v>701.15</v>
      </c>
      <c r="T42" s="1555">
        <v>0</v>
      </c>
      <c r="U42" s="1555">
        <v>84.137999999999991</v>
      </c>
      <c r="V42" s="1555">
        <v>0</v>
      </c>
      <c r="W42" s="1555">
        <v>0</v>
      </c>
      <c r="Y42" s="1556" t="s">
        <v>21</v>
      </c>
      <c r="AA42" s="1555">
        <v>0</v>
      </c>
      <c r="AB42" s="1556">
        <v>701.15</v>
      </c>
    </row>
    <row r="43" spans="1:28" x14ac:dyDescent="0.25">
      <c r="A43" s="1527" t="s">
        <v>1646</v>
      </c>
      <c r="B43" s="1526">
        <v>133.69</v>
      </c>
      <c r="C43" s="1526">
        <v>5</v>
      </c>
      <c r="D43" s="1525">
        <v>0</v>
      </c>
      <c r="E43" s="1524">
        <v>860.96360000000004</v>
      </c>
      <c r="F43" s="1523">
        <v>189.98</v>
      </c>
      <c r="G43" s="1544">
        <v>0</v>
      </c>
      <c r="H43" s="1520">
        <v>267.38</v>
      </c>
      <c r="I43" s="1522">
        <v>0.08</v>
      </c>
      <c r="J43" s="1521">
        <v>0</v>
      </c>
      <c r="K43" s="1521">
        <v>0.12</v>
      </c>
      <c r="L43" s="1736"/>
      <c r="M43" s="1736"/>
      <c r="N43" s="1520">
        <v>0</v>
      </c>
      <c r="O43" s="1519"/>
      <c r="P43" s="1566" t="s">
        <v>3480</v>
      </c>
      <c r="Q43" s="1566"/>
      <c r="R43" s="1555">
        <v>0</v>
      </c>
      <c r="S43" s="1556">
        <v>668.45</v>
      </c>
      <c r="T43" s="1555">
        <v>0</v>
      </c>
      <c r="U43" s="1555">
        <v>80.213999999999999</v>
      </c>
      <c r="V43" s="1555">
        <v>0</v>
      </c>
      <c r="W43" s="1555">
        <v>0</v>
      </c>
      <c r="Y43" s="1556" t="s">
        <v>21</v>
      </c>
      <c r="AA43" s="1555">
        <v>0</v>
      </c>
      <c r="AB43" s="1556">
        <v>668.45</v>
      </c>
    </row>
    <row r="44" spans="1:28" x14ac:dyDescent="0.25">
      <c r="A44" s="1527" t="s">
        <v>1645</v>
      </c>
      <c r="B44" s="1526">
        <v>250.93</v>
      </c>
      <c r="C44" s="1526">
        <v>5</v>
      </c>
      <c r="D44" s="1525">
        <v>0</v>
      </c>
      <c r="E44" s="1524">
        <v>1615.9892000000002</v>
      </c>
      <c r="F44" s="1523">
        <v>419.21</v>
      </c>
      <c r="G44" s="1544">
        <v>100.85</v>
      </c>
      <c r="H44" s="1520">
        <v>501.86</v>
      </c>
      <c r="I44" s="1522">
        <v>0.08</v>
      </c>
      <c r="J44" s="1521">
        <v>0</v>
      </c>
      <c r="K44" s="1521">
        <v>0.12</v>
      </c>
      <c r="L44" s="1736"/>
      <c r="M44" s="1736"/>
      <c r="N44" s="1520">
        <v>0</v>
      </c>
      <c r="O44" s="1519"/>
      <c r="P44" s="1566" t="s">
        <v>3480</v>
      </c>
      <c r="Q44" s="1566"/>
      <c r="R44" s="1555">
        <v>0</v>
      </c>
      <c r="S44" s="1556">
        <v>1254.6500000000001</v>
      </c>
      <c r="T44" s="1555">
        <v>0</v>
      </c>
      <c r="U44" s="1555">
        <v>150.55799999999999</v>
      </c>
      <c r="V44" s="1555">
        <v>0</v>
      </c>
      <c r="W44" s="1555">
        <v>0</v>
      </c>
      <c r="Y44" s="1556" t="s">
        <v>21</v>
      </c>
      <c r="AA44" s="1555">
        <v>0</v>
      </c>
      <c r="AB44" s="1556">
        <v>1254.6500000000001</v>
      </c>
    </row>
    <row r="45" spans="1:28" x14ac:dyDescent="0.25">
      <c r="A45" s="1527" t="s">
        <v>1644</v>
      </c>
      <c r="B45" s="1526">
        <v>100.43</v>
      </c>
      <c r="C45" s="1526">
        <v>6</v>
      </c>
      <c r="D45" s="1525">
        <v>0</v>
      </c>
      <c r="E45" s="1524">
        <v>747.19920000000013</v>
      </c>
      <c r="F45" s="1523">
        <v>244.71</v>
      </c>
      <c r="G45" s="1544">
        <v>0</v>
      </c>
      <c r="H45" s="1520">
        <v>200.86</v>
      </c>
      <c r="I45" s="1522">
        <v>0.08</v>
      </c>
      <c r="J45" s="1521">
        <v>0</v>
      </c>
      <c r="K45" s="1521">
        <v>0.12</v>
      </c>
      <c r="L45" s="1736"/>
      <c r="M45" s="1736"/>
      <c r="N45" s="1520">
        <v>0</v>
      </c>
      <c r="O45" s="1519"/>
      <c r="P45" s="1566" t="s">
        <v>3480</v>
      </c>
      <c r="Q45" s="1566"/>
      <c r="R45" s="1555">
        <v>0</v>
      </c>
      <c r="S45" s="1556">
        <v>602.58000000000004</v>
      </c>
      <c r="T45" s="1555">
        <v>0</v>
      </c>
      <c r="U45" s="1555">
        <v>72.309600000000003</v>
      </c>
      <c r="V45" s="1555">
        <v>0</v>
      </c>
      <c r="W45" s="1555">
        <v>0</v>
      </c>
      <c r="Y45" s="1556" t="s">
        <v>21</v>
      </c>
      <c r="AA45" s="1555">
        <v>0</v>
      </c>
      <c r="AB45" s="1556">
        <v>602.58000000000004</v>
      </c>
    </row>
    <row r="46" spans="1:28" x14ac:dyDescent="0.25">
      <c r="A46" s="1527" t="s">
        <v>1643</v>
      </c>
      <c r="B46" s="1526">
        <v>80.739999999999995</v>
      </c>
      <c r="C46" s="1526">
        <v>4.4000000000000004</v>
      </c>
      <c r="D46" s="1525">
        <v>0</v>
      </c>
      <c r="E46" s="1524">
        <v>471.52160000000003</v>
      </c>
      <c r="F46" s="1523">
        <v>148.35</v>
      </c>
      <c r="G46" s="1544">
        <v>8.67</v>
      </c>
      <c r="H46" s="1520">
        <v>161.47999999999999</v>
      </c>
      <c r="I46" s="1522">
        <v>0.08</v>
      </c>
      <c r="J46" s="1521">
        <v>0</v>
      </c>
      <c r="K46" s="1521">
        <v>0.12</v>
      </c>
      <c r="L46" s="1736"/>
      <c r="M46" s="1736"/>
      <c r="N46" s="1520">
        <v>0</v>
      </c>
      <c r="O46" s="1519"/>
      <c r="P46" s="1566" t="s">
        <v>3480</v>
      </c>
      <c r="Q46" s="1566"/>
      <c r="R46" s="1555">
        <v>0</v>
      </c>
      <c r="S46" s="1556">
        <v>355.25600000000003</v>
      </c>
      <c r="T46" s="1555">
        <v>0</v>
      </c>
      <c r="U46" s="1555">
        <v>42.630720000000004</v>
      </c>
      <c r="V46" s="1555">
        <v>0</v>
      </c>
      <c r="W46" s="1555">
        <v>0</v>
      </c>
      <c r="Y46" s="1556" t="s">
        <v>21</v>
      </c>
      <c r="AA46" s="1555">
        <v>0</v>
      </c>
      <c r="AB46" s="1556">
        <v>355.25600000000003</v>
      </c>
    </row>
    <row r="47" spans="1:28" x14ac:dyDescent="0.25">
      <c r="A47" s="1527" t="s">
        <v>1642</v>
      </c>
      <c r="B47" s="1526">
        <v>107.47</v>
      </c>
      <c r="C47" s="1526">
        <v>6</v>
      </c>
      <c r="D47" s="1525">
        <v>0</v>
      </c>
      <c r="E47" s="1524">
        <v>799.57680000000005</v>
      </c>
      <c r="F47" s="1523">
        <v>195.06</v>
      </c>
      <c r="G47" s="1544">
        <v>2.64</v>
      </c>
      <c r="H47" s="1520">
        <v>214.94</v>
      </c>
      <c r="I47" s="1522">
        <v>0.08</v>
      </c>
      <c r="J47" s="1521">
        <v>0</v>
      </c>
      <c r="K47" s="1521">
        <v>0.12</v>
      </c>
      <c r="L47" s="1736"/>
      <c r="M47" s="1736"/>
      <c r="N47" s="1520">
        <v>0</v>
      </c>
      <c r="O47" s="1519"/>
      <c r="P47" s="1566" t="s">
        <v>3480</v>
      </c>
      <c r="Q47" s="1566"/>
      <c r="R47" s="1555">
        <v>0</v>
      </c>
      <c r="S47" s="1556">
        <v>644.81999999999994</v>
      </c>
      <c r="T47" s="1555">
        <v>0</v>
      </c>
      <c r="U47" s="1555">
        <v>77.378399999999985</v>
      </c>
      <c r="V47" s="1555">
        <v>0</v>
      </c>
      <c r="W47" s="1555">
        <v>0</v>
      </c>
      <c r="Y47" s="1556" t="s">
        <v>21</v>
      </c>
      <c r="AA47" s="1555">
        <v>0</v>
      </c>
      <c r="AB47" s="1556">
        <v>644.81999999999994</v>
      </c>
    </row>
    <row r="48" spans="1:28" x14ac:dyDescent="0.25">
      <c r="A48" s="1527" t="s">
        <v>1641</v>
      </c>
      <c r="B48" s="1526">
        <v>81.77</v>
      </c>
      <c r="C48" s="1526">
        <v>4.4000000000000004</v>
      </c>
      <c r="D48" s="1525">
        <v>0</v>
      </c>
      <c r="E48" s="1524">
        <v>477.53680000000003</v>
      </c>
      <c r="F48" s="1523">
        <v>162.15</v>
      </c>
      <c r="G48" s="1544">
        <v>0</v>
      </c>
      <c r="H48" s="1520">
        <v>163.54</v>
      </c>
      <c r="I48" s="1522">
        <v>0.08</v>
      </c>
      <c r="J48" s="1521">
        <v>0</v>
      </c>
      <c r="K48" s="1521">
        <v>0.12</v>
      </c>
      <c r="L48" s="1736"/>
      <c r="M48" s="1736"/>
      <c r="N48" s="1520">
        <v>0</v>
      </c>
      <c r="O48" s="1519"/>
      <c r="P48" s="1566" t="s">
        <v>3480</v>
      </c>
      <c r="Q48" s="1566"/>
      <c r="R48" s="1555">
        <v>0</v>
      </c>
      <c r="S48" s="1556">
        <v>359.78800000000001</v>
      </c>
      <c r="T48" s="1555">
        <v>0</v>
      </c>
      <c r="U48" s="1555">
        <v>43.17456</v>
      </c>
      <c r="V48" s="1555">
        <v>0</v>
      </c>
      <c r="W48" s="1555">
        <v>0</v>
      </c>
      <c r="Y48" s="1556" t="s">
        <v>21</v>
      </c>
      <c r="AA48" s="1555">
        <v>0</v>
      </c>
      <c r="AB48" s="1556">
        <v>359.78800000000001</v>
      </c>
    </row>
    <row r="49" spans="1:28" x14ac:dyDescent="0.25">
      <c r="A49" s="1527" t="s">
        <v>1640</v>
      </c>
      <c r="B49" s="1526">
        <v>106.55</v>
      </c>
      <c r="C49" s="1526">
        <v>6</v>
      </c>
      <c r="D49" s="1525">
        <v>0</v>
      </c>
      <c r="E49" s="1524">
        <v>792.73199999999997</v>
      </c>
      <c r="F49" s="1523">
        <v>220.29</v>
      </c>
      <c r="G49" s="1544">
        <v>0.08</v>
      </c>
      <c r="H49" s="1520">
        <v>213.1</v>
      </c>
      <c r="I49" s="1522">
        <v>0.08</v>
      </c>
      <c r="J49" s="1521">
        <v>0</v>
      </c>
      <c r="K49" s="1521">
        <v>0.12</v>
      </c>
      <c r="L49" s="1736"/>
      <c r="M49" s="1736"/>
      <c r="N49" s="1520">
        <v>0</v>
      </c>
      <c r="O49" s="1519"/>
      <c r="P49" s="1566" t="s">
        <v>3480</v>
      </c>
      <c r="Q49" s="1566"/>
      <c r="R49" s="1555">
        <v>0</v>
      </c>
      <c r="S49" s="1556">
        <v>639.29999999999995</v>
      </c>
      <c r="T49" s="1555">
        <v>0</v>
      </c>
      <c r="U49" s="1555">
        <v>76.715999999999994</v>
      </c>
      <c r="V49" s="1555">
        <v>0</v>
      </c>
      <c r="W49" s="1555">
        <v>0</v>
      </c>
      <c r="Y49" s="1556" t="s">
        <v>21</v>
      </c>
      <c r="AA49" s="1555">
        <v>0</v>
      </c>
      <c r="AB49" s="1556">
        <v>639.29999999999995</v>
      </c>
    </row>
    <row r="50" spans="1:28" x14ac:dyDescent="0.25">
      <c r="A50" s="1527" t="s">
        <v>1639</v>
      </c>
      <c r="B50" s="1526">
        <v>89.21</v>
      </c>
      <c r="C50" s="1526">
        <v>4.4000000000000004</v>
      </c>
      <c r="D50" s="1525">
        <v>0</v>
      </c>
      <c r="E50" s="1524">
        <v>520.9864</v>
      </c>
      <c r="F50" s="1523">
        <v>252.62</v>
      </c>
      <c r="G50" s="1544">
        <v>0</v>
      </c>
      <c r="H50" s="1520">
        <v>178.42</v>
      </c>
      <c r="I50" s="1522">
        <v>0.08</v>
      </c>
      <c r="J50" s="1521">
        <v>0</v>
      </c>
      <c r="K50" s="1521">
        <v>0.12</v>
      </c>
      <c r="L50" s="1736"/>
      <c r="M50" s="1736"/>
      <c r="N50" s="1520">
        <v>0</v>
      </c>
      <c r="O50" s="1519"/>
      <c r="P50" s="1566" t="s">
        <v>3480</v>
      </c>
      <c r="Q50" s="1566"/>
      <c r="R50" s="1555">
        <v>0</v>
      </c>
      <c r="S50" s="1556">
        <v>392.524</v>
      </c>
      <c r="T50" s="1555">
        <v>0</v>
      </c>
      <c r="U50" s="1555">
        <v>47.102879999999999</v>
      </c>
      <c r="V50" s="1555">
        <v>0</v>
      </c>
      <c r="W50" s="1555">
        <v>0</v>
      </c>
      <c r="Y50" s="1556" t="s">
        <v>21</v>
      </c>
      <c r="AA50" s="1555">
        <v>0</v>
      </c>
      <c r="AB50" s="1556">
        <v>392.524</v>
      </c>
    </row>
    <row r="51" spans="1:28" x14ac:dyDescent="0.25">
      <c r="A51" s="1527" t="s">
        <v>1638</v>
      </c>
      <c r="B51" s="1526">
        <v>101.89</v>
      </c>
      <c r="C51" s="1526">
        <v>4.4000000000000004</v>
      </c>
      <c r="D51" s="1525">
        <v>0</v>
      </c>
      <c r="E51" s="1524">
        <v>595.03760000000011</v>
      </c>
      <c r="F51" s="1523">
        <v>210.66</v>
      </c>
      <c r="G51" s="1544">
        <v>10.74</v>
      </c>
      <c r="H51" s="1520">
        <v>203.78</v>
      </c>
      <c r="I51" s="1522">
        <v>0.08</v>
      </c>
      <c r="J51" s="1521">
        <v>0</v>
      </c>
      <c r="K51" s="1521">
        <v>0.12</v>
      </c>
      <c r="L51" s="1736"/>
      <c r="M51" s="1736"/>
      <c r="N51" s="1520">
        <v>0</v>
      </c>
      <c r="O51" s="1519"/>
      <c r="P51" s="1566" t="s">
        <v>3480</v>
      </c>
      <c r="Q51" s="1566"/>
      <c r="R51" s="1555">
        <v>0</v>
      </c>
      <c r="S51" s="1556">
        <v>448.31600000000003</v>
      </c>
      <c r="T51" s="1555">
        <v>0</v>
      </c>
      <c r="U51" s="1555">
        <v>53.797920000000005</v>
      </c>
      <c r="V51" s="1555">
        <v>0</v>
      </c>
      <c r="W51" s="1555">
        <v>0</v>
      </c>
      <c r="Y51" s="1556" t="s">
        <v>21</v>
      </c>
      <c r="AA51" s="1555">
        <v>0</v>
      </c>
      <c r="AB51" s="1556">
        <v>448.31600000000003</v>
      </c>
    </row>
    <row r="52" spans="1:28" x14ac:dyDescent="0.25">
      <c r="A52" s="1527" t="s">
        <v>1637</v>
      </c>
      <c r="B52" s="1526">
        <v>51.55</v>
      </c>
      <c r="C52" s="1526">
        <v>3.5</v>
      </c>
      <c r="D52" s="1525">
        <v>0</v>
      </c>
      <c r="E52" s="1524">
        <v>254.65700000000001</v>
      </c>
      <c r="F52" s="1523">
        <v>77.510000000000005</v>
      </c>
      <c r="G52" s="1544">
        <v>0.04</v>
      </c>
      <c r="H52" s="1520">
        <v>103.1</v>
      </c>
      <c r="I52" s="1522">
        <v>0.08</v>
      </c>
      <c r="J52" s="1521">
        <v>0</v>
      </c>
      <c r="K52" s="1521">
        <v>0.12</v>
      </c>
      <c r="L52" s="1736"/>
      <c r="M52" s="1736"/>
      <c r="N52" s="1520">
        <v>0</v>
      </c>
      <c r="O52" s="1519"/>
      <c r="P52" s="1566" t="s">
        <v>3480</v>
      </c>
      <c r="Q52" s="1566"/>
      <c r="R52" s="1555">
        <v>0</v>
      </c>
      <c r="S52" s="1556">
        <v>180.42499999999998</v>
      </c>
      <c r="T52" s="1555">
        <v>0</v>
      </c>
      <c r="U52" s="1555">
        <v>21.650999999999996</v>
      </c>
      <c r="V52" s="1555">
        <v>0</v>
      </c>
      <c r="W52" s="1555">
        <v>0</v>
      </c>
      <c r="Y52" s="1556" t="s">
        <v>21</v>
      </c>
      <c r="AA52" s="1555">
        <v>0</v>
      </c>
      <c r="AB52" s="1556">
        <v>180.42499999999998</v>
      </c>
    </row>
    <row r="53" spans="1:28" x14ac:dyDescent="0.25">
      <c r="A53" s="1527" t="s">
        <v>1636</v>
      </c>
      <c r="B53" s="1526">
        <v>108.8</v>
      </c>
      <c r="C53" s="1526">
        <v>6</v>
      </c>
      <c r="D53" s="1525">
        <v>0</v>
      </c>
      <c r="E53" s="1524">
        <v>809.47199999999998</v>
      </c>
      <c r="F53" s="1523">
        <v>258.41000000000003</v>
      </c>
      <c r="G53" s="1544">
        <v>19.73</v>
      </c>
      <c r="H53" s="1520">
        <v>217.6</v>
      </c>
      <c r="I53" s="1522">
        <v>0.08</v>
      </c>
      <c r="J53" s="1521">
        <v>0</v>
      </c>
      <c r="K53" s="1521">
        <v>0.12</v>
      </c>
      <c r="L53" s="1736"/>
      <c r="M53" s="1736"/>
      <c r="N53" s="1520">
        <v>0</v>
      </c>
      <c r="O53" s="1519"/>
      <c r="P53" s="1566" t="s">
        <v>3480</v>
      </c>
      <c r="Q53" s="1566"/>
      <c r="R53" s="1555">
        <v>0</v>
      </c>
      <c r="S53" s="1556">
        <v>652.79999999999995</v>
      </c>
      <c r="T53" s="1555">
        <v>0</v>
      </c>
      <c r="U53" s="1555">
        <v>78.335999999999999</v>
      </c>
      <c r="V53" s="1555">
        <v>0</v>
      </c>
      <c r="W53" s="1555">
        <v>0</v>
      </c>
      <c r="Y53" s="1556" t="s">
        <v>21</v>
      </c>
      <c r="AA53" s="1555">
        <v>0</v>
      </c>
      <c r="AB53" s="1556">
        <v>652.79999999999995</v>
      </c>
    </row>
    <row r="54" spans="1:28" x14ac:dyDescent="0.25">
      <c r="A54" s="1527" t="s">
        <v>1635</v>
      </c>
      <c r="B54" s="1526">
        <v>86.53</v>
      </c>
      <c r="C54" s="1526">
        <v>5</v>
      </c>
      <c r="D54" s="1525">
        <v>0</v>
      </c>
      <c r="E54" s="1524">
        <v>557.25319999999999</v>
      </c>
      <c r="F54" s="1523">
        <v>94.99</v>
      </c>
      <c r="G54" s="1544">
        <v>0</v>
      </c>
      <c r="H54" s="1520">
        <v>173.06</v>
      </c>
      <c r="I54" s="1522">
        <v>0.08</v>
      </c>
      <c r="J54" s="1521">
        <v>0</v>
      </c>
      <c r="K54" s="1521">
        <v>0.12</v>
      </c>
      <c r="L54" s="1736"/>
      <c r="M54" s="1736"/>
      <c r="N54" s="1520">
        <v>0</v>
      </c>
      <c r="O54" s="1519"/>
      <c r="P54" s="1566" t="s">
        <v>3480</v>
      </c>
      <c r="Q54" s="1566"/>
      <c r="R54" s="1555">
        <v>0</v>
      </c>
      <c r="S54" s="1556">
        <v>432.65</v>
      </c>
      <c r="T54" s="1555">
        <v>0</v>
      </c>
      <c r="U54" s="1555">
        <v>51.917999999999992</v>
      </c>
      <c r="V54" s="1555">
        <v>0</v>
      </c>
      <c r="W54" s="1555">
        <v>0</v>
      </c>
      <c r="Y54" s="1556" t="s">
        <v>21</v>
      </c>
      <c r="AA54" s="1555">
        <v>0</v>
      </c>
      <c r="AB54" s="1556">
        <v>432.65</v>
      </c>
    </row>
    <row r="55" spans="1:28" x14ac:dyDescent="0.25">
      <c r="A55" s="1527" t="s">
        <v>1634</v>
      </c>
      <c r="B55" s="1526">
        <v>81.03</v>
      </c>
      <c r="C55" s="1526">
        <v>5</v>
      </c>
      <c r="D55" s="1525">
        <v>0</v>
      </c>
      <c r="E55" s="1524">
        <v>521.83320000000003</v>
      </c>
      <c r="F55" s="1523">
        <v>101.16</v>
      </c>
      <c r="G55" s="1544">
        <v>2.09</v>
      </c>
      <c r="H55" s="1520">
        <v>162.06</v>
      </c>
      <c r="I55" s="1522">
        <v>0.08</v>
      </c>
      <c r="J55" s="1521">
        <v>0</v>
      </c>
      <c r="K55" s="1521">
        <v>0.12</v>
      </c>
      <c r="L55" s="1736"/>
      <c r="M55" s="1736"/>
      <c r="N55" s="1520">
        <v>0</v>
      </c>
      <c r="O55" s="1519"/>
      <c r="P55" s="1566" t="s">
        <v>3480</v>
      </c>
      <c r="Q55" s="1566"/>
      <c r="R55" s="1555">
        <v>0</v>
      </c>
      <c r="S55" s="1556">
        <v>405.15</v>
      </c>
      <c r="T55" s="1555">
        <v>0</v>
      </c>
      <c r="U55" s="1555">
        <v>48.617999999999995</v>
      </c>
      <c r="V55" s="1555">
        <v>0</v>
      </c>
      <c r="W55" s="1555">
        <v>0</v>
      </c>
      <c r="Y55" s="1556" t="s">
        <v>21</v>
      </c>
      <c r="AA55" s="1555">
        <v>0</v>
      </c>
      <c r="AB55" s="1556">
        <v>405.15</v>
      </c>
    </row>
    <row r="56" spans="1:28" x14ac:dyDescent="0.25">
      <c r="A56" s="1527" t="s">
        <v>1633</v>
      </c>
      <c r="B56" s="1526">
        <v>111.09</v>
      </c>
      <c r="C56" s="1526">
        <v>6</v>
      </c>
      <c r="D56" s="1525">
        <v>0</v>
      </c>
      <c r="E56" s="1524">
        <v>826.50960000000009</v>
      </c>
      <c r="F56" s="1523">
        <v>198.64</v>
      </c>
      <c r="G56" s="1544">
        <v>4.4800000000000004</v>
      </c>
      <c r="H56" s="1520">
        <v>222.18</v>
      </c>
      <c r="I56" s="1522">
        <v>0.08</v>
      </c>
      <c r="J56" s="1521">
        <v>0</v>
      </c>
      <c r="K56" s="1521">
        <v>0.12</v>
      </c>
      <c r="L56" s="1736"/>
      <c r="M56" s="1736"/>
      <c r="N56" s="1520">
        <v>0</v>
      </c>
      <c r="O56" s="1519"/>
      <c r="P56" s="1566" t="s">
        <v>3480</v>
      </c>
      <c r="Q56" s="1566"/>
      <c r="R56" s="1555">
        <v>0</v>
      </c>
      <c r="S56" s="1556">
        <v>666.54</v>
      </c>
      <c r="T56" s="1555">
        <v>0</v>
      </c>
      <c r="U56" s="1555">
        <v>79.984799999999993</v>
      </c>
      <c r="V56" s="1555">
        <v>0</v>
      </c>
      <c r="W56" s="1555">
        <v>0</v>
      </c>
      <c r="Y56" s="1556" t="s">
        <v>21</v>
      </c>
      <c r="AA56" s="1555">
        <v>0</v>
      </c>
      <c r="AB56" s="1556">
        <v>666.54</v>
      </c>
    </row>
    <row r="57" spans="1:28" x14ac:dyDescent="0.25">
      <c r="A57" s="1527" t="s">
        <v>1632</v>
      </c>
      <c r="B57" s="1526">
        <v>67.739999999999995</v>
      </c>
      <c r="C57" s="1526">
        <v>6</v>
      </c>
      <c r="D57" s="1525">
        <v>0</v>
      </c>
      <c r="E57" s="1524">
        <v>503.98559999999998</v>
      </c>
      <c r="F57" s="1523">
        <v>178.28</v>
      </c>
      <c r="G57" s="1544">
        <v>2.42</v>
      </c>
      <c r="H57" s="1520">
        <v>135.47999999999999</v>
      </c>
      <c r="I57" s="1522">
        <v>0.08</v>
      </c>
      <c r="J57" s="1521">
        <v>0</v>
      </c>
      <c r="K57" s="1521">
        <v>0.12</v>
      </c>
      <c r="L57" s="1736"/>
      <c r="M57" s="1736"/>
      <c r="N57" s="1520">
        <v>0</v>
      </c>
      <c r="O57" s="1519"/>
      <c r="P57" s="1566" t="s">
        <v>3480</v>
      </c>
      <c r="Q57" s="1566"/>
      <c r="R57" s="1555">
        <v>0</v>
      </c>
      <c r="S57" s="1556">
        <v>406.43999999999994</v>
      </c>
      <c r="T57" s="1555">
        <v>0</v>
      </c>
      <c r="U57" s="1555">
        <v>48.772799999999989</v>
      </c>
      <c r="V57" s="1555">
        <v>0</v>
      </c>
      <c r="W57" s="1555">
        <v>0</v>
      </c>
      <c r="Y57" s="1556" t="s">
        <v>21</v>
      </c>
      <c r="AA57" s="1555">
        <v>0</v>
      </c>
      <c r="AB57" s="1556">
        <v>406.43999999999994</v>
      </c>
    </row>
    <row r="58" spans="1:28" x14ac:dyDescent="0.25">
      <c r="A58" s="1527" t="s">
        <v>1631</v>
      </c>
      <c r="B58" s="1526">
        <v>220.43</v>
      </c>
      <c r="C58" s="1526">
        <v>6</v>
      </c>
      <c r="D58" s="1525">
        <v>0</v>
      </c>
      <c r="E58" s="1524">
        <v>1639.9992000000002</v>
      </c>
      <c r="F58" s="1523">
        <v>420.84</v>
      </c>
      <c r="G58" s="1544">
        <v>39.86</v>
      </c>
      <c r="H58" s="1520">
        <v>440.86</v>
      </c>
      <c r="I58" s="1522">
        <v>0.08</v>
      </c>
      <c r="J58" s="1521">
        <v>0</v>
      </c>
      <c r="K58" s="1521">
        <v>0.12</v>
      </c>
      <c r="L58" s="1736"/>
      <c r="M58" s="1736"/>
      <c r="N58" s="1520">
        <v>0</v>
      </c>
      <c r="O58" s="1519"/>
      <c r="P58" s="1566" t="s">
        <v>3480</v>
      </c>
      <c r="Q58" s="1566"/>
      <c r="R58" s="1555">
        <v>0</v>
      </c>
      <c r="S58" s="1556">
        <v>1322.58</v>
      </c>
      <c r="T58" s="1555">
        <v>0</v>
      </c>
      <c r="U58" s="1555">
        <v>158.70959999999999</v>
      </c>
      <c r="V58" s="1555">
        <v>0</v>
      </c>
      <c r="W58" s="1555">
        <v>0</v>
      </c>
      <c r="Y58" s="1556" t="s">
        <v>21</v>
      </c>
      <c r="AA58" s="1555">
        <v>0</v>
      </c>
      <c r="AB58" s="1556">
        <v>1322.58</v>
      </c>
    </row>
    <row r="59" spans="1:28" x14ac:dyDescent="0.25">
      <c r="A59" s="1527" t="s">
        <v>1630</v>
      </c>
      <c r="B59" s="1526">
        <v>64</v>
      </c>
      <c r="C59" s="1526">
        <v>6</v>
      </c>
      <c r="D59" s="1525">
        <v>0</v>
      </c>
      <c r="E59" s="1524">
        <v>476.16</v>
      </c>
      <c r="F59" s="1523">
        <v>136.16999999999999</v>
      </c>
      <c r="G59" s="1544">
        <v>0</v>
      </c>
      <c r="H59" s="1520">
        <v>128</v>
      </c>
      <c r="I59" s="1522">
        <v>0.08</v>
      </c>
      <c r="J59" s="1521">
        <v>0</v>
      </c>
      <c r="K59" s="1521">
        <v>0.12</v>
      </c>
      <c r="L59" s="1736"/>
      <c r="M59" s="1736"/>
      <c r="N59" s="1520">
        <v>0</v>
      </c>
      <c r="O59" s="1519"/>
      <c r="P59" s="1566" t="s">
        <v>3480</v>
      </c>
      <c r="Q59" s="1566"/>
      <c r="R59" s="1555">
        <v>0</v>
      </c>
      <c r="S59" s="1556">
        <v>384</v>
      </c>
      <c r="T59" s="1555">
        <v>0</v>
      </c>
      <c r="U59" s="1555">
        <v>46.08</v>
      </c>
      <c r="V59" s="1555">
        <v>0</v>
      </c>
      <c r="W59" s="1555">
        <v>0</v>
      </c>
      <c r="Y59" s="1556" t="s">
        <v>21</v>
      </c>
      <c r="AA59" s="1555">
        <v>0</v>
      </c>
      <c r="AB59" s="1556">
        <v>384</v>
      </c>
    </row>
    <row r="60" spans="1:28" x14ac:dyDescent="0.25">
      <c r="A60" s="1527" t="s">
        <v>1629</v>
      </c>
      <c r="B60" s="1526">
        <v>68.19</v>
      </c>
      <c r="C60" s="1526">
        <v>5</v>
      </c>
      <c r="D60" s="1525">
        <v>0</v>
      </c>
      <c r="E60" s="1524">
        <v>439.14359999999999</v>
      </c>
      <c r="F60" s="1523">
        <v>138.04</v>
      </c>
      <c r="G60" s="1544">
        <v>0</v>
      </c>
      <c r="H60" s="1520">
        <v>136.38</v>
      </c>
      <c r="I60" s="1522">
        <v>0.08</v>
      </c>
      <c r="J60" s="1521">
        <v>0</v>
      </c>
      <c r="K60" s="1521">
        <v>0.12</v>
      </c>
      <c r="L60" s="1736"/>
      <c r="M60" s="1736"/>
      <c r="N60" s="1520">
        <v>0</v>
      </c>
      <c r="O60" s="1519"/>
      <c r="P60" s="1566" t="s">
        <v>3480</v>
      </c>
      <c r="Q60" s="1566"/>
      <c r="R60" s="1555">
        <v>0</v>
      </c>
      <c r="S60" s="1556">
        <v>340.95</v>
      </c>
      <c r="T60" s="1555">
        <v>0</v>
      </c>
      <c r="U60" s="1555">
        <v>40.913999999999994</v>
      </c>
      <c r="V60" s="1555">
        <v>0</v>
      </c>
      <c r="W60" s="1555">
        <v>0</v>
      </c>
      <c r="Y60" s="1556" t="s">
        <v>21</v>
      </c>
      <c r="AA60" s="1555">
        <v>0</v>
      </c>
      <c r="AB60" s="1556">
        <v>340.95</v>
      </c>
    </row>
    <row r="61" spans="1:28" x14ac:dyDescent="0.25">
      <c r="A61" s="1527" t="s">
        <v>1628</v>
      </c>
      <c r="B61" s="1526">
        <v>34.83</v>
      </c>
      <c r="C61" s="1526">
        <v>5</v>
      </c>
      <c r="D61" s="1525">
        <v>0</v>
      </c>
      <c r="E61" s="1524">
        <v>224.30520000000001</v>
      </c>
      <c r="F61" s="1523">
        <v>50.47</v>
      </c>
      <c r="G61" s="1544">
        <v>0.05</v>
      </c>
      <c r="H61" s="1520">
        <v>69.66</v>
      </c>
      <c r="I61" s="1522">
        <v>0.08</v>
      </c>
      <c r="J61" s="1521">
        <v>0</v>
      </c>
      <c r="K61" s="1521">
        <v>0.12</v>
      </c>
      <c r="L61" s="1736"/>
      <c r="M61" s="1736"/>
      <c r="N61" s="1520">
        <v>0</v>
      </c>
      <c r="O61" s="1519"/>
      <c r="P61" s="1566" t="s">
        <v>3480</v>
      </c>
      <c r="Q61" s="1566"/>
      <c r="R61" s="1555">
        <v>0</v>
      </c>
      <c r="S61" s="1556">
        <v>174.14999999999998</v>
      </c>
      <c r="T61" s="1555">
        <v>0</v>
      </c>
      <c r="U61" s="1555">
        <v>20.897999999999996</v>
      </c>
      <c r="V61" s="1555">
        <v>0</v>
      </c>
      <c r="W61" s="1555">
        <v>0</v>
      </c>
      <c r="Y61" s="1556" t="s">
        <v>21</v>
      </c>
      <c r="AA61" s="1555">
        <v>0</v>
      </c>
      <c r="AB61" s="1556">
        <v>174.14999999999998</v>
      </c>
    </row>
    <row r="62" spans="1:28" x14ac:dyDescent="0.25">
      <c r="A62" s="1527" t="s">
        <v>1627</v>
      </c>
      <c r="B62" s="1526">
        <v>65.84</v>
      </c>
      <c r="C62" s="1526">
        <v>5</v>
      </c>
      <c r="D62" s="1525">
        <v>0</v>
      </c>
      <c r="E62" s="1524">
        <v>424.00960000000003</v>
      </c>
      <c r="F62" s="1523">
        <v>158.08000000000001</v>
      </c>
      <c r="G62" s="1544">
        <v>0</v>
      </c>
      <c r="H62" s="1520">
        <v>131.68</v>
      </c>
      <c r="I62" s="1522">
        <v>0.08</v>
      </c>
      <c r="J62" s="1521">
        <v>0</v>
      </c>
      <c r="K62" s="1521">
        <v>0.12</v>
      </c>
      <c r="L62" s="1736"/>
      <c r="M62" s="1736"/>
      <c r="N62" s="1520">
        <v>0</v>
      </c>
      <c r="O62" s="1519"/>
      <c r="P62" s="1566" t="s">
        <v>3480</v>
      </c>
      <c r="Q62" s="1566"/>
      <c r="R62" s="1555">
        <v>0</v>
      </c>
      <c r="S62" s="1556">
        <v>329.20000000000005</v>
      </c>
      <c r="T62" s="1555">
        <v>0</v>
      </c>
      <c r="U62" s="1555">
        <v>39.504000000000005</v>
      </c>
      <c r="V62" s="1555">
        <v>0</v>
      </c>
      <c r="W62" s="1555">
        <v>0</v>
      </c>
      <c r="Y62" s="1556" t="s">
        <v>21</v>
      </c>
      <c r="AA62" s="1555">
        <v>0</v>
      </c>
      <c r="AB62" s="1556">
        <v>329.20000000000005</v>
      </c>
    </row>
    <row r="63" spans="1:28" x14ac:dyDescent="0.25">
      <c r="A63" s="1527" t="s">
        <v>1626</v>
      </c>
      <c r="B63" s="1526">
        <v>37.39</v>
      </c>
      <c r="C63" s="1526">
        <v>4</v>
      </c>
      <c r="D63" s="1525">
        <v>0</v>
      </c>
      <c r="E63" s="1524">
        <v>203.40160000000003</v>
      </c>
      <c r="F63" s="1523">
        <v>68.03</v>
      </c>
      <c r="G63" s="1544">
        <v>0</v>
      </c>
      <c r="H63" s="1520">
        <v>74.78</v>
      </c>
      <c r="I63" s="1522">
        <v>0.08</v>
      </c>
      <c r="J63" s="1521">
        <v>0</v>
      </c>
      <c r="K63" s="1521">
        <v>0.12</v>
      </c>
      <c r="L63" s="1736"/>
      <c r="M63" s="1736"/>
      <c r="N63" s="1520">
        <v>0</v>
      </c>
      <c r="O63" s="1519"/>
      <c r="P63" s="1566" t="s">
        <v>3480</v>
      </c>
      <c r="Q63" s="1566"/>
      <c r="R63" s="1555">
        <v>0</v>
      </c>
      <c r="S63" s="1556">
        <v>149.56</v>
      </c>
      <c r="T63" s="1555">
        <v>0</v>
      </c>
      <c r="U63" s="1555">
        <v>17.947199999999999</v>
      </c>
      <c r="V63" s="1555">
        <v>0</v>
      </c>
      <c r="W63" s="1555">
        <v>0</v>
      </c>
      <c r="Y63" s="1556" t="s">
        <v>21</v>
      </c>
      <c r="AA63" s="1555">
        <v>0</v>
      </c>
      <c r="AB63" s="1556">
        <v>149.56</v>
      </c>
    </row>
    <row r="64" spans="1:28" x14ac:dyDescent="0.25">
      <c r="A64" s="1527" t="s">
        <v>3492</v>
      </c>
      <c r="B64" s="1526">
        <v>89.75</v>
      </c>
      <c r="C64" s="1526">
        <v>5</v>
      </c>
      <c r="D64" s="1525">
        <v>0</v>
      </c>
      <c r="E64" s="1524">
        <v>577.99</v>
      </c>
      <c r="F64" s="1523">
        <v>170.94</v>
      </c>
      <c r="G64" s="1544">
        <v>0.28999999999999998</v>
      </c>
      <c r="H64" s="1520">
        <v>179.5</v>
      </c>
      <c r="I64" s="1522">
        <v>0.08</v>
      </c>
      <c r="J64" s="1521">
        <v>0</v>
      </c>
      <c r="K64" s="1521">
        <v>0.12</v>
      </c>
      <c r="L64" s="1736"/>
      <c r="M64" s="1736"/>
      <c r="N64" s="1520">
        <v>0</v>
      </c>
      <c r="O64" s="1519"/>
      <c r="P64" s="1566" t="s">
        <v>3480</v>
      </c>
      <c r="Q64" s="1566"/>
      <c r="R64" s="1555">
        <v>0</v>
      </c>
      <c r="S64" s="1556">
        <v>448.75</v>
      </c>
      <c r="T64" s="1555">
        <v>0</v>
      </c>
      <c r="U64" s="1555">
        <v>53.85</v>
      </c>
      <c r="V64" s="1555">
        <v>0</v>
      </c>
      <c r="W64" s="1555">
        <v>0</v>
      </c>
      <c r="Y64" s="1556" t="s">
        <v>21</v>
      </c>
      <c r="AA64" s="1555">
        <v>0</v>
      </c>
      <c r="AB64" s="1556">
        <v>448.75</v>
      </c>
    </row>
    <row r="65" spans="1:28" x14ac:dyDescent="0.25">
      <c r="A65" s="1527" t="s">
        <v>1625</v>
      </c>
      <c r="B65" s="1526">
        <v>95.35</v>
      </c>
      <c r="C65" s="1526">
        <v>5</v>
      </c>
      <c r="D65" s="1525">
        <v>0</v>
      </c>
      <c r="E65" s="1524">
        <v>614.05399999999997</v>
      </c>
      <c r="F65" s="1523">
        <v>163.09</v>
      </c>
      <c r="G65" s="1544">
        <v>4.09</v>
      </c>
      <c r="H65" s="1520">
        <v>190.7</v>
      </c>
      <c r="I65" s="1522">
        <v>0.08</v>
      </c>
      <c r="J65" s="1521">
        <v>0</v>
      </c>
      <c r="K65" s="1521">
        <v>0.12</v>
      </c>
      <c r="L65" s="1736"/>
      <c r="M65" s="1736"/>
      <c r="N65" s="1520">
        <v>0</v>
      </c>
      <c r="O65" s="1519"/>
      <c r="P65" s="1566" t="s">
        <v>3480</v>
      </c>
      <c r="Q65" s="1566"/>
      <c r="R65" s="1555">
        <v>0</v>
      </c>
      <c r="S65" s="1556">
        <v>476.75</v>
      </c>
      <c r="T65" s="1555">
        <v>0</v>
      </c>
      <c r="U65" s="1555">
        <v>57.21</v>
      </c>
      <c r="V65" s="1555">
        <v>0</v>
      </c>
      <c r="W65" s="1555">
        <v>0</v>
      </c>
      <c r="Y65" s="1556" t="s">
        <v>21</v>
      </c>
      <c r="AA65" s="1555">
        <v>0</v>
      </c>
      <c r="AB65" s="1556">
        <v>476.75</v>
      </c>
    </row>
    <row r="66" spans="1:28" x14ac:dyDescent="0.25">
      <c r="A66" s="1527" t="s">
        <v>1624</v>
      </c>
      <c r="B66" s="1526">
        <v>130.74</v>
      </c>
      <c r="C66" s="1526">
        <v>4</v>
      </c>
      <c r="D66" s="1525">
        <v>0</v>
      </c>
      <c r="E66" s="1524">
        <v>711.2256000000001</v>
      </c>
      <c r="F66" s="1523">
        <v>163.09</v>
      </c>
      <c r="G66" s="1544">
        <v>4.09</v>
      </c>
      <c r="H66" s="1520">
        <v>261.48</v>
      </c>
      <c r="I66" s="1522">
        <v>0.08</v>
      </c>
      <c r="J66" s="1521">
        <v>0</v>
      </c>
      <c r="K66" s="1521">
        <v>0.12</v>
      </c>
      <c r="L66" s="1736"/>
      <c r="M66" s="1736"/>
      <c r="N66" s="1520">
        <v>0</v>
      </c>
      <c r="O66" s="1519"/>
      <c r="P66" s="1566" t="s">
        <v>3480</v>
      </c>
      <c r="Q66" s="1566"/>
      <c r="R66" s="1555">
        <v>0</v>
      </c>
      <c r="S66" s="1556">
        <v>522.96</v>
      </c>
      <c r="T66" s="1555">
        <v>0</v>
      </c>
      <c r="U66" s="1555">
        <v>62.755200000000002</v>
      </c>
      <c r="V66" s="1555">
        <v>0</v>
      </c>
      <c r="W66" s="1555">
        <v>0</v>
      </c>
      <c r="Y66" s="1556" t="s">
        <v>21</v>
      </c>
      <c r="AA66" s="1555">
        <v>0</v>
      </c>
      <c r="AB66" s="1556">
        <v>522.96</v>
      </c>
    </row>
    <row r="67" spans="1:28" s="1752" customFormat="1" x14ac:dyDescent="0.25">
      <c r="A67" s="1753" t="s">
        <v>1623</v>
      </c>
      <c r="B67" s="1739">
        <v>63.15</v>
      </c>
      <c r="C67" s="1739">
        <v>4.4000000000000004</v>
      </c>
      <c r="D67" s="1740">
        <v>0</v>
      </c>
      <c r="E67" s="1741">
        <v>368.79600000000005</v>
      </c>
      <c r="F67" s="1742">
        <v>125.21</v>
      </c>
      <c r="G67" s="1743">
        <v>0</v>
      </c>
      <c r="H67" s="1744">
        <v>126.3</v>
      </c>
      <c r="I67" s="1745">
        <v>0.08</v>
      </c>
      <c r="J67" s="1746">
        <v>0</v>
      </c>
      <c r="K67" s="1746">
        <v>0.12</v>
      </c>
      <c r="L67" s="1747">
        <v>0.6</v>
      </c>
      <c r="M67" s="1747"/>
      <c r="N67" s="1744">
        <v>0</v>
      </c>
      <c r="O67" s="1748"/>
      <c r="P67" s="1749" t="s">
        <v>3480</v>
      </c>
      <c r="Q67" s="1749"/>
      <c r="R67" s="1750">
        <v>0</v>
      </c>
      <c r="S67" s="1751">
        <v>277.86</v>
      </c>
      <c r="T67" s="1750">
        <v>166.71600000000001</v>
      </c>
      <c r="U67" s="1750">
        <v>33.343200000000003</v>
      </c>
      <c r="V67" s="1750">
        <v>0</v>
      </c>
      <c r="W67" s="1750">
        <v>0</v>
      </c>
      <c r="X67" s="1750"/>
      <c r="Y67" s="1751" t="s">
        <v>21</v>
      </c>
      <c r="Z67" s="1750"/>
      <c r="AA67" s="1750">
        <v>0</v>
      </c>
      <c r="AB67" s="1751">
        <v>277.86</v>
      </c>
    </row>
    <row r="68" spans="1:28" s="1752" customFormat="1" x14ac:dyDescent="0.25">
      <c r="A68" s="1753" t="s">
        <v>1622</v>
      </c>
      <c r="B68" s="1739">
        <v>79.150000000000006</v>
      </c>
      <c r="C68" s="1739">
        <v>5</v>
      </c>
      <c r="D68" s="1740">
        <v>0</v>
      </c>
      <c r="E68" s="1741">
        <v>509.72600000000006</v>
      </c>
      <c r="F68" s="1742">
        <v>162.46</v>
      </c>
      <c r="G68" s="1743">
        <v>0.3</v>
      </c>
      <c r="H68" s="1744">
        <v>158.30000000000001</v>
      </c>
      <c r="I68" s="1745">
        <v>0.08</v>
      </c>
      <c r="J68" s="1746">
        <v>0</v>
      </c>
      <c r="K68" s="1746">
        <v>0.12</v>
      </c>
      <c r="L68" s="1747">
        <v>0.6</v>
      </c>
      <c r="M68" s="1747"/>
      <c r="N68" s="1744">
        <v>0</v>
      </c>
      <c r="O68" s="1748"/>
      <c r="P68" s="1749" t="s">
        <v>3480</v>
      </c>
      <c r="Q68" s="1749"/>
      <c r="R68" s="1750">
        <v>0</v>
      </c>
      <c r="S68" s="1751">
        <v>395.75</v>
      </c>
      <c r="T68" s="1750">
        <v>237.45</v>
      </c>
      <c r="U68" s="1750">
        <v>47.489999999999995</v>
      </c>
      <c r="V68" s="1750">
        <v>0</v>
      </c>
      <c r="W68" s="1750">
        <v>0</v>
      </c>
      <c r="X68" s="1750"/>
      <c r="Y68" s="1751" t="s">
        <v>21</v>
      </c>
      <c r="Z68" s="1750"/>
      <c r="AA68" s="1750">
        <v>0</v>
      </c>
      <c r="AB68" s="1751">
        <v>395.75</v>
      </c>
    </row>
    <row r="69" spans="1:28" s="1752" customFormat="1" x14ac:dyDescent="0.25">
      <c r="A69" s="1753" t="s">
        <v>1621</v>
      </c>
      <c r="B69" s="1739">
        <v>45.96</v>
      </c>
      <c r="C69" s="1739">
        <v>5</v>
      </c>
      <c r="D69" s="1740">
        <v>0</v>
      </c>
      <c r="E69" s="1741">
        <v>295.98240000000004</v>
      </c>
      <c r="F69" s="1742">
        <v>81.900000000000006</v>
      </c>
      <c r="G69" s="1743">
        <v>0</v>
      </c>
      <c r="H69" s="1744">
        <v>91.92</v>
      </c>
      <c r="I69" s="1745">
        <v>0.08</v>
      </c>
      <c r="J69" s="1746">
        <v>0</v>
      </c>
      <c r="K69" s="1746">
        <v>0.12</v>
      </c>
      <c r="L69" s="1747">
        <v>0.6</v>
      </c>
      <c r="M69" s="1747"/>
      <c r="N69" s="1744">
        <v>0</v>
      </c>
      <c r="O69" s="1748"/>
      <c r="P69" s="1749" t="s">
        <v>3480</v>
      </c>
      <c r="Q69" s="1749"/>
      <c r="R69" s="1750">
        <v>0</v>
      </c>
      <c r="S69" s="1751">
        <v>229.8</v>
      </c>
      <c r="T69" s="1750">
        <v>137.88</v>
      </c>
      <c r="U69" s="1750">
        <v>27.576000000000001</v>
      </c>
      <c r="V69" s="1750">
        <v>0</v>
      </c>
      <c r="W69" s="1750">
        <v>0</v>
      </c>
      <c r="X69" s="1750"/>
      <c r="Y69" s="1751" t="s">
        <v>21</v>
      </c>
      <c r="Z69" s="1750"/>
      <c r="AA69" s="1750">
        <v>0</v>
      </c>
      <c r="AB69" s="1751">
        <v>229.8</v>
      </c>
    </row>
    <row r="70" spans="1:28" s="1752" customFormat="1" x14ac:dyDescent="0.25">
      <c r="A70" s="1753" t="s">
        <v>1620</v>
      </c>
      <c r="B70" s="1739">
        <v>30.21</v>
      </c>
      <c r="C70" s="1739">
        <v>4.4000000000000004</v>
      </c>
      <c r="D70" s="1740">
        <v>0</v>
      </c>
      <c r="E70" s="1741">
        <v>176.42640000000003</v>
      </c>
      <c r="F70" s="1742">
        <v>49.7</v>
      </c>
      <c r="G70" s="1743">
        <v>0.01</v>
      </c>
      <c r="H70" s="1744">
        <v>60.42</v>
      </c>
      <c r="I70" s="1745">
        <v>0.08</v>
      </c>
      <c r="J70" s="1746">
        <v>0</v>
      </c>
      <c r="K70" s="1746">
        <v>0.12</v>
      </c>
      <c r="L70" s="1747">
        <v>0.6</v>
      </c>
      <c r="M70" s="1747"/>
      <c r="N70" s="1744">
        <v>0</v>
      </c>
      <c r="O70" s="1748"/>
      <c r="P70" s="1749" t="s">
        <v>3480</v>
      </c>
      <c r="Q70" s="1749"/>
      <c r="R70" s="1750">
        <v>0</v>
      </c>
      <c r="S70" s="1751">
        <v>132.92400000000001</v>
      </c>
      <c r="T70" s="1750">
        <v>79.754400000000004</v>
      </c>
      <c r="U70" s="1750">
        <v>15.95088</v>
      </c>
      <c r="V70" s="1750">
        <v>0</v>
      </c>
      <c r="W70" s="1750">
        <v>0</v>
      </c>
      <c r="X70" s="1750"/>
      <c r="Y70" s="1751" t="s">
        <v>21</v>
      </c>
      <c r="Z70" s="1750"/>
      <c r="AA70" s="1750">
        <v>0</v>
      </c>
      <c r="AB70" s="1751">
        <v>132.92400000000001</v>
      </c>
    </row>
    <row r="71" spans="1:28" s="1752" customFormat="1" x14ac:dyDescent="0.25">
      <c r="A71" s="1753" t="s">
        <v>1619</v>
      </c>
      <c r="B71" s="1739">
        <v>68.180000000000007</v>
      </c>
      <c r="C71" s="1739">
        <v>4.4000000000000004</v>
      </c>
      <c r="D71" s="1740">
        <v>0</v>
      </c>
      <c r="E71" s="1741">
        <v>398.17120000000011</v>
      </c>
      <c r="F71" s="1742">
        <v>135.84</v>
      </c>
      <c r="G71" s="1743">
        <v>1.49</v>
      </c>
      <c r="H71" s="1744">
        <v>136.36000000000001</v>
      </c>
      <c r="I71" s="1745">
        <v>0.08</v>
      </c>
      <c r="J71" s="1746">
        <v>0</v>
      </c>
      <c r="K71" s="1746">
        <v>0.12</v>
      </c>
      <c r="L71" s="1747">
        <v>0.6</v>
      </c>
      <c r="M71" s="1747"/>
      <c r="N71" s="1744">
        <v>0</v>
      </c>
      <c r="O71" s="1748"/>
      <c r="P71" s="1749" t="s">
        <v>3480</v>
      </c>
      <c r="Q71" s="1749"/>
      <c r="R71" s="1750">
        <v>0</v>
      </c>
      <c r="S71" s="1751">
        <v>299.99200000000008</v>
      </c>
      <c r="T71" s="1750">
        <v>179.99520000000004</v>
      </c>
      <c r="U71" s="1750">
        <v>35.999040000000008</v>
      </c>
      <c r="V71" s="1750">
        <v>0</v>
      </c>
      <c r="W71" s="1750">
        <v>0</v>
      </c>
      <c r="X71" s="1750"/>
      <c r="Y71" s="1751" t="s">
        <v>21</v>
      </c>
      <c r="Z71" s="1750"/>
      <c r="AA71" s="1750">
        <v>0</v>
      </c>
      <c r="AB71" s="1751">
        <v>299.99200000000008</v>
      </c>
    </row>
    <row r="72" spans="1:28" s="1752" customFormat="1" x14ac:dyDescent="0.25">
      <c r="A72" s="1753" t="s">
        <v>1618</v>
      </c>
      <c r="B72" s="1739">
        <v>21.83</v>
      </c>
      <c r="C72" s="1739">
        <v>5</v>
      </c>
      <c r="D72" s="1740">
        <v>0</v>
      </c>
      <c r="E72" s="1741">
        <v>140.58519999999999</v>
      </c>
      <c r="F72" s="1742">
        <v>38.049999999999997</v>
      </c>
      <c r="G72" s="1743">
        <v>0</v>
      </c>
      <c r="H72" s="1744">
        <v>43.66</v>
      </c>
      <c r="I72" s="1745">
        <v>0.08</v>
      </c>
      <c r="J72" s="1746">
        <v>0</v>
      </c>
      <c r="K72" s="1746">
        <v>0.12</v>
      </c>
      <c r="L72" s="1747">
        <v>0.6</v>
      </c>
      <c r="M72" s="1747"/>
      <c r="N72" s="1744">
        <v>0</v>
      </c>
      <c r="O72" s="1748"/>
      <c r="P72" s="1749" t="s">
        <v>3480</v>
      </c>
      <c r="Q72" s="1749"/>
      <c r="R72" s="1750">
        <v>0</v>
      </c>
      <c r="S72" s="1751">
        <v>109.14999999999999</v>
      </c>
      <c r="T72" s="1750">
        <v>65.489999999999995</v>
      </c>
      <c r="U72" s="1750">
        <v>13.097999999999999</v>
      </c>
      <c r="V72" s="1750">
        <v>0</v>
      </c>
      <c r="W72" s="1750">
        <v>0</v>
      </c>
      <c r="X72" s="1750"/>
      <c r="Y72" s="1751" t="s">
        <v>21</v>
      </c>
      <c r="Z72" s="1750"/>
      <c r="AA72" s="1750">
        <v>0</v>
      </c>
      <c r="AB72" s="1751">
        <v>109.14999999999999</v>
      </c>
    </row>
    <row r="73" spans="1:28" s="1752" customFormat="1" x14ac:dyDescent="0.25">
      <c r="A73" s="1753" t="s">
        <v>1617</v>
      </c>
      <c r="B73" s="1739">
        <v>54.31</v>
      </c>
      <c r="C73" s="1739">
        <v>5</v>
      </c>
      <c r="D73" s="1740">
        <v>0</v>
      </c>
      <c r="E73" s="1741">
        <v>349.75640000000004</v>
      </c>
      <c r="F73" s="1742">
        <v>87.8</v>
      </c>
      <c r="G73" s="1743">
        <v>0.14000000000000001</v>
      </c>
      <c r="H73" s="1744">
        <v>108.62</v>
      </c>
      <c r="I73" s="1745">
        <v>0.08</v>
      </c>
      <c r="J73" s="1746">
        <v>0</v>
      </c>
      <c r="K73" s="1746">
        <v>0.12</v>
      </c>
      <c r="L73" s="1747">
        <v>0.6</v>
      </c>
      <c r="M73" s="1747"/>
      <c r="N73" s="1744">
        <v>0</v>
      </c>
      <c r="O73" s="1748"/>
      <c r="P73" s="1749" t="s">
        <v>3480</v>
      </c>
      <c r="Q73" s="1749"/>
      <c r="R73" s="1750">
        <v>0</v>
      </c>
      <c r="S73" s="1751">
        <v>271.55</v>
      </c>
      <c r="T73" s="1750">
        <v>162.93</v>
      </c>
      <c r="U73" s="1750">
        <v>32.585999999999999</v>
      </c>
      <c r="V73" s="1750">
        <v>0</v>
      </c>
      <c r="W73" s="1750">
        <v>0</v>
      </c>
      <c r="X73" s="1750"/>
      <c r="Y73" s="1751" t="s">
        <v>21</v>
      </c>
      <c r="Z73" s="1750"/>
      <c r="AA73" s="1750">
        <v>0</v>
      </c>
      <c r="AB73" s="1751">
        <v>271.55</v>
      </c>
    </row>
    <row r="74" spans="1:28" s="1752" customFormat="1" x14ac:dyDescent="0.25">
      <c r="A74" s="1753" t="s">
        <v>1616</v>
      </c>
      <c r="B74" s="1739">
        <v>91.42</v>
      </c>
      <c r="C74" s="1739">
        <v>5</v>
      </c>
      <c r="D74" s="1740">
        <v>0</v>
      </c>
      <c r="E74" s="1741">
        <v>588.74480000000005</v>
      </c>
      <c r="F74" s="1742">
        <v>192.61</v>
      </c>
      <c r="G74" s="1743">
        <v>0</v>
      </c>
      <c r="H74" s="1744">
        <v>182.84</v>
      </c>
      <c r="I74" s="1745">
        <v>0.08</v>
      </c>
      <c r="J74" s="1746">
        <v>0</v>
      </c>
      <c r="K74" s="1746">
        <v>0.12</v>
      </c>
      <c r="L74" s="1747">
        <v>0.6</v>
      </c>
      <c r="M74" s="1747"/>
      <c r="N74" s="1744">
        <v>0</v>
      </c>
      <c r="O74" s="1748"/>
      <c r="P74" s="1749" t="s">
        <v>3480</v>
      </c>
      <c r="Q74" s="1749"/>
      <c r="R74" s="1750">
        <v>0</v>
      </c>
      <c r="S74" s="1751">
        <v>457.1</v>
      </c>
      <c r="T74" s="1750">
        <v>274.26</v>
      </c>
      <c r="U74" s="1750">
        <v>54.852000000000004</v>
      </c>
      <c r="V74" s="1750">
        <v>0</v>
      </c>
      <c r="W74" s="1750">
        <v>0</v>
      </c>
      <c r="X74" s="1750"/>
      <c r="Y74" s="1751" t="s">
        <v>21</v>
      </c>
      <c r="Z74" s="1750"/>
      <c r="AA74" s="1750">
        <v>0</v>
      </c>
      <c r="AB74" s="1751">
        <v>457.1</v>
      </c>
    </row>
    <row r="75" spans="1:28" x14ac:dyDescent="0.25">
      <c r="A75" s="1527" t="s">
        <v>1615</v>
      </c>
      <c r="B75" s="1526">
        <v>57.48</v>
      </c>
      <c r="C75" s="1526">
        <v>5</v>
      </c>
      <c r="D75" s="1525">
        <v>0</v>
      </c>
      <c r="E75" s="1524">
        <v>370.1712</v>
      </c>
      <c r="F75" s="1523">
        <v>69.12</v>
      </c>
      <c r="G75" s="1544">
        <v>0.81</v>
      </c>
      <c r="H75" s="1520">
        <v>114.96</v>
      </c>
      <c r="I75" s="1522">
        <v>0.08</v>
      </c>
      <c r="J75" s="1521">
        <v>0</v>
      </c>
      <c r="K75" s="1521">
        <v>0.12</v>
      </c>
      <c r="L75" s="1736"/>
      <c r="M75" s="1736"/>
      <c r="N75" s="1520">
        <v>0</v>
      </c>
      <c r="O75" s="1519"/>
      <c r="P75" s="1566" t="s">
        <v>3480</v>
      </c>
      <c r="Q75" s="1566"/>
      <c r="R75" s="1555">
        <v>0</v>
      </c>
      <c r="S75" s="1556">
        <v>287.39999999999998</v>
      </c>
      <c r="T75" s="1555">
        <v>0</v>
      </c>
      <c r="U75" s="1555">
        <v>34.488</v>
      </c>
      <c r="V75" s="1555">
        <v>0</v>
      </c>
      <c r="W75" s="1555">
        <v>0</v>
      </c>
      <c r="Y75" s="1556" t="s">
        <v>21</v>
      </c>
      <c r="AA75" s="1555">
        <v>0</v>
      </c>
      <c r="AB75" s="1556">
        <v>287.39999999999998</v>
      </c>
    </row>
    <row r="76" spans="1:28" s="1752" customFormat="1" x14ac:dyDescent="0.25">
      <c r="A76" s="1753" t="s">
        <v>1614</v>
      </c>
      <c r="B76" s="1739">
        <v>342.24</v>
      </c>
      <c r="C76" s="1739">
        <v>5</v>
      </c>
      <c r="D76" s="1740">
        <v>0</v>
      </c>
      <c r="E76" s="1741">
        <v>2204.0256000000004</v>
      </c>
      <c r="F76" s="1742">
        <v>705</v>
      </c>
      <c r="G76" s="1743">
        <v>59.67</v>
      </c>
      <c r="H76" s="1744">
        <v>684.48</v>
      </c>
      <c r="I76" s="1745">
        <v>0.08</v>
      </c>
      <c r="J76" s="1746">
        <v>0</v>
      </c>
      <c r="K76" s="1746">
        <v>0.12</v>
      </c>
      <c r="L76" s="1747">
        <v>0.6</v>
      </c>
      <c r="M76" s="1747"/>
      <c r="N76" s="1744">
        <v>0</v>
      </c>
      <c r="O76" s="1748"/>
      <c r="P76" s="1749" t="s">
        <v>3480</v>
      </c>
      <c r="Q76" s="1749"/>
      <c r="R76" s="1750">
        <v>0</v>
      </c>
      <c r="S76" s="1751">
        <v>1711.2</v>
      </c>
      <c r="T76" s="1750">
        <v>1026.72</v>
      </c>
      <c r="U76" s="1750">
        <v>205.34399999999999</v>
      </c>
      <c r="V76" s="1750">
        <v>0</v>
      </c>
      <c r="W76" s="1750">
        <v>0</v>
      </c>
      <c r="X76" s="1750"/>
      <c r="Y76" s="1751" t="s">
        <v>21</v>
      </c>
      <c r="Z76" s="1750"/>
      <c r="AA76" s="1750">
        <v>0</v>
      </c>
      <c r="AB76" s="1751">
        <v>1711.2</v>
      </c>
    </row>
    <row r="77" spans="1:28" x14ac:dyDescent="0.25">
      <c r="A77" s="1527" t="s">
        <v>1613</v>
      </c>
      <c r="B77" s="1526">
        <v>107.64</v>
      </c>
      <c r="C77" s="1526">
        <v>5</v>
      </c>
      <c r="D77" s="1525">
        <v>0</v>
      </c>
      <c r="E77" s="1524">
        <v>693.2016000000001</v>
      </c>
      <c r="F77" s="1523">
        <v>173.2</v>
      </c>
      <c r="G77" s="1544">
        <v>2.17</v>
      </c>
      <c r="H77" s="1520">
        <v>215.28</v>
      </c>
      <c r="I77" s="1522">
        <v>0.08</v>
      </c>
      <c r="J77" s="1521">
        <v>0</v>
      </c>
      <c r="K77" s="1521">
        <v>0.12</v>
      </c>
      <c r="L77" s="1736"/>
      <c r="M77" s="1736"/>
      <c r="N77" s="1520">
        <v>0</v>
      </c>
      <c r="O77" s="1519"/>
      <c r="P77" s="1566" t="s">
        <v>3480</v>
      </c>
      <c r="Q77" s="1566"/>
      <c r="R77" s="1555">
        <v>0</v>
      </c>
      <c r="S77" s="1556">
        <v>538.20000000000005</v>
      </c>
      <c r="T77" s="1555">
        <v>0</v>
      </c>
      <c r="U77" s="1555">
        <v>64.584000000000003</v>
      </c>
      <c r="V77" s="1555">
        <v>0</v>
      </c>
      <c r="W77" s="1555">
        <v>0</v>
      </c>
      <c r="Y77" s="1556" t="s">
        <v>21</v>
      </c>
      <c r="AA77" s="1555">
        <v>0</v>
      </c>
      <c r="AB77" s="1556">
        <v>538.20000000000005</v>
      </c>
    </row>
    <row r="78" spans="1:28" x14ac:dyDescent="0.25">
      <c r="A78" s="1527" t="s">
        <v>1612</v>
      </c>
      <c r="B78" s="1526">
        <v>137.94999999999999</v>
      </c>
      <c r="C78" s="1526">
        <v>5</v>
      </c>
      <c r="D78" s="1525">
        <v>0</v>
      </c>
      <c r="E78" s="1524">
        <v>888.39800000000002</v>
      </c>
      <c r="F78" s="1523">
        <v>235.86</v>
      </c>
      <c r="G78" s="1544">
        <v>0.87</v>
      </c>
      <c r="H78" s="1520">
        <v>275.89999999999998</v>
      </c>
      <c r="I78" s="1522">
        <v>0.08</v>
      </c>
      <c r="J78" s="1521">
        <v>0</v>
      </c>
      <c r="K78" s="1521">
        <v>0.12</v>
      </c>
      <c r="L78" s="1736"/>
      <c r="M78" s="1736"/>
      <c r="N78" s="1520">
        <v>0</v>
      </c>
      <c r="O78" s="1519"/>
      <c r="P78" s="1566" t="s">
        <v>3480</v>
      </c>
      <c r="Q78" s="1566"/>
      <c r="R78" s="1555">
        <v>0</v>
      </c>
      <c r="S78" s="1556">
        <v>689.75</v>
      </c>
      <c r="T78" s="1555">
        <v>0</v>
      </c>
      <c r="U78" s="1555">
        <v>82.77</v>
      </c>
      <c r="V78" s="1555">
        <v>0</v>
      </c>
      <c r="W78" s="1555">
        <v>0</v>
      </c>
      <c r="Y78" s="1556" t="s">
        <v>21</v>
      </c>
      <c r="AA78" s="1555">
        <v>0</v>
      </c>
      <c r="AB78" s="1556">
        <v>689.75</v>
      </c>
    </row>
    <row r="79" spans="1:28" x14ac:dyDescent="0.25">
      <c r="A79" s="1527" t="s">
        <v>1611</v>
      </c>
      <c r="B79" s="1526">
        <v>67.84</v>
      </c>
      <c r="C79" s="1526">
        <v>4.4000000000000004</v>
      </c>
      <c r="D79" s="1525">
        <v>0</v>
      </c>
      <c r="E79" s="1524">
        <v>396.18560000000008</v>
      </c>
      <c r="F79" s="1523">
        <v>127.65</v>
      </c>
      <c r="G79" s="1544">
        <v>0</v>
      </c>
      <c r="H79" s="1520">
        <v>135.68</v>
      </c>
      <c r="I79" s="1522">
        <v>0.08</v>
      </c>
      <c r="J79" s="1521">
        <v>0</v>
      </c>
      <c r="K79" s="1521">
        <v>0.12</v>
      </c>
      <c r="L79" s="1736"/>
      <c r="M79" s="1736"/>
      <c r="N79" s="1520">
        <v>0</v>
      </c>
      <c r="O79" s="1519"/>
      <c r="P79" s="1566" t="s">
        <v>3480</v>
      </c>
      <c r="Q79" s="1566"/>
      <c r="R79" s="1555">
        <v>0</v>
      </c>
      <c r="S79" s="1556">
        <v>298.49600000000004</v>
      </c>
      <c r="T79" s="1555">
        <v>0</v>
      </c>
      <c r="U79" s="1555">
        <v>35.819520000000004</v>
      </c>
      <c r="V79" s="1555">
        <v>0</v>
      </c>
      <c r="W79" s="1555">
        <v>0</v>
      </c>
      <c r="Y79" s="1556" t="s">
        <v>21</v>
      </c>
      <c r="AA79" s="1555">
        <v>0</v>
      </c>
      <c r="AB79" s="1556">
        <v>298.49600000000004</v>
      </c>
    </row>
    <row r="80" spans="1:28" s="1752" customFormat="1" x14ac:dyDescent="0.25">
      <c r="A80" s="1753" t="s">
        <v>1610</v>
      </c>
      <c r="B80" s="1739">
        <v>140.07</v>
      </c>
      <c r="C80" s="1739">
        <v>5</v>
      </c>
      <c r="D80" s="1740">
        <v>0</v>
      </c>
      <c r="E80" s="1741">
        <v>902.05079999999998</v>
      </c>
      <c r="F80" s="1742">
        <v>371.07</v>
      </c>
      <c r="G80" s="1743">
        <v>1.55</v>
      </c>
      <c r="H80" s="1744">
        <v>280.14</v>
      </c>
      <c r="I80" s="1745">
        <v>0.08</v>
      </c>
      <c r="J80" s="1746">
        <v>0</v>
      </c>
      <c r="K80" s="1746">
        <v>0.12</v>
      </c>
      <c r="L80" s="1747">
        <v>0.6</v>
      </c>
      <c r="M80" s="1747"/>
      <c r="N80" s="1744">
        <v>0</v>
      </c>
      <c r="O80" s="1748"/>
      <c r="P80" s="1749" t="s">
        <v>3480</v>
      </c>
      <c r="Q80" s="1749"/>
      <c r="R80" s="1750">
        <v>0</v>
      </c>
      <c r="S80" s="1751">
        <v>700.34999999999991</v>
      </c>
      <c r="T80" s="1750">
        <v>420.20999999999992</v>
      </c>
      <c r="U80" s="1750">
        <v>84.041999999999987</v>
      </c>
      <c r="V80" s="1750">
        <v>0</v>
      </c>
      <c r="W80" s="1750">
        <v>0</v>
      </c>
      <c r="X80" s="1750"/>
      <c r="Y80" s="1751" t="s">
        <v>21</v>
      </c>
      <c r="Z80" s="1750"/>
      <c r="AA80" s="1750">
        <v>0</v>
      </c>
      <c r="AB80" s="1751">
        <v>700.34999999999991</v>
      </c>
    </row>
    <row r="81" spans="1:28" s="1752" customFormat="1" x14ac:dyDescent="0.25">
      <c r="A81" s="1753" t="s">
        <v>1609</v>
      </c>
      <c r="B81" s="1739">
        <v>30.11</v>
      </c>
      <c r="C81" s="1739">
        <v>5</v>
      </c>
      <c r="D81" s="1740">
        <v>0</v>
      </c>
      <c r="E81" s="1741">
        <v>193.9084</v>
      </c>
      <c r="F81" s="1742">
        <v>371.07</v>
      </c>
      <c r="G81" s="1743">
        <v>1.55</v>
      </c>
      <c r="H81" s="1744">
        <v>60.22</v>
      </c>
      <c r="I81" s="1745">
        <v>0.08</v>
      </c>
      <c r="J81" s="1746">
        <v>0</v>
      </c>
      <c r="K81" s="1746">
        <v>0.12</v>
      </c>
      <c r="L81" s="1747">
        <v>0.6</v>
      </c>
      <c r="M81" s="1747"/>
      <c r="N81" s="1744">
        <v>0</v>
      </c>
      <c r="O81" s="1748"/>
      <c r="P81" s="1749" t="s">
        <v>3480</v>
      </c>
      <c r="Q81" s="1749"/>
      <c r="R81" s="1750">
        <v>0</v>
      </c>
      <c r="S81" s="1751">
        <v>150.55000000000001</v>
      </c>
      <c r="T81" s="1750">
        <v>90.33</v>
      </c>
      <c r="U81" s="1750">
        <v>18.065999999999999</v>
      </c>
      <c r="V81" s="1750">
        <v>0</v>
      </c>
      <c r="W81" s="1750">
        <v>0</v>
      </c>
      <c r="X81" s="1750"/>
      <c r="Y81" s="1751" t="s">
        <v>21</v>
      </c>
      <c r="Z81" s="1750"/>
      <c r="AA81" s="1750">
        <v>0</v>
      </c>
      <c r="AB81" s="1751">
        <v>150.55000000000001</v>
      </c>
    </row>
    <row r="82" spans="1:28" s="1752" customFormat="1" x14ac:dyDescent="0.25">
      <c r="A82" s="1753" t="s">
        <v>1608</v>
      </c>
      <c r="B82" s="1739">
        <v>33.32</v>
      </c>
      <c r="C82" s="1739">
        <v>5</v>
      </c>
      <c r="D82" s="1740">
        <v>0</v>
      </c>
      <c r="E82" s="1741">
        <v>214.58080000000001</v>
      </c>
      <c r="F82" s="1742">
        <v>55.56</v>
      </c>
      <c r="G82" s="1743">
        <v>0</v>
      </c>
      <c r="H82" s="1744">
        <v>66.64</v>
      </c>
      <c r="I82" s="1745">
        <v>0.08</v>
      </c>
      <c r="J82" s="1746">
        <v>0</v>
      </c>
      <c r="K82" s="1746">
        <v>0.12</v>
      </c>
      <c r="L82" s="1747">
        <v>0.6</v>
      </c>
      <c r="M82" s="1747"/>
      <c r="N82" s="1744">
        <v>0</v>
      </c>
      <c r="O82" s="1748"/>
      <c r="P82" s="1749" t="s">
        <v>3480</v>
      </c>
      <c r="Q82" s="1749"/>
      <c r="R82" s="1750">
        <v>0</v>
      </c>
      <c r="S82" s="1751">
        <v>166.6</v>
      </c>
      <c r="T82" s="1750">
        <v>99.96</v>
      </c>
      <c r="U82" s="1750">
        <v>19.991999999999997</v>
      </c>
      <c r="V82" s="1750">
        <v>0</v>
      </c>
      <c r="W82" s="1750">
        <v>0</v>
      </c>
      <c r="X82" s="1750"/>
      <c r="Y82" s="1751" t="s">
        <v>21</v>
      </c>
      <c r="Z82" s="1750"/>
      <c r="AA82" s="1750">
        <v>0</v>
      </c>
      <c r="AB82" s="1751">
        <v>166.6</v>
      </c>
    </row>
    <row r="83" spans="1:28" s="1752" customFormat="1" x14ac:dyDescent="0.25">
      <c r="A83" s="1753" t="s">
        <v>1607</v>
      </c>
      <c r="B83" s="1739">
        <v>111.19</v>
      </c>
      <c r="C83" s="1739">
        <v>5</v>
      </c>
      <c r="D83" s="1740">
        <v>0</v>
      </c>
      <c r="E83" s="1741">
        <v>716.06360000000006</v>
      </c>
      <c r="F83" s="1742">
        <v>208.03</v>
      </c>
      <c r="G83" s="1743">
        <v>0.15</v>
      </c>
      <c r="H83" s="1744">
        <v>222.38</v>
      </c>
      <c r="I83" s="1745">
        <v>0.08</v>
      </c>
      <c r="J83" s="1746">
        <v>0</v>
      </c>
      <c r="K83" s="1746">
        <v>0.12</v>
      </c>
      <c r="L83" s="1747">
        <v>0.6</v>
      </c>
      <c r="M83" s="1747"/>
      <c r="N83" s="1744">
        <v>0</v>
      </c>
      <c r="O83" s="1748"/>
      <c r="P83" s="1749" t="s">
        <v>3480</v>
      </c>
      <c r="Q83" s="1749"/>
      <c r="R83" s="1750">
        <v>0</v>
      </c>
      <c r="S83" s="1751">
        <v>555.95000000000005</v>
      </c>
      <c r="T83" s="1750">
        <v>333.57</v>
      </c>
      <c r="U83" s="1750">
        <v>66.713999999999999</v>
      </c>
      <c r="V83" s="1750">
        <v>0</v>
      </c>
      <c r="W83" s="1750">
        <v>0</v>
      </c>
      <c r="X83" s="1750"/>
      <c r="Y83" s="1751" t="s">
        <v>21</v>
      </c>
      <c r="Z83" s="1750"/>
      <c r="AA83" s="1750">
        <v>0</v>
      </c>
      <c r="AB83" s="1751">
        <v>555.95000000000005</v>
      </c>
    </row>
    <row r="84" spans="1:28" x14ac:dyDescent="0.25">
      <c r="A84" s="1527" t="s">
        <v>1606</v>
      </c>
      <c r="B84" s="1526">
        <v>112.76</v>
      </c>
      <c r="C84" s="1526">
        <v>5</v>
      </c>
      <c r="D84" s="1525">
        <v>0</v>
      </c>
      <c r="E84" s="1524">
        <v>726.17440000000011</v>
      </c>
      <c r="F84" s="1523">
        <v>122.22</v>
      </c>
      <c r="G84" s="1544">
        <v>18.59</v>
      </c>
      <c r="H84" s="1520">
        <v>225.52</v>
      </c>
      <c r="I84" s="1522">
        <v>0.08</v>
      </c>
      <c r="J84" s="1521">
        <v>0</v>
      </c>
      <c r="K84" s="1521">
        <v>0.12</v>
      </c>
      <c r="L84" s="1736"/>
      <c r="M84" s="1736"/>
      <c r="N84" s="1520">
        <v>0</v>
      </c>
      <c r="O84" s="1519"/>
      <c r="P84" s="1566" t="s">
        <v>3480</v>
      </c>
      <c r="Q84" s="1566"/>
      <c r="R84" s="1555">
        <v>0</v>
      </c>
      <c r="S84" s="1556">
        <v>563.80000000000007</v>
      </c>
      <c r="T84" s="1555">
        <v>0</v>
      </c>
      <c r="U84" s="1555">
        <v>67.656000000000006</v>
      </c>
      <c r="V84" s="1555">
        <v>0</v>
      </c>
      <c r="W84" s="1555">
        <v>0</v>
      </c>
      <c r="Y84" s="1556" t="s">
        <v>21</v>
      </c>
      <c r="AA84" s="1555">
        <v>0</v>
      </c>
      <c r="AB84" s="1556">
        <v>563.80000000000007</v>
      </c>
    </row>
    <row r="85" spans="1:28" x14ac:dyDescent="0.25">
      <c r="A85" s="1527" t="s">
        <v>1605</v>
      </c>
      <c r="B85" s="1526">
        <v>26.13</v>
      </c>
      <c r="C85" s="1526">
        <v>5</v>
      </c>
      <c r="D85" s="1525">
        <v>0</v>
      </c>
      <c r="E85" s="1524">
        <v>168.27719999999999</v>
      </c>
      <c r="F85" s="1523">
        <v>52.25</v>
      </c>
      <c r="G85" s="1544">
        <v>3.37</v>
      </c>
      <c r="H85" s="1520">
        <v>52.26</v>
      </c>
      <c r="I85" s="1522">
        <v>0.08</v>
      </c>
      <c r="J85" s="1521">
        <v>0</v>
      </c>
      <c r="K85" s="1521">
        <v>0.12</v>
      </c>
      <c r="L85" s="1736"/>
      <c r="M85" s="1736"/>
      <c r="N85" s="1520">
        <v>0</v>
      </c>
      <c r="O85" s="1519"/>
      <c r="P85" s="1566" t="s">
        <v>3480</v>
      </c>
      <c r="Q85" s="1566"/>
      <c r="R85" s="1555">
        <v>0</v>
      </c>
      <c r="S85" s="1556">
        <v>130.65</v>
      </c>
      <c r="T85" s="1555">
        <v>0</v>
      </c>
      <c r="U85" s="1555">
        <v>15.678000000000001</v>
      </c>
      <c r="V85" s="1555">
        <v>0</v>
      </c>
      <c r="W85" s="1555">
        <v>0</v>
      </c>
      <c r="Y85" s="1556" t="s">
        <v>21</v>
      </c>
      <c r="AA85" s="1555">
        <v>0</v>
      </c>
      <c r="AB85" s="1556">
        <v>130.65</v>
      </c>
    </row>
    <row r="86" spans="1:28" s="1752" customFormat="1" x14ac:dyDescent="0.25">
      <c r="A86" s="1753" t="s">
        <v>1604</v>
      </c>
      <c r="B86" s="1739">
        <v>77.709999999999994</v>
      </c>
      <c r="C86" s="1739">
        <v>4.4000000000000004</v>
      </c>
      <c r="D86" s="1740">
        <v>0</v>
      </c>
      <c r="E86" s="1741">
        <v>453.82640000000004</v>
      </c>
      <c r="F86" s="1742">
        <v>84.05</v>
      </c>
      <c r="G86" s="1743">
        <v>7.23</v>
      </c>
      <c r="H86" s="1744">
        <v>155.41999999999999</v>
      </c>
      <c r="I86" s="1745">
        <v>0.08</v>
      </c>
      <c r="J86" s="1746">
        <v>0</v>
      </c>
      <c r="K86" s="1746">
        <v>0.12</v>
      </c>
      <c r="L86" s="1747">
        <v>0.6</v>
      </c>
      <c r="M86" s="1747"/>
      <c r="N86" s="1744">
        <v>0</v>
      </c>
      <c r="O86" s="1748"/>
      <c r="P86" s="1749" t="s">
        <v>3480</v>
      </c>
      <c r="Q86" s="1749"/>
      <c r="R86" s="1750">
        <v>0</v>
      </c>
      <c r="S86" s="1751">
        <v>341.92399999999998</v>
      </c>
      <c r="T86" s="1750">
        <v>205.15439999999998</v>
      </c>
      <c r="U86" s="1750">
        <v>41.030879999999996</v>
      </c>
      <c r="V86" s="1750">
        <v>0</v>
      </c>
      <c r="W86" s="1750">
        <v>0</v>
      </c>
      <c r="X86" s="1750"/>
      <c r="Y86" s="1751" t="s">
        <v>21</v>
      </c>
      <c r="Z86" s="1750"/>
      <c r="AA86" s="1750">
        <v>0</v>
      </c>
      <c r="AB86" s="1751">
        <v>341.92399999999998</v>
      </c>
    </row>
    <row r="87" spans="1:28" x14ac:dyDescent="0.25">
      <c r="A87" s="1527" t="s">
        <v>1603</v>
      </c>
      <c r="B87" s="1526">
        <v>130.1</v>
      </c>
      <c r="C87" s="1526">
        <v>4.4000000000000004</v>
      </c>
      <c r="D87" s="1525">
        <v>0</v>
      </c>
      <c r="E87" s="1524">
        <v>759.78400000000011</v>
      </c>
      <c r="F87" s="1523">
        <v>175.25</v>
      </c>
      <c r="G87" s="1544">
        <v>12.16</v>
      </c>
      <c r="H87" s="1520">
        <v>260.2</v>
      </c>
      <c r="I87" s="1522">
        <v>0.08</v>
      </c>
      <c r="J87" s="1521">
        <v>0</v>
      </c>
      <c r="K87" s="1521">
        <v>0.12</v>
      </c>
      <c r="L87" s="1736"/>
      <c r="M87" s="1736"/>
      <c r="N87" s="1520">
        <v>0</v>
      </c>
      <c r="O87" s="1519"/>
      <c r="P87" s="1566" t="s">
        <v>3480</v>
      </c>
      <c r="Q87" s="1566"/>
      <c r="R87" s="1555">
        <v>0</v>
      </c>
      <c r="S87" s="1556">
        <v>572.44000000000005</v>
      </c>
      <c r="T87" s="1555">
        <v>0</v>
      </c>
      <c r="U87" s="1555">
        <v>68.692800000000005</v>
      </c>
      <c r="V87" s="1555">
        <v>0</v>
      </c>
      <c r="W87" s="1555">
        <v>0</v>
      </c>
      <c r="Y87" s="1556" t="s">
        <v>21</v>
      </c>
      <c r="AA87" s="1555">
        <v>0</v>
      </c>
      <c r="AB87" s="1556">
        <v>572.44000000000005</v>
      </c>
    </row>
    <row r="88" spans="1:28" s="1752" customFormat="1" x14ac:dyDescent="0.25">
      <c r="A88" s="1753" t="s">
        <v>1602</v>
      </c>
      <c r="B88" s="1739">
        <v>74.42</v>
      </c>
      <c r="C88" s="1739">
        <v>5</v>
      </c>
      <c r="D88" s="1740">
        <v>0</v>
      </c>
      <c r="E88" s="1741">
        <v>479.26480000000004</v>
      </c>
      <c r="F88" s="1742">
        <v>157.52000000000001</v>
      </c>
      <c r="G88" s="1743">
        <v>0</v>
      </c>
      <c r="H88" s="1744">
        <v>148.84</v>
      </c>
      <c r="I88" s="1745">
        <v>0.08</v>
      </c>
      <c r="J88" s="1746">
        <v>0</v>
      </c>
      <c r="K88" s="1746">
        <v>0.12</v>
      </c>
      <c r="L88" s="1747">
        <v>0.6</v>
      </c>
      <c r="M88" s="1747"/>
      <c r="N88" s="1744">
        <v>0</v>
      </c>
      <c r="O88" s="1748"/>
      <c r="P88" s="1749" t="s">
        <v>3480</v>
      </c>
      <c r="Q88" s="1749"/>
      <c r="R88" s="1750">
        <v>0</v>
      </c>
      <c r="S88" s="1751">
        <v>372.1</v>
      </c>
      <c r="T88" s="1750">
        <v>223.26000000000002</v>
      </c>
      <c r="U88" s="1750">
        <v>44.652000000000001</v>
      </c>
      <c r="V88" s="1750">
        <v>0</v>
      </c>
      <c r="W88" s="1750">
        <v>0</v>
      </c>
      <c r="X88" s="1750"/>
      <c r="Y88" s="1751" t="s">
        <v>21</v>
      </c>
      <c r="Z88" s="1750"/>
      <c r="AA88" s="1750">
        <v>0</v>
      </c>
      <c r="AB88" s="1751">
        <v>372.1</v>
      </c>
    </row>
    <row r="89" spans="1:28" s="1752" customFormat="1" x14ac:dyDescent="0.25">
      <c r="A89" s="1753" t="s">
        <v>1601</v>
      </c>
      <c r="B89" s="1739">
        <v>171.81</v>
      </c>
      <c r="C89" s="1739">
        <v>5</v>
      </c>
      <c r="D89" s="1740">
        <v>0</v>
      </c>
      <c r="E89" s="1741">
        <v>1106.4564</v>
      </c>
      <c r="F89" s="1742">
        <v>303.68</v>
      </c>
      <c r="G89" s="1743">
        <v>0</v>
      </c>
      <c r="H89" s="1744">
        <v>343.62</v>
      </c>
      <c r="I89" s="1745">
        <v>0.08</v>
      </c>
      <c r="J89" s="1746">
        <v>0</v>
      </c>
      <c r="K89" s="1746">
        <v>0.12</v>
      </c>
      <c r="L89" s="1747">
        <v>0.6</v>
      </c>
      <c r="M89" s="1747"/>
      <c r="N89" s="1744">
        <v>0</v>
      </c>
      <c r="O89" s="1748"/>
      <c r="P89" s="1749" t="s">
        <v>3480</v>
      </c>
      <c r="Q89" s="1749"/>
      <c r="R89" s="1750">
        <v>0</v>
      </c>
      <c r="S89" s="1751">
        <v>859.05</v>
      </c>
      <c r="T89" s="1750">
        <v>515.42999999999995</v>
      </c>
      <c r="U89" s="1750">
        <v>103.08599999999998</v>
      </c>
      <c r="V89" s="1750">
        <v>0</v>
      </c>
      <c r="W89" s="1750">
        <v>0</v>
      </c>
      <c r="X89" s="1750"/>
      <c r="Y89" s="1751" t="s">
        <v>21</v>
      </c>
      <c r="Z89" s="1750"/>
      <c r="AA89" s="1750">
        <v>0</v>
      </c>
      <c r="AB89" s="1751">
        <v>859.05</v>
      </c>
    </row>
    <row r="90" spans="1:28" s="1752" customFormat="1" x14ac:dyDescent="0.25">
      <c r="A90" s="1753" t="s">
        <v>1600</v>
      </c>
      <c r="B90" s="1739">
        <v>82.88</v>
      </c>
      <c r="C90" s="1739">
        <v>5</v>
      </c>
      <c r="D90" s="1740">
        <v>0</v>
      </c>
      <c r="E90" s="1741">
        <v>533.74720000000002</v>
      </c>
      <c r="F90" s="1742">
        <v>157.16999999999999</v>
      </c>
      <c r="G90" s="1743">
        <v>0</v>
      </c>
      <c r="H90" s="1744">
        <v>165.76</v>
      </c>
      <c r="I90" s="1745">
        <v>0.08</v>
      </c>
      <c r="J90" s="1746">
        <v>0</v>
      </c>
      <c r="K90" s="1746">
        <v>0.12</v>
      </c>
      <c r="L90" s="1747">
        <v>0.6</v>
      </c>
      <c r="M90" s="1747"/>
      <c r="N90" s="1744">
        <v>0</v>
      </c>
      <c r="O90" s="1748"/>
      <c r="P90" s="1749" t="s">
        <v>3480</v>
      </c>
      <c r="Q90" s="1749"/>
      <c r="R90" s="1750">
        <v>0</v>
      </c>
      <c r="S90" s="1751">
        <v>414.4</v>
      </c>
      <c r="T90" s="1750">
        <v>248.64</v>
      </c>
      <c r="U90" s="1750">
        <v>49.727999999999994</v>
      </c>
      <c r="V90" s="1750">
        <v>0</v>
      </c>
      <c r="W90" s="1750">
        <v>0</v>
      </c>
      <c r="X90" s="1750"/>
      <c r="Y90" s="1751" t="s">
        <v>21</v>
      </c>
      <c r="Z90" s="1750"/>
      <c r="AA90" s="1750">
        <v>0</v>
      </c>
      <c r="AB90" s="1751">
        <v>414.4</v>
      </c>
    </row>
    <row r="91" spans="1:28" s="1752" customFormat="1" x14ac:dyDescent="0.25">
      <c r="A91" s="1753" t="s">
        <v>1599</v>
      </c>
      <c r="B91" s="1739">
        <v>104.04</v>
      </c>
      <c r="C91" s="1739">
        <v>5</v>
      </c>
      <c r="D91" s="1740">
        <v>0</v>
      </c>
      <c r="E91" s="1741">
        <v>670.01760000000013</v>
      </c>
      <c r="F91" s="1742">
        <v>215.31</v>
      </c>
      <c r="G91" s="1743">
        <v>0</v>
      </c>
      <c r="H91" s="1744">
        <v>208.08</v>
      </c>
      <c r="I91" s="1745">
        <v>0.08</v>
      </c>
      <c r="J91" s="1746">
        <v>0</v>
      </c>
      <c r="K91" s="1746">
        <v>0.12</v>
      </c>
      <c r="L91" s="1747">
        <v>0.6</v>
      </c>
      <c r="M91" s="1747"/>
      <c r="N91" s="1744">
        <v>0</v>
      </c>
      <c r="O91" s="1748"/>
      <c r="P91" s="1749" t="s">
        <v>3480</v>
      </c>
      <c r="Q91" s="1749"/>
      <c r="R91" s="1750">
        <v>0</v>
      </c>
      <c r="S91" s="1751">
        <v>520.20000000000005</v>
      </c>
      <c r="T91" s="1750">
        <v>312.12</v>
      </c>
      <c r="U91" s="1750">
        <v>62.424000000000007</v>
      </c>
      <c r="V91" s="1750">
        <v>0</v>
      </c>
      <c r="W91" s="1750">
        <v>0</v>
      </c>
      <c r="X91" s="1750"/>
      <c r="Y91" s="1751" t="s">
        <v>21</v>
      </c>
      <c r="Z91" s="1750"/>
      <c r="AA91" s="1750">
        <v>0</v>
      </c>
      <c r="AB91" s="1751">
        <v>520.20000000000005</v>
      </c>
    </row>
    <row r="92" spans="1:28" x14ac:dyDescent="0.25">
      <c r="A92" s="1527" t="s">
        <v>1598</v>
      </c>
      <c r="B92" s="1526">
        <v>48.28</v>
      </c>
      <c r="C92" s="1526">
        <v>4.4000000000000004</v>
      </c>
      <c r="D92" s="1525">
        <v>0</v>
      </c>
      <c r="E92" s="1524">
        <v>281.95520000000005</v>
      </c>
      <c r="F92" s="1523">
        <v>69.319999999999993</v>
      </c>
      <c r="G92" s="1544">
        <v>0</v>
      </c>
      <c r="H92" s="1520">
        <v>96.56</v>
      </c>
      <c r="I92" s="1522">
        <v>0.08</v>
      </c>
      <c r="J92" s="1521">
        <v>0</v>
      </c>
      <c r="K92" s="1521">
        <v>0.12</v>
      </c>
      <c r="L92" s="1736"/>
      <c r="M92" s="1736"/>
      <c r="N92" s="1520">
        <v>0</v>
      </c>
      <c r="O92" s="1519"/>
      <c r="P92" s="1566" t="s">
        <v>3480</v>
      </c>
      <c r="Q92" s="1566"/>
      <c r="R92" s="1555">
        <v>0</v>
      </c>
      <c r="S92" s="1556">
        <v>212.43200000000002</v>
      </c>
      <c r="T92" s="1555">
        <v>0</v>
      </c>
      <c r="U92" s="1555">
        <v>25.49184</v>
      </c>
      <c r="V92" s="1555">
        <v>0</v>
      </c>
      <c r="W92" s="1555">
        <v>0</v>
      </c>
      <c r="Y92" s="1556" t="s">
        <v>21</v>
      </c>
      <c r="AA92" s="1555">
        <v>0</v>
      </c>
      <c r="AB92" s="1556">
        <v>212.43200000000002</v>
      </c>
    </row>
    <row r="93" spans="1:28" x14ac:dyDescent="0.25">
      <c r="A93" s="1527" t="s">
        <v>1597</v>
      </c>
      <c r="B93" s="1526">
        <v>110.17</v>
      </c>
      <c r="C93" s="1526">
        <v>4.4000000000000004</v>
      </c>
      <c r="D93" s="1525">
        <v>0</v>
      </c>
      <c r="E93" s="1524">
        <v>643.39280000000008</v>
      </c>
      <c r="F93" s="1523">
        <v>140.88</v>
      </c>
      <c r="G93" s="1544">
        <v>7.26</v>
      </c>
      <c r="H93" s="1520">
        <v>220.34</v>
      </c>
      <c r="I93" s="1522">
        <v>0.08</v>
      </c>
      <c r="J93" s="1521">
        <v>0</v>
      </c>
      <c r="K93" s="1521">
        <v>0.12</v>
      </c>
      <c r="L93" s="1736"/>
      <c r="M93" s="1736"/>
      <c r="N93" s="1520">
        <v>0</v>
      </c>
      <c r="O93" s="1519"/>
      <c r="P93" s="1566" t="s">
        <v>3480</v>
      </c>
      <c r="Q93" s="1566"/>
      <c r="R93" s="1555">
        <v>0</v>
      </c>
      <c r="S93" s="1556">
        <v>484.74800000000005</v>
      </c>
      <c r="T93" s="1555">
        <v>0</v>
      </c>
      <c r="U93" s="1555">
        <v>58.169760000000004</v>
      </c>
      <c r="V93" s="1555">
        <v>0</v>
      </c>
      <c r="W93" s="1555">
        <v>0</v>
      </c>
      <c r="Y93" s="1556" t="s">
        <v>21</v>
      </c>
      <c r="AA93" s="1555">
        <v>0</v>
      </c>
      <c r="AB93" s="1556">
        <v>484.74800000000005</v>
      </c>
    </row>
    <row r="94" spans="1:28" x14ac:dyDescent="0.25">
      <c r="A94" s="1527" t="s">
        <v>1596</v>
      </c>
      <c r="B94" s="1526">
        <v>42.69</v>
      </c>
      <c r="C94" s="1526">
        <v>4.4000000000000004</v>
      </c>
      <c r="D94" s="1525">
        <v>0</v>
      </c>
      <c r="E94" s="1524">
        <v>249.30960000000002</v>
      </c>
      <c r="F94" s="1523">
        <v>69.569999999999993</v>
      </c>
      <c r="G94" s="1544">
        <v>0</v>
      </c>
      <c r="H94" s="1520">
        <v>85.38</v>
      </c>
      <c r="I94" s="1522">
        <v>0.08</v>
      </c>
      <c r="J94" s="1521">
        <v>0</v>
      </c>
      <c r="K94" s="1521">
        <v>0.12</v>
      </c>
      <c r="L94" s="1736"/>
      <c r="M94" s="1736"/>
      <c r="N94" s="1520">
        <v>0</v>
      </c>
      <c r="O94" s="1519"/>
      <c r="P94" s="1566" t="s">
        <v>3480</v>
      </c>
      <c r="Q94" s="1566"/>
      <c r="R94" s="1555">
        <v>0</v>
      </c>
      <c r="S94" s="1556">
        <v>187.83600000000001</v>
      </c>
      <c r="T94" s="1555">
        <v>0</v>
      </c>
      <c r="U94" s="1555">
        <v>22.540320000000001</v>
      </c>
      <c r="V94" s="1555">
        <v>0</v>
      </c>
      <c r="W94" s="1555">
        <v>0</v>
      </c>
      <c r="Y94" s="1556" t="s">
        <v>21</v>
      </c>
      <c r="AA94" s="1555">
        <v>0</v>
      </c>
      <c r="AB94" s="1556">
        <v>187.83600000000001</v>
      </c>
    </row>
    <row r="95" spans="1:28" x14ac:dyDescent="0.25">
      <c r="A95" s="1527" t="s">
        <v>1595</v>
      </c>
      <c r="B95" s="1526">
        <v>43.44</v>
      </c>
      <c r="C95" s="1526">
        <v>4.4000000000000004</v>
      </c>
      <c r="D95" s="1525">
        <v>0</v>
      </c>
      <c r="E95" s="1524">
        <v>253.68960000000001</v>
      </c>
      <c r="F95" s="1523">
        <v>53.6</v>
      </c>
      <c r="G95" s="1544">
        <v>0</v>
      </c>
      <c r="H95" s="1520">
        <v>86.88</v>
      </c>
      <c r="I95" s="1522">
        <v>0.08</v>
      </c>
      <c r="J95" s="1521">
        <v>0</v>
      </c>
      <c r="K95" s="1521">
        <v>0.12</v>
      </c>
      <c r="L95" s="1736"/>
      <c r="M95" s="1736"/>
      <c r="N95" s="1520">
        <v>0</v>
      </c>
      <c r="O95" s="1519"/>
      <c r="P95" s="1566" t="s">
        <v>3480</v>
      </c>
      <c r="Q95" s="1566"/>
      <c r="R95" s="1555">
        <v>0</v>
      </c>
      <c r="S95" s="1556">
        <v>191.136</v>
      </c>
      <c r="T95" s="1555">
        <v>0</v>
      </c>
      <c r="U95" s="1555">
        <v>22.936319999999998</v>
      </c>
      <c r="V95" s="1555">
        <v>0</v>
      </c>
      <c r="W95" s="1555">
        <v>0</v>
      </c>
      <c r="Y95" s="1556" t="s">
        <v>21</v>
      </c>
      <c r="AA95" s="1555">
        <v>0</v>
      </c>
      <c r="AB95" s="1556">
        <v>191.136</v>
      </c>
    </row>
    <row r="96" spans="1:28" s="1752" customFormat="1" x14ac:dyDescent="0.25">
      <c r="A96" s="1753" t="s">
        <v>1594</v>
      </c>
      <c r="B96" s="1739">
        <v>111.56</v>
      </c>
      <c r="C96" s="1739">
        <v>5</v>
      </c>
      <c r="D96" s="1740">
        <v>0</v>
      </c>
      <c r="E96" s="1741">
        <v>718.44640000000004</v>
      </c>
      <c r="F96" s="1742">
        <v>157.28</v>
      </c>
      <c r="G96" s="1743">
        <v>0.19</v>
      </c>
      <c r="H96" s="1744">
        <v>223.12</v>
      </c>
      <c r="I96" s="1745">
        <v>0.08</v>
      </c>
      <c r="J96" s="1746">
        <v>0</v>
      </c>
      <c r="K96" s="1746">
        <v>0.12</v>
      </c>
      <c r="L96" s="1747">
        <v>0.6</v>
      </c>
      <c r="M96" s="1747"/>
      <c r="N96" s="1744">
        <v>0</v>
      </c>
      <c r="O96" s="1748"/>
      <c r="P96" s="1749" t="s">
        <v>3480</v>
      </c>
      <c r="Q96" s="1749"/>
      <c r="R96" s="1750">
        <v>0</v>
      </c>
      <c r="S96" s="1751">
        <v>557.79999999999995</v>
      </c>
      <c r="T96" s="1750">
        <v>334.67999999999995</v>
      </c>
      <c r="U96" s="1750">
        <v>66.935999999999993</v>
      </c>
      <c r="V96" s="1750">
        <v>0</v>
      </c>
      <c r="W96" s="1750">
        <v>0</v>
      </c>
      <c r="X96" s="1750"/>
      <c r="Y96" s="1751" t="s">
        <v>21</v>
      </c>
      <c r="Z96" s="1750"/>
      <c r="AA96" s="1750">
        <v>0</v>
      </c>
      <c r="AB96" s="1751">
        <v>557.79999999999995</v>
      </c>
    </row>
    <row r="97" spans="1:28" s="1752" customFormat="1" x14ac:dyDescent="0.25">
      <c r="A97" s="1753" t="s">
        <v>1593</v>
      </c>
      <c r="B97" s="1739">
        <v>35.14</v>
      </c>
      <c r="C97" s="1739">
        <v>4.4000000000000004</v>
      </c>
      <c r="D97" s="1740">
        <v>0</v>
      </c>
      <c r="E97" s="1741">
        <v>205.21760000000003</v>
      </c>
      <c r="F97" s="1742">
        <v>58.3</v>
      </c>
      <c r="G97" s="1743">
        <v>0</v>
      </c>
      <c r="H97" s="1744">
        <v>70.28</v>
      </c>
      <c r="I97" s="1745">
        <v>0.08</v>
      </c>
      <c r="J97" s="1746">
        <v>0</v>
      </c>
      <c r="K97" s="1746">
        <v>0.12</v>
      </c>
      <c r="L97" s="1747">
        <v>0.6</v>
      </c>
      <c r="M97" s="1747"/>
      <c r="N97" s="1744">
        <v>0</v>
      </c>
      <c r="O97" s="1748"/>
      <c r="P97" s="1749" t="s">
        <v>3480</v>
      </c>
      <c r="Q97" s="1749"/>
      <c r="R97" s="1750">
        <v>0</v>
      </c>
      <c r="S97" s="1751">
        <v>154.61600000000001</v>
      </c>
      <c r="T97" s="1750">
        <v>92.769600000000011</v>
      </c>
      <c r="U97" s="1750">
        <v>18.553920000000002</v>
      </c>
      <c r="V97" s="1750">
        <v>0</v>
      </c>
      <c r="W97" s="1750">
        <v>0</v>
      </c>
      <c r="X97" s="1750"/>
      <c r="Y97" s="1751" t="s">
        <v>21</v>
      </c>
      <c r="Z97" s="1750"/>
      <c r="AA97" s="1750">
        <v>0</v>
      </c>
      <c r="AB97" s="1751">
        <v>154.61600000000001</v>
      </c>
    </row>
    <row r="98" spans="1:28" s="1752" customFormat="1" x14ac:dyDescent="0.25">
      <c r="A98" s="1753" t="s">
        <v>1592</v>
      </c>
      <c r="B98" s="1739">
        <v>37.06</v>
      </c>
      <c r="C98" s="1739">
        <v>4.4000000000000004</v>
      </c>
      <c r="D98" s="1740">
        <v>0</v>
      </c>
      <c r="E98" s="1741">
        <v>216.43040000000005</v>
      </c>
      <c r="F98" s="1742">
        <v>50.36</v>
      </c>
      <c r="G98" s="1743">
        <v>0.82</v>
      </c>
      <c r="H98" s="1744">
        <v>74.12</v>
      </c>
      <c r="I98" s="1745">
        <v>0.08</v>
      </c>
      <c r="J98" s="1746">
        <v>0</v>
      </c>
      <c r="K98" s="1746">
        <v>0.12</v>
      </c>
      <c r="L98" s="1747">
        <v>0.6</v>
      </c>
      <c r="M98" s="1747"/>
      <c r="N98" s="1744">
        <v>0</v>
      </c>
      <c r="O98" s="1748"/>
      <c r="P98" s="1749" t="s">
        <v>3480</v>
      </c>
      <c r="Q98" s="1749"/>
      <c r="R98" s="1750">
        <v>0</v>
      </c>
      <c r="S98" s="1751">
        <v>163.06400000000002</v>
      </c>
      <c r="T98" s="1750">
        <v>97.838400000000007</v>
      </c>
      <c r="U98" s="1750">
        <v>19.567680000000003</v>
      </c>
      <c r="V98" s="1750">
        <v>0</v>
      </c>
      <c r="W98" s="1750">
        <v>0</v>
      </c>
      <c r="X98" s="1750"/>
      <c r="Y98" s="1751" t="s">
        <v>21</v>
      </c>
      <c r="Z98" s="1750"/>
      <c r="AA98" s="1750">
        <v>0</v>
      </c>
      <c r="AB98" s="1751">
        <v>163.06400000000002</v>
      </c>
    </row>
    <row r="99" spans="1:28" s="1752" customFormat="1" x14ac:dyDescent="0.25">
      <c r="A99" s="1753" t="s">
        <v>1591</v>
      </c>
      <c r="B99" s="1739">
        <v>54.01</v>
      </c>
      <c r="C99" s="1739">
        <v>4.4000000000000004</v>
      </c>
      <c r="D99" s="1740">
        <v>0</v>
      </c>
      <c r="E99" s="1741">
        <v>315.41840000000002</v>
      </c>
      <c r="F99" s="1742">
        <v>81.09</v>
      </c>
      <c r="G99" s="1743">
        <v>4.37</v>
      </c>
      <c r="H99" s="1744">
        <v>108.02</v>
      </c>
      <c r="I99" s="1745">
        <v>0.08</v>
      </c>
      <c r="J99" s="1746">
        <v>0</v>
      </c>
      <c r="K99" s="1746">
        <v>0.12</v>
      </c>
      <c r="L99" s="1747">
        <v>0.6</v>
      </c>
      <c r="M99" s="1747"/>
      <c r="N99" s="1744">
        <v>0</v>
      </c>
      <c r="O99" s="1748"/>
      <c r="P99" s="1749" t="s">
        <v>3480</v>
      </c>
      <c r="Q99" s="1749"/>
      <c r="R99" s="1750">
        <v>0</v>
      </c>
      <c r="S99" s="1751">
        <v>237.64400000000001</v>
      </c>
      <c r="T99" s="1750">
        <v>142.5864</v>
      </c>
      <c r="U99" s="1750">
        <v>28.51728</v>
      </c>
      <c r="V99" s="1750">
        <v>0</v>
      </c>
      <c r="W99" s="1750">
        <v>0</v>
      </c>
      <c r="X99" s="1750"/>
      <c r="Y99" s="1751" t="s">
        <v>21</v>
      </c>
      <c r="Z99" s="1750"/>
      <c r="AA99" s="1750">
        <v>0</v>
      </c>
      <c r="AB99" s="1751">
        <v>237.64400000000001</v>
      </c>
    </row>
    <row r="100" spans="1:28" x14ac:dyDescent="0.25">
      <c r="A100" s="1527" t="s">
        <v>1590</v>
      </c>
      <c r="B100" s="1526">
        <v>175.07</v>
      </c>
      <c r="C100" s="1526">
        <v>5</v>
      </c>
      <c r="D100" s="1525">
        <v>0</v>
      </c>
      <c r="E100" s="1524">
        <v>1127.4508000000001</v>
      </c>
      <c r="F100" s="1523">
        <v>254.12</v>
      </c>
      <c r="G100" s="1544">
        <v>5.66</v>
      </c>
      <c r="H100" s="1520">
        <v>350.14</v>
      </c>
      <c r="I100" s="1522">
        <v>0.08</v>
      </c>
      <c r="J100" s="1521">
        <v>0</v>
      </c>
      <c r="K100" s="1521">
        <v>0.12</v>
      </c>
      <c r="L100" s="1736"/>
      <c r="M100" s="1736"/>
      <c r="N100" s="1520">
        <v>0</v>
      </c>
      <c r="O100" s="1519"/>
      <c r="P100" s="1566" t="s">
        <v>3480</v>
      </c>
      <c r="Q100" s="1566"/>
      <c r="R100" s="1555">
        <v>0</v>
      </c>
      <c r="S100" s="1556">
        <v>875.34999999999991</v>
      </c>
      <c r="T100" s="1555">
        <v>0</v>
      </c>
      <c r="U100" s="1555">
        <v>105.04199999999999</v>
      </c>
      <c r="V100" s="1555">
        <v>0</v>
      </c>
      <c r="W100" s="1555">
        <v>0</v>
      </c>
      <c r="Y100" s="1556" t="s">
        <v>21</v>
      </c>
      <c r="AA100" s="1555">
        <v>0</v>
      </c>
      <c r="AB100" s="1556">
        <v>875.34999999999991</v>
      </c>
    </row>
    <row r="101" spans="1:28" x14ac:dyDescent="0.25">
      <c r="A101" s="1527" t="s">
        <v>1589</v>
      </c>
      <c r="B101" s="1526">
        <v>164.13</v>
      </c>
      <c r="C101" s="1526">
        <v>6</v>
      </c>
      <c r="D101" s="1525">
        <v>0</v>
      </c>
      <c r="E101" s="1524">
        <v>1221.1272000000001</v>
      </c>
      <c r="F101" s="1523">
        <v>297.39</v>
      </c>
      <c r="G101" s="1544">
        <v>0.13</v>
      </c>
      <c r="H101" s="1520">
        <v>328.26</v>
      </c>
      <c r="I101" s="1522">
        <v>0.08</v>
      </c>
      <c r="J101" s="1521">
        <v>0</v>
      </c>
      <c r="K101" s="1521">
        <v>0.12</v>
      </c>
      <c r="L101" s="1736"/>
      <c r="M101" s="1736"/>
      <c r="N101" s="1520">
        <v>0</v>
      </c>
      <c r="O101" s="1519"/>
      <c r="P101" s="1566" t="s">
        <v>3480</v>
      </c>
      <c r="Q101" s="1566"/>
      <c r="R101" s="1555">
        <v>0</v>
      </c>
      <c r="S101" s="1556">
        <v>984.78</v>
      </c>
      <c r="T101" s="1555">
        <v>0</v>
      </c>
      <c r="U101" s="1555">
        <v>118.17359999999999</v>
      </c>
      <c r="V101" s="1555">
        <v>0</v>
      </c>
      <c r="W101" s="1555">
        <v>0</v>
      </c>
      <c r="Y101" s="1556" t="s">
        <v>21</v>
      </c>
      <c r="AA101" s="1555">
        <v>0</v>
      </c>
      <c r="AB101" s="1556">
        <v>984.78</v>
      </c>
    </row>
    <row r="102" spans="1:28" x14ac:dyDescent="0.25">
      <c r="A102" s="1527" t="s">
        <v>1588</v>
      </c>
      <c r="B102" s="1526">
        <v>160.29</v>
      </c>
      <c r="C102" s="1526">
        <v>6</v>
      </c>
      <c r="D102" s="1525">
        <v>0</v>
      </c>
      <c r="E102" s="1524">
        <v>1192.5576000000001</v>
      </c>
      <c r="F102" s="1523">
        <v>253.73</v>
      </c>
      <c r="G102" s="1544">
        <v>3.31</v>
      </c>
      <c r="H102" s="1520">
        <v>320.58</v>
      </c>
      <c r="I102" s="1522">
        <v>0.08</v>
      </c>
      <c r="J102" s="1521">
        <v>0</v>
      </c>
      <c r="K102" s="1521">
        <v>0.12</v>
      </c>
      <c r="L102" s="1736"/>
      <c r="M102" s="1736"/>
      <c r="N102" s="1520">
        <v>0</v>
      </c>
      <c r="O102" s="1519"/>
      <c r="P102" s="1566" t="s">
        <v>3480</v>
      </c>
      <c r="Q102" s="1566"/>
      <c r="R102" s="1555">
        <v>0</v>
      </c>
      <c r="S102" s="1556">
        <v>961.74</v>
      </c>
      <c r="T102" s="1555">
        <v>0</v>
      </c>
      <c r="U102" s="1555">
        <v>115.4088</v>
      </c>
      <c r="V102" s="1555">
        <v>0</v>
      </c>
      <c r="W102" s="1555">
        <v>0</v>
      </c>
      <c r="Y102" s="1556" t="s">
        <v>21</v>
      </c>
      <c r="AA102" s="1555">
        <v>0</v>
      </c>
      <c r="AB102" s="1556">
        <v>961.74</v>
      </c>
    </row>
    <row r="103" spans="1:28" x14ac:dyDescent="0.25">
      <c r="A103" s="1527" t="s">
        <v>1587</v>
      </c>
      <c r="B103" s="1526">
        <v>128</v>
      </c>
      <c r="C103" s="1526">
        <v>6</v>
      </c>
      <c r="D103" s="1525">
        <v>0</v>
      </c>
      <c r="E103" s="1524">
        <v>952.32</v>
      </c>
      <c r="F103" s="1523">
        <v>211.16</v>
      </c>
      <c r="G103" s="1544">
        <v>4.33</v>
      </c>
      <c r="H103" s="1520">
        <v>256</v>
      </c>
      <c r="I103" s="1522">
        <v>0.08</v>
      </c>
      <c r="J103" s="1521">
        <v>0</v>
      </c>
      <c r="K103" s="1521">
        <v>0.12</v>
      </c>
      <c r="L103" s="1736"/>
      <c r="M103" s="1736"/>
      <c r="N103" s="1520">
        <v>0</v>
      </c>
      <c r="O103" s="1519"/>
      <c r="P103" s="1566" t="s">
        <v>3480</v>
      </c>
      <c r="Q103" s="1566"/>
      <c r="R103" s="1555">
        <v>0</v>
      </c>
      <c r="S103" s="1556">
        <v>768</v>
      </c>
      <c r="T103" s="1555">
        <v>0</v>
      </c>
      <c r="U103" s="1555">
        <v>92.16</v>
      </c>
      <c r="V103" s="1555">
        <v>0</v>
      </c>
      <c r="W103" s="1555">
        <v>0</v>
      </c>
      <c r="Y103" s="1556" t="s">
        <v>21</v>
      </c>
      <c r="AA103" s="1555">
        <v>0</v>
      </c>
      <c r="AB103" s="1556">
        <v>768</v>
      </c>
    </row>
    <row r="104" spans="1:28" x14ac:dyDescent="0.25">
      <c r="A104" s="1527" t="s">
        <v>1586</v>
      </c>
      <c r="B104" s="1526">
        <v>93.55</v>
      </c>
      <c r="C104" s="1526">
        <v>5</v>
      </c>
      <c r="D104" s="1525">
        <v>0</v>
      </c>
      <c r="E104" s="1524">
        <v>602.46199999999999</v>
      </c>
      <c r="F104" s="1523">
        <v>147.91999999999999</v>
      </c>
      <c r="G104" s="1544">
        <v>13.52</v>
      </c>
      <c r="H104" s="1520">
        <v>187.1</v>
      </c>
      <c r="I104" s="1522">
        <v>0.08</v>
      </c>
      <c r="J104" s="1521">
        <v>0</v>
      </c>
      <c r="K104" s="1521">
        <v>0.12</v>
      </c>
      <c r="L104" s="1736"/>
      <c r="M104" s="1736"/>
      <c r="N104" s="1520">
        <v>0</v>
      </c>
      <c r="O104" s="1519"/>
      <c r="P104" s="1566" t="s">
        <v>3480</v>
      </c>
      <c r="Q104" s="1566"/>
      <c r="R104" s="1555">
        <v>0</v>
      </c>
      <c r="S104" s="1556">
        <v>467.75</v>
      </c>
      <c r="T104" s="1555">
        <v>0</v>
      </c>
      <c r="U104" s="1555">
        <v>56.129999999999995</v>
      </c>
      <c r="V104" s="1555">
        <v>0</v>
      </c>
      <c r="W104" s="1555">
        <v>0</v>
      </c>
      <c r="Y104" s="1556" t="s">
        <v>21</v>
      </c>
      <c r="AA104" s="1555">
        <v>0</v>
      </c>
      <c r="AB104" s="1556">
        <v>467.75</v>
      </c>
    </row>
    <row r="105" spans="1:28" x14ac:dyDescent="0.25">
      <c r="A105" s="1527" t="s">
        <v>1585</v>
      </c>
      <c r="B105" s="1526">
        <v>130.28</v>
      </c>
      <c r="C105" s="1526">
        <v>5</v>
      </c>
      <c r="D105" s="1525">
        <v>0</v>
      </c>
      <c r="E105" s="1524">
        <v>839.00320000000011</v>
      </c>
      <c r="F105" s="1523">
        <v>186.83</v>
      </c>
      <c r="G105" s="1544">
        <v>8.9499999999999993</v>
      </c>
      <c r="H105" s="1520">
        <v>260.56</v>
      </c>
      <c r="I105" s="1522">
        <v>0.08</v>
      </c>
      <c r="J105" s="1521">
        <v>0</v>
      </c>
      <c r="K105" s="1521">
        <v>0.12</v>
      </c>
      <c r="L105" s="1736"/>
      <c r="M105" s="1736"/>
      <c r="N105" s="1520">
        <v>0</v>
      </c>
      <c r="O105" s="1519"/>
      <c r="P105" s="1566" t="s">
        <v>3480</v>
      </c>
      <c r="Q105" s="1566"/>
      <c r="R105" s="1555">
        <v>0</v>
      </c>
      <c r="S105" s="1556">
        <v>651.4</v>
      </c>
      <c r="T105" s="1555">
        <v>0</v>
      </c>
      <c r="U105" s="1555">
        <v>78.167999999999992</v>
      </c>
      <c r="V105" s="1555">
        <v>0</v>
      </c>
      <c r="W105" s="1555">
        <v>0</v>
      </c>
      <c r="Y105" s="1556" t="s">
        <v>21</v>
      </c>
      <c r="AA105" s="1555">
        <v>0</v>
      </c>
      <c r="AB105" s="1556">
        <v>651.4</v>
      </c>
    </row>
    <row r="106" spans="1:28" x14ac:dyDescent="0.25">
      <c r="A106" s="1527" t="s">
        <v>1584</v>
      </c>
      <c r="B106" s="1526">
        <v>42.29</v>
      </c>
      <c r="C106" s="1526">
        <v>5</v>
      </c>
      <c r="D106" s="1525">
        <v>0</v>
      </c>
      <c r="E106" s="1524">
        <v>272.3476</v>
      </c>
      <c r="F106" s="1523">
        <v>67.41</v>
      </c>
      <c r="G106" s="1544">
        <v>0.17</v>
      </c>
      <c r="H106" s="1520">
        <v>84.58</v>
      </c>
      <c r="I106" s="1522">
        <v>0.08</v>
      </c>
      <c r="J106" s="1521">
        <v>0</v>
      </c>
      <c r="K106" s="1521">
        <v>0.12</v>
      </c>
      <c r="L106" s="1736"/>
      <c r="M106" s="1736"/>
      <c r="N106" s="1520">
        <v>0</v>
      </c>
      <c r="O106" s="1519"/>
      <c r="P106" s="1566" t="s">
        <v>3480</v>
      </c>
      <c r="Q106" s="1566"/>
      <c r="R106" s="1555">
        <v>0</v>
      </c>
      <c r="S106" s="1556">
        <v>211.45</v>
      </c>
      <c r="T106" s="1555">
        <v>0</v>
      </c>
      <c r="U106" s="1555">
        <v>25.373999999999999</v>
      </c>
      <c r="V106" s="1555">
        <v>0</v>
      </c>
      <c r="W106" s="1555">
        <v>0</v>
      </c>
      <c r="Y106" s="1556" t="s">
        <v>21</v>
      </c>
      <c r="AA106" s="1555">
        <v>0</v>
      </c>
      <c r="AB106" s="1556">
        <v>211.45</v>
      </c>
    </row>
    <row r="107" spans="1:28" x14ac:dyDescent="0.25">
      <c r="A107" s="1527" t="s">
        <v>1583</v>
      </c>
      <c r="B107" s="1526">
        <v>30</v>
      </c>
      <c r="C107" s="1526">
        <v>5</v>
      </c>
      <c r="D107" s="1525">
        <v>0</v>
      </c>
      <c r="E107" s="1524">
        <v>193.20000000000002</v>
      </c>
      <c r="F107" s="1523">
        <v>35.81</v>
      </c>
      <c r="G107" s="1544">
        <v>0.01</v>
      </c>
      <c r="H107" s="1520">
        <v>60</v>
      </c>
      <c r="I107" s="1522">
        <v>0.08</v>
      </c>
      <c r="J107" s="1521">
        <v>0</v>
      </c>
      <c r="K107" s="1521">
        <v>0.12</v>
      </c>
      <c r="L107" s="1736"/>
      <c r="M107" s="1736"/>
      <c r="N107" s="1520">
        <v>0</v>
      </c>
      <c r="O107" s="1519"/>
      <c r="P107" s="1566" t="s">
        <v>3480</v>
      </c>
      <c r="Q107" s="1566"/>
      <c r="R107" s="1555">
        <v>0</v>
      </c>
      <c r="S107" s="1556">
        <v>150</v>
      </c>
      <c r="T107" s="1555">
        <v>0</v>
      </c>
      <c r="U107" s="1555">
        <v>18</v>
      </c>
      <c r="V107" s="1555">
        <v>0</v>
      </c>
      <c r="W107" s="1555">
        <v>0</v>
      </c>
      <c r="Y107" s="1556" t="s">
        <v>21</v>
      </c>
      <c r="AA107" s="1555">
        <v>0</v>
      </c>
      <c r="AB107" s="1556">
        <v>150</v>
      </c>
    </row>
    <row r="108" spans="1:28" x14ac:dyDescent="0.25">
      <c r="A108" s="1527" t="s">
        <v>1582</v>
      </c>
      <c r="B108" s="1526">
        <v>20</v>
      </c>
      <c r="C108" s="1526">
        <v>5</v>
      </c>
      <c r="D108" s="1525">
        <v>0</v>
      </c>
      <c r="E108" s="1524">
        <v>128.80000000000001</v>
      </c>
      <c r="F108" s="1523">
        <v>41.09</v>
      </c>
      <c r="G108" s="1544">
        <v>1.94</v>
      </c>
      <c r="H108" s="1520">
        <v>40</v>
      </c>
      <c r="I108" s="1522">
        <v>0.08</v>
      </c>
      <c r="J108" s="1521">
        <v>0</v>
      </c>
      <c r="K108" s="1521">
        <v>0.12</v>
      </c>
      <c r="L108" s="1736"/>
      <c r="M108" s="1736"/>
      <c r="N108" s="1520">
        <v>0</v>
      </c>
      <c r="O108" s="1519"/>
      <c r="P108" s="1566" t="s">
        <v>3480</v>
      </c>
      <c r="Q108" s="1566"/>
      <c r="R108" s="1555">
        <v>0</v>
      </c>
      <c r="S108" s="1556">
        <v>100</v>
      </c>
      <c r="T108" s="1555">
        <v>0</v>
      </c>
      <c r="U108" s="1555">
        <v>12</v>
      </c>
      <c r="V108" s="1555">
        <v>0</v>
      </c>
      <c r="W108" s="1555">
        <v>0</v>
      </c>
      <c r="Y108" s="1556" t="s">
        <v>21</v>
      </c>
      <c r="AA108" s="1555">
        <v>0</v>
      </c>
      <c r="AB108" s="1556">
        <v>100</v>
      </c>
    </row>
    <row r="109" spans="1:28" x14ac:dyDescent="0.25">
      <c r="A109" s="1527" t="s">
        <v>1581</v>
      </c>
      <c r="B109" s="1526">
        <v>56.72</v>
      </c>
      <c r="C109" s="1526">
        <v>6</v>
      </c>
      <c r="D109" s="1525">
        <v>0</v>
      </c>
      <c r="E109" s="1524">
        <v>421.99680000000001</v>
      </c>
      <c r="F109" s="1523">
        <v>127.89</v>
      </c>
      <c r="G109" s="1544">
        <v>1.72</v>
      </c>
      <c r="H109" s="1520">
        <v>113.44</v>
      </c>
      <c r="I109" s="1522">
        <v>0.08</v>
      </c>
      <c r="J109" s="1521">
        <v>0</v>
      </c>
      <c r="K109" s="1521">
        <v>0.12</v>
      </c>
      <c r="L109" s="1736"/>
      <c r="M109" s="1736"/>
      <c r="N109" s="1520">
        <v>0</v>
      </c>
      <c r="O109" s="1519"/>
      <c r="P109" s="1566" t="s">
        <v>3480</v>
      </c>
      <c r="Q109" s="1566"/>
      <c r="R109" s="1555">
        <v>0</v>
      </c>
      <c r="S109" s="1556">
        <v>340.32</v>
      </c>
      <c r="T109" s="1555">
        <v>0</v>
      </c>
      <c r="U109" s="1555">
        <v>40.8384</v>
      </c>
      <c r="V109" s="1555">
        <v>0</v>
      </c>
      <c r="W109" s="1555">
        <v>0</v>
      </c>
      <c r="Y109" s="1556" t="s">
        <v>21</v>
      </c>
      <c r="AA109" s="1555">
        <v>0</v>
      </c>
      <c r="AB109" s="1556">
        <v>340.32</v>
      </c>
    </row>
    <row r="110" spans="1:28" x14ac:dyDescent="0.25">
      <c r="A110" s="1527" t="s">
        <v>1580</v>
      </c>
      <c r="B110" s="1526">
        <v>62.65</v>
      </c>
      <c r="C110" s="1526">
        <v>5</v>
      </c>
      <c r="D110" s="1525">
        <v>0</v>
      </c>
      <c r="E110" s="1524">
        <v>403.46600000000001</v>
      </c>
      <c r="F110" s="1523">
        <v>104.77</v>
      </c>
      <c r="G110" s="1544">
        <v>0.65</v>
      </c>
      <c r="H110" s="1520">
        <v>125.3</v>
      </c>
      <c r="I110" s="1522">
        <v>0.08</v>
      </c>
      <c r="J110" s="1521">
        <v>0</v>
      </c>
      <c r="K110" s="1521">
        <v>0.12</v>
      </c>
      <c r="L110" s="1736"/>
      <c r="M110" s="1736"/>
      <c r="N110" s="1520">
        <v>0</v>
      </c>
      <c r="O110" s="1519"/>
      <c r="P110" s="1566" t="s">
        <v>3480</v>
      </c>
      <c r="Q110" s="1566"/>
      <c r="R110" s="1555">
        <v>0</v>
      </c>
      <c r="S110" s="1556">
        <v>313.25</v>
      </c>
      <c r="T110" s="1555">
        <v>0</v>
      </c>
      <c r="U110" s="1555">
        <v>37.589999999999996</v>
      </c>
      <c r="V110" s="1555">
        <v>0</v>
      </c>
      <c r="W110" s="1555">
        <v>0</v>
      </c>
      <c r="Y110" s="1556" t="s">
        <v>21</v>
      </c>
      <c r="AA110" s="1555">
        <v>0</v>
      </c>
      <c r="AB110" s="1556">
        <v>313.25</v>
      </c>
    </row>
    <row r="111" spans="1:28" x14ac:dyDescent="0.25">
      <c r="A111" s="1527" t="s">
        <v>1579</v>
      </c>
      <c r="B111" s="1526">
        <v>56.82</v>
      </c>
      <c r="C111" s="1526">
        <v>7</v>
      </c>
      <c r="D111" s="1525">
        <v>0</v>
      </c>
      <c r="E111" s="1524">
        <v>479.56079999999997</v>
      </c>
      <c r="F111" s="1523">
        <v>155.47999999999999</v>
      </c>
      <c r="G111" s="1544">
        <v>9.7799999999999994</v>
      </c>
      <c r="H111" s="1520">
        <v>113.64</v>
      </c>
      <c r="I111" s="1522">
        <v>0.08</v>
      </c>
      <c r="J111" s="1521">
        <v>0</v>
      </c>
      <c r="K111" s="1521">
        <v>0.12</v>
      </c>
      <c r="L111" s="1736"/>
      <c r="M111" s="1736"/>
      <c r="N111" s="1520">
        <v>0</v>
      </c>
      <c r="O111" s="1519"/>
      <c r="P111" s="1566" t="s">
        <v>3480</v>
      </c>
      <c r="Q111" s="1566"/>
      <c r="R111" s="1555">
        <v>0</v>
      </c>
      <c r="S111" s="1556">
        <v>397.74</v>
      </c>
      <c r="T111" s="1555">
        <v>0</v>
      </c>
      <c r="U111" s="1555">
        <v>47.7288</v>
      </c>
      <c r="V111" s="1555">
        <v>0</v>
      </c>
      <c r="W111" s="1555">
        <v>0</v>
      </c>
      <c r="Y111" s="1556" t="s">
        <v>21</v>
      </c>
      <c r="AA111" s="1555">
        <v>0</v>
      </c>
      <c r="AB111" s="1556">
        <v>397.74</v>
      </c>
    </row>
    <row r="112" spans="1:28" x14ac:dyDescent="0.25">
      <c r="A112" s="1527" t="s">
        <v>1578</v>
      </c>
      <c r="B112" s="1526">
        <v>40.31</v>
      </c>
      <c r="C112" s="1526">
        <v>7</v>
      </c>
      <c r="D112" s="1525">
        <v>0</v>
      </c>
      <c r="E112" s="1524">
        <v>340.21640000000002</v>
      </c>
      <c r="F112" s="1523">
        <v>157.75</v>
      </c>
      <c r="G112" s="1544">
        <v>25.58</v>
      </c>
      <c r="H112" s="1520">
        <v>80.62</v>
      </c>
      <c r="I112" s="1522">
        <v>0.08</v>
      </c>
      <c r="J112" s="1521">
        <v>0</v>
      </c>
      <c r="K112" s="1521">
        <v>0.12</v>
      </c>
      <c r="L112" s="1736"/>
      <c r="M112" s="1736"/>
      <c r="N112" s="1520">
        <v>0</v>
      </c>
      <c r="O112" s="1519"/>
      <c r="P112" s="1566" t="s">
        <v>3480</v>
      </c>
      <c r="Q112" s="1566"/>
      <c r="R112" s="1555">
        <v>0</v>
      </c>
      <c r="S112" s="1556">
        <v>282.17</v>
      </c>
      <c r="T112" s="1555">
        <v>0</v>
      </c>
      <c r="U112" s="1555">
        <v>33.860399999999998</v>
      </c>
      <c r="V112" s="1555">
        <v>0</v>
      </c>
      <c r="W112" s="1555">
        <v>0</v>
      </c>
      <c r="Y112" s="1556" t="s">
        <v>21</v>
      </c>
      <c r="AA112" s="1555">
        <v>0</v>
      </c>
      <c r="AB112" s="1556">
        <v>282.17</v>
      </c>
    </row>
    <row r="113" spans="1:28" x14ac:dyDescent="0.25">
      <c r="A113" s="1527" t="s">
        <v>1577</v>
      </c>
      <c r="B113" s="1526">
        <v>41.45</v>
      </c>
      <c r="C113" s="1526">
        <v>7</v>
      </c>
      <c r="D113" s="1525">
        <v>0</v>
      </c>
      <c r="E113" s="1524">
        <v>349.83800000000002</v>
      </c>
      <c r="F113" s="1523">
        <v>137.72</v>
      </c>
      <c r="G113" s="1544">
        <v>31.72</v>
      </c>
      <c r="H113" s="1520">
        <v>82.9</v>
      </c>
      <c r="I113" s="1522">
        <v>0.08</v>
      </c>
      <c r="J113" s="1521">
        <v>0</v>
      </c>
      <c r="K113" s="1521">
        <v>0.12</v>
      </c>
      <c r="L113" s="1736"/>
      <c r="M113" s="1736"/>
      <c r="N113" s="1520">
        <v>0</v>
      </c>
      <c r="O113" s="1519"/>
      <c r="P113" s="1566" t="s">
        <v>3480</v>
      </c>
      <c r="Q113" s="1566"/>
      <c r="R113" s="1555">
        <v>0</v>
      </c>
      <c r="S113" s="1556">
        <v>290.15000000000003</v>
      </c>
      <c r="T113" s="1555">
        <v>0</v>
      </c>
      <c r="U113" s="1555">
        <v>34.818000000000005</v>
      </c>
      <c r="V113" s="1555">
        <v>0</v>
      </c>
      <c r="W113" s="1555">
        <v>0</v>
      </c>
      <c r="Y113" s="1556" t="s">
        <v>21</v>
      </c>
      <c r="AA113" s="1555">
        <v>0</v>
      </c>
      <c r="AB113" s="1556">
        <v>290.15000000000003</v>
      </c>
    </row>
    <row r="114" spans="1:28" x14ac:dyDescent="0.25">
      <c r="A114" s="1527" t="s">
        <v>1576</v>
      </c>
      <c r="B114" s="1526">
        <v>35.700000000000003</v>
      </c>
      <c r="C114" s="1526">
        <v>7</v>
      </c>
      <c r="D114" s="1525">
        <v>0</v>
      </c>
      <c r="E114" s="1524">
        <v>301.30799999999999</v>
      </c>
      <c r="F114" s="1523">
        <v>37.53</v>
      </c>
      <c r="G114" s="1544">
        <v>13.36</v>
      </c>
      <c r="H114" s="1520">
        <v>71.400000000000006</v>
      </c>
      <c r="I114" s="1522">
        <v>0.08</v>
      </c>
      <c r="J114" s="1521">
        <v>0</v>
      </c>
      <c r="K114" s="1521">
        <v>0.12</v>
      </c>
      <c r="L114" s="1736"/>
      <c r="M114" s="1736"/>
      <c r="N114" s="1520">
        <v>0</v>
      </c>
      <c r="O114" s="1519"/>
      <c r="P114" s="1566" t="s">
        <v>3480</v>
      </c>
      <c r="Q114" s="1566"/>
      <c r="R114" s="1555">
        <v>0</v>
      </c>
      <c r="S114" s="1556">
        <v>249.90000000000003</v>
      </c>
      <c r="T114" s="1555">
        <v>0</v>
      </c>
      <c r="U114" s="1555">
        <v>29.988000000000003</v>
      </c>
      <c r="V114" s="1555">
        <v>0</v>
      </c>
      <c r="W114" s="1555">
        <v>0</v>
      </c>
      <c r="Y114" s="1556" t="s">
        <v>21</v>
      </c>
      <c r="AA114" s="1555">
        <v>0</v>
      </c>
      <c r="AB114" s="1556">
        <v>249.90000000000003</v>
      </c>
    </row>
    <row r="115" spans="1:28" x14ac:dyDescent="0.25">
      <c r="A115" s="1527" t="s">
        <v>1575</v>
      </c>
      <c r="B115" s="1526">
        <v>210.73</v>
      </c>
      <c r="C115" s="1526">
        <v>5</v>
      </c>
      <c r="D115" s="1525">
        <v>0</v>
      </c>
      <c r="E115" s="1524">
        <v>1357.1012000000001</v>
      </c>
      <c r="F115" s="1523">
        <v>275.8</v>
      </c>
      <c r="G115" s="1544">
        <v>13.38</v>
      </c>
      <c r="H115" s="1520">
        <v>421.46</v>
      </c>
      <c r="I115" s="1522">
        <v>0.08</v>
      </c>
      <c r="J115" s="1521">
        <v>0</v>
      </c>
      <c r="K115" s="1521">
        <v>0.12</v>
      </c>
      <c r="L115" s="1736"/>
      <c r="M115" s="1736"/>
      <c r="N115" s="1520">
        <v>0</v>
      </c>
      <c r="O115" s="1519"/>
      <c r="P115" s="1566" t="s">
        <v>3480</v>
      </c>
      <c r="Q115" s="1566"/>
      <c r="R115" s="1555">
        <v>0</v>
      </c>
      <c r="S115" s="1556">
        <v>1053.6499999999999</v>
      </c>
      <c r="T115" s="1555">
        <v>0</v>
      </c>
      <c r="U115" s="1555">
        <v>126.43799999999997</v>
      </c>
      <c r="V115" s="1555">
        <v>0</v>
      </c>
      <c r="W115" s="1555">
        <v>0</v>
      </c>
      <c r="Y115" s="1556" t="s">
        <v>21</v>
      </c>
      <c r="AA115" s="1555">
        <v>0</v>
      </c>
      <c r="AB115" s="1556">
        <v>1053.6499999999999</v>
      </c>
    </row>
    <row r="116" spans="1:28" x14ac:dyDescent="0.25">
      <c r="A116" s="1527" t="s">
        <v>1574</v>
      </c>
      <c r="B116" s="1526">
        <v>111.4</v>
      </c>
      <c r="C116" s="1526">
        <v>5</v>
      </c>
      <c r="D116" s="1525">
        <v>0</v>
      </c>
      <c r="E116" s="1524">
        <v>717.41600000000005</v>
      </c>
      <c r="F116" s="1523">
        <v>156.38</v>
      </c>
      <c r="G116" s="1544">
        <v>0.54</v>
      </c>
      <c r="H116" s="1520">
        <v>222.8</v>
      </c>
      <c r="I116" s="1522">
        <v>0.08</v>
      </c>
      <c r="J116" s="1521">
        <v>0</v>
      </c>
      <c r="K116" s="1521">
        <v>0.12</v>
      </c>
      <c r="L116" s="1736"/>
      <c r="M116" s="1736"/>
      <c r="N116" s="1520">
        <v>0</v>
      </c>
      <c r="O116" s="1519"/>
      <c r="P116" s="1566" t="s">
        <v>3480</v>
      </c>
      <c r="Q116" s="1566"/>
      <c r="R116" s="1555">
        <v>0</v>
      </c>
      <c r="S116" s="1556">
        <v>557</v>
      </c>
      <c r="T116" s="1555">
        <v>0</v>
      </c>
      <c r="U116" s="1555">
        <v>66.84</v>
      </c>
      <c r="V116" s="1555">
        <v>0</v>
      </c>
      <c r="W116" s="1555">
        <v>0</v>
      </c>
      <c r="Y116" s="1556" t="s">
        <v>21</v>
      </c>
      <c r="AA116" s="1555">
        <v>0</v>
      </c>
      <c r="AB116" s="1556">
        <v>557</v>
      </c>
    </row>
    <row r="117" spans="1:28" x14ac:dyDescent="0.25">
      <c r="A117" s="1527" t="s">
        <v>1573</v>
      </c>
      <c r="B117" s="1526">
        <v>115.9</v>
      </c>
      <c r="C117" s="1526">
        <v>5</v>
      </c>
      <c r="D117" s="1525">
        <v>0</v>
      </c>
      <c r="E117" s="1524">
        <v>746.39600000000007</v>
      </c>
      <c r="F117" s="1523">
        <v>239.65</v>
      </c>
      <c r="G117" s="1544">
        <v>0.17</v>
      </c>
      <c r="H117" s="1520">
        <v>231.8</v>
      </c>
      <c r="I117" s="1522">
        <v>0.08</v>
      </c>
      <c r="J117" s="1521">
        <v>0</v>
      </c>
      <c r="K117" s="1521">
        <v>0.12</v>
      </c>
      <c r="L117" s="1736"/>
      <c r="M117" s="1736"/>
      <c r="N117" s="1520">
        <v>0</v>
      </c>
      <c r="O117" s="1519"/>
      <c r="P117" s="1566" t="s">
        <v>3480</v>
      </c>
      <c r="Q117" s="1566"/>
      <c r="R117" s="1555">
        <v>0</v>
      </c>
      <c r="S117" s="1556">
        <v>579.5</v>
      </c>
      <c r="T117" s="1555">
        <v>0</v>
      </c>
      <c r="U117" s="1555">
        <v>69.539999999999992</v>
      </c>
      <c r="V117" s="1555">
        <v>0</v>
      </c>
      <c r="W117" s="1555">
        <v>0</v>
      </c>
      <c r="Y117" s="1556" t="s">
        <v>21</v>
      </c>
      <c r="AA117" s="1555">
        <v>0</v>
      </c>
      <c r="AB117" s="1556">
        <v>579.5</v>
      </c>
    </row>
    <row r="118" spans="1:28" x14ac:dyDescent="0.25">
      <c r="A118" s="1527" t="s">
        <v>1572</v>
      </c>
      <c r="B118" s="1526">
        <v>85.61</v>
      </c>
      <c r="C118" s="1526">
        <v>4.4000000000000004</v>
      </c>
      <c r="D118" s="1525">
        <v>0</v>
      </c>
      <c r="E118" s="1524">
        <v>499.96240000000006</v>
      </c>
      <c r="F118" s="1523">
        <v>153.06</v>
      </c>
      <c r="G118" s="1544">
        <v>7.0000000000000007E-2</v>
      </c>
      <c r="H118" s="1520">
        <v>171.22</v>
      </c>
      <c r="I118" s="1522">
        <v>0.08</v>
      </c>
      <c r="J118" s="1521">
        <v>0</v>
      </c>
      <c r="K118" s="1521">
        <v>0.12</v>
      </c>
      <c r="L118" s="1736"/>
      <c r="M118" s="1736"/>
      <c r="N118" s="1520">
        <v>0</v>
      </c>
      <c r="O118" s="1519"/>
      <c r="P118" s="1566" t="s">
        <v>3480</v>
      </c>
      <c r="Q118" s="1566"/>
      <c r="R118" s="1555">
        <v>0</v>
      </c>
      <c r="S118" s="1556">
        <v>376.68400000000003</v>
      </c>
      <c r="T118" s="1555">
        <v>0</v>
      </c>
      <c r="U118" s="1555">
        <v>45.202080000000002</v>
      </c>
      <c r="V118" s="1555">
        <v>0</v>
      </c>
      <c r="W118" s="1555">
        <v>0</v>
      </c>
      <c r="Y118" s="1556" t="s">
        <v>21</v>
      </c>
      <c r="AA118" s="1555">
        <v>0</v>
      </c>
      <c r="AB118" s="1556">
        <v>376.68400000000003</v>
      </c>
    </row>
    <row r="119" spans="1:28" x14ac:dyDescent="0.25">
      <c r="A119" s="1527" t="s">
        <v>1571</v>
      </c>
      <c r="B119" s="1526">
        <v>84.5</v>
      </c>
      <c r="C119" s="1526">
        <v>5</v>
      </c>
      <c r="D119" s="1525">
        <v>0</v>
      </c>
      <c r="E119" s="1524">
        <v>544.18000000000006</v>
      </c>
      <c r="F119" s="1523">
        <v>145.05000000000001</v>
      </c>
      <c r="G119" s="1544">
        <v>0</v>
      </c>
      <c r="H119" s="1520">
        <v>169</v>
      </c>
      <c r="I119" s="1522">
        <v>0.08</v>
      </c>
      <c r="J119" s="1521">
        <v>0</v>
      </c>
      <c r="K119" s="1521">
        <v>0.12</v>
      </c>
      <c r="L119" s="1736"/>
      <c r="M119" s="1736"/>
      <c r="N119" s="1520">
        <v>0</v>
      </c>
      <c r="O119" s="1519"/>
      <c r="P119" s="1566" t="s">
        <v>3480</v>
      </c>
      <c r="Q119" s="1566"/>
      <c r="R119" s="1555">
        <v>0</v>
      </c>
      <c r="S119" s="1556">
        <v>422.5</v>
      </c>
      <c r="T119" s="1555">
        <v>0</v>
      </c>
      <c r="U119" s="1555">
        <v>50.699999999999996</v>
      </c>
      <c r="V119" s="1555">
        <v>0</v>
      </c>
      <c r="W119" s="1555">
        <v>0</v>
      </c>
      <c r="Y119" s="1556" t="s">
        <v>21</v>
      </c>
      <c r="AA119" s="1555">
        <v>0</v>
      </c>
      <c r="AB119" s="1556">
        <v>422.5</v>
      </c>
    </row>
    <row r="120" spans="1:28" x14ac:dyDescent="0.25">
      <c r="A120" s="1527" t="s">
        <v>1570</v>
      </c>
      <c r="B120" s="1526">
        <v>116.35</v>
      </c>
      <c r="C120" s="1526">
        <v>5</v>
      </c>
      <c r="D120" s="1525">
        <v>0</v>
      </c>
      <c r="E120" s="1524">
        <v>749.29399999999998</v>
      </c>
      <c r="F120" s="1523">
        <v>158.85</v>
      </c>
      <c r="G120" s="1544">
        <v>27.84</v>
      </c>
      <c r="H120" s="1520">
        <v>232.7</v>
      </c>
      <c r="I120" s="1522">
        <v>0.08</v>
      </c>
      <c r="J120" s="1521">
        <v>0</v>
      </c>
      <c r="K120" s="1521">
        <v>0.12</v>
      </c>
      <c r="L120" s="1736"/>
      <c r="M120" s="1736"/>
      <c r="N120" s="1520">
        <v>0</v>
      </c>
      <c r="O120" s="1519"/>
      <c r="P120" s="1566" t="s">
        <v>3480</v>
      </c>
      <c r="Q120" s="1566"/>
      <c r="R120" s="1555">
        <v>0</v>
      </c>
      <c r="S120" s="1556">
        <v>581.75</v>
      </c>
      <c r="T120" s="1555">
        <v>0</v>
      </c>
      <c r="U120" s="1555">
        <v>69.81</v>
      </c>
      <c r="V120" s="1555">
        <v>0</v>
      </c>
      <c r="W120" s="1555">
        <v>0</v>
      </c>
      <c r="Y120" s="1556" t="s">
        <v>21</v>
      </c>
      <c r="AA120" s="1555">
        <v>0</v>
      </c>
      <c r="AB120" s="1556">
        <v>581.75</v>
      </c>
    </row>
    <row r="121" spans="1:28" x14ac:dyDescent="0.25">
      <c r="A121" s="1527" t="s">
        <v>1569</v>
      </c>
      <c r="B121" s="1526">
        <v>101.09</v>
      </c>
      <c r="C121" s="1526">
        <v>5</v>
      </c>
      <c r="D121" s="1525">
        <v>0</v>
      </c>
      <c r="E121" s="1524">
        <v>651.01960000000008</v>
      </c>
      <c r="F121" s="1523">
        <v>149</v>
      </c>
      <c r="G121" s="1544">
        <v>66.05</v>
      </c>
      <c r="H121" s="1520">
        <v>202.18</v>
      </c>
      <c r="I121" s="1522">
        <v>0.08</v>
      </c>
      <c r="J121" s="1521">
        <v>0</v>
      </c>
      <c r="K121" s="1521">
        <v>0.12</v>
      </c>
      <c r="L121" s="1736"/>
      <c r="M121" s="1736"/>
      <c r="N121" s="1520">
        <v>0</v>
      </c>
      <c r="O121" s="1519"/>
      <c r="P121" s="1566" t="s">
        <v>3480</v>
      </c>
      <c r="Q121" s="1566"/>
      <c r="R121" s="1555">
        <v>0</v>
      </c>
      <c r="S121" s="1556">
        <v>505.45000000000005</v>
      </c>
      <c r="T121" s="1555">
        <v>0</v>
      </c>
      <c r="U121" s="1555">
        <v>60.654000000000003</v>
      </c>
      <c r="V121" s="1555">
        <v>0</v>
      </c>
      <c r="W121" s="1555">
        <v>0</v>
      </c>
      <c r="Y121" s="1556" t="s">
        <v>21</v>
      </c>
      <c r="AA121" s="1555">
        <v>0</v>
      </c>
      <c r="AB121" s="1556">
        <v>505.45000000000005</v>
      </c>
    </row>
    <row r="122" spans="1:28" x14ac:dyDescent="0.25">
      <c r="A122" s="1527" t="s">
        <v>1568</v>
      </c>
      <c r="B122" s="1526">
        <v>22.52</v>
      </c>
      <c r="C122" s="1526">
        <v>5</v>
      </c>
      <c r="D122" s="1525">
        <v>0</v>
      </c>
      <c r="E122" s="1524">
        <v>145.02880000000002</v>
      </c>
      <c r="F122" s="1523">
        <v>52.11</v>
      </c>
      <c r="G122" s="1544">
        <v>0</v>
      </c>
      <c r="H122" s="1520">
        <v>45.04</v>
      </c>
      <c r="I122" s="1522">
        <v>0.08</v>
      </c>
      <c r="J122" s="1521">
        <v>0</v>
      </c>
      <c r="K122" s="1521">
        <v>0.12</v>
      </c>
      <c r="L122" s="1736"/>
      <c r="M122" s="1736"/>
      <c r="N122" s="1520">
        <v>0</v>
      </c>
      <c r="O122" s="1519"/>
      <c r="P122" s="1566" t="s">
        <v>3480</v>
      </c>
      <c r="Q122" s="1566"/>
      <c r="R122" s="1555">
        <v>0</v>
      </c>
      <c r="S122" s="1556">
        <v>112.6</v>
      </c>
      <c r="T122" s="1555">
        <v>0</v>
      </c>
      <c r="U122" s="1555">
        <v>13.511999999999999</v>
      </c>
      <c r="V122" s="1555">
        <v>0</v>
      </c>
      <c r="W122" s="1555">
        <v>0</v>
      </c>
      <c r="Y122" s="1556" t="s">
        <v>21</v>
      </c>
      <c r="AA122" s="1555">
        <v>0</v>
      </c>
      <c r="AB122" s="1556">
        <v>112.6</v>
      </c>
    </row>
    <row r="123" spans="1:28" x14ac:dyDescent="0.25">
      <c r="A123" s="1527" t="s">
        <v>1567</v>
      </c>
      <c r="B123" s="1526">
        <v>74.06</v>
      </c>
      <c r="C123" s="1526">
        <v>5</v>
      </c>
      <c r="D123" s="1525">
        <v>0</v>
      </c>
      <c r="E123" s="1524">
        <v>476.94640000000004</v>
      </c>
      <c r="F123" s="1523">
        <v>152.6</v>
      </c>
      <c r="G123" s="1544">
        <v>17.28</v>
      </c>
      <c r="H123" s="1520">
        <v>148.12</v>
      </c>
      <c r="I123" s="1522">
        <v>0.08</v>
      </c>
      <c r="J123" s="1521">
        <v>0</v>
      </c>
      <c r="K123" s="1521">
        <v>0.12</v>
      </c>
      <c r="L123" s="1736"/>
      <c r="M123" s="1736"/>
      <c r="N123" s="1520">
        <v>0</v>
      </c>
      <c r="O123" s="1519"/>
      <c r="P123" s="1566" t="s">
        <v>3480</v>
      </c>
      <c r="Q123" s="1566"/>
      <c r="R123" s="1555">
        <v>0</v>
      </c>
      <c r="S123" s="1556">
        <v>370.3</v>
      </c>
      <c r="T123" s="1555">
        <v>0</v>
      </c>
      <c r="U123" s="1555">
        <v>44.436</v>
      </c>
      <c r="V123" s="1555">
        <v>0</v>
      </c>
      <c r="W123" s="1555">
        <v>0</v>
      </c>
      <c r="Y123" s="1556" t="s">
        <v>21</v>
      </c>
      <c r="AA123" s="1555">
        <v>0</v>
      </c>
      <c r="AB123" s="1556">
        <v>370.3</v>
      </c>
    </row>
    <row r="124" spans="1:28" x14ac:dyDescent="0.25">
      <c r="A124" s="1527" t="s">
        <v>1566</v>
      </c>
      <c r="B124" s="1526">
        <v>25.92</v>
      </c>
      <c r="C124" s="1526">
        <v>5</v>
      </c>
      <c r="D124" s="1525">
        <v>0</v>
      </c>
      <c r="E124" s="1524">
        <v>166.92480000000003</v>
      </c>
      <c r="F124" s="1523">
        <v>66.59</v>
      </c>
      <c r="G124" s="1544">
        <v>1.41</v>
      </c>
      <c r="H124" s="1520">
        <v>51.84</v>
      </c>
      <c r="I124" s="1522">
        <v>0.08</v>
      </c>
      <c r="J124" s="1521">
        <v>0</v>
      </c>
      <c r="K124" s="1521">
        <v>0.12</v>
      </c>
      <c r="L124" s="1736"/>
      <c r="M124" s="1736"/>
      <c r="N124" s="1520">
        <v>0</v>
      </c>
      <c r="O124" s="1519"/>
      <c r="P124" s="1566" t="s">
        <v>3480</v>
      </c>
      <c r="Q124" s="1566"/>
      <c r="R124" s="1555">
        <v>0</v>
      </c>
      <c r="S124" s="1556">
        <v>129.60000000000002</v>
      </c>
      <c r="T124" s="1555">
        <v>0</v>
      </c>
      <c r="U124" s="1555">
        <v>15.552000000000001</v>
      </c>
      <c r="V124" s="1555">
        <v>0</v>
      </c>
      <c r="W124" s="1555">
        <v>0</v>
      </c>
      <c r="Y124" s="1556" t="s">
        <v>21</v>
      </c>
      <c r="AA124" s="1555">
        <v>0</v>
      </c>
      <c r="AB124" s="1556">
        <v>129.60000000000002</v>
      </c>
    </row>
    <row r="125" spans="1:28" x14ac:dyDescent="0.25">
      <c r="A125" s="1527" t="s">
        <v>1565</v>
      </c>
      <c r="B125" s="1526">
        <v>64.38</v>
      </c>
      <c r="C125" s="1526">
        <v>5</v>
      </c>
      <c r="D125" s="1525">
        <v>0</v>
      </c>
      <c r="E125" s="1524">
        <v>414.60719999999998</v>
      </c>
      <c r="F125" s="1523">
        <v>213.86</v>
      </c>
      <c r="G125" s="1544">
        <v>13.86</v>
      </c>
      <c r="H125" s="1520">
        <v>128.76</v>
      </c>
      <c r="I125" s="1522">
        <v>0.08</v>
      </c>
      <c r="J125" s="1521">
        <v>0</v>
      </c>
      <c r="K125" s="1521">
        <v>0.12</v>
      </c>
      <c r="L125" s="1736"/>
      <c r="M125" s="1736"/>
      <c r="N125" s="1520">
        <v>0</v>
      </c>
      <c r="O125" s="1519"/>
      <c r="P125" s="1566" t="s">
        <v>3480</v>
      </c>
      <c r="Q125" s="1566"/>
      <c r="R125" s="1555">
        <v>0</v>
      </c>
      <c r="S125" s="1556">
        <v>321.89999999999998</v>
      </c>
      <c r="T125" s="1555">
        <v>0</v>
      </c>
      <c r="U125" s="1555">
        <v>38.627999999999993</v>
      </c>
      <c r="V125" s="1555">
        <v>0</v>
      </c>
      <c r="W125" s="1555">
        <v>0</v>
      </c>
      <c r="Y125" s="1556" t="s">
        <v>21</v>
      </c>
      <c r="AA125" s="1555">
        <v>0</v>
      </c>
      <c r="AB125" s="1556">
        <v>321.89999999999998</v>
      </c>
    </row>
    <row r="126" spans="1:28" x14ac:dyDescent="0.25">
      <c r="A126" s="1527" t="s">
        <v>1564</v>
      </c>
      <c r="B126" s="1526">
        <v>36.33</v>
      </c>
      <c r="C126" s="1526">
        <v>4.4000000000000004</v>
      </c>
      <c r="D126" s="1525">
        <v>0</v>
      </c>
      <c r="E126" s="1524">
        <v>212.16720000000001</v>
      </c>
      <c r="F126" s="1523">
        <v>23.09</v>
      </c>
      <c r="G126" s="1544">
        <v>0.15</v>
      </c>
      <c r="H126" s="1520">
        <v>72.66</v>
      </c>
      <c r="I126" s="1522">
        <v>0.08</v>
      </c>
      <c r="J126" s="1521">
        <v>0</v>
      </c>
      <c r="K126" s="1521">
        <v>0.12</v>
      </c>
      <c r="L126" s="1736"/>
      <c r="M126" s="1736"/>
      <c r="N126" s="1520">
        <v>0</v>
      </c>
      <c r="O126" s="1519"/>
      <c r="P126" s="1566" t="s">
        <v>3480</v>
      </c>
      <c r="Q126" s="1566"/>
      <c r="R126" s="1555">
        <v>0</v>
      </c>
      <c r="S126" s="1556">
        <v>159.852</v>
      </c>
      <c r="T126" s="1555">
        <v>0</v>
      </c>
      <c r="U126" s="1555">
        <v>19.18224</v>
      </c>
      <c r="V126" s="1555">
        <v>0</v>
      </c>
      <c r="W126" s="1555">
        <v>0</v>
      </c>
      <c r="Y126" s="1556" t="s">
        <v>21</v>
      </c>
      <c r="AA126" s="1555">
        <v>0</v>
      </c>
      <c r="AB126" s="1556">
        <v>159.852</v>
      </c>
    </row>
    <row r="127" spans="1:28" x14ac:dyDescent="0.25">
      <c r="A127" s="1527" t="s">
        <v>1563</v>
      </c>
      <c r="B127" s="1526">
        <v>65</v>
      </c>
      <c r="C127" s="1526">
        <v>4.4000000000000004</v>
      </c>
      <c r="D127" s="1525">
        <v>0</v>
      </c>
      <c r="E127" s="1524">
        <v>379.6</v>
      </c>
      <c r="F127" s="1523">
        <v>25.85</v>
      </c>
      <c r="G127" s="1544">
        <v>23.59</v>
      </c>
      <c r="H127" s="1520">
        <v>130</v>
      </c>
      <c r="I127" s="1522">
        <v>0.08</v>
      </c>
      <c r="J127" s="1521">
        <v>0</v>
      </c>
      <c r="K127" s="1521">
        <v>0.12</v>
      </c>
      <c r="L127" s="1736"/>
      <c r="M127" s="1736"/>
      <c r="N127" s="1520">
        <v>0</v>
      </c>
      <c r="O127" s="1519"/>
      <c r="P127" s="1566" t="s">
        <v>3480</v>
      </c>
      <c r="Q127" s="1566"/>
      <c r="R127" s="1555">
        <v>0</v>
      </c>
      <c r="S127" s="1556">
        <v>286</v>
      </c>
      <c r="T127" s="1555">
        <v>0</v>
      </c>
      <c r="U127" s="1555">
        <v>34.32</v>
      </c>
      <c r="V127" s="1555">
        <v>0</v>
      </c>
      <c r="W127" s="1555">
        <v>0</v>
      </c>
      <c r="Y127" s="1556" t="s">
        <v>21</v>
      </c>
      <c r="AA127" s="1555">
        <v>0</v>
      </c>
      <c r="AB127" s="1556">
        <v>286</v>
      </c>
    </row>
    <row r="128" spans="1:28" x14ac:dyDescent="0.25">
      <c r="A128" s="1527" t="s">
        <v>1562</v>
      </c>
      <c r="B128" s="1526">
        <v>46.78</v>
      </c>
      <c r="C128" s="1526">
        <v>7</v>
      </c>
      <c r="D128" s="1525">
        <v>0</v>
      </c>
      <c r="E128" s="1524">
        <v>394.82319999999999</v>
      </c>
      <c r="F128" s="1523">
        <v>184.41</v>
      </c>
      <c r="G128" s="1544">
        <v>0.9</v>
      </c>
      <c r="H128" s="1520">
        <v>93.56</v>
      </c>
      <c r="I128" s="1522">
        <v>0.08</v>
      </c>
      <c r="J128" s="1521">
        <v>0</v>
      </c>
      <c r="K128" s="1521">
        <v>0.12</v>
      </c>
      <c r="L128" s="1736"/>
      <c r="M128" s="1736"/>
      <c r="N128" s="1520">
        <v>0</v>
      </c>
      <c r="O128" s="1519"/>
      <c r="P128" s="1566" t="s">
        <v>3480</v>
      </c>
      <c r="Q128" s="1566"/>
      <c r="R128" s="1555">
        <v>0</v>
      </c>
      <c r="S128" s="1556">
        <v>327.46000000000004</v>
      </c>
      <c r="T128" s="1555">
        <v>0</v>
      </c>
      <c r="U128" s="1555">
        <v>39.295200000000001</v>
      </c>
      <c r="V128" s="1555">
        <v>0</v>
      </c>
      <c r="W128" s="1555">
        <v>0</v>
      </c>
      <c r="Y128" s="1556" t="s">
        <v>21</v>
      </c>
      <c r="AA128" s="1555">
        <v>0</v>
      </c>
      <c r="AB128" s="1556">
        <v>327.46000000000004</v>
      </c>
    </row>
    <row r="129" spans="1:28" x14ac:dyDescent="0.25">
      <c r="A129" s="1527" t="s">
        <v>1561</v>
      </c>
      <c r="B129" s="1526">
        <v>66.599999999999994</v>
      </c>
      <c r="C129" s="1526">
        <v>6</v>
      </c>
      <c r="D129" s="1525">
        <v>0</v>
      </c>
      <c r="E129" s="1524">
        <v>495.50399999999996</v>
      </c>
      <c r="F129" s="1523">
        <v>199.53</v>
      </c>
      <c r="G129" s="1544">
        <v>0</v>
      </c>
      <c r="H129" s="1520">
        <v>133.19999999999999</v>
      </c>
      <c r="I129" s="1522">
        <v>0.08</v>
      </c>
      <c r="J129" s="1521">
        <v>0</v>
      </c>
      <c r="K129" s="1521">
        <v>0.12</v>
      </c>
      <c r="L129" s="1736"/>
      <c r="M129" s="1736"/>
      <c r="N129" s="1520">
        <v>0</v>
      </c>
      <c r="O129" s="1519"/>
      <c r="P129" s="1566" t="s">
        <v>3480</v>
      </c>
      <c r="Q129" s="1566"/>
      <c r="R129" s="1555">
        <v>0</v>
      </c>
      <c r="S129" s="1556">
        <v>399.59999999999997</v>
      </c>
      <c r="T129" s="1555">
        <v>0</v>
      </c>
      <c r="U129" s="1555">
        <v>47.951999999999991</v>
      </c>
      <c r="V129" s="1555">
        <v>0</v>
      </c>
      <c r="W129" s="1555">
        <v>0</v>
      </c>
      <c r="Y129" s="1556" t="s">
        <v>21</v>
      </c>
      <c r="AA129" s="1555">
        <v>0</v>
      </c>
      <c r="AB129" s="1556">
        <v>399.59999999999997</v>
      </c>
    </row>
    <row r="130" spans="1:28" x14ac:dyDescent="0.25">
      <c r="A130" s="1527" t="s">
        <v>1560</v>
      </c>
      <c r="B130" s="1526">
        <v>57.64</v>
      </c>
      <c r="C130" s="1526">
        <v>7</v>
      </c>
      <c r="D130" s="1525">
        <v>0</v>
      </c>
      <c r="E130" s="1524">
        <v>486.48159999999996</v>
      </c>
      <c r="F130" s="1523">
        <v>123.31</v>
      </c>
      <c r="G130" s="1544">
        <v>2.79</v>
      </c>
      <c r="H130" s="1520">
        <v>115.28</v>
      </c>
      <c r="I130" s="1522">
        <v>0.08</v>
      </c>
      <c r="J130" s="1521">
        <v>0</v>
      </c>
      <c r="K130" s="1521">
        <v>0.12</v>
      </c>
      <c r="L130" s="1736"/>
      <c r="M130" s="1736"/>
      <c r="N130" s="1520">
        <v>0</v>
      </c>
      <c r="O130" s="1519"/>
      <c r="P130" s="1566" t="s">
        <v>3480</v>
      </c>
      <c r="Q130" s="1566"/>
      <c r="R130" s="1555">
        <v>0</v>
      </c>
      <c r="S130" s="1556">
        <v>403.48</v>
      </c>
      <c r="T130" s="1555">
        <v>0</v>
      </c>
      <c r="U130" s="1555">
        <v>48.4176</v>
      </c>
      <c r="V130" s="1555">
        <v>0</v>
      </c>
      <c r="W130" s="1555">
        <v>0</v>
      </c>
      <c r="Y130" s="1556" t="s">
        <v>21</v>
      </c>
      <c r="AA130" s="1555">
        <v>0</v>
      </c>
      <c r="AB130" s="1556">
        <v>403.48</v>
      </c>
    </row>
    <row r="131" spans="1:28" x14ac:dyDescent="0.25">
      <c r="A131" s="1527" t="s">
        <v>1559</v>
      </c>
      <c r="B131" s="1526">
        <v>156.22999999999999</v>
      </c>
      <c r="C131" s="1526">
        <v>7</v>
      </c>
      <c r="D131" s="1525">
        <v>0</v>
      </c>
      <c r="E131" s="1524">
        <v>1318.5811999999999</v>
      </c>
      <c r="F131" s="1523">
        <v>283.51</v>
      </c>
      <c r="G131" s="1544">
        <v>11.59</v>
      </c>
      <c r="H131" s="1520">
        <v>312.45999999999998</v>
      </c>
      <c r="I131" s="1522">
        <v>0.08</v>
      </c>
      <c r="J131" s="1521">
        <v>0</v>
      </c>
      <c r="K131" s="1521">
        <v>0.12</v>
      </c>
      <c r="L131" s="1736"/>
      <c r="M131" s="1736"/>
      <c r="N131" s="1520">
        <v>0</v>
      </c>
      <c r="O131" s="1519"/>
      <c r="P131" s="1566" t="s">
        <v>3480</v>
      </c>
      <c r="Q131" s="1566"/>
      <c r="R131" s="1555">
        <v>0</v>
      </c>
      <c r="S131" s="1556">
        <v>1093.6099999999999</v>
      </c>
      <c r="T131" s="1555">
        <v>0</v>
      </c>
      <c r="U131" s="1555">
        <v>131.23319999999998</v>
      </c>
      <c r="V131" s="1555">
        <v>0</v>
      </c>
      <c r="W131" s="1555">
        <v>0</v>
      </c>
      <c r="Y131" s="1556" t="s">
        <v>21</v>
      </c>
      <c r="AA131" s="1555">
        <v>0</v>
      </c>
      <c r="AB131" s="1556">
        <v>1093.6099999999999</v>
      </c>
    </row>
    <row r="132" spans="1:28" x14ac:dyDescent="0.25">
      <c r="A132" s="1527" t="s">
        <v>1558</v>
      </c>
      <c r="B132" s="1526">
        <v>164.21</v>
      </c>
      <c r="C132" s="1526">
        <v>5</v>
      </c>
      <c r="D132" s="1525">
        <v>0</v>
      </c>
      <c r="E132" s="1524">
        <v>1057.5124000000001</v>
      </c>
      <c r="F132" s="1523">
        <v>286.14</v>
      </c>
      <c r="G132" s="1544">
        <v>10.53</v>
      </c>
      <c r="H132" s="1520">
        <v>328.42</v>
      </c>
      <c r="I132" s="1522">
        <v>0.08</v>
      </c>
      <c r="J132" s="1521">
        <v>0</v>
      </c>
      <c r="K132" s="1521">
        <v>0.12</v>
      </c>
      <c r="L132" s="1736"/>
      <c r="M132" s="1736"/>
      <c r="N132" s="1520">
        <v>0</v>
      </c>
      <c r="O132" s="1519"/>
      <c r="P132" s="1566" t="s">
        <v>3480</v>
      </c>
      <c r="Q132" s="1566"/>
      <c r="R132" s="1555">
        <v>0</v>
      </c>
      <c r="S132" s="1556">
        <v>821.05000000000007</v>
      </c>
      <c r="T132" s="1555">
        <v>0</v>
      </c>
      <c r="U132" s="1555">
        <v>98.52600000000001</v>
      </c>
      <c r="V132" s="1555">
        <v>0</v>
      </c>
      <c r="W132" s="1555">
        <v>0</v>
      </c>
      <c r="Y132" s="1556" t="s">
        <v>21</v>
      </c>
      <c r="AA132" s="1555">
        <v>0</v>
      </c>
      <c r="AB132" s="1556">
        <v>821.05000000000007</v>
      </c>
    </row>
    <row r="133" spans="1:28" x14ac:dyDescent="0.25">
      <c r="A133" s="1527" t="s">
        <v>1557</v>
      </c>
      <c r="B133" s="1526">
        <v>11.99</v>
      </c>
      <c r="C133" s="1526">
        <v>5</v>
      </c>
      <c r="D133" s="1525">
        <v>0</v>
      </c>
      <c r="E133" s="1524">
        <v>77.215600000000009</v>
      </c>
      <c r="F133" s="1523">
        <v>6.41</v>
      </c>
      <c r="G133" s="1544">
        <v>0</v>
      </c>
      <c r="H133" s="1520">
        <v>23.98</v>
      </c>
      <c r="I133" s="1522">
        <v>0.08</v>
      </c>
      <c r="J133" s="1521">
        <v>0</v>
      </c>
      <c r="K133" s="1521">
        <v>0.12</v>
      </c>
      <c r="L133" s="1736"/>
      <c r="M133" s="1736"/>
      <c r="N133" s="1520">
        <v>0</v>
      </c>
      <c r="O133" s="1519"/>
      <c r="P133" s="1566" t="s">
        <v>3480</v>
      </c>
      <c r="Q133" s="1566"/>
      <c r="R133" s="1555">
        <v>0</v>
      </c>
      <c r="S133" s="1556">
        <v>59.95</v>
      </c>
      <c r="T133" s="1555">
        <v>0</v>
      </c>
      <c r="U133" s="1555">
        <v>7.194</v>
      </c>
      <c r="V133" s="1555">
        <v>0</v>
      </c>
      <c r="W133" s="1555">
        <v>0</v>
      </c>
      <c r="Y133" s="1556" t="s">
        <v>21</v>
      </c>
      <c r="AA133" s="1555">
        <v>0</v>
      </c>
      <c r="AB133" s="1556">
        <v>59.95</v>
      </c>
    </row>
    <row r="134" spans="1:28" x14ac:dyDescent="0.25">
      <c r="A134" s="1527" t="s">
        <v>1556</v>
      </c>
      <c r="B134" s="1526">
        <v>10</v>
      </c>
      <c r="C134" s="1526">
        <v>7</v>
      </c>
      <c r="D134" s="1525">
        <v>0</v>
      </c>
      <c r="E134" s="1524">
        <v>84.399999999999991</v>
      </c>
      <c r="F134" s="1523">
        <v>17.71</v>
      </c>
      <c r="G134" s="1544">
        <v>0.03</v>
      </c>
      <c r="H134" s="1520">
        <v>20</v>
      </c>
      <c r="I134" s="1522">
        <v>0.08</v>
      </c>
      <c r="J134" s="1521">
        <v>0</v>
      </c>
      <c r="K134" s="1521">
        <v>0.12</v>
      </c>
      <c r="L134" s="1736"/>
      <c r="M134" s="1736"/>
      <c r="N134" s="1520">
        <v>0</v>
      </c>
      <c r="O134" s="1519"/>
      <c r="P134" s="1566" t="s">
        <v>3480</v>
      </c>
      <c r="Q134" s="1566"/>
      <c r="R134" s="1555">
        <v>0</v>
      </c>
      <c r="S134" s="1556">
        <v>70</v>
      </c>
      <c r="T134" s="1555">
        <v>0</v>
      </c>
      <c r="U134" s="1555">
        <v>8.4</v>
      </c>
      <c r="V134" s="1555">
        <v>0</v>
      </c>
      <c r="W134" s="1555">
        <v>0</v>
      </c>
      <c r="Y134" s="1556" t="s">
        <v>21</v>
      </c>
      <c r="AA134" s="1555">
        <v>0</v>
      </c>
      <c r="AB134" s="1556">
        <v>70</v>
      </c>
    </row>
    <row r="135" spans="1:28" x14ac:dyDescent="0.25">
      <c r="A135" s="1527" t="s">
        <v>1555</v>
      </c>
      <c r="B135" s="1526">
        <v>66.2</v>
      </c>
      <c r="C135" s="1526">
        <v>5</v>
      </c>
      <c r="D135" s="1525">
        <v>0</v>
      </c>
      <c r="E135" s="1524">
        <v>426.32800000000003</v>
      </c>
      <c r="F135" s="1523">
        <v>132</v>
      </c>
      <c r="G135" s="1544">
        <v>0</v>
      </c>
      <c r="H135" s="1520">
        <v>132.4</v>
      </c>
      <c r="I135" s="1522">
        <v>0.08</v>
      </c>
      <c r="J135" s="1521">
        <v>0</v>
      </c>
      <c r="K135" s="1521">
        <v>0.12</v>
      </c>
      <c r="L135" s="1736"/>
      <c r="M135" s="1736"/>
      <c r="N135" s="1520">
        <v>0</v>
      </c>
      <c r="O135" s="1519"/>
      <c r="P135" s="1566" t="s">
        <v>3480</v>
      </c>
      <c r="Q135" s="1566"/>
      <c r="R135" s="1555">
        <v>0</v>
      </c>
      <c r="S135" s="1556">
        <v>331</v>
      </c>
      <c r="T135" s="1555">
        <v>0</v>
      </c>
      <c r="U135" s="1555">
        <v>39.72</v>
      </c>
      <c r="V135" s="1555">
        <v>0</v>
      </c>
      <c r="W135" s="1555">
        <v>0</v>
      </c>
      <c r="Y135" s="1556" t="s">
        <v>21</v>
      </c>
      <c r="AA135" s="1555">
        <v>0</v>
      </c>
      <c r="AB135" s="1556">
        <v>331</v>
      </c>
    </row>
    <row r="136" spans="1:28" x14ac:dyDescent="0.25">
      <c r="A136" s="1527" t="s">
        <v>1554</v>
      </c>
      <c r="B136" s="1526">
        <v>82.71</v>
      </c>
      <c r="C136" s="1526">
        <v>5</v>
      </c>
      <c r="D136" s="1525">
        <v>0</v>
      </c>
      <c r="E136" s="1524">
        <v>532.65239999999994</v>
      </c>
      <c r="F136" s="1523">
        <v>100.65</v>
      </c>
      <c r="G136" s="1544">
        <v>2.75</v>
      </c>
      <c r="H136" s="1520">
        <v>165.42</v>
      </c>
      <c r="I136" s="1522">
        <v>0.08</v>
      </c>
      <c r="J136" s="1521">
        <v>0</v>
      </c>
      <c r="K136" s="1521">
        <v>0.12</v>
      </c>
      <c r="L136" s="1736"/>
      <c r="M136" s="1736"/>
      <c r="N136" s="1520">
        <v>0</v>
      </c>
      <c r="O136" s="1519"/>
      <c r="P136" s="1566" t="s">
        <v>3480</v>
      </c>
      <c r="Q136" s="1566"/>
      <c r="R136" s="1555">
        <v>0</v>
      </c>
      <c r="S136" s="1556">
        <v>413.54999999999995</v>
      </c>
      <c r="T136" s="1555">
        <v>0</v>
      </c>
      <c r="U136" s="1555">
        <v>49.625999999999991</v>
      </c>
      <c r="V136" s="1555">
        <v>0</v>
      </c>
      <c r="W136" s="1555">
        <v>0</v>
      </c>
      <c r="Y136" s="1556" t="s">
        <v>21</v>
      </c>
      <c r="AA136" s="1555">
        <v>0</v>
      </c>
      <c r="AB136" s="1556">
        <v>413.54999999999995</v>
      </c>
    </row>
    <row r="137" spans="1:28" s="1752" customFormat="1" x14ac:dyDescent="0.25">
      <c r="A137" s="1753" t="s">
        <v>1553</v>
      </c>
      <c r="B137" s="1739">
        <v>111.6</v>
      </c>
      <c r="C137" s="1739">
        <v>5</v>
      </c>
      <c r="D137" s="1740">
        <v>0</v>
      </c>
      <c r="E137" s="1741">
        <v>718.70399999999995</v>
      </c>
      <c r="F137" s="1742">
        <v>231.28</v>
      </c>
      <c r="G137" s="1743">
        <v>0</v>
      </c>
      <c r="H137" s="1744">
        <v>223.2</v>
      </c>
      <c r="I137" s="1745">
        <v>0.08</v>
      </c>
      <c r="J137" s="1746">
        <v>0</v>
      </c>
      <c r="K137" s="1746">
        <v>0.12</v>
      </c>
      <c r="L137" s="1747">
        <v>0.6</v>
      </c>
      <c r="M137" s="1747"/>
      <c r="N137" s="1744">
        <v>0</v>
      </c>
      <c r="O137" s="1748"/>
      <c r="P137" s="1749" t="s">
        <v>3480</v>
      </c>
      <c r="Q137" s="1749"/>
      <c r="R137" s="1750">
        <v>0</v>
      </c>
      <c r="S137" s="1751">
        <v>558</v>
      </c>
      <c r="T137" s="1750">
        <v>334.8</v>
      </c>
      <c r="U137" s="1750">
        <v>66.959999999999994</v>
      </c>
      <c r="V137" s="1750">
        <v>0</v>
      </c>
      <c r="W137" s="1750">
        <v>0</v>
      </c>
      <c r="X137" s="1750"/>
      <c r="Y137" s="1751" t="s">
        <v>21</v>
      </c>
      <c r="Z137" s="1750"/>
      <c r="AA137" s="1750">
        <v>0</v>
      </c>
      <c r="AB137" s="1751">
        <v>558</v>
      </c>
    </row>
    <row r="138" spans="1:28" ht="25.5" x14ac:dyDescent="0.25">
      <c r="A138" s="1527" t="s">
        <v>1552</v>
      </c>
      <c r="B138" s="1526">
        <v>856.85</v>
      </c>
      <c r="C138" s="1526">
        <v>7</v>
      </c>
      <c r="D138" s="1525">
        <v>0</v>
      </c>
      <c r="E138" s="1524">
        <v>7643.1019999999999</v>
      </c>
      <c r="F138" s="1523">
        <v>2681.24</v>
      </c>
      <c r="G138" s="1544">
        <v>528.94000000000005</v>
      </c>
      <c r="H138" s="1520">
        <v>1713.7</v>
      </c>
      <c r="I138" s="1587">
        <v>7.0000000000000007E-2</v>
      </c>
      <c r="J138" s="1521">
        <v>0.17</v>
      </c>
      <c r="K138" s="1521">
        <v>0.2</v>
      </c>
      <c r="L138" s="1736"/>
      <c r="M138" s="1736"/>
      <c r="N138" s="1520">
        <v>2037.6</v>
      </c>
      <c r="O138" s="1532" t="s">
        <v>3491</v>
      </c>
      <c r="P138" s="1529" t="s">
        <v>3483</v>
      </c>
      <c r="Q138" s="1528" t="s">
        <v>3489</v>
      </c>
      <c r="R138" s="1555">
        <v>0</v>
      </c>
      <c r="S138" s="1556">
        <v>5997.95</v>
      </c>
      <c r="T138" s="1555">
        <v>0</v>
      </c>
      <c r="U138" s="1555">
        <v>1199.5899999999999</v>
      </c>
      <c r="V138" s="1555">
        <v>1019.6515000000001</v>
      </c>
      <c r="W138" s="1555">
        <v>5997.95</v>
      </c>
      <c r="X138" s="1734">
        <v>5997.95</v>
      </c>
      <c r="Y138" s="1905">
        <v>5997.95</v>
      </c>
      <c r="Z138" s="1734">
        <v>239.91800000000001</v>
      </c>
      <c r="AA138" s="1734">
        <v>239.91800000000001</v>
      </c>
      <c r="AB138" s="1556">
        <v>0</v>
      </c>
    </row>
    <row r="139" spans="1:28" x14ac:dyDescent="0.25">
      <c r="A139" s="1527" t="s">
        <v>1551</v>
      </c>
      <c r="B139" s="1526">
        <v>757.6</v>
      </c>
      <c r="C139" s="1526">
        <v>7</v>
      </c>
      <c r="D139" s="1525">
        <v>0</v>
      </c>
      <c r="E139" s="1524">
        <v>6746.4279999999999</v>
      </c>
      <c r="F139" s="1523">
        <v>2865.05</v>
      </c>
      <c r="G139" s="1544">
        <v>90.09</v>
      </c>
      <c r="H139" s="1520">
        <v>1515.2</v>
      </c>
      <c r="I139" s="1522">
        <v>5.5E-2</v>
      </c>
      <c r="J139" s="1521">
        <v>0.18</v>
      </c>
      <c r="K139" s="1521">
        <v>0.2</v>
      </c>
      <c r="L139" s="1736"/>
      <c r="M139" s="1736"/>
      <c r="N139" s="1520">
        <v>1673.34</v>
      </c>
      <c r="O139" s="1519" t="s">
        <v>3490</v>
      </c>
      <c r="P139" s="1529" t="s">
        <v>3483</v>
      </c>
      <c r="Q139" s="1528" t="s">
        <v>3489</v>
      </c>
      <c r="R139" s="1555">
        <v>0</v>
      </c>
      <c r="S139" s="1556">
        <v>5303.2</v>
      </c>
      <c r="T139" s="1555">
        <v>0</v>
      </c>
      <c r="U139" s="1555">
        <v>1060.6400000000001</v>
      </c>
      <c r="V139" s="1555">
        <v>954.57599999999991</v>
      </c>
      <c r="W139" s="1555">
        <v>5303.2</v>
      </c>
      <c r="AA139" s="1555">
        <v>291.67599999999999</v>
      </c>
      <c r="AB139" s="1556">
        <v>0</v>
      </c>
    </row>
    <row r="140" spans="1:28" ht="13.5" thickBot="1" x14ac:dyDescent="0.3">
      <c r="A140" s="1567" t="s">
        <v>17</v>
      </c>
      <c r="B140" s="1201">
        <v>13553.310000000001</v>
      </c>
      <c r="C140" s="1201"/>
      <c r="D140" s="1516">
        <v>0</v>
      </c>
      <c r="E140" s="1202">
        <v>94578.264449999973</v>
      </c>
      <c r="F140" s="1203">
        <v>27824.71999999999</v>
      </c>
      <c r="G140" s="1204">
        <v>2101.3599999999997</v>
      </c>
      <c r="H140" s="1204">
        <v>27106.620000000003</v>
      </c>
      <c r="I140" s="1568"/>
      <c r="J140" s="1569"/>
      <c r="K140" s="1569"/>
      <c r="L140" s="1737"/>
      <c r="M140" s="1737"/>
      <c r="N140" s="1722">
        <v>4006.1399999999994</v>
      </c>
      <c r="O140" s="1570"/>
      <c r="P140" s="1571"/>
      <c r="Q140" s="1571"/>
      <c r="R140" s="1572">
        <v>0</v>
      </c>
      <c r="S140" s="1573">
        <v>74157.603000000017</v>
      </c>
      <c r="T140" s="1572">
        <v>9974.7624000000014</v>
      </c>
      <c r="U140" s="1572">
        <v>10029.595559999998</v>
      </c>
      <c r="V140" s="1572">
        <v>2484.0576999999998</v>
      </c>
      <c r="W140" s="1573">
        <v>14133.54</v>
      </c>
      <c r="X140" s="1573">
        <v>5997.95</v>
      </c>
      <c r="Y140" s="1573">
        <v>8830.34</v>
      </c>
      <c r="Z140" s="1572">
        <v>239.91800000000001</v>
      </c>
      <c r="AA140" s="1572">
        <v>687.37545</v>
      </c>
      <c r="AB140" s="1573">
        <v>60024.063000000009</v>
      </c>
    </row>
    <row r="141" spans="1:28" x14ac:dyDescent="0.25">
      <c r="AA141" s="1572"/>
    </row>
    <row r="142" spans="1:28" x14ac:dyDescent="0.25">
      <c r="Q142" s="1583" t="s">
        <v>3498</v>
      </c>
    </row>
    <row r="143" spans="1:28" x14ac:dyDescent="0.25">
      <c r="Q143" s="1584" t="s">
        <v>3212</v>
      </c>
      <c r="R143" s="1555">
        <v>0</v>
      </c>
      <c r="S143" s="1556">
        <v>5997.95</v>
      </c>
      <c r="T143" s="1555">
        <v>0</v>
      </c>
      <c r="U143" s="1555">
        <v>1199.5899999999999</v>
      </c>
      <c r="V143" s="1555">
        <v>1019.6515000000001</v>
      </c>
      <c r="W143" s="1555">
        <v>5997.95</v>
      </c>
      <c r="X143" s="1555">
        <v>5997.95</v>
      </c>
      <c r="Y143" s="1556">
        <v>5997.95</v>
      </c>
      <c r="Z143" s="1555">
        <v>239.91800000000001</v>
      </c>
      <c r="AA143" s="1555">
        <v>239.91800000000001</v>
      </c>
      <c r="AB143" s="1556">
        <v>0</v>
      </c>
    </row>
    <row r="144" spans="1:28" x14ac:dyDescent="0.25">
      <c r="Q144" s="1584" t="s">
        <v>3213</v>
      </c>
      <c r="R144" s="1555">
        <v>0</v>
      </c>
      <c r="S144" s="1556">
        <v>8135.59</v>
      </c>
      <c r="T144" s="1555">
        <v>0</v>
      </c>
      <c r="U144" s="1555">
        <v>1627.1180000000002</v>
      </c>
      <c r="V144" s="1555">
        <v>1464.4061999999999</v>
      </c>
      <c r="W144" s="1555">
        <v>8135.59</v>
      </c>
      <c r="X144" s="1555">
        <v>0</v>
      </c>
      <c r="Y144" s="1556">
        <v>2832.3900000000003</v>
      </c>
      <c r="Z144" s="1555">
        <v>0</v>
      </c>
      <c r="AA144" s="1555">
        <v>447.45744999999999</v>
      </c>
      <c r="AB144" s="1556">
        <v>0</v>
      </c>
    </row>
    <row r="145" spans="17:28" x14ac:dyDescent="0.25">
      <c r="Q145" s="1584" t="s">
        <v>3081</v>
      </c>
      <c r="R145" s="1555">
        <v>0</v>
      </c>
      <c r="S145" s="1556">
        <v>60024.063000000009</v>
      </c>
      <c r="T145" s="1555">
        <v>9974.7624000000014</v>
      </c>
      <c r="U145" s="1555">
        <v>7202.8875599999983</v>
      </c>
      <c r="V145" s="1555">
        <v>0</v>
      </c>
      <c r="W145" s="1555">
        <v>0</v>
      </c>
      <c r="X145" s="1555">
        <v>0</v>
      </c>
      <c r="Y145" s="1556">
        <v>0</v>
      </c>
      <c r="Z145" s="1555">
        <v>0</v>
      </c>
      <c r="AA145" s="1555">
        <v>0</v>
      </c>
      <c r="AB145" s="1556">
        <v>60024.063000000009</v>
      </c>
    </row>
    <row r="146" spans="17:28" x14ac:dyDescent="0.25">
      <c r="R146" s="1572">
        <v>0</v>
      </c>
      <c r="S146" s="1573">
        <v>74157.603000000003</v>
      </c>
      <c r="T146" s="1572">
        <v>9974.7624000000014</v>
      </c>
      <c r="U146" s="1572">
        <v>10029.595559999998</v>
      </c>
      <c r="V146" s="1572">
        <v>2484.0576999999998</v>
      </c>
      <c r="W146" s="1572">
        <v>14133.54</v>
      </c>
      <c r="X146" s="1572">
        <v>5997.95</v>
      </c>
      <c r="Y146" s="1573">
        <v>8830.34</v>
      </c>
      <c r="Z146" s="1572">
        <v>239.91800000000001</v>
      </c>
      <c r="AA146" s="1572">
        <v>687.37545</v>
      </c>
      <c r="AB146" s="1573">
        <v>60024.063000000009</v>
      </c>
    </row>
    <row r="147" spans="17:28" x14ac:dyDescent="0.25">
      <c r="Z147" s="1585">
        <v>612.94250640000007</v>
      </c>
      <c r="AA147" s="1585">
        <v>1756.1067996600002</v>
      </c>
    </row>
  </sheetData>
  <autoFilter ref="A5:AB140" xr:uid="{5D323934-D081-4DFD-BCFE-150E8B56EB7F}">
    <filterColumn colId="4" showButton="0"/>
    <filterColumn colId="5" showButton="0"/>
  </autoFilter>
  <mergeCells count="32">
    <mergeCell ref="Y7:Y8"/>
    <mergeCell ref="T7:T8"/>
    <mergeCell ref="X7:X8"/>
    <mergeCell ref="Z7:Z8"/>
    <mergeCell ref="W7:W8"/>
    <mergeCell ref="A39:A40"/>
    <mergeCell ref="F39:F40"/>
    <mergeCell ref="G39:G40"/>
    <mergeCell ref="V7:V8"/>
    <mergeCell ref="U7:U8"/>
    <mergeCell ref="S7:S8"/>
    <mergeCell ref="R7:R8"/>
    <mergeCell ref="J5:J8"/>
    <mergeCell ref="K5:K8"/>
    <mergeCell ref="N5:N7"/>
    <mergeCell ref="D5:D7"/>
    <mergeCell ref="E5:G5"/>
    <mergeCell ref="A9:A10"/>
    <mergeCell ref="F9:F10"/>
    <mergeCell ref="G9:G10"/>
    <mergeCell ref="P5:P8"/>
    <mergeCell ref="Q5:Q8"/>
    <mergeCell ref="A1:Q1"/>
    <mergeCell ref="A2:Q2"/>
    <mergeCell ref="A3:Q3"/>
    <mergeCell ref="A4:Q4"/>
    <mergeCell ref="A5:A8"/>
    <mergeCell ref="B5:B7"/>
    <mergeCell ref="C5:C7"/>
    <mergeCell ref="I5:I8"/>
    <mergeCell ref="L5:L8"/>
    <mergeCell ref="M5:M8"/>
  </mergeCells>
  <printOptions horizontalCentered="1"/>
  <pageMargins left="0.59055118110236227" right="0.59055118110236227" top="0.78740157480314965" bottom="0.78740157480314965" header="0.59055118110236227" footer="0.59055118110236227"/>
  <pageSetup paperSize="9" scale="49" fitToHeight="0" orientation="landscape"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0891D-35A8-433A-BC61-975EA789BF75}">
  <sheetPr>
    <tabColor theme="2" tint="-0.749992370372631"/>
    <pageSetUpPr fitToPage="1"/>
  </sheetPr>
  <dimension ref="A1:X71"/>
  <sheetViews>
    <sheetView topLeftCell="C1" workbookViewId="0">
      <pane ySplit="7" topLeftCell="A46" activePane="bottomLeft" state="frozen"/>
      <selection pane="bottomLeft" activeCell="C1" sqref="A1:XFD1048576"/>
    </sheetView>
  </sheetViews>
  <sheetFormatPr defaultColWidth="9.85546875" defaultRowHeight="11.25" x14ac:dyDescent="0.2"/>
  <cols>
    <col min="1" max="1" width="29.5703125" style="1505" customWidth="1"/>
    <col min="2" max="2" width="11.7109375" style="1503" customWidth="1"/>
    <col min="3" max="3" width="9.140625" style="1504" bestFit="1" customWidth="1"/>
    <col min="4" max="4" width="10.85546875" style="1504" customWidth="1"/>
    <col min="5" max="5" width="12.140625" style="1503" customWidth="1"/>
    <col min="6" max="6" width="12.85546875" style="1502" customWidth="1"/>
    <col min="7" max="7" width="11.85546875" style="1501" customWidth="1"/>
    <col min="8" max="8" width="11.85546875" style="1499" customWidth="1"/>
    <col min="9" max="9" width="13" style="1500" customWidth="1"/>
    <col min="10" max="10" width="14.28515625" style="1499" bestFit="1" customWidth="1"/>
    <col min="11" max="11" width="15.28515625" style="1497" customWidth="1"/>
    <col min="12" max="12" width="9.85546875" style="1497"/>
    <col min="13" max="13" width="29.140625" style="1497" customWidth="1"/>
    <col min="14" max="14" width="15" style="1498" customWidth="1"/>
    <col min="15" max="15" width="11.7109375" style="1497" customWidth="1"/>
    <col min="16" max="16" width="6.140625" style="1555" bestFit="1" customWidth="1"/>
    <col min="17" max="17" width="10" style="1556" bestFit="1" customWidth="1"/>
    <col min="18" max="18" width="10" style="1555" bestFit="1" customWidth="1"/>
    <col min="19" max="19" width="9.140625" style="1555" bestFit="1" customWidth="1"/>
    <col min="20" max="20" width="10" style="1555" bestFit="1" customWidth="1"/>
    <col min="21" max="21" width="10" style="1556" bestFit="1" customWidth="1"/>
    <col min="22" max="22" width="9.85546875" style="1555"/>
    <col min="23" max="23" width="11.42578125" style="1556" bestFit="1" customWidth="1"/>
    <col min="24" max="16384" width="9.85546875" style="1497"/>
  </cols>
  <sheetData>
    <row r="1" spans="1:24" s="1542" customFormat="1" ht="21.75" customHeight="1" x14ac:dyDescent="0.2">
      <c r="A1" s="2197" t="s">
        <v>1691</v>
      </c>
      <c r="B1" s="2198"/>
      <c r="C1" s="2198"/>
      <c r="D1" s="2198"/>
      <c r="E1" s="2198"/>
      <c r="F1" s="2198"/>
      <c r="G1" s="2198"/>
      <c r="H1" s="2198"/>
      <c r="I1" s="2198"/>
      <c r="J1" s="2198"/>
      <c r="K1" s="2198"/>
      <c r="L1" s="2198"/>
      <c r="M1" s="2198"/>
      <c r="N1" s="2198"/>
      <c r="O1" s="2199"/>
      <c r="P1" s="1555"/>
      <c r="Q1" s="1556"/>
      <c r="R1" s="1555"/>
      <c r="S1" s="1555"/>
      <c r="T1" s="1555"/>
      <c r="U1" s="1556"/>
      <c r="V1" s="1555"/>
      <c r="W1" s="1556"/>
      <c r="X1" s="1543"/>
    </row>
    <row r="2" spans="1:24" ht="18.75" customHeight="1" x14ac:dyDescent="0.2">
      <c r="A2" s="2200" t="s">
        <v>3204</v>
      </c>
      <c r="B2" s="2201"/>
      <c r="C2" s="2201"/>
      <c r="D2" s="2201"/>
      <c r="E2" s="2201"/>
      <c r="F2" s="2201"/>
      <c r="G2" s="2201"/>
      <c r="H2" s="2201"/>
      <c r="I2" s="2201"/>
      <c r="J2" s="2201"/>
      <c r="K2" s="2201"/>
      <c r="L2" s="2201"/>
      <c r="M2" s="2201"/>
      <c r="N2" s="2201"/>
      <c r="O2" s="2202"/>
    </row>
    <row r="3" spans="1:24" ht="15.75" customHeight="1" thickBot="1" x14ac:dyDescent="0.25">
      <c r="A3" s="2203" t="s">
        <v>3488</v>
      </c>
      <c r="B3" s="2204"/>
      <c r="C3" s="2204"/>
      <c r="D3" s="2204"/>
      <c r="E3" s="2204"/>
      <c r="F3" s="2204"/>
      <c r="G3" s="2204"/>
      <c r="H3" s="2204"/>
      <c r="I3" s="2204"/>
      <c r="J3" s="2204"/>
      <c r="K3" s="2204"/>
      <c r="L3" s="2204"/>
      <c r="M3" s="2204"/>
      <c r="N3" s="2204"/>
      <c r="O3" s="2205"/>
    </row>
    <row r="4" spans="1:24" ht="15.75" customHeight="1" x14ac:dyDescent="0.2">
      <c r="A4" s="2189" t="s">
        <v>1688</v>
      </c>
      <c r="B4" s="2208" t="s">
        <v>3205</v>
      </c>
      <c r="C4" s="2209" t="s">
        <v>1149</v>
      </c>
      <c r="D4" s="2210" t="s">
        <v>1690</v>
      </c>
      <c r="E4" s="2212" t="s">
        <v>1689</v>
      </c>
      <c r="F4" s="2213"/>
      <c r="G4" s="2214"/>
      <c r="H4" s="1541" t="s">
        <v>3487</v>
      </c>
      <c r="I4" s="2215" t="s">
        <v>3206</v>
      </c>
      <c r="J4" s="2172" t="s">
        <v>3207</v>
      </c>
      <c r="K4" s="2172" t="s">
        <v>3208</v>
      </c>
      <c r="L4" s="2182" t="s">
        <v>1683</v>
      </c>
      <c r="M4" s="1540"/>
      <c r="N4" s="2149" t="s">
        <v>3486</v>
      </c>
      <c r="O4" s="2149" t="s">
        <v>3485</v>
      </c>
    </row>
    <row r="5" spans="1:24" ht="14.25" customHeight="1" x14ac:dyDescent="0.2">
      <c r="A5" s="2189"/>
      <c r="B5" s="2208"/>
      <c r="C5" s="2209"/>
      <c r="D5" s="2211"/>
      <c r="E5" s="1535" t="s">
        <v>1687</v>
      </c>
      <c r="F5" s="1534" t="s">
        <v>964</v>
      </c>
      <c r="G5" s="1533" t="s">
        <v>1686</v>
      </c>
      <c r="H5" s="1539" t="s">
        <v>1684</v>
      </c>
      <c r="I5" s="2215"/>
      <c r="J5" s="2172"/>
      <c r="K5" s="2172"/>
      <c r="L5" s="2182"/>
      <c r="M5" s="2207"/>
      <c r="N5" s="2150"/>
      <c r="O5" s="2150"/>
    </row>
    <row r="6" spans="1:24" ht="16.5" customHeight="1" x14ac:dyDescent="0.2">
      <c r="A6" s="2189"/>
      <c r="B6" s="2208"/>
      <c r="C6" s="2209"/>
      <c r="D6" s="2211"/>
      <c r="E6" s="1535" t="s">
        <v>1682</v>
      </c>
      <c r="F6" s="1534" t="s">
        <v>1681</v>
      </c>
      <c r="G6" s="1533" t="s">
        <v>1680</v>
      </c>
      <c r="H6" s="1533"/>
      <c r="I6" s="2215"/>
      <c r="J6" s="2172"/>
      <c r="K6" s="2172"/>
      <c r="L6" s="2183"/>
      <c r="M6" s="2207"/>
      <c r="N6" s="2150"/>
      <c r="O6" s="2150"/>
      <c r="P6" s="2179" t="s">
        <v>3497</v>
      </c>
      <c r="Q6" s="2178" t="s">
        <v>3496</v>
      </c>
      <c r="R6" s="2177" t="s">
        <v>3495</v>
      </c>
      <c r="S6" s="2177" t="s">
        <v>963</v>
      </c>
      <c r="T6" s="2195" t="s">
        <v>3499</v>
      </c>
      <c r="U6" s="2178" t="s">
        <v>4050</v>
      </c>
      <c r="V6" s="1579" t="s">
        <v>3316</v>
      </c>
      <c r="W6" s="1580"/>
    </row>
    <row r="7" spans="1:24" ht="15" x14ac:dyDescent="0.2">
      <c r="A7" s="2190"/>
      <c r="B7" s="1538" t="s">
        <v>1678</v>
      </c>
      <c r="C7" s="1537" t="s">
        <v>1678</v>
      </c>
      <c r="D7" s="1536" t="s">
        <v>3209</v>
      </c>
      <c r="E7" s="1535" t="s">
        <v>3209</v>
      </c>
      <c r="F7" s="1534" t="s">
        <v>3210</v>
      </c>
      <c r="G7" s="1533" t="s">
        <v>3210</v>
      </c>
      <c r="H7" s="1533" t="s">
        <v>1678</v>
      </c>
      <c r="I7" s="2216"/>
      <c r="J7" s="2217"/>
      <c r="K7" s="2217"/>
      <c r="L7" s="1531" t="s">
        <v>1677</v>
      </c>
      <c r="M7" s="2207"/>
      <c r="N7" s="2150"/>
      <c r="O7" s="2150"/>
      <c r="P7" s="2179"/>
      <c r="Q7" s="2178"/>
      <c r="R7" s="2177"/>
      <c r="S7" s="2177"/>
      <c r="T7" s="2177"/>
      <c r="U7" s="2178"/>
      <c r="V7" s="1581" t="s">
        <v>3483</v>
      </c>
      <c r="W7" s="1582" t="s">
        <v>3480</v>
      </c>
    </row>
    <row r="8" spans="1:24" ht="27.6" customHeight="1" x14ac:dyDescent="0.2">
      <c r="A8" s="1530" t="s">
        <v>1803</v>
      </c>
      <c r="B8" s="1526">
        <v>970.28</v>
      </c>
      <c r="C8" s="1526">
        <v>6.4</v>
      </c>
      <c r="D8" s="1525">
        <v>0</v>
      </c>
      <c r="E8" s="1524">
        <v>8116.3922000000002</v>
      </c>
      <c r="F8" s="1523">
        <v>3317.53</v>
      </c>
      <c r="G8" s="1531">
        <v>475.45</v>
      </c>
      <c r="H8" s="1520">
        <v>1940.56</v>
      </c>
      <c r="I8" s="1522">
        <v>5.5E-2</v>
      </c>
      <c r="J8" s="1521">
        <v>0.2</v>
      </c>
      <c r="K8" s="1521">
        <v>0.2</v>
      </c>
      <c r="L8" s="1520">
        <v>2190.384</v>
      </c>
      <c r="M8" s="1532" t="s">
        <v>3484</v>
      </c>
      <c r="N8" s="1529" t="s">
        <v>3483</v>
      </c>
      <c r="O8" s="1528" t="s">
        <v>3482</v>
      </c>
      <c r="P8" s="1555">
        <v>0</v>
      </c>
      <c r="Q8" s="1556">
        <v>6209.7920000000004</v>
      </c>
      <c r="R8" s="1555">
        <v>1241.9584000000002</v>
      </c>
      <c r="S8" s="1555">
        <v>1241.9584000000002</v>
      </c>
      <c r="T8" s="1555">
        <v>6209.7920000000004</v>
      </c>
      <c r="U8" s="1556">
        <v>6209.7920000000004</v>
      </c>
      <c r="V8" s="1555">
        <v>341.53856000000002</v>
      </c>
      <c r="W8" s="1556">
        <v>0</v>
      </c>
    </row>
    <row r="9" spans="1:24" ht="12.75" x14ac:dyDescent="0.2">
      <c r="A9" s="1530" t="s">
        <v>3211</v>
      </c>
      <c r="B9" s="1526">
        <v>74.41</v>
      </c>
      <c r="C9" s="1526">
        <v>6.4</v>
      </c>
      <c r="D9" s="1525">
        <v>0</v>
      </c>
      <c r="E9" s="1524">
        <v>628.02040000000011</v>
      </c>
      <c r="F9" s="1523">
        <v>266.64999999999998</v>
      </c>
      <c r="G9" s="1531">
        <v>187.69</v>
      </c>
      <c r="H9" s="1520">
        <v>148.82</v>
      </c>
      <c r="I9" s="1721">
        <v>0.08</v>
      </c>
      <c r="J9" s="1521">
        <v>0.2</v>
      </c>
      <c r="K9" s="1521">
        <v>0.2</v>
      </c>
      <c r="L9" s="1520">
        <v>2190.384</v>
      </c>
      <c r="M9" s="1519" t="s">
        <v>3481</v>
      </c>
      <c r="N9" s="1518" t="s">
        <v>3480</v>
      </c>
      <c r="O9" s="1528"/>
      <c r="P9" s="1555">
        <v>0</v>
      </c>
      <c r="Q9" s="1556">
        <v>476.22399999999999</v>
      </c>
      <c r="R9" s="1555">
        <v>95.244799999999998</v>
      </c>
      <c r="S9" s="1555">
        <v>95.244799999999998</v>
      </c>
      <c r="T9" s="1555">
        <v>0</v>
      </c>
      <c r="U9" s="1556" t="s">
        <v>21</v>
      </c>
      <c r="V9" s="1555">
        <v>0</v>
      </c>
      <c r="W9" s="1556">
        <v>476.22399999999999</v>
      </c>
    </row>
    <row r="10" spans="1:24" ht="12.75" x14ac:dyDescent="0.2">
      <c r="A10" s="1530" t="s">
        <v>1802</v>
      </c>
      <c r="B10" s="1526">
        <v>268.89999999999998</v>
      </c>
      <c r="C10" s="1526">
        <v>8</v>
      </c>
      <c r="D10" s="1525">
        <v>0</v>
      </c>
      <c r="E10" s="1524">
        <v>2679.5885000000003</v>
      </c>
      <c r="F10" s="1523">
        <v>1042.49</v>
      </c>
      <c r="G10" s="1520">
        <v>27.62</v>
      </c>
      <c r="H10" s="1520">
        <v>537.79999999999995</v>
      </c>
      <c r="I10" s="1522">
        <v>5.5E-2</v>
      </c>
      <c r="J10" s="1521">
        <v>0.2</v>
      </c>
      <c r="K10" s="1521">
        <v>0.2</v>
      </c>
      <c r="L10" s="1520">
        <v>582.96</v>
      </c>
      <c r="M10" s="1519" t="s">
        <v>3481</v>
      </c>
      <c r="N10" s="1529" t="s">
        <v>3483</v>
      </c>
      <c r="O10" s="1528" t="s">
        <v>3482</v>
      </c>
      <c r="P10" s="1555">
        <v>0</v>
      </c>
      <c r="Q10" s="1556">
        <v>2151.1999999999998</v>
      </c>
      <c r="R10" s="1555">
        <v>430.24</v>
      </c>
      <c r="S10" s="1555">
        <v>430.24</v>
      </c>
      <c r="T10" s="1555">
        <v>2151.1999999999998</v>
      </c>
      <c r="U10" s="1556">
        <v>2151.1999999999998</v>
      </c>
      <c r="V10" s="1555">
        <v>118.31599999999999</v>
      </c>
      <c r="W10" s="1556">
        <v>0</v>
      </c>
    </row>
    <row r="11" spans="1:24" ht="12.75" x14ac:dyDescent="0.2">
      <c r="A11" s="1530" t="s">
        <v>1801</v>
      </c>
      <c r="B11" s="1526">
        <v>369.32</v>
      </c>
      <c r="C11" s="1526">
        <v>6</v>
      </c>
      <c r="D11" s="1525">
        <v>0</v>
      </c>
      <c r="E11" s="1524">
        <v>2941.6338000000001</v>
      </c>
      <c r="F11" s="1523">
        <v>1339.65</v>
      </c>
      <c r="G11" s="1520">
        <v>60.73</v>
      </c>
      <c r="H11" s="1520">
        <v>738.64</v>
      </c>
      <c r="I11" s="1522">
        <v>5.5E-2</v>
      </c>
      <c r="J11" s="1521">
        <v>0.2</v>
      </c>
      <c r="K11" s="1521">
        <v>0.2</v>
      </c>
      <c r="L11" s="1520">
        <v>798.76799999999992</v>
      </c>
      <c r="M11" s="1519" t="s">
        <v>3481</v>
      </c>
      <c r="N11" s="1529" t="s">
        <v>3483</v>
      </c>
      <c r="O11" s="1528" t="s">
        <v>3482</v>
      </c>
      <c r="P11" s="1555">
        <v>0</v>
      </c>
      <c r="Q11" s="1556">
        <v>2215.92</v>
      </c>
      <c r="R11" s="1555">
        <v>443.18400000000003</v>
      </c>
      <c r="S11" s="1555">
        <v>443.18400000000003</v>
      </c>
      <c r="T11" s="1555">
        <v>2215.92</v>
      </c>
      <c r="U11" s="1556">
        <v>2215.92</v>
      </c>
      <c r="V11" s="1555">
        <v>121.87560000000001</v>
      </c>
      <c r="W11" s="1556">
        <v>0</v>
      </c>
    </row>
    <row r="12" spans="1:24" ht="12.75" x14ac:dyDescent="0.2">
      <c r="A12" s="1530" t="s">
        <v>1800</v>
      </c>
      <c r="B12" s="1526">
        <v>109.4</v>
      </c>
      <c r="C12" s="1526">
        <v>5</v>
      </c>
      <c r="D12" s="1525">
        <v>0</v>
      </c>
      <c r="E12" s="1524">
        <v>704.53600000000006</v>
      </c>
      <c r="F12" s="1523">
        <v>355.97</v>
      </c>
      <c r="G12" s="1520">
        <v>0</v>
      </c>
      <c r="H12" s="1520">
        <v>218.8</v>
      </c>
      <c r="I12" s="1522">
        <v>0.08</v>
      </c>
      <c r="J12" s="1521">
        <v>0</v>
      </c>
      <c r="K12" s="1521">
        <v>0.2</v>
      </c>
      <c r="L12" s="1520">
        <v>247.43999999999997</v>
      </c>
      <c r="M12" s="1519" t="s">
        <v>3481</v>
      </c>
      <c r="N12" s="1518" t="s">
        <v>3480</v>
      </c>
      <c r="O12" s="1528"/>
      <c r="P12" s="1555">
        <v>0</v>
      </c>
      <c r="Q12" s="1556">
        <v>547</v>
      </c>
      <c r="R12" s="1555">
        <v>109.4</v>
      </c>
      <c r="S12" s="1555">
        <v>0</v>
      </c>
      <c r="T12" s="1555">
        <v>0</v>
      </c>
      <c r="U12" s="1556" t="s">
        <v>21</v>
      </c>
      <c r="V12" s="1555">
        <v>0</v>
      </c>
      <c r="W12" s="1556">
        <v>547</v>
      </c>
    </row>
    <row r="13" spans="1:24" ht="12.75" x14ac:dyDescent="0.2">
      <c r="A13" s="1530" t="s">
        <v>1799</v>
      </c>
      <c r="B13" s="1526">
        <v>147.55000000000001</v>
      </c>
      <c r="C13" s="1526">
        <v>5</v>
      </c>
      <c r="D13" s="1525">
        <v>0</v>
      </c>
      <c r="E13" s="1524">
        <v>950.22200000000009</v>
      </c>
      <c r="F13" s="1523">
        <v>313.20999999999998</v>
      </c>
      <c r="G13" s="1520">
        <v>15.01</v>
      </c>
      <c r="H13" s="1520">
        <v>295.10000000000002</v>
      </c>
      <c r="I13" s="1522">
        <v>0.08</v>
      </c>
      <c r="J13" s="1521">
        <v>0</v>
      </c>
      <c r="K13" s="1521">
        <v>0.2</v>
      </c>
      <c r="L13" s="1520">
        <v>354.12</v>
      </c>
      <c r="M13" s="1519" t="s">
        <v>3481</v>
      </c>
      <c r="N13" s="1518" t="s">
        <v>3480</v>
      </c>
      <c r="O13" s="1528"/>
      <c r="P13" s="1555">
        <v>0</v>
      </c>
      <c r="Q13" s="1556">
        <v>737.75</v>
      </c>
      <c r="R13" s="1555">
        <v>147.55000000000001</v>
      </c>
      <c r="S13" s="1555">
        <v>0</v>
      </c>
      <c r="T13" s="1555">
        <v>0</v>
      </c>
      <c r="U13" s="1556" t="s">
        <v>21</v>
      </c>
      <c r="V13" s="1555">
        <v>0</v>
      </c>
      <c r="W13" s="1556">
        <v>737.75</v>
      </c>
    </row>
    <row r="14" spans="1:24" ht="12.75" x14ac:dyDescent="0.2">
      <c r="A14" s="1530" t="s">
        <v>1798</v>
      </c>
      <c r="B14" s="1526">
        <v>159.30000000000001</v>
      </c>
      <c r="C14" s="1526">
        <v>5</v>
      </c>
      <c r="D14" s="1525">
        <v>0</v>
      </c>
      <c r="E14" s="1524">
        <v>1025.8920000000001</v>
      </c>
      <c r="F14" s="1523">
        <v>388.39</v>
      </c>
      <c r="G14" s="1520">
        <v>3.03</v>
      </c>
      <c r="H14" s="1520">
        <v>318.60000000000002</v>
      </c>
      <c r="I14" s="1522">
        <v>0.08</v>
      </c>
      <c r="J14" s="1521">
        <v>0</v>
      </c>
      <c r="K14" s="1521">
        <v>0.2</v>
      </c>
      <c r="L14" s="1520">
        <v>382.32</v>
      </c>
      <c r="M14" s="1519" t="s">
        <v>3481</v>
      </c>
      <c r="N14" s="1518" t="s">
        <v>3480</v>
      </c>
      <c r="O14" s="1528"/>
      <c r="P14" s="1555">
        <v>0</v>
      </c>
      <c r="Q14" s="1556">
        <v>796.5</v>
      </c>
      <c r="R14" s="1555">
        <v>159.30000000000001</v>
      </c>
      <c r="S14" s="1555">
        <v>0</v>
      </c>
      <c r="T14" s="1555">
        <v>0</v>
      </c>
      <c r="U14" s="1556" t="s">
        <v>21</v>
      </c>
      <c r="V14" s="1555">
        <v>0</v>
      </c>
      <c r="W14" s="1556">
        <v>796.5</v>
      </c>
    </row>
    <row r="15" spans="1:24" ht="12.75" x14ac:dyDescent="0.2">
      <c r="A15" s="1530" t="s">
        <v>1797</v>
      </c>
      <c r="B15" s="1526">
        <v>170.23</v>
      </c>
      <c r="C15" s="1526">
        <v>6</v>
      </c>
      <c r="D15" s="1525">
        <v>0</v>
      </c>
      <c r="E15" s="1524">
        <v>1266.5111999999999</v>
      </c>
      <c r="F15" s="1523">
        <v>335.95</v>
      </c>
      <c r="G15" s="1520">
        <v>45.84</v>
      </c>
      <c r="H15" s="1520">
        <v>340.46</v>
      </c>
      <c r="I15" s="1522">
        <v>0.08</v>
      </c>
      <c r="J15" s="1521">
        <v>0</v>
      </c>
      <c r="K15" s="1521">
        <v>0.2</v>
      </c>
      <c r="L15" s="1520">
        <v>408.55199999999996</v>
      </c>
      <c r="M15" s="1519" t="s">
        <v>3481</v>
      </c>
      <c r="N15" s="1518" t="s">
        <v>3480</v>
      </c>
      <c r="O15" s="1528"/>
      <c r="P15" s="1555">
        <v>0</v>
      </c>
      <c r="Q15" s="1556">
        <v>1021.3799999999999</v>
      </c>
      <c r="R15" s="1555">
        <v>204.27599999999998</v>
      </c>
      <c r="S15" s="1555">
        <v>0</v>
      </c>
      <c r="T15" s="1555">
        <v>0</v>
      </c>
      <c r="U15" s="1556" t="s">
        <v>21</v>
      </c>
      <c r="V15" s="1555">
        <v>0</v>
      </c>
      <c r="W15" s="1556">
        <v>1021.3799999999999</v>
      </c>
    </row>
    <row r="16" spans="1:24" ht="12.75" x14ac:dyDescent="0.2">
      <c r="A16" s="1527" t="s">
        <v>1796</v>
      </c>
      <c r="B16" s="1526">
        <v>171.63</v>
      </c>
      <c r="C16" s="1526">
        <v>6</v>
      </c>
      <c r="D16" s="1525">
        <v>0</v>
      </c>
      <c r="E16" s="1524">
        <v>1367.03295</v>
      </c>
      <c r="F16" s="1523">
        <v>528.35</v>
      </c>
      <c r="G16" s="1520">
        <v>46.24</v>
      </c>
      <c r="H16" s="1520">
        <v>343.26</v>
      </c>
      <c r="I16" s="1522">
        <v>5.5E-2</v>
      </c>
      <c r="J16" s="1521">
        <v>0.2</v>
      </c>
      <c r="K16" s="1521">
        <v>0.2</v>
      </c>
      <c r="L16" s="1520">
        <v>411.91199999999998</v>
      </c>
      <c r="M16" s="1519" t="s">
        <v>3481</v>
      </c>
      <c r="N16" s="1529" t="s">
        <v>3483</v>
      </c>
      <c r="O16" s="1528" t="s">
        <v>3482</v>
      </c>
      <c r="P16" s="1555">
        <v>0</v>
      </c>
      <c r="Q16" s="1556">
        <v>1029.78</v>
      </c>
      <c r="R16" s="1555">
        <v>205.95600000000002</v>
      </c>
      <c r="S16" s="1555">
        <v>205.95600000000002</v>
      </c>
      <c r="T16" s="1555">
        <v>1029.78</v>
      </c>
      <c r="U16" s="1556">
        <v>1029.78</v>
      </c>
      <c r="V16" s="1555">
        <v>56.637900000000002</v>
      </c>
      <c r="W16" s="1556">
        <v>0</v>
      </c>
    </row>
    <row r="17" spans="1:23" ht="12.75" x14ac:dyDescent="0.2">
      <c r="A17" s="1527" t="s">
        <v>1795</v>
      </c>
      <c r="B17" s="1526">
        <v>198.85</v>
      </c>
      <c r="C17" s="1526">
        <v>7</v>
      </c>
      <c r="D17" s="1525">
        <v>0</v>
      </c>
      <c r="E17" s="1524">
        <v>1782.6902499999999</v>
      </c>
      <c r="F17" s="1523">
        <v>801.78</v>
      </c>
      <c r="G17" s="1520">
        <v>21.45</v>
      </c>
      <c r="H17" s="1520">
        <v>397.7</v>
      </c>
      <c r="I17" s="1721">
        <v>5.5E-2</v>
      </c>
      <c r="J17" s="1521">
        <v>0.2</v>
      </c>
      <c r="K17" s="1521">
        <v>0.2</v>
      </c>
      <c r="L17" s="1520">
        <v>477.23999999999995</v>
      </c>
      <c r="M17" s="1519" t="s">
        <v>3481</v>
      </c>
      <c r="N17" s="1897" t="s">
        <v>3483</v>
      </c>
      <c r="O17" s="1518"/>
      <c r="P17" s="1555">
        <v>0</v>
      </c>
      <c r="Q17" s="1556">
        <v>1391.95</v>
      </c>
      <c r="R17" s="1555">
        <v>278.39000000000004</v>
      </c>
      <c r="S17" s="1555">
        <v>278.39000000000004</v>
      </c>
      <c r="T17" s="1555">
        <v>1391.95</v>
      </c>
      <c r="U17" s="1556">
        <v>1391.95</v>
      </c>
      <c r="V17" s="1555">
        <v>76.557249999999996</v>
      </c>
      <c r="W17" s="1556">
        <v>0</v>
      </c>
    </row>
    <row r="18" spans="1:23" ht="12.75" x14ac:dyDescent="0.2">
      <c r="A18" s="1527" t="s">
        <v>1794</v>
      </c>
      <c r="B18" s="1526">
        <v>56.33</v>
      </c>
      <c r="C18" s="1526">
        <v>4.4000000000000004</v>
      </c>
      <c r="D18" s="1525">
        <v>0</v>
      </c>
      <c r="E18" s="1524">
        <v>328.96720000000005</v>
      </c>
      <c r="F18" s="1523">
        <v>95.09</v>
      </c>
      <c r="G18" s="1520">
        <v>0.19</v>
      </c>
      <c r="H18" s="1520">
        <v>112.66</v>
      </c>
      <c r="I18" s="1522">
        <v>0.08</v>
      </c>
      <c r="J18" s="1521">
        <v>0</v>
      </c>
      <c r="K18" s="1521">
        <v>0.2</v>
      </c>
      <c r="L18" s="1520">
        <v>0</v>
      </c>
      <c r="M18" s="1519" t="s">
        <v>3481</v>
      </c>
      <c r="N18" s="1518" t="s">
        <v>3480</v>
      </c>
      <c r="O18" s="1518"/>
      <c r="P18" s="1555">
        <v>0</v>
      </c>
      <c r="Q18" s="1556">
        <v>247.852</v>
      </c>
      <c r="R18" s="1555">
        <v>49.570400000000006</v>
      </c>
      <c r="S18" s="1555">
        <v>0</v>
      </c>
      <c r="T18" s="1555">
        <v>0</v>
      </c>
      <c r="U18" s="1556" t="s">
        <v>21</v>
      </c>
      <c r="V18" s="1555">
        <v>0</v>
      </c>
      <c r="W18" s="1556">
        <v>247.852</v>
      </c>
    </row>
    <row r="19" spans="1:23" ht="12.75" x14ac:dyDescent="0.2">
      <c r="A19" s="1527" t="s">
        <v>1793</v>
      </c>
      <c r="B19" s="1526">
        <v>123.88</v>
      </c>
      <c r="C19" s="1526">
        <v>4</v>
      </c>
      <c r="D19" s="1525">
        <v>0</v>
      </c>
      <c r="E19" s="1524">
        <v>673.90719999999999</v>
      </c>
      <c r="F19" s="1523">
        <v>191.95</v>
      </c>
      <c r="G19" s="1520">
        <v>120.18</v>
      </c>
      <c r="H19" s="1520">
        <v>247.76</v>
      </c>
      <c r="I19" s="1522">
        <v>0.08</v>
      </c>
      <c r="J19" s="1521">
        <v>0</v>
      </c>
      <c r="K19" s="1521">
        <v>0.2</v>
      </c>
      <c r="L19" s="1520">
        <v>0</v>
      </c>
      <c r="M19" s="1519" t="s">
        <v>3481</v>
      </c>
      <c r="N19" s="1518" t="s">
        <v>3480</v>
      </c>
      <c r="O19" s="1518"/>
      <c r="P19" s="1555">
        <v>0</v>
      </c>
      <c r="Q19" s="1556">
        <v>495.52</v>
      </c>
      <c r="R19" s="1555">
        <v>99.103999999999999</v>
      </c>
      <c r="S19" s="1555">
        <v>0</v>
      </c>
      <c r="T19" s="1555">
        <v>0</v>
      </c>
      <c r="U19" s="1556" t="s">
        <v>21</v>
      </c>
      <c r="V19" s="1555">
        <v>0</v>
      </c>
      <c r="W19" s="1556">
        <v>495.52</v>
      </c>
    </row>
    <row r="20" spans="1:23" ht="12.75" x14ac:dyDescent="0.2">
      <c r="A20" s="1527" t="s">
        <v>1792</v>
      </c>
      <c r="B20" s="1526">
        <v>305.89</v>
      </c>
      <c r="C20" s="1526">
        <v>5</v>
      </c>
      <c r="D20" s="1525">
        <v>0</v>
      </c>
      <c r="E20" s="1524">
        <v>1969.9316000000001</v>
      </c>
      <c r="F20" s="1523">
        <v>195.41</v>
      </c>
      <c r="G20" s="1520">
        <v>1.62</v>
      </c>
      <c r="H20" s="1520">
        <v>611.78</v>
      </c>
      <c r="I20" s="1522">
        <v>0.08</v>
      </c>
      <c r="J20" s="1521">
        <v>0</v>
      </c>
      <c r="K20" s="1521">
        <v>0.2</v>
      </c>
      <c r="L20" s="1520">
        <v>0</v>
      </c>
      <c r="M20" s="1519" t="s">
        <v>3481</v>
      </c>
      <c r="N20" s="1518" t="s">
        <v>3480</v>
      </c>
      <c r="O20" s="1518"/>
      <c r="P20" s="1555">
        <v>0</v>
      </c>
      <c r="Q20" s="1556">
        <v>1529.4499999999998</v>
      </c>
      <c r="R20" s="1555">
        <v>305.89</v>
      </c>
      <c r="S20" s="1555">
        <v>0</v>
      </c>
      <c r="T20" s="1555">
        <v>0</v>
      </c>
      <c r="U20" s="1556" t="s">
        <v>21</v>
      </c>
      <c r="V20" s="1555">
        <v>0</v>
      </c>
      <c r="W20" s="1556">
        <v>1529.4499999999998</v>
      </c>
    </row>
    <row r="21" spans="1:23" ht="12.75" x14ac:dyDescent="0.2">
      <c r="A21" s="1527" t="s">
        <v>1791</v>
      </c>
      <c r="B21" s="1526">
        <v>154.83000000000001</v>
      </c>
      <c r="C21" s="1526">
        <v>4.4000000000000004</v>
      </c>
      <c r="D21" s="1525">
        <v>0</v>
      </c>
      <c r="E21" s="1524">
        <v>904.20720000000017</v>
      </c>
      <c r="F21" s="1523">
        <v>178.46</v>
      </c>
      <c r="G21" s="1520">
        <v>265.35000000000002</v>
      </c>
      <c r="H21" s="1520">
        <v>309.66000000000003</v>
      </c>
      <c r="I21" s="1522">
        <v>0.08</v>
      </c>
      <c r="J21" s="1521">
        <v>0</v>
      </c>
      <c r="K21" s="1521">
        <v>0.2</v>
      </c>
      <c r="L21" s="1520">
        <v>0</v>
      </c>
      <c r="M21" s="1519" t="s">
        <v>3481</v>
      </c>
      <c r="N21" s="1518" t="s">
        <v>3480</v>
      </c>
      <c r="O21" s="1518"/>
      <c r="P21" s="1555">
        <v>0</v>
      </c>
      <c r="Q21" s="1556">
        <v>681.25200000000007</v>
      </c>
      <c r="R21" s="1555">
        <v>136.25040000000001</v>
      </c>
      <c r="S21" s="1555">
        <v>0</v>
      </c>
      <c r="T21" s="1555">
        <v>0</v>
      </c>
      <c r="U21" s="1556" t="s">
        <v>21</v>
      </c>
      <c r="V21" s="1555">
        <v>0</v>
      </c>
      <c r="W21" s="1556">
        <v>681.25200000000007</v>
      </c>
    </row>
    <row r="22" spans="1:23" ht="12.75" x14ac:dyDescent="0.2">
      <c r="A22" s="1527" t="s">
        <v>1790</v>
      </c>
      <c r="B22" s="1526">
        <v>24.71</v>
      </c>
      <c r="C22" s="1526">
        <v>5</v>
      </c>
      <c r="D22" s="1525">
        <v>0</v>
      </c>
      <c r="E22" s="1524">
        <v>159.13240000000002</v>
      </c>
      <c r="F22" s="1523">
        <v>31.58</v>
      </c>
      <c r="G22" s="1520">
        <v>7.39</v>
      </c>
      <c r="H22" s="1520">
        <v>49.42</v>
      </c>
      <c r="I22" s="1522">
        <v>0.08</v>
      </c>
      <c r="J22" s="1521">
        <v>0</v>
      </c>
      <c r="K22" s="1521">
        <v>0.2</v>
      </c>
      <c r="L22" s="1520">
        <v>0</v>
      </c>
      <c r="M22" s="1519" t="s">
        <v>3481</v>
      </c>
      <c r="N22" s="1518" t="s">
        <v>3480</v>
      </c>
      <c r="O22" s="1518"/>
      <c r="P22" s="1555">
        <v>0</v>
      </c>
      <c r="Q22" s="1556">
        <v>123.55000000000001</v>
      </c>
      <c r="R22" s="1555">
        <v>24.710000000000004</v>
      </c>
      <c r="S22" s="1555">
        <v>0</v>
      </c>
      <c r="T22" s="1555">
        <v>0</v>
      </c>
      <c r="U22" s="1556" t="s">
        <v>21</v>
      </c>
      <c r="V22" s="1555">
        <v>0</v>
      </c>
      <c r="W22" s="1556">
        <v>123.55000000000001</v>
      </c>
    </row>
    <row r="23" spans="1:23" ht="12.75" x14ac:dyDescent="0.2">
      <c r="A23" s="1527" t="s">
        <v>1789</v>
      </c>
      <c r="B23" s="1526">
        <v>44.6</v>
      </c>
      <c r="C23" s="1526">
        <v>4</v>
      </c>
      <c r="D23" s="1525">
        <v>0</v>
      </c>
      <c r="E23" s="1524">
        <v>242.62400000000002</v>
      </c>
      <c r="F23" s="1523">
        <v>80.91</v>
      </c>
      <c r="G23" s="1520">
        <v>0.52</v>
      </c>
      <c r="H23" s="1520">
        <v>89.2</v>
      </c>
      <c r="I23" s="1522">
        <v>0.08</v>
      </c>
      <c r="J23" s="1521">
        <v>0</v>
      </c>
      <c r="K23" s="1521">
        <v>0.2</v>
      </c>
      <c r="L23" s="1520">
        <v>0</v>
      </c>
      <c r="M23" s="1519" t="s">
        <v>3481</v>
      </c>
      <c r="N23" s="1518" t="s">
        <v>3480</v>
      </c>
      <c r="O23" s="1518"/>
      <c r="P23" s="1555">
        <v>0</v>
      </c>
      <c r="Q23" s="1556">
        <v>178.4</v>
      </c>
      <c r="R23" s="1555">
        <v>35.68</v>
      </c>
      <c r="S23" s="1555">
        <v>0</v>
      </c>
      <c r="T23" s="1555">
        <v>0</v>
      </c>
      <c r="U23" s="1556" t="s">
        <v>21</v>
      </c>
      <c r="V23" s="1555">
        <v>0</v>
      </c>
      <c r="W23" s="1556">
        <v>178.4</v>
      </c>
    </row>
    <row r="24" spans="1:23" ht="12.75" x14ac:dyDescent="0.2">
      <c r="A24" s="1527" t="s">
        <v>1788</v>
      </c>
      <c r="B24" s="1526">
        <v>133.59</v>
      </c>
      <c r="C24" s="1526">
        <v>4.4000000000000004</v>
      </c>
      <c r="D24" s="1525">
        <v>0</v>
      </c>
      <c r="E24" s="1524">
        <v>780.16560000000015</v>
      </c>
      <c r="F24" s="1523">
        <v>244.36</v>
      </c>
      <c r="G24" s="1520">
        <v>3.56</v>
      </c>
      <c r="H24" s="1520">
        <v>267.18</v>
      </c>
      <c r="I24" s="1522">
        <v>0.08</v>
      </c>
      <c r="J24" s="1521">
        <v>0</v>
      </c>
      <c r="K24" s="1521">
        <v>0.2</v>
      </c>
      <c r="L24" s="1520">
        <v>400.8</v>
      </c>
      <c r="M24" s="1519" t="s">
        <v>3481</v>
      </c>
      <c r="N24" s="1518" t="s">
        <v>3480</v>
      </c>
      <c r="O24" s="1518"/>
      <c r="P24" s="1555">
        <v>0</v>
      </c>
      <c r="Q24" s="1556">
        <v>587.79600000000005</v>
      </c>
      <c r="R24" s="1555">
        <v>117.55920000000002</v>
      </c>
      <c r="S24" s="1555">
        <v>0</v>
      </c>
      <c r="T24" s="1555">
        <v>0</v>
      </c>
      <c r="U24" s="1556" t="s">
        <v>21</v>
      </c>
      <c r="V24" s="1555">
        <v>0</v>
      </c>
      <c r="W24" s="1556">
        <v>587.79600000000005</v>
      </c>
    </row>
    <row r="25" spans="1:23" ht="12.75" x14ac:dyDescent="0.2">
      <c r="A25" s="1527" t="s">
        <v>1787</v>
      </c>
      <c r="B25" s="1526">
        <v>81.150000000000006</v>
      </c>
      <c r="C25" s="1526">
        <v>4.4000000000000004</v>
      </c>
      <c r="D25" s="1525">
        <v>0</v>
      </c>
      <c r="E25" s="1524">
        <v>473.91600000000011</v>
      </c>
      <c r="F25" s="1523">
        <v>127.3</v>
      </c>
      <c r="G25" s="1520">
        <v>10.75</v>
      </c>
      <c r="H25" s="1520">
        <v>162.30000000000001</v>
      </c>
      <c r="I25" s="1522">
        <v>0.08</v>
      </c>
      <c r="J25" s="1521">
        <v>0</v>
      </c>
      <c r="K25" s="1521">
        <v>0.2</v>
      </c>
      <c r="L25" s="1520">
        <v>0</v>
      </c>
      <c r="M25" s="1519" t="s">
        <v>3481</v>
      </c>
      <c r="N25" s="1518" t="s">
        <v>3480</v>
      </c>
      <c r="O25" s="1518"/>
      <c r="P25" s="1555">
        <v>0</v>
      </c>
      <c r="Q25" s="1556">
        <v>357.06000000000006</v>
      </c>
      <c r="R25" s="1555">
        <v>71.41200000000002</v>
      </c>
      <c r="S25" s="1555">
        <v>0</v>
      </c>
      <c r="T25" s="1555">
        <v>0</v>
      </c>
      <c r="U25" s="1556" t="s">
        <v>21</v>
      </c>
      <c r="V25" s="1555">
        <v>0</v>
      </c>
      <c r="W25" s="1556">
        <v>357.06000000000006</v>
      </c>
    </row>
    <row r="26" spans="1:23" ht="12.75" x14ac:dyDescent="0.2">
      <c r="A26" s="2174" t="s">
        <v>1786</v>
      </c>
      <c r="B26" s="1526">
        <v>52</v>
      </c>
      <c r="C26" s="1526">
        <v>6</v>
      </c>
      <c r="D26" s="1525">
        <v>0</v>
      </c>
      <c r="E26" s="1524">
        <v>386.88</v>
      </c>
      <c r="F26" s="2175">
        <v>265.79000000000002</v>
      </c>
      <c r="G26" s="2206">
        <v>6.64</v>
      </c>
      <c r="H26" s="1520">
        <v>104</v>
      </c>
      <c r="I26" s="1522">
        <v>0.08</v>
      </c>
      <c r="J26" s="1521">
        <v>0</v>
      </c>
      <c r="K26" s="1521">
        <v>0.2</v>
      </c>
      <c r="L26" s="2206">
        <v>124.8</v>
      </c>
      <c r="M26" s="1519" t="s">
        <v>3481</v>
      </c>
      <c r="N26" s="1588" t="s">
        <v>3480</v>
      </c>
      <c r="O26" s="1518"/>
      <c r="P26" s="1555">
        <v>0</v>
      </c>
      <c r="Q26" s="1556">
        <v>312</v>
      </c>
      <c r="R26" s="1555">
        <v>62.400000000000006</v>
      </c>
      <c r="S26" s="1555">
        <v>0</v>
      </c>
      <c r="T26" s="1555">
        <v>0</v>
      </c>
      <c r="U26" s="1556" t="s">
        <v>21</v>
      </c>
      <c r="V26" s="1555">
        <v>0</v>
      </c>
      <c r="W26" s="1556">
        <v>312</v>
      </c>
    </row>
    <row r="27" spans="1:23" ht="12.75" x14ac:dyDescent="0.2">
      <c r="A27" s="2174"/>
      <c r="B27" s="1526">
        <v>79.08</v>
      </c>
      <c r="C27" s="1526">
        <v>4.4000000000000004</v>
      </c>
      <c r="D27" s="1525">
        <v>0</v>
      </c>
      <c r="E27" s="1524">
        <v>461.82720000000006</v>
      </c>
      <c r="F27" s="2175"/>
      <c r="G27" s="2206"/>
      <c r="H27" s="1520">
        <v>158.16</v>
      </c>
      <c r="I27" s="1522">
        <v>0.08</v>
      </c>
      <c r="J27" s="1521">
        <v>0</v>
      </c>
      <c r="K27" s="1521">
        <v>0.2</v>
      </c>
      <c r="L27" s="2206"/>
      <c r="M27" s="1519" t="s">
        <v>3481</v>
      </c>
      <c r="N27" s="1588" t="s">
        <v>3480</v>
      </c>
      <c r="O27" s="1518"/>
      <c r="P27" s="1555">
        <v>0</v>
      </c>
      <c r="Q27" s="1556">
        <v>347.952</v>
      </c>
      <c r="R27" s="1555">
        <v>69.590400000000002</v>
      </c>
      <c r="S27" s="1555">
        <v>0</v>
      </c>
      <c r="T27" s="1555">
        <v>0</v>
      </c>
      <c r="U27" s="1556" t="s">
        <v>21</v>
      </c>
      <c r="V27" s="1555">
        <v>0</v>
      </c>
      <c r="W27" s="1556">
        <v>347.952</v>
      </c>
    </row>
    <row r="28" spans="1:23" ht="12.75" x14ac:dyDescent="0.2">
      <c r="A28" s="1527" t="s">
        <v>1785</v>
      </c>
      <c r="B28" s="1526">
        <v>173.43</v>
      </c>
      <c r="C28" s="1526">
        <v>5</v>
      </c>
      <c r="D28" s="1525">
        <v>0</v>
      </c>
      <c r="E28" s="1524">
        <v>1116.8892000000001</v>
      </c>
      <c r="F28" s="1523">
        <v>266.76</v>
      </c>
      <c r="G28" s="1520">
        <v>14.75</v>
      </c>
      <c r="H28" s="1520">
        <v>346.86</v>
      </c>
      <c r="I28" s="1522">
        <v>0.08</v>
      </c>
      <c r="J28" s="1521">
        <v>0</v>
      </c>
      <c r="K28" s="1521">
        <v>0.2</v>
      </c>
      <c r="L28" s="1520">
        <v>0</v>
      </c>
      <c r="M28" s="1519" t="s">
        <v>3481</v>
      </c>
      <c r="N28" s="1518" t="s">
        <v>3480</v>
      </c>
      <c r="O28" s="1518"/>
      <c r="P28" s="1555">
        <v>0</v>
      </c>
      <c r="Q28" s="1556">
        <v>867.15000000000009</v>
      </c>
      <c r="R28" s="1555">
        <v>173.43000000000004</v>
      </c>
      <c r="S28" s="1555">
        <v>0</v>
      </c>
      <c r="T28" s="1555">
        <v>0</v>
      </c>
      <c r="U28" s="1556" t="s">
        <v>21</v>
      </c>
      <c r="V28" s="1555">
        <v>0</v>
      </c>
      <c r="W28" s="1556">
        <v>867.15000000000009</v>
      </c>
    </row>
    <row r="29" spans="1:23" ht="12.75" x14ac:dyDescent="0.2">
      <c r="A29" s="1527" t="s">
        <v>1784</v>
      </c>
      <c r="B29" s="1526">
        <v>118.05</v>
      </c>
      <c r="C29" s="1526">
        <v>5</v>
      </c>
      <c r="D29" s="1525">
        <v>0</v>
      </c>
      <c r="E29" s="1524">
        <v>760.24200000000008</v>
      </c>
      <c r="F29" s="1523">
        <v>237.5</v>
      </c>
      <c r="G29" s="1520">
        <v>0</v>
      </c>
      <c r="H29" s="1520">
        <v>236.1</v>
      </c>
      <c r="I29" s="1522">
        <v>0.08</v>
      </c>
      <c r="J29" s="1521">
        <v>0</v>
      </c>
      <c r="K29" s="1521">
        <v>0.2</v>
      </c>
      <c r="L29" s="1520">
        <v>0</v>
      </c>
      <c r="M29" s="1519" t="s">
        <v>3481</v>
      </c>
      <c r="N29" s="1518" t="s">
        <v>3480</v>
      </c>
      <c r="O29" s="1518"/>
      <c r="P29" s="1555">
        <v>0</v>
      </c>
      <c r="Q29" s="1556">
        <v>590.25</v>
      </c>
      <c r="R29" s="1555">
        <v>118.05000000000001</v>
      </c>
      <c r="S29" s="1555">
        <v>0</v>
      </c>
      <c r="T29" s="1555">
        <v>0</v>
      </c>
      <c r="U29" s="1556" t="s">
        <v>21</v>
      </c>
      <c r="V29" s="1555">
        <v>0</v>
      </c>
      <c r="W29" s="1556">
        <v>590.25</v>
      </c>
    </row>
    <row r="30" spans="1:23" ht="12.75" x14ac:dyDescent="0.2">
      <c r="A30" s="1527" t="s">
        <v>1783</v>
      </c>
      <c r="B30" s="1526">
        <v>79.180000000000007</v>
      </c>
      <c r="C30" s="1526">
        <v>4.4000000000000004</v>
      </c>
      <c r="D30" s="1525">
        <v>0</v>
      </c>
      <c r="E30" s="1524">
        <v>462.41120000000012</v>
      </c>
      <c r="F30" s="1523">
        <v>141.56</v>
      </c>
      <c r="G30" s="1520">
        <v>0.02</v>
      </c>
      <c r="H30" s="1520">
        <v>158.36000000000001</v>
      </c>
      <c r="I30" s="1522">
        <v>0.08</v>
      </c>
      <c r="J30" s="1521">
        <v>0</v>
      </c>
      <c r="K30" s="1521">
        <v>0.2</v>
      </c>
      <c r="L30" s="1520">
        <v>0</v>
      </c>
      <c r="M30" s="1519" t="s">
        <v>3481</v>
      </c>
      <c r="N30" s="1518" t="s">
        <v>3480</v>
      </c>
      <c r="O30" s="1518"/>
      <c r="P30" s="1555">
        <v>0</v>
      </c>
      <c r="Q30" s="1556">
        <v>348.39200000000005</v>
      </c>
      <c r="R30" s="1555">
        <v>69.678400000000011</v>
      </c>
      <c r="S30" s="1555">
        <v>0</v>
      </c>
      <c r="T30" s="1555">
        <v>0</v>
      </c>
      <c r="U30" s="1556" t="s">
        <v>21</v>
      </c>
      <c r="V30" s="1555">
        <v>0</v>
      </c>
      <c r="W30" s="1556">
        <v>348.39200000000005</v>
      </c>
    </row>
    <row r="31" spans="1:23" ht="12.75" x14ac:dyDescent="0.2">
      <c r="A31" s="1527" t="s">
        <v>1782</v>
      </c>
      <c r="B31" s="1526">
        <v>126.81</v>
      </c>
      <c r="C31" s="1526">
        <v>4.4000000000000004</v>
      </c>
      <c r="D31" s="1525">
        <v>0</v>
      </c>
      <c r="E31" s="1524">
        <v>740.57040000000006</v>
      </c>
      <c r="F31" s="1523">
        <v>208.65</v>
      </c>
      <c r="G31" s="1520">
        <v>0.01</v>
      </c>
      <c r="H31" s="1520">
        <v>253.62</v>
      </c>
      <c r="I31" s="1522">
        <v>0.08</v>
      </c>
      <c r="J31" s="1521">
        <v>0</v>
      </c>
      <c r="K31" s="1521">
        <v>0.2</v>
      </c>
      <c r="L31" s="1520">
        <v>0</v>
      </c>
      <c r="M31" s="1519" t="s">
        <v>3481</v>
      </c>
      <c r="N31" s="1518" t="s">
        <v>3480</v>
      </c>
      <c r="O31" s="1518"/>
      <c r="P31" s="1555">
        <v>0</v>
      </c>
      <c r="Q31" s="1556">
        <v>557.96400000000006</v>
      </c>
      <c r="R31" s="1555">
        <v>111.59280000000001</v>
      </c>
      <c r="S31" s="1555">
        <v>0</v>
      </c>
      <c r="T31" s="1555">
        <v>0</v>
      </c>
      <c r="U31" s="1556" t="s">
        <v>21</v>
      </c>
      <c r="V31" s="1555">
        <v>0</v>
      </c>
      <c r="W31" s="1556">
        <v>557.96400000000006</v>
      </c>
    </row>
    <row r="32" spans="1:23" ht="12.75" x14ac:dyDescent="0.2">
      <c r="A32" s="1527" t="s">
        <v>1781</v>
      </c>
      <c r="B32" s="1526">
        <v>80.81</v>
      </c>
      <c r="C32" s="1526">
        <v>4.4000000000000004</v>
      </c>
      <c r="D32" s="1525">
        <v>0</v>
      </c>
      <c r="E32" s="1524">
        <v>471.93040000000008</v>
      </c>
      <c r="F32" s="1523">
        <v>140.9</v>
      </c>
      <c r="G32" s="1520">
        <v>0.42</v>
      </c>
      <c r="H32" s="1520">
        <v>161.62</v>
      </c>
      <c r="I32" s="1522">
        <v>0.08</v>
      </c>
      <c r="J32" s="1521">
        <v>0</v>
      </c>
      <c r="K32" s="1521">
        <v>0.2</v>
      </c>
      <c r="L32" s="1520">
        <v>0</v>
      </c>
      <c r="M32" s="1519" t="s">
        <v>3481</v>
      </c>
      <c r="N32" s="1518" t="s">
        <v>3480</v>
      </c>
      <c r="O32" s="1518"/>
      <c r="P32" s="1555">
        <v>0</v>
      </c>
      <c r="Q32" s="1556">
        <v>355.56400000000002</v>
      </c>
      <c r="R32" s="1555">
        <v>71.112800000000007</v>
      </c>
      <c r="S32" s="1555">
        <v>0</v>
      </c>
      <c r="T32" s="1555">
        <v>0</v>
      </c>
      <c r="U32" s="1556" t="s">
        <v>21</v>
      </c>
      <c r="V32" s="1555">
        <v>0</v>
      </c>
      <c r="W32" s="1556">
        <v>355.56400000000002</v>
      </c>
    </row>
    <row r="33" spans="1:23" ht="12.75" x14ac:dyDescent="0.2">
      <c r="A33" s="1527" t="s">
        <v>1780</v>
      </c>
      <c r="B33" s="1526">
        <v>42.13</v>
      </c>
      <c r="C33" s="1526">
        <v>4.4000000000000004</v>
      </c>
      <c r="D33" s="1525">
        <v>0</v>
      </c>
      <c r="E33" s="1524">
        <v>246.03920000000005</v>
      </c>
      <c r="F33" s="1523">
        <v>94.41</v>
      </c>
      <c r="G33" s="1520">
        <v>0</v>
      </c>
      <c r="H33" s="1520">
        <v>84.26</v>
      </c>
      <c r="I33" s="1522">
        <v>0.08</v>
      </c>
      <c r="J33" s="1521">
        <v>0</v>
      </c>
      <c r="K33" s="1521">
        <v>0.2</v>
      </c>
      <c r="L33" s="1520">
        <v>0</v>
      </c>
      <c r="M33" s="1519" t="s">
        <v>3481</v>
      </c>
      <c r="N33" s="1518" t="s">
        <v>3480</v>
      </c>
      <c r="O33" s="1518"/>
      <c r="P33" s="1555">
        <v>0</v>
      </c>
      <c r="Q33" s="1556">
        <v>185.37200000000001</v>
      </c>
      <c r="R33" s="1555">
        <v>37.074400000000004</v>
      </c>
      <c r="S33" s="1555">
        <v>0</v>
      </c>
      <c r="T33" s="1555">
        <v>0</v>
      </c>
      <c r="U33" s="1556" t="s">
        <v>21</v>
      </c>
      <c r="V33" s="1555">
        <v>0</v>
      </c>
      <c r="W33" s="1556">
        <v>185.37200000000001</v>
      </c>
    </row>
    <row r="34" spans="1:23" ht="12.75" x14ac:dyDescent="0.2">
      <c r="A34" s="1527" t="s">
        <v>1779</v>
      </c>
      <c r="B34" s="1526">
        <v>70.08</v>
      </c>
      <c r="C34" s="1526">
        <v>5</v>
      </c>
      <c r="D34" s="1525">
        <v>0</v>
      </c>
      <c r="E34" s="1524">
        <v>451.3152</v>
      </c>
      <c r="F34" s="1523">
        <v>147.16</v>
      </c>
      <c r="G34" s="1520">
        <v>0</v>
      </c>
      <c r="H34" s="1520">
        <v>140.16</v>
      </c>
      <c r="I34" s="1522">
        <v>0.08</v>
      </c>
      <c r="J34" s="1521">
        <v>0</v>
      </c>
      <c r="K34" s="1521">
        <v>0.2</v>
      </c>
      <c r="L34" s="1520">
        <v>0</v>
      </c>
      <c r="M34" s="1519" t="s">
        <v>3481</v>
      </c>
      <c r="N34" s="1518" t="s">
        <v>3480</v>
      </c>
      <c r="O34" s="1518"/>
      <c r="P34" s="1555">
        <v>0</v>
      </c>
      <c r="Q34" s="1556">
        <v>350.4</v>
      </c>
      <c r="R34" s="1555">
        <v>70.08</v>
      </c>
      <c r="S34" s="1555">
        <v>0</v>
      </c>
      <c r="T34" s="1555">
        <v>0</v>
      </c>
      <c r="U34" s="1556" t="s">
        <v>21</v>
      </c>
      <c r="V34" s="1555">
        <v>0</v>
      </c>
      <c r="W34" s="1556">
        <v>350.4</v>
      </c>
    </row>
    <row r="35" spans="1:23" ht="12.75" x14ac:dyDescent="0.2">
      <c r="A35" s="1527" t="s">
        <v>1778</v>
      </c>
      <c r="B35" s="1526">
        <v>43.19</v>
      </c>
      <c r="C35" s="1526">
        <v>4.4000000000000004</v>
      </c>
      <c r="D35" s="1525">
        <v>0</v>
      </c>
      <c r="E35" s="1524">
        <v>252.2296</v>
      </c>
      <c r="F35" s="1523">
        <v>51.79</v>
      </c>
      <c r="G35" s="1520">
        <v>0</v>
      </c>
      <c r="H35" s="1520">
        <v>86.38</v>
      </c>
      <c r="I35" s="1522">
        <v>0.08</v>
      </c>
      <c r="J35" s="1521">
        <v>0</v>
      </c>
      <c r="K35" s="1521">
        <v>0.2</v>
      </c>
      <c r="L35" s="1520">
        <v>0</v>
      </c>
      <c r="M35" s="1519" t="s">
        <v>3481</v>
      </c>
      <c r="N35" s="1518" t="s">
        <v>3480</v>
      </c>
      <c r="O35" s="1518"/>
      <c r="P35" s="1555">
        <v>0</v>
      </c>
      <c r="Q35" s="1556">
        <v>190.036</v>
      </c>
      <c r="R35" s="1555">
        <v>38.007200000000005</v>
      </c>
      <c r="S35" s="1555">
        <v>0</v>
      </c>
      <c r="T35" s="1555">
        <v>0</v>
      </c>
      <c r="U35" s="1556" t="s">
        <v>21</v>
      </c>
      <c r="V35" s="1555">
        <v>0</v>
      </c>
      <c r="W35" s="1556">
        <v>190.036</v>
      </c>
    </row>
    <row r="36" spans="1:23" ht="12.75" x14ac:dyDescent="0.2">
      <c r="A36" s="1527" t="s">
        <v>1777</v>
      </c>
      <c r="B36" s="1526">
        <v>115.13</v>
      </c>
      <c r="C36" s="1526">
        <v>5</v>
      </c>
      <c r="D36" s="1525">
        <v>0</v>
      </c>
      <c r="E36" s="1524">
        <v>741.43719999999996</v>
      </c>
      <c r="F36" s="1523">
        <v>61.18</v>
      </c>
      <c r="G36" s="1520">
        <v>8.39</v>
      </c>
      <c r="H36" s="1520">
        <v>230.26</v>
      </c>
      <c r="I36" s="1522">
        <v>0.08</v>
      </c>
      <c r="J36" s="1521">
        <v>0</v>
      </c>
      <c r="K36" s="1521">
        <v>0.2</v>
      </c>
      <c r="L36" s="1520">
        <v>0</v>
      </c>
      <c r="M36" s="1519" t="s">
        <v>3481</v>
      </c>
      <c r="N36" s="1518" t="s">
        <v>3480</v>
      </c>
      <c r="O36" s="1518"/>
      <c r="P36" s="1555">
        <v>0</v>
      </c>
      <c r="Q36" s="1556">
        <v>575.65</v>
      </c>
      <c r="R36" s="1555">
        <v>115.13</v>
      </c>
      <c r="S36" s="1555">
        <v>0</v>
      </c>
      <c r="T36" s="1555">
        <v>0</v>
      </c>
      <c r="U36" s="1556" t="s">
        <v>21</v>
      </c>
      <c r="V36" s="1555">
        <v>0</v>
      </c>
      <c r="W36" s="1556">
        <v>575.65</v>
      </c>
    </row>
    <row r="37" spans="1:23" ht="12.75" x14ac:dyDescent="0.2">
      <c r="A37" s="1527" t="s">
        <v>1776</v>
      </c>
      <c r="B37" s="1526">
        <v>167.31</v>
      </c>
      <c r="C37" s="1526">
        <v>5</v>
      </c>
      <c r="D37" s="1525">
        <v>0</v>
      </c>
      <c r="E37" s="1524">
        <v>1077.4764</v>
      </c>
      <c r="F37" s="1523">
        <v>261.33999999999997</v>
      </c>
      <c r="G37" s="1520">
        <v>26.77</v>
      </c>
      <c r="H37" s="1520">
        <v>334.62</v>
      </c>
      <c r="I37" s="1522">
        <v>0.08</v>
      </c>
      <c r="J37" s="1521">
        <v>0</v>
      </c>
      <c r="K37" s="1521">
        <v>0.2</v>
      </c>
      <c r="L37" s="1520">
        <v>0</v>
      </c>
      <c r="M37" s="1519" t="s">
        <v>3481</v>
      </c>
      <c r="N37" s="1518" t="s">
        <v>3480</v>
      </c>
      <c r="O37" s="1518"/>
      <c r="P37" s="1555">
        <v>0</v>
      </c>
      <c r="Q37" s="1556">
        <v>836.55</v>
      </c>
      <c r="R37" s="1555">
        <v>167.31</v>
      </c>
      <c r="S37" s="1555">
        <v>0</v>
      </c>
      <c r="T37" s="1555">
        <v>0</v>
      </c>
      <c r="U37" s="1556" t="s">
        <v>21</v>
      </c>
      <c r="V37" s="1555">
        <v>0</v>
      </c>
      <c r="W37" s="1556">
        <v>836.55</v>
      </c>
    </row>
    <row r="38" spans="1:23" ht="12.75" x14ac:dyDescent="0.2">
      <c r="A38" s="1527" t="s">
        <v>1775</v>
      </c>
      <c r="B38" s="1526">
        <v>177.86</v>
      </c>
      <c r="C38" s="1526">
        <v>5</v>
      </c>
      <c r="D38" s="1525">
        <v>0</v>
      </c>
      <c r="E38" s="1524">
        <v>1145.4184000000002</v>
      </c>
      <c r="F38" s="1523">
        <v>304.89</v>
      </c>
      <c r="G38" s="1520">
        <v>1.2</v>
      </c>
      <c r="H38" s="1520">
        <v>355.72</v>
      </c>
      <c r="I38" s="1522">
        <v>0.08</v>
      </c>
      <c r="J38" s="1521">
        <v>0</v>
      </c>
      <c r="K38" s="1521">
        <v>0.2</v>
      </c>
      <c r="L38" s="1520">
        <v>0</v>
      </c>
      <c r="M38" s="1519" t="s">
        <v>3481</v>
      </c>
      <c r="N38" s="1518" t="s">
        <v>3480</v>
      </c>
      <c r="O38" s="1518"/>
      <c r="P38" s="1555">
        <v>0</v>
      </c>
      <c r="Q38" s="1556">
        <v>889.30000000000007</v>
      </c>
      <c r="R38" s="1555">
        <v>177.86</v>
      </c>
      <c r="S38" s="1555">
        <v>0</v>
      </c>
      <c r="T38" s="1555">
        <v>0</v>
      </c>
      <c r="U38" s="1556" t="s">
        <v>21</v>
      </c>
      <c r="V38" s="1555">
        <v>0</v>
      </c>
      <c r="W38" s="1556">
        <v>889.30000000000007</v>
      </c>
    </row>
    <row r="39" spans="1:23" ht="12.75" x14ac:dyDescent="0.2">
      <c r="A39" s="1527" t="s">
        <v>1774</v>
      </c>
      <c r="B39" s="1526">
        <v>203</v>
      </c>
      <c r="C39" s="1526">
        <v>5</v>
      </c>
      <c r="D39" s="1525">
        <v>0</v>
      </c>
      <c r="E39" s="1524">
        <v>1307.3200000000002</v>
      </c>
      <c r="F39" s="1523">
        <v>267.12</v>
      </c>
      <c r="G39" s="1520">
        <v>171.18</v>
      </c>
      <c r="H39" s="1520">
        <v>406</v>
      </c>
      <c r="I39" s="1522">
        <v>0.08</v>
      </c>
      <c r="J39" s="1521">
        <v>0</v>
      </c>
      <c r="K39" s="1521">
        <v>0.2</v>
      </c>
      <c r="L39" s="1520">
        <v>474</v>
      </c>
      <c r="M39" s="1519" t="s">
        <v>3481</v>
      </c>
      <c r="N39" s="1518" t="s">
        <v>3480</v>
      </c>
      <c r="O39" s="1518"/>
      <c r="P39" s="1555">
        <v>0</v>
      </c>
      <c r="Q39" s="1556">
        <v>1015</v>
      </c>
      <c r="R39" s="1555">
        <v>203</v>
      </c>
      <c r="S39" s="1555">
        <v>0</v>
      </c>
      <c r="T39" s="1555">
        <v>0</v>
      </c>
      <c r="U39" s="1556" t="s">
        <v>21</v>
      </c>
      <c r="V39" s="1555">
        <v>0</v>
      </c>
      <c r="W39" s="1556">
        <v>1015</v>
      </c>
    </row>
    <row r="40" spans="1:23" ht="12.75" x14ac:dyDescent="0.2">
      <c r="A40" s="1527" t="s">
        <v>1773</v>
      </c>
      <c r="B40" s="1526">
        <v>69.38</v>
      </c>
      <c r="C40" s="1526">
        <v>5</v>
      </c>
      <c r="D40" s="1525">
        <v>0</v>
      </c>
      <c r="E40" s="1524">
        <v>446.80720000000002</v>
      </c>
      <c r="F40" s="1523">
        <v>195</v>
      </c>
      <c r="G40" s="1520">
        <v>0</v>
      </c>
      <c r="H40" s="1520">
        <v>138.76</v>
      </c>
      <c r="I40" s="1522">
        <v>0.08</v>
      </c>
      <c r="J40" s="1521">
        <v>0</v>
      </c>
      <c r="K40" s="1521">
        <v>0.2</v>
      </c>
      <c r="L40" s="1520">
        <v>0</v>
      </c>
      <c r="M40" s="1519" t="s">
        <v>3481</v>
      </c>
      <c r="N40" s="1518" t="s">
        <v>3480</v>
      </c>
      <c r="O40" s="1518"/>
      <c r="P40" s="1555">
        <v>0</v>
      </c>
      <c r="Q40" s="1556">
        <v>346.9</v>
      </c>
      <c r="R40" s="1555">
        <v>69.38</v>
      </c>
      <c r="S40" s="1555">
        <v>0</v>
      </c>
      <c r="T40" s="1555">
        <v>0</v>
      </c>
      <c r="U40" s="1556" t="s">
        <v>21</v>
      </c>
      <c r="V40" s="1555">
        <v>0</v>
      </c>
      <c r="W40" s="1556">
        <v>346.9</v>
      </c>
    </row>
    <row r="41" spans="1:23" ht="12.75" x14ac:dyDescent="0.2">
      <c r="A41" s="1527" t="s">
        <v>1772</v>
      </c>
      <c r="B41" s="1526">
        <v>33.909999999999997</v>
      </c>
      <c r="C41" s="1526">
        <v>5</v>
      </c>
      <c r="D41" s="1525">
        <v>0</v>
      </c>
      <c r="E41" s="1524">
        <v>218.38039999999998</v>
      </c>
      <c r="F41" s="1523">
        <v>51.92</v>
      </c>
      <c r="G41" s="1520">
        <v>18.39</v>
      </c>
      <c r="H41" s="1520">
        <v>67.819999999999993</v>
      </c>
      <c r="I41" s="1522">
        <v>0.08</v>
      </c>
      <c r="J41" s="1521">
        <v>0</v>
      </c>
      <c r="K41" s="1521">
        <v>0.2</v>
      </c>
      <c r="L41" s="1520">
        <v>81.383999999999986</v>
      </c>
      <c r="M41" s="1519" t="s">
        <v>3481</v>
      </c>
      <c r="N41" s="1518" t="s">
        <v>3480</v>
      </c>
      <c r="O41" s="1518"/>
      <c r="P41" s="1555">
        <v>0</v>
      </c>
      <c r="Q41" s="1556">
        <v>169.54999999999998</v>
      </c>
      <c r="R41" s="1555">
        <v>33.909999999999997</v>
      </c>
      <c r="S41" s="1555">
        <v>0</v>
      </c>
      <c r="T41" s="1555">
        <v>0</v>
      </c>
      <c r="U41" s="1556" t="s">
        <v>21</v>
      </c>
      <c r="V41" s="1555">
        <v>0</v>
      </c>
      <c r="W41" s="1556">
        <v>169.54999999999998</v>
      </c>
    </row>
    <row r="42" spans="1:23" ht="12.75" x14ac:dyDescent="0.2">
      <c r="A42" s="1527" t="s">
        <v>1771</v>
      </c>
      <c r="B42" s="1526">
        <v>61.24</v>
      </c>
      <c r="C42" s="1526">
        <v>3</v>
      </c>
      <c r="D42" s="1525">
        <v>0</v>
      </c>
      <c r="E42" s="1524">
        <v>271.90560000000005</v>
      </c>
      <c r="F42" s="1523">
        <v>94.49</v>
      </c>
      <c r="G42" s="1520">
        <v>0.05</v>
      </c>
      <c r="H42" s="1520">
        <v>122.48</v>
      </c>
      <c r="I42" s="1522">
        <v>0.08</v>
      </c>
      <c r="J42" s="1521">
        <v>0</v>
      </c>
      <c r="K42" s="1521">
        <v>0.2</v>
      </c>
      <c r="L42" s="1520">
        <v>0</v>
      </c>
      <c r="M42" s="1519" t="s">
        <v>3481</v>
      </c>
      <c r="N42" s="1518" t="s">
        <v>3480</v>
      </c>
      <c r="O42" s="1518"/>
      <c r="P42" s="1555">
        <v>0</v>
      </c>
      <c r="Q42" s="1556">
        <v>183.72</v>
      </c>
      <c r="R42" s="1555">
        <v>36.744</v>
      </c>
      <c r="S42" s="1555">
        <v>0</v>
      </c>
      <c r="T42" s="1555">
        <v>0</v>
      </c>
      <c r="U42" s="1556" t="s">
        <v>21</v>
      </c>
      <c r="V42" s="1555">
        <v>0</v>
      </c>
      <c r="W42" s="1556">
        <v>183.72</v>
      </c>
    </row>
    <row r="43" spans="1:23" ht="12.75" x14ac:dyDescent="0.2">
      <c r="A43" s="1527" t="s">
        <v>1770</v>
      </c>
      <c r="B43" s="1526">
        <v>46.22</v>
      </c>
      <c r="C43" s="1526">
        <v>5</v>
      </c>
      <c r="D43" s="1525">
        <v>0</v>
      </c>
      <c r="E43" s="1524">
        <v>297.65680000000003</v>
      </c>
      <c r="F43" s="1523">
        <v>59.72</v>
      </c>
      <c r="G43" s="1520">
        <v>0</v>
      </c>
      <c r="H43" s="1520">
        <v>92.44</v>
      </c>
      <c r="I43" s="1522">
        <v>0.08</v>
      </c>
      <c r="J43" s="1521">
        <v>0</v>
      </c>
      <c r="K43" s="1521">
        <v>0.2</v>
      </c>
      <c r="L43" s="1520">
        <v>0</v>
      </c>
      <c r="M43" s="1519" t="s">
        <v>3481</v>
      </c>
      <c r="N43" s="1518" t="s">
        <v>3480</v>
      </c>
      <c r="O43" s="1518"/>
      <c r="P43" s="1555">
        <v>0</v>
      </c>
      <c r="Q43" s="1556">
        <v>231.1</v>
      </c>
      <c r="R43" s="1555">
        <v>46.22</v>
      </c>
      <c r="S43" s="1555">
        <v>0</v>
      </c>
      <c r="T43" s="1555">
        <v>0</v>
      </c>
      <c r="U43" s="1556" t="s">
        <v>21</v>
      </c>
      <c r="V43" s="1555">
        <v>0</v>
      </c>
      <c r="W43" s="1556">
        <v>231.1</v>
      </c>
    </row>
    <row r="44" spans="1:23" ht="12.75" x14ac:dyDescent="0.2">
      <c r="A44" s="1527" t="s">
        <v>1769</v>
      </c>
      <c r="B44" s="1526">
        <v>39.1</v>
      </c>
      <c r="C44" s="1526">
        <v>4.4000000000000004</v>
      </c>
      <c r="D44" s="1525">
        <v>0</v>
      </c>
      <c r="E44" s="1524">
        <v>228.34400000000005</v>
      </c>
      <c r="F44" s="1523">
        <v>59.28</v>
      </c>
      <c r="G44" s="1520">
        <v>0.56000000000000005</v>
      </c>
      <c r="H44" s="1520">
        <v>78.2</v>
      </c>
      <c r="I44" s="1522">
        <v>0.08</v>
      </c>
      <c r="J44" s="1521">
        <v>0</v>
      </c>
      <c r="K44" s="1521">
        <v>0.2</v>
      </c>
      <c r="L44" s="1520">
        <v>0</v>
      </c>
      <c r="M44" s="1519" t="s">
        <v>3481</v>
      </c>
      <c r="N44" s="1518" t="s">
        <v>3480</v>
      </c>
      <c r="O44" s="1518"/>
      <c r="P44" s="1555">
        <v>0</v>
      </c>
      <c r="Q44" s="1556">
        <v>172.04000000000002</v>
      </c>
      <c r="R44" s="1555">
        <v>34.408000000000008</v>
      </c>
      <c r="S44" s="1555">
        <v>0</v>
      </c>
      <c r="T44" s="1555">
        <v>0</v>
      </c>
      <c r="U44" s="1556" t="s">
        <v>21</v>
      </c>
      <c r="V44" s="1555">
        <v>0</v>
      </c>
      <c r="W44" s="1556">
        <v>172.04000000000002</v>
      </c>
    </row>
    <row r="45" spans="1:23" ht="12.75" x14ac:dyDescent="0.2">
      <c r="A45" s="1527" t="s">
        <v>1768</v>
      </c>
      <c r="B45" s="1526">
        <v>138.37</v>
      </c>
      <c r="C45" s="1526">
        <v>5</v>
      </c>
      <c r="D45" s="1525">
        <v>0</v>
      </c>
      <c r="E45" s="1524">
        <v>891.10280000000012</v>
      </c>
      <c r="F45" s="1523">
        <v>262.25</v>
      </c>
      <c r="G45" s="1520">
        <v>1.23</v>
      </c>
      <c r="H45" s="1520">
        <v>276.74</v>
      </c>
      <c r="I45" s="1522">
        <v>0.08</v>
      </c>
      <c r="J45" s="1521">
        <v>0</v>
      </c>
      <c r="K45" s="1521">
        <v>0.2</v>
      </c>
      <c r="L45" s="1520">
        <v>0</v>
      </c>
      <c r="M45" s="1519" t="s">
        <v>3481</v>
      </c>
      <c r="N45" s="1518" t="s">
        <v>3480</v>
      </c>
      <c r="O45" s="1518"/>
      <c r="P45" s="1555">
        <v>0</v>
      </c>
      <c r="Q45" s="1556">
        <v>691.85</v>
      </c>
      <c r="R45" s="1555">
        <v>138.37</v>
      </c>
      <c r="S45" s="1555">
        <v>0</v>
      </c>
      <c r="T45" s="1555">
        <v>0</v>
      </c>
      <c r="U45" s="1556" t="s">
        <v>21</v>
      </c>
      <c r="V45" s="1555">
        <v>0</v>
      </c>
      <c r="W45" s="1556">
        <v>691.85</v>
      </c>
    </row>
    <row r="46" spans="1:23" ht="12.75" x14ac:dyDescent="0.2">
      <c r="A46" s="1527" t="s">
        <v>1767</v>
      </c>
      <c r="B46" s="1526">
        <v>44.68</v>
      </c>
      <c r="C46" s="1526">
        <v>5</v>
      </c>
      <c r="D46" s="1525">
        <v>0</v>
      </c>
      <c r="E46" s="1524">
        <v>287.73920000000004</v>
      </c>
      <c r="F46" s="1523">
        <v>87.36</v>
      </c>
      <c r="G46" s="1520">
        <v>0</v>
      </c>
      <c r="H46" s="1520">
        <v>89.36</v>
      </c>
      <c r="I46" s="1522">
        <v>0.08</v>
      </c>
      <c r="J46" s="1521">
        <v>0</v>
      </c>
      <c r="K46" s="1521">
        <v>0.2</v>
      </c>
      <c r="L46" s="1520">
        <v>0</v>
      </c>
      <c r="M46" s="1519" t="s">
        <v>3481</v>
      </c>
      <c r="N46" s="1518" t="s">
        <v>3480</v>
      </c>
      <c r="O46" s="1518"/>
      <c r="P46" s="1555">
        <v>0</v>
      </c>
      <c r="Q46" s="1556">
        <v>223.4</v>
      </c>
      <c r="R46" s="1555">
        <v>44.680000000000007</v>
      </c>
      <c r="S46" s="1555">
        <v>0</v>
      </c>
      <c r="T46" s="1555">
        <v>0</v>
      </c>
      <c r="U46" s="1556" t="s">
        <v>21</v>
      </c>
      <c r="V46" s="1555">
        <v>0</v>
      </c>
      <c r="W46" s="1556">
        <v>223.4</v>
      </c>
    </row>
    <row r="47" spans="1:23" ht="12.75" x14ac:dyDescent="0.2">
      <c r="A47" s="1527" t="s">
        <v>1766</v>
      </c>
      <c r="B47" s="1526">
        <v>124.11</v>
      </c>
      <c r="C47" s="1526">
        <v>5</v>
      </c>
      <c r="D47" s="1525">
        <v>0</v>
      </c>
      <c r="E47" s="1524">
        <v>799.26840000000004</v>
      </c>
      <c r="F47" s="1523">
        <v>262.58999999999997</v>
      </c>
      <c r="G47" s="1520">
        <v>0.31</v>
      </c>
      <c r="H47" s="1520">
        <v>248.22</v>
      </c>
      <c r="I47" s="1522">
        <v>0.08</v>
      </c>
      <c r="J47" s="1521">
        <v>0</v>
      </c>
      <c r="K47" s="1521">
        <v>0.2</v>
      </c>
      <c r="L47" s="1520">
        <v>0</v>
      </c>
      <c r="M47" s="1519" t="s">
        <v>3481</v>
      </c>
      <c r="N47" s="1518" t="s">
        <v>3480</v>
      </c>
      <c r="O47" s="1518"/>
      <c r="P47" s="1555">
        <v>0</v>
      </c>
      <c r="Q47" s="1556">
        <v>620.54999999999995</v>
      </c>
      <c r="R47" s="1555">
        <v>124.11</v>
      </c>
      <c r="S47" s="1555">
        <v>0</v>
      </c>
      <c r="T47" s="1555">
        <v>0</v>
      </c>
      <c r="U47" s="1556" t="s">
        <v>21</v>
      </c>
      <c r="V47" s="1555">
        <v>0</v>
      </c>
      <c r="W47" s="1556">
        <v>620.54999999999995</v>
      </c>
    </row>
    <row r="48" spans="1:23" ht="12.75" x14ac:dyDescent="0.2">
      <c r="A48" s="1527" t="s">
        <v>1765</v>
      </c>
      <c r="B48" s="1526">
        <v>152.66999999999999</v>
      </c>
      <c r="C48" s="1526">
        <v>5</v>
      </c>
      <c r="D48" s="1525">
        <v>0</v>
      </c>
      <c r="E48" s="1524">
        <v>983.19479999999999</v>
      </c>
      <c r="F48" s="1523">
        <v>384.44</v>
      </c>
      <c r="G48" s="1520">
        <v>30.34</v>
      </c>
      <c r="H48" s="1520">
        <v>305.33999999999997</v>
      </c>
      <c r="I48" s="1522">
        <v>0.08</v>
      </c>
      <c r="J48" s="1521">
        <v>0</v>
      </c>
      <c r="K48" s="1521">
        <v>0.2</v>
      </c>
      <c r="L48" s="1520">
        <v>0</v>
      </c>
      <c r="M48" s="1519" t="s">
        <v>3481</v>
      </c>
      <c r="N48" s="1518" t="s">
        <v>3480</v>
      </c>
      <c r="O48" s="1518"/>
      <c r="P48" s="1555">
        <v>0</v>
      </c>
      <c r="Q48" s="1556">
        <v>763.34999999999991</v>
      </c>
      <c r="R48" s="1555">
        <v>152.66999999999999</v>
      </c>
      <c r="S48" s="1555">
        <v>0</v>
      </c>
      <c r="T48" s="1555">
        <v>0</v>
      </c>
      <c r="U48" s="1556" t="s">
        <v>21</v>
      </c>
      <c r="V48" s="1555">
        <v>0</v>
      </c>
      <c r="W48" s="1556">
        <v>763.34999999999991</v>
      </c>
    </row>
    <row r="49" spans="1:23" ht="12.75" x14ac:dyDescent="0.2">
      <c r="A49" s="1527" t="s">
        <v>1764</v>
      </c>
      <c r="B49" s="1526">
        <v>102.07</v>
      </c>
      <c r="C49" s="1526">
        <v>5</v>
      </c>
      <c r="D49" s="1525">
        <v>0</v>
      </c>
      <c r="E49" s="1524">
        <v>657.33079999999995</v>
      </c>
      <c r="F49" s="1523">
        <v>165.57</v>
      </c>
      <c r="G49" s="1520">
        <v>4.91</v>
      </c>
      <c r="H49" s="1520">
        <v>204.14</v>
      </c>
      <c r="I49" s="1522">
        <v>0.08</v>
      </c>
      <c r="J49" s="1521">
        <v>0</v>
      </c>
      <c r="K49" s="1521">
        <v>0.2</v>
      </c>
      <c r="L49" s="1520">
        <v>0</v>
      </c>
      <c r="M49" s="1519" t="s">
        <v>3481</v>
      </c>
      <c r="N49" s="1518" t="s">
        <v>3480</v>
      </c>
      <c r="O49" s="1518"/>
      <c r="P49" s="1555">
        <v>0</v>
      </c>
      <c r="Q49" s="1556">
        <v>510.34999999999997</v>
      </c>
      <c r="R49" s="1555">
        <v>102.07</v>
      </c>
      <c r="S49" s="1555">
        <v>0</v>
      </c>
      <c r="T49" s="1555">
        <v>0</v>
      </c>
      <c r="U49" s="1556" t="s">
        <v>21</v>
      </c>
      <c r="V49" s="1555">
        <v>0</v>
      </c>
      <c r="W49" s="1556">
        <v>510.34999999999997</v>
      </c>
    </row>
    <row r="50" spans="1:23" ht="12.75" x14ac:dyDescent="0.2">
      <c r="A50" s="1527" t="s">
        <v>1763</v>
      </c>
      <c r="B50" s="1526">
        <v>110.76</v>
      </c>
      <c r="C50" s="1526">
        <v>5</v>
      </c>
      <c r="D50" s="1525">
        <v>0</v>
      </c>
      <c r="E50" s="1524">
        <v>713.29440000000011</v>
      </c>
      <c r="F50" s="1523">
        <v>249.87</v>
      </c>
      <c r="G50" s="1520">
        <v>0.23</v>
      </c>
      <c r="H50" s="1520">
        <v>221.52</v>
      </c>
      <c r="I50" s="1522">
        <v>0.08</v>
      </c>
      <c r="J50" s="1521">
        <v>0</v>
      </c>
      <c r="K50" s="1521">
        <v>0.2</v>
      </c>
      <c r="L50" s="1520">
        <v>0</v>
      </c>
      <c r="M50" s="1519" t="s">
        <v>3481</v>
      </c>
      <c r="N50" s="1518" t="s">
        <v>3480</v>
      </c>
      <c r="O50" s="1518"/>
      <c r="P50" s="1555">
        <v>0</v>
      </c>
      <c r="Q50" s="1556">
        <v>553.80000000000007</v>
      </c>
      <c r="R50" s="1555">
        <v>110.76000000000002</v>
      </c>
      <c r="S50" s="1555">
        <v>0</v>
      </c>
      <c r="T50" s="1555">
        <v>0</v>
      </c>
      <c r="U50" s="1556" t="s">
        <v>21</v>
      </c>
      <c r="V50" s="1555">
        <v>0</v>
      </c>
      <c r="W50" s="1556">
        <v>553.80000000000007</v>
      </c>
    </row>
    <row r="51" spans="1:23" ht="12.75" x14ac:dyDescent="0.2">
      <c r="A51" s="1527" t="s">
        <v>1762</v>
      </c>
      <c r="B51" s="1526">
        <v>86.94</v>
      </c>
      <c r="C51" s="1526">
        <v>5</v>
      </c>
      <c r="D51" s="1525">
        <v>0</v>
      </c>
      <c r="E51" s="1524">
        <v>559.89359999999999</v>
      </c>
      <c r="F51" s="1523">
        <v>142.63</v>
      </c>
      <c r="G51" s="1520">
        <v>0.13</v>
      </c>
      <c r="H51" s="1520">
        <v>173.88</v>
      </c>
      <c r="I51" s="1522">
        <v>0.08</v>
      </c>
      <c r="J51" s="1521">
        <v>0</v>
      </c>
      <c r="K51" s="1521">
        <v>0.2</v>
      </c>
      <c r="L51" s="1520">
        <v>0</v>
      </c>
      <c r="M51" s="1519" t="s">
        <v>3481</v>
      </c>
      <c r="N51" s="1518" t="s">
        <v>3480</v>
      </c>
      <c r="O51" s="1518"/>
      <c r="P51" s="1555">
        <v>0</v>
      </c>
      <c r="Q51" s="1556">
        <v>434.7</v>
      </c>
      <c r="R51" s="1555">
        <v>86.94</v>
      </c>
      <c r="S51" s="1555">
        <v>0</v>
      </c>
      <c r="T51" s="1555">
        <v>0</v>
      </c>
      <c r="U51" s="1556" t="s">
        <v>21</v>
      </c>
      <c r="V51" s="1555">
        <v>0</v>
      </c>
      <c r="W51" s="1556">
        <v>434.7</v>
      </c>
    </row>
    <row r="52" spans="1:23" ht="12.75" x14ac:dyDescent="0.2">
      <c r="A52" s="1527" t="s">
        <v>1761</v>
      </c>
      <c r="B52" s="1526">
        <v>91.32</v>
      </c>
      <c r="C52" s="1526">
        <v>5</v>
      </c>
      <c r="D52" s="1525">
        <v>0</v>
      </c>
      <c r="E52" s="1524">
        <v>588.10079999999994</v>
      </c>
      <c r="F52" s="1523">
        <v>163.04</v>
      </c>
      <c r="G52" s="1520">
        <v>0</v>
      </c>
      <c r="H52" s="1520">
        <v>182.64</v>
      </c>
      <c r="I52" s="1522">
        <v>0.08</v>
      </c>
      <c r="J52" s="1521">
        <v>0</v>
      </c>
      <c r="K52" s="1521">
        <v>0.2</v>
      </c>
      <c r="L52" s="1520">
        <v>0</v>
      </c>
      <c r="M52" s="1519" t="s">
        <v>3481</v>
      </c>
      <c r="N52" s="1518" t="s">
        <v>3480</v>
      </c>
      <c r="O52" s="1518"/>
      <c r="P52" s="1555">
        <v>0</v>
      </c>
      <c r="Q52" s="1556">
        <v>456.59999999999997</v>
      </c>
      <c r="R52" s="1555">
        <v>91.32</v>
      </c>
      <c r="S52" s="1555">
        <v>0</v>
      </c>
      <c r="T52" s="1555">
        <v>0</v>
      </c>
      <c r="U52" s="1556" t="s">
        <v>21</v>
      </c>
      <c r="V52" s="1555">
        <v>0</v>
      </c>
      <c r="W52" s="1556">
        <v>456.59999999999997</v>
      </c>
    </row>
    <row r="53" spans="1:23" ht="12.75" x14ac:dyDescent="0.2">
      <c r="A53" s="1527" t="s">
        <v>1760</v>
      </c>
      <c r="B53" s="1526">
        <v>67.64</v>
      </c>
      <c r="C53" s="1526">
        <v>5</v>
      </c>
      <c r="D53" s="1525">
        <v>0</v>
      </c>
      <c r="E53" s="1524">
        <v>435.60160000000002</v>
      </c>
      <c r="F53" s="1523">
        <v>117.52</v>
      </c>
      <c r="G53" s="1520">
        <v>16.61</v>
      </c>
      <c r="H53" s="1520">
        <v>135.28</v>
      </c>
      <c r="I53" s="1522">
        <v>0.08</v>
      </c>
      <c r="J53" s="1521">
        <v>0</v>
      </c>
      <c r="K53" s="1521">
        <v>0.2</v>
      </c>
      <c r="L53" s="1520">
        <v>162.33599999999998</v>
      </c>
      <c r="M53" s="1519" t="s">
        <v>3481</v>
      </c>
      <c r="N53" s="1518" t="s">
        <v>3480</v>
      </c>
      <c r="O53" s="1518"/>
      <c r="P53" s="1555">
        <v>0</v>
      </c>
      <c r="Q53" s="1556">
        <v>338.2</v>
      </c>
      <c r="R53" s="1555">
        <v>67.64</v>
      </c>
      <c r="S53" s="1555">
        <v>0</v>
      </c>
      <c r="T53" s="1555">
        <v>0</v>
      </c>
      <c r="U53" s="1556" t="s">
        <v>21</v>
      </c>
      <c r="V53" s="1555">
        <v>0</v>
      </c>
      <c r="W53" s="1556">
        <v>338.2</v>
      </c>
    </row>
    <row r="54" spans="1:23" ht="12.75" x14ac:dyDescent="0.2">
      <c r="A54" s="1527" t="s">
        <v>1759</v>
      </c>
      <c r="B54" s="1526">
        <v>62.34</v>
      </c>
      <c r="C54" s="1526">
        <v>5</v>
      </c>
      <c r="D54" s="1525">
        <v>0</v>
      </c>
      <c r="E54" s="1524">
        <v>401.46960000000007</v>
      </c>
      <c r="F54" s="1523">
        <v>107.41</v>
      </c>
      <c r="G54" s="1520">
        <v>0.32</v>
      </c>
      <c r="H54" s="1520">
        <v>124.68</v>
      </c>
      <c r="I54" s="1522">
        <v>0.08</v>
      </c>
      <c r="J54" s="1521">
        <v>0</v>
      </c>
      <c r="K54" s="1521">
        <v>0.2</v>
      </c>
      <c r="L54" s="1520">
        <v>0</v>
      </c>
      <c r="M54" s="1519" t="s">
        <v>3481</v>
      </c>
      <c r="N54" s="1518" t="s">
        <v>3480</v>
      </c>
      <c r="O54" s="1518"/>
      <c r="P54" s="1555">
        <v>0</v>
      </c>
      <c r="Q54" s="1556">
        <v>311.70000000000005</v>
      </c>
      <c r="R54" s="1555">
        <v>62.340000000000011</v>
      </c>
      <c r="S54" s="1555">
        <v>0</v>
      </c>
      <c r="T54" s="1555">
        <v>0</v>
      </c>
      <c r="U54" s="1556" t="s">
        <v>21</v>
      </c>
      <c r="V54" s="1555">
        <v>0</v>
      </c>
      <c r="W54" s="1556">
        <v>311.70000000000005</v>
      </c>
    </row>
    <row r="55" spans="1:23" ht="12.75" x14ac:dyDescent="0.2">
      <c r="A55" s="1527" t="s">
        <v>1758</v>
      </c>
      <c r="B55" s="1526">
        <v>61.05</v>
      </c>
      <c r="C55" s="1526">
        <v>5</v>
      </c>
      <c r="D55" s="1525">
        <v>0</v>
      </c>
      <c r="E55" s="1524">
        <v>393.16199999999998</v>
      </c>
      <c r="F55" s="1523">
        <v>112.42</v>
      </c>
      <c r="G55" s="1520">
        <v>11.97</v>
      </c>
      <c r="H55" s="1520">
        <v>122.1</v>
      </c>
      <c r="I55" s="1522">
        <v>0.08</v>
      </c>
      <c r="J55" s="1521">
        <v>0</v>
      </c>
      <c r="K55" s="1521">
        <v>0.2</v>
      </c>
      <c r="L55" s="1520">
        <v>146.51999999999998</v>
      </c>
      <c r="M55" s="1519" t="s">
        <v>3481</v>
      </c>
      <c r="N55" s="1518" t="s">
        <v>3480</v>
      </c>
      <c r="O55" s="1518"/>
      <c r="P55" s="1555">
        <v>0</v>
      </c>
      <c r="Q55" s="1556">
        <v>305.25</v>
      </c>
      <c r="R55" s="1555">
        <v>61.050000000000004</v>
      </c>
      <c r="S55" s="1555">
        <v>0</v>
      </c>
      <c r="T55" s="1555">
        <v>0</v>
      </c>
      <c r="U55" s="1556" t="s">
        <v>21</v>
      </c>
      <c r="V55" s="1555">
        <v>0</v>
      </c>
      <c r="W55" s="1556">
        <v>305.25</v>
      </c>
    </row>
    <row r="56" spans="1:23" ht="12.75" x14ac:dyDescent="0.2">
      <c r="A56" s="1527" t="s">
        <v>1757</v>
      </c>
      <c r="B56" s="1526">
        <v>56.93</v>
      </c>
      <c r="C56" s="1526">
        <v>4.4000000000000004</v>
      </c>
      <c r="D56" s="1525">
        <v>0</v>
      </c>
      <c r="E56" s="1524">
        <v>332.47120000000007</v>
      </c>
      <c r="F56" s="1523">
        <v>94.96</v>
      </c>
      <c r="G56" s="1520">
        <v>0.75</v>
      </c>
      <c r="H56" s="1520">
        <v>113.86</v>
      </c>
      <c r="I56" s="1522">
        <v>0.08</v>
      </c>
      <c r="J56" s="1521">
        <v>0</v>
      </c>
      <c r="K56" s="1521">
        <v>0.2</v>
      </c>
      <c r="L56" s="1520">
        <v>0</v>
      </c>
      <c r="M56" s="1519" t="s">
        <v>3481</v>
      </c>
      <c r="N56" s="1518" t="s">
        <v>3480</v>
      </c>
      <c r="O56" s="1518"/>
      <c r="P56" s="1555">
        <v>0</v>
      </c>
      <c r="Q56" s="1556">
        <v>250.49200000000002</v>
      </c>
      <c r="R56" s="1555">
        <v>50.098400000000005</v>
      </c>
      <c r="S56" s="1555">
        <v>0</v>
      </c>
      <c r="T56" s="1555">
        <v>0</v>
      </c>
      <c r="U56" s="1556" t="s">
        <v>21</v>
      </c>
      <c r="V56" s="1555">
        <v>0</v>
      </c>
      <c r="W56" s="1556">
        <v>250.49200000000002</v>
      </c>
    </row>
    <row r="57" spans="1:23" ht="12.75" x14ac:dyDescent="0.2">
      <c r="A57" s="2174" t="s">
        <v>1756</v>
      </c>
      <c r="B57" s="1526">
        <v>33.78</v>
      </c>
      <c r="C57" s="1526">
        <v>5</v>
      </c>
      <c r="D57" s="1525">
        <v>0</v>
      </c>
      <c r="E57" s="1524">
        <v>217.54320000000001</v>
      </c>
      <c r="F57" s="2175">
        <v>112.73</v>
      </c>
      <c r="G57" s="2206">
        <v>0</v>
      </c>
      <c r="H57" s="1520">
        <v>67.56</v>
      </c>
      <c r="I57" s="1522">
        <v>0.08</v>
      </c>
      <c r="J57" s="1521">
        <v>0</v>
      </c>
      <c r="K57" s="1521">
        <v>0.2</v>
      </c>
      <c r="L57" s="1520">
        <v>0</v>
      </c>
      <c r="M57" s="1519" t="s">
        <v>3481</v>
      </c>
      <c r="N57" s="1589" t="s">
        <v>3480</v>
      </c>
      <c r="O57" s="1518"/>
      <c r="P57" s="1555">
        <v>0</v>
      </c>
      <c r="Q57" s="1556">
        <v>168.9</v>
      </c>
      <c r="R57" s="1555">
        <v>33.78</v>
      </c>
      <c r="S57" s="1555">
        <v>0</v>
      </c>
      <c r="T57" s="1555">
        <v>0</v>
      </c>
      <c r="U57" s="1556" t="s">
        <v>21</v>
      </c>
      <c r="V57" s="1555">
        <v>0</v>
      </c>
      <c r="W57" s="1556">
        <v>168.9</v>
      </c>
    </row>
    <row r="58" spans="1:23" ht="12.75" x14ac:dyDescent="0.2">
      <c r="A58" s="2174"/>
      <c r="B58" s="1526">
        <v>15.09</v>
      </c>
      <c r="C58" s="1526">
        <v>10</v>
      </c>
      <c r="D58" s="1525">
        <v>0</v>
      </c>
      <c r="E58" s="1524">
        <v>172.62960000000001</v>
      </c>
      <c r="F58" s="2175"/>
      <c r="G58" s="2206"/>
      <c r="H58" s="1520">
        <v>30.18</v>
      </c>
      <c r="I58" s="1522">
        <v>0.08</v>
      </c>
      <c r="J58" s="1521">
        <v>0</v>
      </c>
      <c r="K58" s="1521">
        <v>0.2</v>
      </c>
      <c r="L58" s="1520">
        <v>0</v>
      </c>
      <c r="M58" s="1519" t="s">
        <v>3481</v>
      </c>
      <c r="N58" s="1589" t="s">
        <v>3480</v>
      </c>
      <c r="O58" s="1518"/>
      <c r="P58" s="1555">
        <v>0</v>
      </c>
      <c r="Q58" s="1556">
        <v>150.9</v>
      </c>
      <c r="R58" s="1555">
        <v>30.180000000000003</v>
      </c>
      <c r="S58" s="1555">
        <v>0</v>
      </c>
      <c r="T58" s="1555">
        <v>0</v>
      </c>
      <c r="U58" s="1556" t="s">
        <v>21</v>
      </c>
      <c r="V58" s="1555">
        <v>0</v>
      </c>
      <c r="W58" s="1556">
        <v>150.9</v>
      </c>
    </row>
    <row r="59" spans="1:23" ht="12.75" x14ac:dyDescent="0.2">
      <c r="A59" s="1527" t="s">
        <v>1755</v>
      </c>
      <c r="B59" s="1526">
        <v>42.73</v>
      </c>
      <c r="C59" s="1526">
        <v>5</v>
      </c>
      <c r="D59" s="1525">
        <v>0</v>
      </c>
      <c r="E59" s="1524">
        <v>275.18119999999999</v>
      </c>
      <c r="F59" s="1523">
        <v>83.51</v>
      </c>
      <c r="G59" s="1520">
        <v>3.74</v>
      </c>
      <c r="H59" s="1520">
        <v>85.46</v>
      </c>
      <c r="I59" s="1522">
        <v>0.08</v>
      </c>
      <c r="J59" s="1521">
        <v>0</v>
      </c>
      <c r="K59" s="1521">
        <v>0.2</v>
      </c>
      <c r="L59" s="1520">
        <v>102.55199999999999</v>
      </c>
      <c r="M59" s="1519" t="s">
        <v>3481</v>
      </c>
      <c r="N59" s="1518" t="s">
        <v>3480</v>
      </c>
      <c r="O59" s="1518"/>
      <c r="P59" s="1555">
        <v>0</v>
      </c>
      <c r="Q59" s="1556">
        <v>213.64999999999998</v>
      </c>
      <c r="R59" s="1555">
        <v>42.73</v>
      </c>
      <c r="S59" s="1555">
        <v>0</v>
      </c>
      <c r="T59" s="1555">
        <v>0</v>
      </c>
      <c r="U59" s="1556" t="s">
        <v>21</v>
      </c>
      <c r="V59" s="1555">
        <v>0</v>
      </c>
      <c r="W59" s="1556">
        <v>213.64999999999998</v>
      </c>
    </row>
    <row r="60" spans="1:23" ht="12.75" x14ac:dyDescent="0.2">
      <c r="A60" s="1527" t="s">
        <v>1754</v>
      </c>
      <c r="B60" s="1526">
        <v>56.12</v>
      </c>
      <c r="C60" s="1526">
        <v>5</v>
      </c>
      <c r="D60" s="1525">
        <v>0</v>
      </c>
      <c r="E60" s="1524">
        <v>361.4128</v>
      </c>
      <c r="F60" s="1523">
        <v>111.34</v>
      </c>
      <c r="G60" s="1520">
        <v>0.01</v>
      </c>
      <c r="H60" s="1520">
        <v>112.24</v>
      </c>
      <c r="I60" s="1522">
        <v>0.08</v>
      </c>
      <c r="J60" s="1521">
        <v>0</v>
      </c>
      <c r="K60" s="1521">
        <v>0.2</v>
      </c>
      <c r="L60" s="1520">
        <v>0</v>
      </c>
      <c r="M60" s="1519" t="s">
        <v>3481</v>
      </c>
      <c r="N60" s="1518" t="s">
        <v>3480</v>
      </c>
      <c r="O60" s="1518"/>
      <c r="P60" s="1555">
        <v>0</v>
      </c>
      <c r="Q60" s="1556">
        <v>280.59999999999997</v>
      </c>
      <c r="R60" s="1555">
        <v>56.12</v>
      </c>
      <c r="S60" s="1555">
        <v>0</v>
      </c>
      <c r="T60" s="1555">
        <v>0</v>
      </c>
      <c r="U60" s="1556" t="s">
        <v>21</v>
      </c>
      <c r="V60" s="1555">
        <v>0</v>
      </c>
      <c r="W60" s="1556">
        <v>280.59999999999997</v>
      </c>
    </row>
    <row r="61" spans="1:23" ht="12.75" x14ac:dyDescent="0.2">
      <c r="A61" s="1527" t="s">
        <v>1753</v>
      </c>
      <c r="B61" s="1526">
        <v>113.74</v>
      </c>
      <c r="C61" s="1526">
        <v>5</v>
      </c>
      <c r="D61" s="1525">
        <v>0</v>
      </c>
      <c r="E61" s="1524">
        <v>732.48559999999998</v>
      </c>
      <c r="F61" s="1523">
        <v>425.53</v>
      </c>
      <c r="G61" s="1520">
        <v>56.88</v>
      </c>
      <c r="H61" s="1520">
        <v>227.48</v>
      </c>
      <c r="I61" s="1522">
        <v>0.08</v>
      </c>
      <c r="J61" s="1521">
        <v>0</v>
      </c>
      <c r="K61" s="1521">
        <v>0.2</v>
      </c>
      <c r="L61" s="1520">
        <v>272.976</v>
      </c>
      <c r="M61" s="1519" t="s">
        <v>3481</v>
      </c>
      <c r="N61" s="1518" t="s">
        <v>3480</v>
      </c>
      <c r="O61" s="1518"/>
      <c r="P61" s="1555">
        <v>0</v>
      </c>
      <c r="Q61" s="1556">
        <v>568.69999999999993</v>
      </c>
      <c r="R61" s="1555">
        <v>113.74</v>
      </c>
      <c r="S61" s="1555">
        <v>0</v>
      </c>
      <c r="T61" s="1555">
        <v>0</v>
      </c>
      <c r="U61" s="1556" t="s">
        <v>21</v>
      </c>
      <c r="V61" s="1555">
        <v>0</v>
      </c>
      <c r="W61" s="1556">
        <v>568.69999999999993</v>
      </c>
    </row>
    <row r="62" spans="1:23" ht="12.75" x14ac:dyDescent="0.2">
      <c r="A62" s="1527" t="s">
        <v>1752</v>
      </c>
      <c r="B62" s="1526">
        <v>91.8</v>
      </c>
      <c r="C62" s="1526">
        <v>5</v>
      </c>
      <c r="D62" s="1525">
        <v>0</v>
      </c>
      <c r="E62" s="1524">
        <v>591.19200000000001</v>
      </c>
      <c r="F62" s="1523">
        <v>171.06</v>
      </c>
      <c r="G62" s="1520">
        <v>10.87</v>
      </c>
      <c r="H62" s="1520">
        <v>183.6</v>
      </c>
      <c r="I62" s="1522">
        <v>0.08</v>
      </c>
      <c r="J62" s="1521">
        <v>0</v>
      </c>
      <c r="K62" s="1521">
        <v>0.2</v>
      </c>
      <c r="L62" s="1520">
        <v>220.32</v>
      </c>
      <c r="M62" s="1519" t="s">
        <v>3481</v>
      </c>
      <c r="N62" s="1518" t="s">
        <v>3480</v>
      </c>
      <c r="O62" s="1518"/>
      <c r="P62" s="1555">
        <v>0</v>
      </c>
      <c r="Q62" s="1556">
        <v>459</v>
      </c>
      <c r="R62" s="1555">
        <v>91.800000000000011</v>
      </c>
      <c r="S62" s="1555">
        <v>0</v>
      </c>
      <c r="T62" s="1555">
        <v>0</v>
      </c>
      <c r="U62" s="1556" t="s">
        <v>21</v>
      </c>
      <c r="V62" s="1555">
        <v>0</v>
      </c>
      <c r="W62" s="1556">
        <v>459</v>
      </c>
    </row>
    <row r="63" spans="1:23" ht="12.75" x14ac:dyDescent="0.2">
      <c r="A63" s="1527" t="s">
        <v>1751</v>
      </c>
      <c r="B63" s="1526">
        <v>82.43</v>
      </c>
      <c r="C63" s="1526">
        <v>5</v>
      </c>
      <c r="D63" s="1525">
        <v>0</v>
      </c>
      <c r="E63" s="1524">
        <v>530.84920000000011</v>
      </c>
      <c r="F63" s="1523">
        <v>302.39</v>
      </c>
      <c r="G63" s="1520">
        <v>0.76</v>
      </c>
      <c r="H63" s="1520">
        <v>164.86</v>
      </c>
      <c r="I63" s="1522">
        <v>0.08</v>
      </c>
      <c r="J63" s="1521">
        <v>0</v>
      </c>
      <c r="K63" s="1521">
        <v>0.2</v>
      </c>
      <c r="L63" s="1520">
        <v>0</v>
      </c>
      <c r="M63" s="1519" t="s">
        <v>3481</v>
      </c>
      <c r="N63" s="1518" t="s">
        <v>3480</v>
      </c>
      <c r="O63" s="1518"/>
      <c r="P63" s="1555">
        <v>0</v>
      </c>
      <c r="Q63" s="1556">
        <v>412.15000000000003</v>
      </c>
      <c r="R63" s="1555">
        <v>82.43</v>
      </c>
      <c r="S63" s="1555">
        <v>0</v>
      </c>
      <c r="T63" s="1555">
        <v>0</v>
      </c>
      <c r="U63" s="1556" t="s">
        <v>21</v>
      </c>
      <c r="V63" s="1555">
        <v>0</v>
      </c>
      <c r="W63" s="1556">
        <v>412.15000000000003</v>
      </c>
    </row>
    <row r="64" spans="1:23" ht="13.5" thickBot="1" x14ac:dyDescent="0.25">
      <c r="A64" s="1517" t="s">
        <v>17</v>
      </c>
      <c r="B64" s="1201">
        <v>6877.3300000000008</v>
      </c>
      <c r="C64" s="1201"/>
      <c r="D64" s="1516">
        <v>0</v>
      </c>
      <c r="E64" s="1202">
        <v>48004.373699999996</v>
      </c>
      <c r="F64" s="1203">
        <v>16101.110000000002</v>
      </c>
      <c r="G64" s="1204">
        <v>1680.0600000000004</v>
      </c>
      <c r="H64" s="1204">
        <v>13754.660000000002</v>
      </c>
      <c r="I64" s="1515"/>
      <c r="J64" s="1514"/>
      <c r="K64" s="1514"/>
      <c r="L64" s="1723">
        <v>10029.767999999998</v>
      </c>
      <c r="M64" s="1513"/>
      <c r="N64" s="1512"/>
      <c r="O64" s="1512"/>
      <c r="P64" s="1730">
        <v>0</v>
      </c>
      <c r="Q64" s="1731">
        <v>37017.407999999989</v>
      </c>
      <c r="R64" s="1730">
        <v>7403.481600000001</v>
      </c>
      <c r="S64" s="1730">
        <v>2694.9732000000004</v>
      </c>
      <c r="T64" s="1730">
        <v>12998.642000000002</v>
      </c>
      <c r="U64" s="1731">
        <v>12998.642000000002</v>
      </c>
      <c r="V64" s="1730">
        <v>714.92530999999997</v>
      </c>
      <c r="W64" s="1731">
        <v>24018.766</v>
      </c>
    </row>
    <row r="65" spans="1:23" ht="12.75" x14ac:dyDescent="0.2">
      <c r="A65" s="1511"/>
      <c r="B65" s="1509"/>
      <c r="C65" s="1511"/>
      <c r="D65" s="1511"/>
      <c r="E65" s="1509"/>
      <c r="F65" s="1510"/>
      <c r="G65" s="1509"/>
      <c r="H65" s="1507"/>
      <c r="I65" s="1508"/>
      <c r="J65" s="1507"/>
      <c r="K65" s="1506"/>
      <c r="L65" s="1506"/>
      <c r="M65" s="1506"/>
      <c r="N65" s="1506"/>
      <c r="O65" s="1506"/>
      <c r="P65" s="1732"/>
      <c r="Q65" s="1733"/>
      <c r="R65" s="1732"/>
      <c r="S65" s="1732"/>
      <c r="T65" s="1732"/>
      <c r="U65" s="1733"/>
      <c r="V65" s="1732"/>
      <c r="W65" s="1733"/>
    </row>
    <row r="66" spans="1:23" ht="12.75" x14ac:dyDescent="0.2">
      <c r="A66" s="1511"/>
      <c r="B66" s="1509"/>
      <c r="C66" s="1511"/>
      <c r="D66" s="1511"/>
      <c r="E66" s="1509"/>
      <c r="F66" s="1510"/>
      <c r="G66" s="1509"/>
      <c r="H66" s="1507"/>
      <c r="I66" s="1508"/>
      <c r="J66" s="1507"/>
      <c r="K66" s="1506"/>
      <c r="L66" s="1506"/>
      <c r="M66" s="1506"/>
      <c r="N66" s="1506"/>
      <c r="O66" s="1583" t="s">
        <v>3498</v>
      </c>
      <c r="P66" s="1732"/>
      <c r="Q66" s="1733"/>
      <c r="R66" s="1732"/>
      <c r="S66" s="1732"/>
      <c r="T66" s="1732"/>
      <c r="U66" s="1733"/>
      <c r="V66" s="1732"/>
      <c r="W66" s="1733"/>
    </row>
    <row r="67" spans="1:23" ht="12.75" x14ac:dyDescent="0.2">
      <c r="A67" s="1511"/>
      <c r="B67" s="1509"/>
      <c r="C67" s="1511"/>
      <c r="D67" s="1511"/>
      <c r="E67" s="1509"/>
      <c r="F67" s="1510"/>
      <c r="G67" s="1509"/>
      <c r="H67" s="1507"/>
      <c r="I67" s="1508"/>
      <c r="J67" s="1507"/>
      <c r="K67" s="1506"/>
      <c r="L67" s="1506"/>
      <c r="M67" s="1506"/>
      <c r="N67" s="1506"/>
      <c r="O67" s="1584" t="s">
        <v>3212</v>
      </c>
      <c r="P67" s="1732">
        <v>0</v>
      </c>
      <c r="Q67" s="1733">
        <v>0</v>
      </c>
      <c r="R67" s="1732">
        <v>0</v>
      </c>
      <c r="S67" s="1732">
        <v>0</v>
      </c>
      <c r="T67" s="1732">
        <v>0</v>
      </c>
      <c r="U67" s="1733">
        <v>0</v>
      </c>
      <c r="V67" s="1732">
        <v>0</v>
      </c>
      <c r="W67" s="1733">
        <v>0</v>
      </c>
    </row>
    <row r="68" spans="1:23" ht="12.75" x14ac:dyDescent="0.2">
      <c r="A68" s="1511"/>
      <c r="B68" s="1509"/>
      <c r="C68" s="1511"/>
      <c r="D68" s="1511"/>
      <c r="E68" s="1509"/>
      <c r="F68" s="1510"/>
      <c r="G68" s="1509"/>
      <c r="H68" s="1507"/>
      <c r="I68" s="1508"/>
      <c r="J68" s="1507"/>
      <c r="K68" s="1506"/>
      <c r="L68" s="1506"/>
      <c r="M68" s="1506"/>
      <c r="N68" s="1506"/>
      <c r="O68" s="1584" t="s">
        <v>3213</v>
      </c>
      <c r="P68" s="1732">
        <v>0</v>
      </c>
      <c r="Q68" s="1733">
        <v>12998.642000000002</v>
      </c>
      <c r="R68" s="1732">
        <v>2599.7284000000004</v>
      </c>
      <c r="S68" s="1732">
        <v>2599.7284000000004</v>
      </c>
      <c r="T68" s="1732">
        <v>12998.642000000002</v>
      </c>
      <c r="U68" s="1733">
        <v>12998.642000000002</v>
      </c>
      <c r="V68" s="1732">
        <v>714.92530999999997</v>
      </c>
      <c r="W68" s="1733">
        <v>0</v>
      </c>
    </row>
    <row r="69" spans="1:23" ht="12.75" x14ac:dyDescent="0.2">
      <c r="A69" s="1511"/>
      <c r="B69" s="1509"/>
      <c r="C69" s="1511"/>
      <c r="D69" s="1511"/>
      <c r="E69" s="1509"/>
      <c r="F69" s="1510"/>
      <c r="G69" s="1509"/>
      <c r="H69" s="1507"/>
      <c r="I69" s="1508"/>
      <c r="J69" s="1507"/>
      <c r="K69" s="1506"/>
      <c r="L69" s="1506"/>
      <c r="M69" s="1506"/>
      <c r="N69" s="1506"/>
      <c r="O69" s="1584" t="s">
        <v>3081</v>
      </c>
      <c r="P69" s="1732">
        <v>0</v>
      </c>
      <c r="Q69" s="1733">
        <v>24018.766</v>
      </c>
      <c r="R69" s="1732">
        <v>4803.7532000000001</v>
      </c>
      <c r="S69" s="1732">
        <v>95.244799999999998</v>
      </c>
      <c r="T69" s="1732">
        <v>0</v>
      </c>
      <c r="U69" s="1733">
        <v>0</v>
      </c>
      <c r="V69" s="1732">
        <v>0</v>
      </c>
      <c r="W69" s="1733">
        <v>24018.766</v>
      </c>
    </row>
    <row r="70" spans="1:23" ht="12.75" x14ac:dyDescent="0.2">
      <c r="A70" s="1511"/>
      <c r="B70" s="1509"/>
      <c r="C70" s="1511"/>
      <c r="D70" s="1511"/>
      <c r="E70" s="1509"/>
      <c r="F70" s="1510"/>
      <c r="G70" s="1509"/>
      <c r="H70" s="1507"/>
      <c r="I70" s="1508"/>
      <c r="J70" s="1507"/>
      <c r="K70" s="1506"/>
      <c r="L70" s="1506"/>
      <c r="M70" s="1506"/>
      <c r="N70" s="1506"/>
      <c r="O70" s="1554"/>
      <c r="P70" s="1730">
        <v>0</v>
      </c>
      <c r="Q70" s="1731">
        <v>37017.408000000003</v>
      </c>
      <c r="R70" s="1730">
        <v>7403.481600000001</v>
      </c>
      <c r="S70" s="1730">
        <v>2694.9732000000004</v>
      </c>
      <c r="T70" s="1730">
        <v>12998.642000000002</v>
      </c>
      <c r="U70" s="1731">
        <v>12998.642000000002</v>
      </c>
      <c r="V70" s="1730">
        <v>714.92530999999997</v>
      </c>
      <c r="W70" s="1731">
        <v>24018.766</v>
      </c>
    </row>
    <row r="71" spans="1:23" ht="12.75" x14ac:dyDescent="0.2">
      <c r="A71" s="1511"/>
      <c r="B71" s="1509"/>
      <c r="C71" s="1511"/>
      <c r="D71" s="1511"/>
      <c r="E71" s="1509"/>
      <c r="F71" s="1510"/>
      <c r="G71" s="1509"/>
      <c r="H71" s="1507"/>
      <c r="I71" s="1508"/>
      <c r="J71" s="1507"/>
      <c r="K71" s="1506"/>
      <c r="L71" s="1506"/>
      <c r="M71" s="1506"/>
      <c r="N71" s="1506"/>
      <c r="O71" s="1554"/>
      <c r="V71" s="1585">
        <v>1826.4911819880001</v>
      </c>
    </row>
  </sheetData>
  <autoFilter ref="A4:W64" xr:uid="{3880891D-35A8-433A-BC61-975EA789BF75}">
    <filterColumn colId="4" showButton="0"/>
    <filterColumn colId="5" showButton="0"/>
  </autoFilter>
  <mergeCells count="28">
    <mergeCell ref="U6:U7"/>
    <mergeCell ref="P6:P7"/>
    <mergeCell ref="Q6:Q7"/>
    <mergeCell ref="R6:R7"/>
    <mergeCell ref="S6:S7"/>
    <mergeCell ref="T6:T7"/>
    <mergeCell ref="E4:G4"/>
    <mergeCell ref="N4:N7"/>
    <mergeCell ref="L4:L6"/>
    <mergeCell ref="I4:I7"/>
    <mergeCell ref="J4:J7"/>
    <mergeCell ref="K4:K7"/>
    <mergeCell ref="A1:O1"/>
    <mergeCell ref="A2:O2"/>
    <mergeCell ref="A3:O3"/>
    <mergeCell ref="A57:A58"/>
    <mergeCell ref="F57:F58"/>
    <mergeCell ref="G57:G58"/>
    <mergeCell ref="L26:L27"/>
    <mergeCell ref="A26:A27"/>
    <mergeCell ref="O4:O7"/>
    <mergeCell ref="M5:M7"/>
    <mergeCell ref="F26:F27"/>
    <mergeCell ref="G26:G27"/>
    <mergeCell ref="A4:A7"/>
    <mergeCell ref="B4:B6"/>
    <mergeCell ref="C4:C6"/>
    <mergeCell ref="D4:D6"/>
  </mergeCells>
  <printOptions horizontalCentered="1"/>
  <pageMargins left="0.59055118110236227" right="0.59055118110236227" top="0.78740157480314965" bottom="0.78740157480314965" header="0.59055118110236227" footer="0.59055118110236227"/>
  <pageSetup paperSize="9" scale="61" fitToHeight="0" orientation="landscape"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F9D77-C418-4942-910D-46D6821195B1}">
  <sheetPr>
    <tabColor theme="2" tint="-0.749992370372631"/>
  </sheetPr>
  <dimension ref="A1:C3"/>
  <sheetViews>
    <sheetView workbookViewId="0">
      <selection sqref="A1:XFD1048576"/>
    </sheetView>
  </sheetViews>
  <sheetFormatPr defaultRowHeight="15" x14ac:dyDescent="0.25"/>
  <cols>
    <col min="2" max="2" width="15" customWidth="1"/>
    <col min="3" max="3" width="10.28515625" bestFit="1" customWidth="1"/>
  </cols>
  <sheetData>
    <row r="1" spans="1:3" ht="27" customHeight="1" x14ac:dyDescent="0.25">
      <c r="A1" s="1911"/>
      <c r="B1" s="1913" t="s">
        <v>4085</v>
      </c>
      <c r="C1" s="1912" t="s">
        <v>4084</v>
      </c>
    </row>
    <row r="2" spans="1:3" x14ac:dyDescent="0.25">
      <c r="A2" s="1911" t="s">
        <v>1717</v>
      </c>
      <c r="B2" s="1911">
        <v>105</v>
      </c>
      <c r="C2" s="1910">
        <v>1025.5119999999999</v>
      </c>
    </row>
    <row r="3" spans="1:3" x14ac:dyDescent="0.25">
      <c r="A3" s="1911" t="s">
        <v>1804</v>
      </c>
      <c r="B3" s="1911">
        <v>47</v>
      </c>
      <c r="C3" s="1910">
        <v>469.584</v>
      </c>
    </row>
  </sheetData>
  <pageMargins left="0.511811024" right="0.511811024" top="0.78740157499999996" bottom="0.78740157499999996" header="0.31496062000000002" footer="0.31496062000000002"/>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ACC88-3800-4FF2-8ACD-769610F75E4D}">
  <sheetPr>
    <tabColor theme="2" tint="-0.749992370372631"/>
  </sheetPr>
  <dimension ref="A1:I117"/>
  <sheetViews>
    <sheetView workbookViewId="0">
      <selection sqref="A1:XFD1048576"/>
    </sheetView>
  </sheetViews>
  <sheetFormatPr defaultColWidth="9.140625" defaultRowHeight="12" x14ac:dyDescent="0.25"/>
  <cols>
    <col min="1" max="1" width="8.7109375" style="1206" customWidth="1"/>
    <col min="2" max="2" width="50.7109375" style="1206" customWidth="1"/>
    <col min="3" max="3" width="10.7109375" style="1223" customWidth="1"/>
    <col min="4" max="4" width="11.42578125" style="1207" bestFit="1" customWidth="1"/>
    <col min="5" max="5" width="9.140625" style="1206"/>
    <col min="6" max="6" width="10.7109375" style="1223" customWidth="1"/>
    <col min="7" max="16384" width="9.140625" style="1206"/>
  </cols>
  <sheetData>
    <row r="1" spans="1:6" x14ac:dyDescent="0.25">
      <c r="A1" s="1205" t="s">
        <v>3215</v>
      </c>
    </row>
    <row r="2" spans="1:6" x14ac:dyDescent="0.25">
      <c r="A2" s="1206" t="s">
        <v>153</v>
      </c>
      <c r="B2" s="1205" t="s">
        <v>3216</v>
      </c>
    </row>
    <row r="3" spans="1:6" x14ac:dyDescent="0.25">
      <c r="A3" s="1206" t="s">
        <v>154</v>
      </c>
      <c r="B3" s="1205" t="s">
        <v>3217</v>
      </c>
    </row>
    <row r="4" spans="1:6" x14ac:dyDescent="0.25">
      <c r="A4" s="1206" t="s">
        <v>184</v>
      </c>
      <c r="B4" s="1205" t="s">
        <v>3479</v>
      </c>
    </row>
    <row r="5" spans="1:6" x14ac:dyDescent="0.25">
      <c r="A5" s="1228" t="s">
        <v>0</v>
      </c>
      <c r="B5" s="1228" t="s">
        <v>144</v>
      </c>
      <c r="C5" s="1228" t="s">
        <v>1732</v>
      </c>
      <c r="D5" s="1229" t="s">
        <v>449</v>
      </c>
      <c r="F5" s="1228" t="s">
        <v>3302</v>
      </c>
    </row>
    <row r="6" spans="1:6" x14ac:dyDescent="0.25">
      <c r="A6" s="1219">
        <v>1</v>
      </c>
      <c r="B6" s="1208" t="s">
        <v>3219</v>
      </c>
      <c r="C6" s="1224"/>
      <c r="D6" s="1209"/>
      <c r="F6" s="1224"/>
    </row>
    <row r="7" spans="1:6" x14ac:dyDescent="0.25">
      <c r="A7" s="1220" t="s">
        <v>3220</v>
      </c>
      <c r="B7" s="1210" t="s">
        <v>3221</v>
      </c>
      <c r="C7" s="1225"/>
      <c r="D7" s="1211"/>
      <c r="F7" s="1225"/>
    </row>
    <row r="8" spans="1:6" x14ac:dyDescent="0.25">
      <c r="A8" s="1221" t="s">
        <v>3222</v>
      </c>
      <c r="B8" s="1212" t="s">
        <v>3223</v>
      </c>
      <c r="C8" s="1222"/>
      <c r="D8" s="1214"/>
      <c r="F8" s="1222"/>
    </row>
    <row r="9" spans="1:6" x14ac:dyDescent="0.25">
      <c r="A9" s="1222"/>
      <c r="B9" s="1212" t="s">
        <v>3224</v>
      </c>
      <c r="C9" s="1221" t="s">
        <v>39</v>
      </c>
      <c r="D9" s="1215">
        <v>26</v>
      </c>
      <c r="F9" s="1221"/>
    </row>
    <row r="10" spans="1:6" x14ac:dyDescent="0.25">
      <c r="A10" s="1222"/>
      <c r="B10" s="1212" t="s">
        <v>3225</v>
      </c>
      <c r="C10" s="1221" t="s">
        <v>39</v>
      </c>
      <c r="D10" s="1215">
        <v>34</v>
      </c>
      <c r="F10" s="1221"/>
    </row>
    <row r="11" spans="1:6" s="1205" customFormat="1" x14ac:dyDescent="0.25">
      <c r="A11" s="1230"/>
      <c r="B11" s="1231"/>
      <c r="C11" s="1232" t="s">
        <v>3226</v>
      </c>
      <c r="D11" s="1216">
        <v>60</v>
      </c>
      <c r="F11" s="1232"/>
    </row>
    <row r="12" spans="1:6" x14ac:dyDescent="0.25">
      <c r="A12" s="1221" t="s">
        <v>3227</v>
      </c>
      <c r="B12" s="1212" t="s">
        <v>3228</v>
      </c>
      <c r="C12" s="1222"/>
      <c r="D12" s="1214"/>
      <c r="F12" s="1222"/>
    </row>
    <row r="13" spans="1:6" x14ac:dyDescent="0.25">
      <c r="A13" s="1221"/>
      <c r="B13" s="1212" t="s">
        <v>3224</v>
      </c>
      <c r="C13" s="1221" t="s">
        <v>26</v>
      </c>
      <c r="D13" s="1214">
        <v>208</v>
      </c>
      <c r="F13" s="1222"/>
    </row>
    <row r="14" spans="1:6" x14ac:dyDescent="0.25">
      <c r="A14" s="1221"/>
      <c r="B14" s="1212" t="s">
        <v>3225</v>
      </c>
      <c r="C14" s="1221" t="s">
        <v>26</v>
      </c>
      <c r="D14" s="1214">
        <v>208</v>
      </c>
      <c r="F14" s="1222"/>
    </row>
    <row r="15" spans="1:6" x14ac:dyDescent="0.25">
      <c r="A15" s="1221"/>
      <c r="B15" s="1212"/>
      <c r="C15" s="1222"/>
      <c r="D15" s="1214"/>
      <c r="F15" s="1222"/>
    </row>
    <row r="16" spans="1:6" x14ac:dyDescent="0.25">
      <c r="A16" s="1221" t="s">
        <v>3711</v>
      </c>
      <c r="B16" s="1212" t="s">
        <v>3712</v>
      </c>
      <c r="C16" s="1222"/>
      <c r="D16" s="1214"/>
      <c r="F16" s="1222"/>
    </row>
    <row r="17" spans="1:7" x14ac:dyDescent="0.25">
      <c r="A17" s="1221"/>
      <c r="B17" s="1212" t="s">
        <v>3224</v>
      </c>
      <c r="C17" s="1221" t="s">
        <v>26</v>
      </c>
      <c r="D17" s="1214">
        <v>0</v>
      </c>
      <c r="F17" s="1222"/>
    </row>
    <row r="18" spans="1:7" x14ac:dyDescent="0.25">
      <c r="A18" s="1221"/>
      <c r="B18" s="1212" t="s">
        <v>3225</v>
      </c>
      <c r="C18" s="1221" t="s">
        <v>26</v>
      </c>
      <c r="D18" s="1214">
        <v>342</v>
      </c>
      <c r="F18" s="1222"/>
    </row>
    <row r="19" spans="1:7" x14ac:dyDescent="0.25">
      <c r="A19" s="1221"/>
      <c r="B19" s="1212"/>
      <c r="C19" s="1222"/>
      <c r="D19" s="1214"/>
      <c r="F19" s="1222"/>
    </row>
    <row r="20" spans="1:7" x14ac:dyDescent="0.25">
      <c r="A20" s="1221" t="s">
        <v>3713</v>
      </c>
      <c r="B20" s="1212" t="s">
        <v>3714</v>
      </c>
      <c r="C20" s="1222"/>
      <c r="D20" s="1214"/>
      <c r="F20" s="1222"/>
    </row>
    <row r="21" spans="1:7" x14ac:dyDescent="0.25">
      <c r="A21" s="1222"/>
      <c r="B21" s="1212" t="s">
        <v>3224</v>
      </c>
      <c r="C21" s="1221" t="s">
        <v>26</v>
      </c>
      <c r="D21" s="1214">
        <v>230</v>
      </c>
      <c r="F21" s="1221">
        <v>100931</v>
      </c>
      <c r="G21" s="1206" t="s">
        <v>2726</v>
      </c>
    </row>
    <row r="22" spans="1:7" x14ac:dyDescent="0.25">
      <c r="A22" s="1222"/>
      <c r="B22" s="1212" t="s">
        <v>3225</v>
      </c>
      <c r="C22" s="1221" t="s">
        <v>26</v>
      </c>
      <c r="D22" s="1214">
        <v>0</v>
      </c>
      <c r="F22" s="1221"/>
    </row>
    <row r="23" spans="1:7" s="1205" customFormat="1" x14ac:dyDescent="0.25">
      <c r="A23" s="1230"/>
      <c r="B23" s="1231"/>
      <c r="C23" s="1232" t="s">
        <v>3226</v>
      </c>
      <c r="D23" s="1218">
        <v>988</v>
      </c>
      <c r="F23" s="1232"/>
    </row>
    <row r="24" spans="1:7" x14ac:dyDescent="0.25">
      <c r="A24" s="1219">
        <v>2</v>
      </c>
      <c r="B24" s="1208" t="s">
        <v>3229</v>
      </c>
      <c r="C24" s="1224"/>
      <c r="D24" s="1209"/>
      <c r="F24" s="1224"/>
    </row>
    <row r="25" spans="1:7" x14ac:dyDescent="0.25">
      <c r="A25" s="1220" t="s">
        <v>3230</v>
      </c>
      <c r="B25" s="1210" t="s">
        <v>3231</v>
      </c>
      <c r="C25" s="1226"/>
      <c r="D25" s="1211"/>
      <c r="F25" s="1226"/>
    </row>
    <row r="26" spans="1:7" x14ac:dyDescent="0.25">
      <c r="A26" s="1221" t="s">
        <v>3232</v>
      </c>
      <c r="B26" s="1212" t="s">
        <v>3233</v>
      </c>
      <c r="C26" s="1222"/>
      <c r="D26" s="1214"/>
      <c r="F26" s="1222"/>
    </row>
    <row r="27" spans="1:7" x14ac:dyDescent="0.25">
      <c r="A27" s="1222"/>
      <c r="B27" s="1212" t="s">
        <v>3234</v>
      </c>
      <c r="C27" s="1221" t="s">
        <v>28</v>
      </c>
      <c r="D27" s="1217">
        <v>55.4</v>
      </c>
      <c r="F27" s="1221">
        <v>96557</v>
      </c>
      <c r="G27" s="1206" t="s">
        <v>1865</v>
      </c>
    </row>
    <row r="28" spans="1:7" x14ac:dyDescent="0.25">
      <c r="A28" s="1222"/>
      <c r="B28" s="1212" t="s">
        <v>3235</v>
      </c>
      <c r="C28" s="1221" t="s">
        <v>28</v>
      </c>
      <c r="D28" s="1217">
        <v>66.3</v>
      </c>
      <c r="F28" s="1221"/>
    </row>
    <row r="29" spans="1:7" s="1205" customFormat="1" x14ac:dyDescent="0.25">
      <c r="A29" s="1230"/>
      <c r="B29" s="1231"/>
      <c r="C29" s="1232" t="s">
        <v>3226</v>
      </c>
      <c r="D29" s="1218">
        <v>121.7</v>
      </c>
      <c r="F29" s="1232"/>
    </row>
    <row r="30" spans="1:7" x14ac:dyDescent="0.25">
      <c r="A30" s="1221" t="s">
        <v>3236</v>
      </c>
      <c r="B30" s="1212" t="s">
        <v>3237</v>
      </c>
      <c r="C30" s="1222"/>
      <c r="D30" s="1214"/>
      <c r="F30" s="1222"/>
    </row>
    <row r="31" spans="1:7" x14ac:dyDescent="0.25">
      <c r="A31" s="1222"/>
      <c r="B31" s="1212" t="s">
        <v>3234</v>
      </c>
      <c r="C31" s="1221" t="s">
        <v>20</v>
      </c>
      <c r="D31" s="1217">
        <v>54.4</v>
      </c>
      <c r="F31" s="1221">
        <v>96534</v>
      </c>
      <c r="G31" s="1206" t="s">
        <v>1871</v>
      </c>
    </row>
    <row r="32" spans="1:7" x14ac:dyDescent="0.25">
      <c r="A32" s="1222"/>
      <c r="B32" s="1212" t="s">
        <v>3235</v>
      </c>
      <c r="C32" s="1221" t="s">
        <v>20</v>
      </c>
      <c r="D32" s="1217">
        <v>63</v>
      </c>
      <c r="F32" s="1221"/>
    </row>
    <row r="33" spans="1:7" s="1205" customFormat="1" x14ac:dyDescent="0.25">
      <c r="A33" s="1230"/>
      <c r="B33" s="1231"/>
      <c r="C33" s="1232" t="s">
        <v>3226</v>
      </c>
      <c r="D33" s="1218">
        <v>117.4</v>
      </c>
      <c r="F33" s="1232"/>
    </row>
    <row r="34" spans="1:7" x14ac:dyDescent="0.25">
      <c r="A34" s="1220" t="s">
        <v>3238</v>
      </c>
      <c r="B34" s="1210" t="s">
        <v>3239</v>
      </c>
      <c r="C34" s="1226"/>
      <c r="D34" s="1211"/>
      <c r="F34" s="1226"/>
    </row>
    <row r="35" spans="1:7" x14ac:dyDescent="0.25">
      <c r="A35" s="1221" t="s">
        <v>3240</v>
      </c>
      <c r="B35" s="1212" t="s">
        <v>3233</v>
      </c>
      <c r="C35" s="1222"/>
      <c r="D35" s="1214"/>
      <c r="F35" s="1222"/>
    </row>
    <row r="36" spans="1:7" x14ac:dyDescent="0.25">
      <c r="A36" s="1222"/>
      <c r="B36" s="1212" t="s">
        <v>3241</v>
      </c>
      <c r="C36" s="1221" t="s">
        <v>28</v>
      </c>
      <c r="D36" s="1217">
        <v>16</v>
      </c>
      <c r="F36" s="1221" t="s">
        <v>3304</v>
      </c>
      <c r="G36" s="1206" t="s">
        <v>3305</v>
      </c>
    </row>
    <row r="37" spans="1:7" x14ac:dyDescent="0.25">
      <c r="A37" s="1222"/>
      <c r="B37" s="1212" t="s">
        <v>3242</v>
      </c>
      <c r="C37" s="1221" t="s">
        <v>28</v>
      </c>
      <c r="D37" s="1217">
        <v>16</v>
      </c>
      <c r="F37" s="1221">
        <v>92874</v>
      </c>
      <c r="G37" s="1206" t="s">
        <v>3306</v>
      </c>
    </row>
    <row r="38" spans="1:7" s="1205" customFormat="1" x14ac:dyDescent="0.25">
      <c r="A38" s="1230"/>
      <c r="B38" s="1231"/>
      <c r="C38" s="1232" t="s">
        <v>3226</v>
      </c>
      <c r="D38" s="1218">
        <v>32</v>
      </c>
      <c r="F38" s="1232"/>
    </row>
    <row r="39" spans="1:7" x14ac:dyDescent="0.25">
      <c r="A39" s="1221" t="s">
        <v>3243</v>
      </c>
      <c r="B39" s="1212" t="s">
        <v>3237</v>
      </c>
      <c r="C39" s="1222"/>
      <c r="D39" s="1214"/>
      <c r="F39" s="1222"/>
    </row>
    <row r="40" spans="1:7" x14ac:dyDescent="0.25">
      <c r="A40" s="1222"/>
      <c r="B40" s="1212" t="s">
        <v>3241</v>
      </c>
      <c r="C40" s="1221" t="s">
        <v>20</v>
      </c>
      <c r="D40" s="1217">
        <v>10</v>
      </c>
      <c r="F40" s="1221">
        <v>97086</v>
      </c>
      <c r="G40" s="1206" t="s">
        <v>1871</v>
      </c>
    </row>
    <row r="41" spans="1:7" x14ac:dyDescent="0.25">
      <c r="A41" s="1222"/>
      <c r="B41" s="1212" t="s">
        <v>3242</v>
      </c>
      <c r="C41" s="1221" t="s">
        <v>20</v>
      </c>
      <c r="D41" s="1217">
        <v>10</v>
      </c>
      <c r="F41" s="1221"/>
    </row>
    <row r="42" spans="1:7" s="1205" customFormat="1" x14ac:dyDescent="0.25">
      <c r="A42" s="1230"/>
      <c r="B42" s="1231"/>
      <c r="C42" s="1232" t="s">
        <v>3226</v>
      </c>
      <c r="D42" s="1218">
        <v>20.100000000000001</v>
      </c>
      <c r="F42" s="1232"/>
    </row>
    <row r="43" spans="1:7" x14ac:dyDescent="0.25">
      <c r="A43" s="1219">
        <v>3</v>
      </c>
      <c r="B43" s="1208" t="s">
        <v>3244</v>
      </c>
      <c r="C43" s="1224"/>
      <c r="D43" s="1209"/>
      <c r="F43" s="1224"/>
    </row>
    <row r="44" spans="1:7" x14ac:dyDescent="0.25">
      <c r="A44" s="1220" t="s">
        <v>3245</v>
      </c>
      <c r="B44" s="1210" t="s">
        <v>1956</v>
      </c>
      <c r="C44" s="1225"/>
      <c r="D44" s="1211"/>
      <c r="F44" s="1225"/>
    </row>
    <row r="45" spans="1:7" x14ac:dyDescent="0.25">
      <c r="A45" s="1221" t="s">
        <v>3246</v>
      </c>
      <c r="B45" s="1212" t="s">
        <v>3233</v>
      </c>
      <c r="C45" s="1222"/>
      <c r="D45" s="1214"/>
      <c r="F45" s="1222"/>
    </row>
    <row r="46" spans="1:7" x14ac:dyDescent="0.25">
      <c r="A46" s="1222"/>
      <c r="B46" s="1212" t="s">
        <v>3247</v>
      </c>
      <c r="C46" s="1221" t="s">
        <v>28</v>
      </c>
      <c r="D46" s="1217">
        <v>1.5</v>
      </c>
      <c r="F46" s="1221" t="s">
        <v>3304</v>
      </c>
      <c r="G46" s="1206" t="s">
        <v>3305</v>
      </c>
    </row>
    <row r="47" spans="1:7" x14ac:dyDescent="0.25">
      <c r="A47" s="1222"/>
      <c r="B47" s="1212" t="s">
        <v>3248</v>
      </c>
      <c r="C47" s="1221" t="s">
        <v>28</v>
      </c>
      <c r="D47" s="1217">
        <v>1.5</v>
      </c>
      <c r="F47" s="1221">
        <v>92874</v>
      </c>
      <c r="G47" s="1206" t="s">
        <v>3306</v>
      </c>
    </row>
    <row r="48" spans="1:7" s="1205" customFormat="1" x14ac:dyDescent="0.25">
      <c r="A48" s="1230"/>
      <c r="B48" s="1231"/>
      <c r="C48" s="1232" t="s">
        <v>3226</v>
      </c>
      <c r="D48" s="1218">
        <v>2.9</v>
      </c>
      <c r="F48" s="1232"/>
    </row>
    <row r="49" spans="1:7" x14ac:dyDescent="0.25">
      <c r="A49" s="1221" t="s">
        <v>3249</v>
      </c>
      <c r="B49" s="1212" t="s">
        <v>3237</v>
      </c>
      <c r="C49" s="1222"/>
      <c r="D49" s="1214"/>
      <c r="F49" s="1222"/>
    </row>
    <row r="50" spans="1:7" x14ac:dyDescent="0.25">
      <c r="A50" s="1222"/>
      <c r="B50" s="1212" t="s">
        <v>3250</v>
      </c>
      <c r="C50" s="1221" t="s">
        <v>20</v>
      </c>
      <c r="D50" s="1217">
        <v>0.5</v>
      </c>
      <c r="F50" s="1221">
        <v>92427</v>
      </c>
      <c r="G50" s="1206" t="s">
        <v>1871</v>
      </c>
    </row>
    <row r="51" spans="1:7" x14ac:dyDescent="0.25">
      <c r="A51" s="1222"/>
      <c r="B51" s="1212" t="s">
        <v>3251</v>
      </c>
      <c r="C51" s="1221" t="s">
        <v>20</v>
      </c>
      <c r="D51" s="1217">
        <v>0.5</v>
      </c>
      <c r="F51" s="1221"/>
    </row>
    <row r="52" spans="1:7" s="1205" customFormat="1" x14ac:dyDescent="0.25">
      <c r="A52" s="1230"/>
      <c r="B52" s="1231"/>
      <c r="C52" s="1232" t="s">
        <v>3226</v>
      </c>
      <c r="D52" s="1218">
        <v>0.9</v>
      </c>
      <c r="F52" s="1232"/>
    </row>
    <row r="53" spans="1:7" x14ac:dyDescent="0.25">
      <c r="A53" s="1220" t="s">
        <v>3252</v>
      </c>
      <c r="B53" s="1210" t="s">
        <v>3253</v>
      </c>
      <c r="C53" s="1226"/>
      <c r="D53" s="1211"/>
      <c r="F53" s="1226"/>
    </row>
    <row r="54" spans="1:7" x14ac:dyDescent="0.25">
      <c r="A54" s="1221" t="s">
        <v>3254</v>
      </c>
      <c r="B54" s="1212" t="s">
        <v>3233</v>
      </c>
      <c r="C54" s="1222"/>
      <c r="D54" s="1214"/>
      <c r="F54" s="1222"/>
    </row>
    <row r="55" spans="1:7" x14ac:dyDescent="0.25">
      <c r="A55" s="1222"/>
      <c r="B55" s="1212" t="s">
        <v>3255</v>
      </c>
      <c r="C55" s="1221" t="s">
        <v>28</v>
      </c>
      <c r="D55" s="1217">
        <v>76</v>
      </c>
      <c r="F55" s="1221" t="s">
        <v>3304</v>
      </c>
      <c r="G55" s="1206" t="s">
        <v>3305</v>
      </c>
    </row>
    <row r="56" spans="1:7" x14ac:dyDescent="0.25">
      <c r="A56" s="1222"/>
      <c r="B56" s="1212" t="s">
        <v>3256</v>
      </c>
      <c r="C56" s="1221" t="s">
        <v>28</v>
      </c>
      <c r="D56" s="1217">
        <v>85</v>
      </c>
      <c r="F56" s="1221">
        <v>92874</v>
      </c>
      <c r="G56" s="1206" t="s">
        <v>3306</v>
      </c>
    </row>
    <row r="57" spans="1:7" s="1205" customFormat="1" x14ac:dyDescent="0.25">
      <c r="A57" s="1230"/>
      <c r="B57" s="1231"/>
      <c r="C57" s="1232" t="s">
        <v>3226</v>
      </c>
      <c r="D57" s="1218">
        <v>161</v>
      </c>
      <c r="F57" s="1232"/>
    </row>
    <row r="58" spans="1:7" x14ac:dyDescent="0.25">
      <c r="A58" s="1221" t="s">
        <v>3257</v>
      </c>
      <c r="B58" s="1212" t="s">
        <v>3237</v>
      </c>
      <c r="C58" s="1222"/>
      <c r="D58" s="1214"/>
      <c r="F58" s="1222"/>
    </row>
    <row r="59" spans="1:7" x14ac:dyDescent="0.25">
      <c r="A59" s="1222"/>
      <c r="B59" s="1212" t="s">
        <v>3255</v>
      </c>
      <c r="C59" s="1221" t="s">
        <v>20</v>
      </c>
      <c r="D59" s="1217">
        <v>312.39999999999998</v>
      </c>
      <c r="F59" s="1221">
        <v>100341</v>
      </c>
      <c r="G59" s="1206" t="s">
        <v>1871</v>
      </c>
    </row>
    <row r="60" spans="1:7" x14ac:dyDescent="0.25">
      <c r="A60" s="1222"/>
      <c r="B60" s="1212" t="s">
        <v>3256</v>
      </c>
      <c r="C60" s="1221" t="s">
        <v>20</v>
      </c>
      <c r="D60" s="1217">
        <v>358.5</v>
      </c>
      <c r="F60" s="1221"/>
    </row>
    <row r="61" spans="1:7" s="1205" customFormat="1" x14ac:dyDescent="0.25">
      <c r="A61" s="1230"/>
      <c r="B61" s="1231"/>
      <c r="C61" s="1232" t="s">
        <v>3226</v>
      </c>
      <c r="D61" s="1218">
        <v>670.9</v>
      </c>
      <c r="F61" s="1232"/>
    </row>
    <row r="62" spans="1:7" x14ac:dyDescent="0.25">
      <c r="A62" s="1220" t="s">
        <v>3258</v>
      </c>
      <c r="B62" s="1210" t="s">
        <v>3259</v>
      </c>
      <c r="C62" s="1226"/>
      <c r="D62" s="1211"/>
      <c r="F62" s="1226"/>
    </row>
    <row r="63" spans="1:7" x14ac:dyDescent="0.25">
      <c r="A63" s="1221" t="s">
        <v>3260</v>
      </c>
      <c r="B63" s="1212" t="s">
        <v>3223</v>
      </c>
      <c r="C63" s="1222"/>
      <c r="D63" s="1214"/>
      <c r="F63" s="1222"/>
    </row>
    <row r="64" spans="1:7" x14ac:dyDescent="0.25">
      <c r="A64" s="1222"/>
      <c r="B64" s="1212" t="s">
        <v>3261</v>
      </c>
      <c r="C64" s="1221" t="s">
        <v>39</v>
      </c>
      <c r="D64" s="1215">
        <v>4</v>
      </c>
      <c r="F64" s="1221"/>
    </row>
    <row r="65" spans="1:7" x14ac:dyDescent="0.25">
      <c r="A65" s="1222"/>
      <c r="B65" s="1212" t="s">
        <v>3262</v>
      </c>
      <c r="C65" s="1221" t="s">
        <v>39</v>
      </c>
      <c r="D65" s="1215">
        <v>6</v>
      </c>
      <c r="F65" s="1221"/>
    </row>
    <row r="66" spans="1:7" s="1205" customFormat="1" x14ac:dyDescent="0.25">
      <c r="A66" s="1230"/>
      <c r="B66" s="1231"/>
      <c r="C66" s="1232" t="s">
        <v>3226</v>
      </c>
      <c r="D66" s="1216">
        <v>10</v>
      </c>
      <c r="F66" s="1232"/>
    </row>
    <row r="67" spans="1:7" x14ac:dyDescent="0.25">
      <c r="A67" s="1221" t="s">
        <v>3263</v>
      </c>
      <c r="B67" s="1212" t="s">
        <v>3233</v>
      </c>
      <c r="C67" s="1222"/>
      <c r="D67" s="1214"/>
      <c r="F67" s="1222"/>
    </row>
    <row r="68" spans="1:7" x14ac:dyDescent="0.25">
      <c r="A68" s="1222"/>
      <c r="B68" s="1212" t="s">
        <v>3261</v>
      </c>
      <c r="C68" s="1221" t="s">
        <v>28</v>
      </c>
      <c r="D68" s="1217">
        <v>4.3</v>
      </c>
      <c r="F68" s="1221" t="s">
        <v>3304</v>
      </c>
      <c r="G68" s="1206" t="s">
        <v>3305</v>
      </c>
    </row>
    <row r="69" spans="1:7" x14ac:dyDescent="0.25">
      <c r="A69" s="1222"/>
      <c r="B69" s="1212" t="s">
        <v>3262</v>
      </c>
      <c r="C69" s="1221" t="s">
        <v>28</v>
      </c>
      <c r="D69" s="1217">
        <v>6.5</v>
      </c>
      <c r="F69" s="1221">
        <v>92874</v>
      </c>
      <c r="G69" s="1206" t="s">
        <v>3306</v>
      </c>
    </row>
    <row r="70" spans="1:7" s="1205" customFormat="1" x14ac:dyDescent="0.25">
      <c r="A70" s="1230"/>
      <c r="B70" s="1231"/>
      <c r="C70" s="1232" t="s">
        <v>3226</v>
      </c>
      <c r="D70" s="1218">
        <v>10.8</v>
      </c>
      <c r="F70" s="1232"/>
    </row>
    <row r="71" spans="1:7" x14ac:dyDescent="0.25">
      <c r="A71" s="1221" t="s">
        <v>3265</v>
      </c>
      <c r="B71" s="1212" t="s">
        <v>3237</v>
      </c>
      <c r="C71" s="1222"/>
      <c r="D71" s="1214"/>
      <c r="F71" s="1222"/>
    </row>
    <row r="72" spans="1:7" x14ac:dyDescent="0.25">
      <c r="A72" s="1222"/>
      <c r="B72" s="1212" t="s">
        <v>3261</v>
      </c>
      <c r="C72" s="1221" t="s">
        <v>20</v>
      </c>
      <c r="D72" s="1217">
        <v>33.799999999999997</v>
      </c>
      <c r="F72" s="1221">
        <v>100341</v>
      </c>
      <c r="G72" s="1206" t="s">
        <v>1871</v>
      </c>
    </row>
    <row r="73" spans="1:7" x14ac:dyDescent="0.25">
      <c r="A73" s="1222"/>
      <c r="B73" s="1212" t="s">
        <v>3262</v>
      </c>
      <c r="C73" s="1221" t="s">
        <v>20</v>
      </c>
      <c r="D73" s="1217">
        <v>50.6</v>
      </c>
      <c r="F73" s="1221"/>
    </row>
    <row r="74" spans="1:7" s="1205" customFormat="1" x14ac:dyDescent="0.25">
      <c r="A74" s="1230"/>
      <c r="B74" s="1231"/>
      <c r="C74" s="1232" t="s">
        <v>3226</v>
      </c>
      <c r="D74" s="1218">
        <v>84.4</v>
      </c>
      <c r="F74" s="1232"/>
    </row>
    <row r="75" spans="1:7" x14ac:dyDescent="0.25">
      <c r="A75" s="1219">
        <v>4</v>
      </c>
      <c r="B75" s="1208" t="s">
        <v>1883</v>
      </c>
      <c r="C75" s="1224"/>
      <c r="D75" s="1209"/>
      <c r="F75" s="1224"/>
    </row>
    <row r="76" spans="1:7" x14ac:dyDescent="0.25">
      <c r="A76" s="1220" t="s">
        <v>3266</v>
      </c>
      <c r="B76" s="1210" t="s">
        <v>1954</v>
      </c>
      <c r="C76" s="1226"/>
      <c r="D76" s="1211"/>
      <c r="F76" s="1226"/>
    </row>
    <row r="77" spans="1:7" x14ac:dyDescent="0.25">
      <c r="A77" s="1221" t="s">
        <v>3267</v>
      </c>
      <c r="B77" s="1212" t="s">
        <v>3233</v>
      </c>
      <c r="C77" s="1222"/>
      <c r="D77" s="1214"/>
      <c r="F77" s="1222"/>
    </row>
    <row r="78" spans="1:7" x14ac:dyDescent="0.25">
      <c r="A78" s="1222"/>
      <c r="B78" s="1213"/>
      <c r="C78" s="1221" t="s">
        <v>28</v>
      </c>
      <c r="D78" s="1217">
        <v>160</v>
      </c>
      <c r="F78" s="1221" t="s">
        <v>3304</v>
      </c>
      <c r="G78" s="1206" t="s">
        <v>3305</v>
      </c>
    </row>
    <row r="79" spans="1:7" s="1205" customFormat="1" x14ac:dyDescent="0.25">
      <c r="A79" s="1230"/>
      <c r="B79" s="1231"/>
      <c r="C79" s="1232" t="s">
        <v>3226</v>
      </c>
      <c r="D79" s="1218">
        <v>160</v>
      </c>
      <c r="F79" s="1221">
        <v>92874</v>
      </c>
      <c r="G79" s="1206" t="s">
        <v>3306</v>
      </c>
    </row>
    <row r="80" spans="1:7" x14ac:dyDescent="0.25">
      <c r="A80" s="1221" t="s">
        <v>3268</v>
      </c>
      <c r="B80" s="1212" t="s">
        <v>3237</v>
      </c>
      <c r="C80" s="1222"/>
      <c r="D80" s="1214"/>
      <c r="F80" s="1222"/>
    </row>
    <row r="81" spans="1:9" x14ac:dyDescent="0.25">
      <c r="A81" s="1222"/>
      <c r="B81" s="1213"/>
      <c r="C81" s="1221" t="s">
        <v>20</v>
      </c>
      <c r="D81" s="1217">
        <v>254.1</v>
      </c>
      <c r="F81" s="1221">
        <v>92508</v>
      </c>
      <c r="G81" s="1206" t="s">
        <v>1871</v>
      </c>
    </row>
    <row r="82" spans="1:9" s="1205" customFormat="1" x14ac:dyDescent="0.25">
      <c r="A82" s="1230"/>
      <c r="B82" s="1231"/>
      <c r="C82" s="1232" t="s">
        <v>3226</v>
      </c>
      <c r="D82" s="1218">
        <v>254.1</v>
      </c>
      <c r="F82" s="1232"/>
    </row>
    <row r="83" spans="1:9" x14ac:dyDescent="0.25">
      <c r="A83" s="1220" t="s">
        <v>3269</v>
      </c>
      <c r="B83" s="1210" t="s">
        <v>1955</v>
      </c>
      <c r="C83" s="1226"/>
      <c r="D83" s="1211"/>
      <c r="F83" s="1226"/>
    </row>
    <row r="84" spans="1:9" x14ac:dyDescent="0.25">
      <c r="A84" s="1221" t="s">
        <v>3270</v>
      </c>
      <c r="B84" s="1212" t="s">
        <v>3233</v>
      </c>
      <c r="C84" s="1221" t="s">
        <v>28</v>
      </c>
      <c r="D84" s="1218">
        <v>6.9</v>
      </c>
      <c r="F84" s="1221" t="s">
        <v>3304</v>
      </c>
      <c r="G84" s="1206" t="s">
        <v>3305</v>
      </c>
      <c r="H84" s="1221">
        <v>92874</v>
      </c>
      <c r="I84" s="1206" t="s">
        <v>3306</v>
      </c>
    </row>
    <row r="85" spans="1:9" x14ac:dyDescent="0.25">
      <c r="A85" s="1221" t="s">
        <v>3271</v>
      </c>
      <c r="B85" s="1212" t="s">
        <v>3237</v>
      </c>
      <c r="C85" s="1221" t="s">
        <v>20</v>
      </c>
      <c r="D85" s="1218">
        <v>28.1</v>
      </c>
      <c r="F85" s="1221">
        <v>100341</v>
      </c>
      <c r="G85" s="1206" t="s">
        <v>1871</v>
      </c>
    </row>
    <row r="86" spans="1:9" x14ac:dyDescent="0.25">
      <c r="A86" s="1220" t="s">
        <v>3264</v>
      </c>
      <c r="B86" s="1210" t="s">
        <v>1953</v>
      </c>
      <c r="C86" s="1226"/>
      <c r="D86" s="1211"/>
      <c r="F86" s="1226"/>
    </row>
    <row r="87" spans="1:9" x14ac:dyDescent="0.25">
      <c r="A87" s="1221" t="s">
        <v>3272</v>
      </c>
      <c r="B87" s="1212" t="s">
        <v>3233</v>
      </c>
      <c r="C87" s="1221" t="s">
        <v>28</v>
      </c>
      <c r="D87" s="1218">
        <v>5.9</v>
      </c>
      <c r="F87" s="1221" t="s">
        <v>3304</v>
      </c>
      <c r="G87" s="1206" t="s">
        <v>3305</v>
      </c>
      <c r="H87" s="1221">
        <v>92874</v>
      </c>
      <c r="I87" s="1206" t="s">
        <v>3306</v>
      </c>
    </row>
    <row r="88" spans="1:9" x14ac:dyDescent="0.25">
      <c r="A88" s="1221" t="s">
        <v>3273</v>
      </c>
      <c r="B88" s="1212" t="s">
        <v>3237</v>
      </c>
      <c r="C88" s="1221" t="s">
        <v>20</v>
      </c>
      <c r="D88" s="1218">
        <v>28.1</v>
      </c>
      <c r="F88" s="1221">
        <v>100341</v>
      </c>
      <c r="G88" s="1206" t="s">
        <v>1871</v>
      </c>
    </row>
    <row r="89" spans="1:9" x14ac:dyDescent="0.25">
      <c r="A89" s="1220" t="s">
        <v>3274</v>
      </c>
      <c r="B89" s="1210" t="s">
        <v>3275</v>
      </c>
      <c r="C89" s="1226"/>
      <c r="D89" s="1211"/>
      <c r="F89" s="1226"/>
    </row>
    <row r="90" spans="1:9" x14ac:dyDescent="0.25">
      <c r="A90" s="1221" t="s">
        <v>3276</v>
      </c>
      <c r="B90" s="1212" t="s">
        <v>3277</v>
      </c>
      <c r="C90" s="1221" t="s">
        <v>26</v>
      </c>
      <c r="D90" s="1217">
        <v>3.1</v>
      </c>
      <c r="F90" s="1221">
        <v>90454</v>
      </c>
      <c r="G90" s="1233">
        <v>6</v>
      </c>
    </row>
    <row r="91" spans="1:9" s="1205" customFormat="1" x14ac:dyDescent="0.25">
      <c r="A91" s="1230"/>
      <c r="B91" s="1231"/>
      <c r="C91" s="1232" t="s">
        <v>3226</v>
      </c>
      <c r="D91" s="1218">
        <v>3.1</v>
      </c>
      <c r="F91" s="1232"/>
    </row>
    <row r="92" spans="1:9" x14ac:dyDescent="0.25">
      <c r="A92" s="1221" t="s">
        <v>3278</v>
      </c>
      <c r="B92" s="1212" t="s">
        <v>3279</v>
      </c>
      <c r="C92" s="1221" t="s">
        <v>26</v>
      </c>
      <c r="D92" s="1217">
        <v>3.8</v>
      </c>
      <c r="F92" s="1221">
        <v>90455</v>
      </c>
      <c r="G92" s="1233">
        <v>6</v>
      </c>
    </row>
    <row r="93" spans="1:9" s="1205" customFormat="1" x14ac:dyDescent="0.25">
      <c r="A93" s="1230"/>
      <c r="B93" s="1231"/>
      <c r="C93" s="1232" t="s">
        <v>3226</v>
      </c>
      <c r="D93" s="1218">
        <v>3.8</v>
      </c>
      <c r="F93" s="1232"/>
    </row>
    <row r="94" spans="1:9" x14ac:dyDescent="0.25">
      <c r="A94" s="1219">
        <v>5</v>
      </c>
      <c r="B94" s="1208" t="s">
        <v>3280</v>
      </c>
      <c r="C94" s="1224"/>
      <c r="D94" s="1209"/>
      <c r="F94" s="1224"/>
    </row>
    <row r="95" spans="1:9" x14ac:dyDescent="0.25">
      <c r="A95" s="1220" t="s">
        <v>3281</v>
      </c>
      <c r="B95" s="1210" t="s">
        <v>1958</v>
      </c>
      <c r="C95" s="1226"/>
      <c r="D95" s="1211"/>
      <c r="F95" s="1226"/>
    </row>
    <row r="96" spans="1:9" x14ac:dyDescent="0.25">
      <c r="A96" s="1221" t="s">
        <v>3282</v>
      </c>
      <c r="B96" s="1212" t="s">
        <v>3283</v>
      </c>
      <c r="C96" s="1221" t="s">
        <v>1880</v>
      </c>
      <c r="D96" s="1215">
        <v>687</v>
      </c>
      <c r="F96" s="1221">
        <v>92916</v>
      </c>
    </row>
    <row r="97" spans="1:6" s="1205" customFormat="1" x14ac:dyDescent="0.25">
      <c r="A97" s="1230"/>
      <c r="B97" s="1231"/>
      <c r="C97" s="1232" t="s">
        <v>3226</v>
      </c>
      <c r="D97" s="1218">
        <v>687</v>
      </c>
      <c r="F97" s="1232"/>
    </row>
    <row r="98" spans="1:6" x14ac:dyDescent="0.25">
      <c r="A98" s="1221" t="s">
        <v>3284</v>
      </c>
      <c r="B98" s="1212" t="s">
        <v>3285</v>
      </c>
      <c r="C98" s="1221" t="s">
        <v>1880</v>
      </c>
      <c r="D98" s="1215">
        <v>1278</v>
      </c>
      <c r="F98" s="1221">
        <v>92917</v>
      </c>
    </row>
    <row r="99" spans="1:6" s="1205" customFormat="1" x14ac:dyDescent="0.25">
      <c r="A99" s="1230"/>
      <c r="B99" s="1231"/>
      <c r="C99" s="1232" t="s">
        <v>3226</v>
      </c>
      <c r="D99" s="1218">
        <v>1278</v>
      </c>
      <c r="F99" s="1232"/>
    </row>
    <row r="100" spans="1:6" x14ac:dyDescent="0.25">
      <c r="A100" s="1221" t="s">
        <v>3286</v>
      </c>
      <c r="B100" s="1212" t="s">
        <v>3287</v>
      </c>
      <c r="C100" s="1221" t="s">
        <v>1880</v>
      </c>
      <c r="D100" s="1215">
        <v>4545</v>
      </c>
      <c r="F100" s="1221">
        <v>92919</v>
      </c>
    </row>
    <row r="101" spans="1:6" s="1205" customFormat="1" x14ac:dyDescent="0.25">
      <c r="A101" s="1230"/>
      <c r="B101" s="1231"/>
      <c r="C101" s="1232" t="s">
        <v>3226</v>
      </c>
      <c r="D101" s="1218">
        <v>4545</v>
      </c>
      <c r="F101" s="1232"/>
    </row>
    <row r="102" spans="1:6" x14ac:dyDescent="0.25">
      <c r="A102" s="1221" t="s">
        <v>3288</v>
      </c>
      <c r="B102" s="1212" t="s">
        <v>3289</v>
      </c>
      <c r="C102" s="1221" t="s">
        <v>1880</v>
      </c>
      <c r="D102" s="1215">
        <v>8317</v>
      </c>
      <c r="F102" s="1221">
        <v>92921</v>
      </c>
    </row>
    <row r="103" spans="1:6" s="1205" customFormat="1" x14ac:dyDescent="0.25">
      <c r="A103" s="1230"/>
      <c r="B103" s="1231"/>
      <c r="C103" s="1232" t="s">
        <v>3226</v>
      </c>
      <c r="D103" s="1218">
        <v>8317</v>
      </c>
      <c r="F103" s="1232"/>
    </row>
    <row r="104" spans="1:6" x14ac:dyDescent="0.25">
      <c r="A104" s="1221" t="s">
        <v>3290</v>
      </c>
      <c r="B104" s="1212" t="s">
        <v>3291</v>
      </c>
      <c r="C104" s="1221" t="s">
        <v>1880</v>
      </c>
      <c r="D104" s="1215">
        <v>19732</v>
      </c>
      <c r="F104" s="1221">
        <v>92922</v>
      </c>
    </row>
    <row r="105" spans="1:6" s="1205" customFormat="1" x14ac:dyDescent="0.25">
      <c r="A105" s="1230"/>
      <c r="B105" s="1231"/>
      <c r="C105" s="1232" t="s">
        <v>3226</v>
      </c>
      <c r="D105" s="1218">
        <v>19732</v>
      </c>
      <c r="F105" s="1232"/>
    </row>
    <row r="106" spans="1:6" x14ac:dyDescent="0.25">
      <c r="A106" s="1221" t="s">
        <v>3292</v>
      </c>
      <c r="B106" s="1212" t="s">
        <v>3293</v>
      </c>
      <c r="C106" s="1221" t="s">
        <v>1880</v>
      </c>
      <c r="D106" s="1215">
        <v>15750</v>
      </c>
      <c r="F106" s="1221">
        <v>92923</v>
      </c>
    </row>
    <row r="107" spans="1:6" s="1205" customFormat="1" x14ac:dyDescent="0.25">
      <c r="A107" s="1230"/>
      <c r="B107" s="1231"/>
      <c r="C107" s="1232" t="s">
        <v>3226</v>
      </c>
      <c r="D107" s="1218">
        <v>15750</v>
      </c>
      <c r="F107" s="1232"/>
    </row>
    <row r="108" spans="1:6" x14ac:dyDescent="0.25">
      <c r="A108" s="1221" t="s">
        <v>3294</v>
      </c>
      <c r="B108" s="1212" t="s">
        <v>3295</v>
      </c>
      <c r="C108" s="1221" t="s">
        <v>1880</v>
      </c>
      <c r="D108" s="1215">
        <v>29225</v>
      </c>
      <c r="F108" s="1221">
        <v>92924</v>
      </c>
    </row>
    <row r="109" spans="1:6" s="1205" customFormat="1" x14ac:dyDescent="0.25">
      <c r="A109" s="1230"/>
      <c r="B109" s="1231"/>
      <c r="C109" s="1232" t="s">
        <v>3226</v>
      </c>
      <c r="D109" s="1218">
        <v>29225</v>
      </c>
      <c r="F109" s="1232"/>
    </row>
    <row r="110" spans="1:6" x14ac:dyDescent="0.25">
      <c r="A110" s="1219">
        <v>6</v>
      </c>
      <c r="B110" s="1208" t="s">
        <v>1194</v>
      </c>
      <c r="C110" s="1227"/>
      <c r="D110" s="1209"/>
      <c r="F110" s="1227"/>
    </row>
    <row r="111" spans="1:6" x14ac:dyDescent="0.25">
      <c r="A111" s="1220" t="s">
        <v>3296</v>
      </c>
      <c r="B111" s="1210" t="s">
        <v>3297</v>
      </c>
      <c r="C111" s="1225"/>
      <c r="D111" s="1211"/>
      <c r="F111" s="1225"/>
    </row>
    <row r="112" spans="1:6" x14ac:dyDescent="0.25">
      <c r="A112" s="1221" t="s">
        <v>3298</v>
      </c>
      <c r="B112" s="1212" t="s">
        <v>3223</v>
      </c>
      <c r="C112" s="1222"/>
      <c r="D112" s="1214"/>
      <c r="F112" s="1222"/>
    </row>
    <row r="113" spans="1:6" x14ac:dyDescent="0.25">
      <c r="A113" s="1222"/>
      <c r="B113" s="1212" t="s">
        <v>3299</v>
      </c>
      <c r="C113" s="1221" t="s">
        <v>39</v>
      </c>
      <c r="D113" s="1215">
        <v>4</v>
      </c>
      <c r="F113" s="1221"/>
    </row>
    <row r="114" spans="1:6" s="1205" customFormat="1" x14ac:dyDescent="0.25">
      <c r="A114" s="1230"/>
      <c r="B114" s="1231"/>
      <c r="C114" s="1232" t="s">
        <v>3226</v>
      </c>
      <c r="D114" s="1216">
        <v>4</v>
      </c>
      <c r="F114" s="1232"/>
    </row>
    <row r="115" spans="1:6" x14ac:dyDescent="0.25">
      <c r="A115" s="1221" t="s">
        <v>3300</v>
      </c>
      <c r="B115" s="1212" t="s">
        <v>3301</v>
      </c>
      <c r="C115" s="1221"/>
      <c r="D115" s="1214"/>
      <c r="F115" s="1221"/>
    </row>
    <row r="116" spans="1:6" x14ac:dyDescent="0.25">
      <c r="A116" s="1222"/>
      <c r="B116" s="1212" t="s">
        <v>3299</v>
      </c>
      <c r="C116" s="1221" t="s">
        <v>39</v>
      </c>
      <c r="D116" s="1215">
        <v>3</v>
      </c>
      <c r="F116" s="1221"/>
    </row>
    <row r="117" spans="1:6" s="1205" customFormat="1" x14ac:dyDescent="0.25">
      <c r="A117" s="1230"/>
      <c r="B117" s="1231"/>
      <c r="C117" s="1232" t="s">
        <v>3226</v>
      </c>
      <c r="D117" s="1216">
        <v>3</v>
      </c>
      <c r="F117" s="1232"/>
    </row>
  </sheetData>
  <autoFilter ref="A5:D117" xr:uid="{F5FACC88-3800-4FF2-8ACD-769610F75E4D}"/>
  <pageMargins left="0.511811024" right="0.511811024" top="0.78740157499999996" bottom="0.78740157499999996" header="0.31496062000000002" footer="0.31496062000000002"/>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8F3CE-0E56-4013-AF36-F19A2F83FBD8}">
  <sheetPr>
    <tabColor theme="2" tint="-0.749992370372631"/>
  </sheetPr>
  <dimension ref="A1:F18"/>
  <sheetViews>
    <sheetView workbookViewId="0">
      <selection sqref="A1:XFD1048576"/>
    </sheetView>
  </sheetViews>
  <sheetFormatPr defaultRowHeight="15" x14ac:dyDescent="0.25"/>
  <cols>
    <col min="1" max="1" width="47.5703125" customWidth="1"/>
    <col min="2" max="2" width="49.5703125" customWidth="1"/>
    <col min="3" max="3" width="18.5703125" customWidth="1"/>
    <col min="4" max="4" width="23.85546875" bestFit="1" customWidth="1"/>
    <col min="5" max="5" width="18.5703125" bestFit="1" customWidth="1"/>
  </cols>
  <sheetData>
    <row r="1" spans="1:6" ht="19.5" customHeight="1" thickTop="1" x14ac:dyDescent="0.25">
      <c r="A1" s="2222" t="s">
        <v>1735</v>
      </c>
      <c r="B1" s="2223"/>
      <c r="C1" s="2223"/>
      <c r="D1" s="2223"/>
      <c r="E1" s="2224"/>
    </row>
    <row r="2" spans="1:6" ht="19.5" customHeight="1" thickBot="1" x14ac:dyDescent="0.3">
      <c r="A2" s="2225"/>
      <c r="B2" s="2226"/>
      <c r="C2" s="2226"/>
      <c r="D2" s="2226"/>
      <c r="E2" s="2227"/>
    </row>
    <row r="3" spans="1:6" ht="20.25" customHeight="1" thickTop="1" thickBot="1" x14ac:dyDescent="0.3">
      <c r="A3" s="2228" t="s">
        <v>1734</v>
      </c>
      <c r="B3" s="2229"/>
      <c r="C3" s="781" t="s">
        <v>1733</v>
      </c>
      <c r="D3" s="781" t="s">
        <v>1732</v>
      </c>
      <c r="E3" s="781" t="s">
        <v>1731</v>
      </c>
    </row>
    <row r="4" spans="1:6" ht="18" customHeight="1" thickTop="1" x14ac:dyDescent="0.25">
      <c r="A4" s="2230" t="s">
        <v>1730</v>
      </c>
      <c r="B4" s="2231"/>
      <c r="C4" s="778">
        <v>3960.95</v>
      </c>
      <c r="D4" s="779" t="s">
        <v>35</v>
      </c>
      <c r="E4" s="778">
        <v>3960.95</v>
      </c>
    </row>
    <row r="5" spans="1:6" ht="18" customHeight="1" x14ac:dyDescent="0.25">
      <c r="A5" s="2220" t="s">
        <v>1729</v>
      </c>
      <c r="B5" s="2221"/>
      <c r="C5" s="778">
        <v>13.25</v>
      </c>
      <c r="D5" s="779">
        <v>5</v>
      </c>
      <c r="E5" s="778" t="s">
        <v>35</v>
      </c>
    </row>
    <row r="6" spans="1:6" ht="17.25" customHeight="1" x14ac:dyDescent="0.25">
      <c r="A6" s="2220" t="s">
        <v>3451</v>
      </c>
      <c r="B6" s="2221"/>
      <c r="C6" s="778">
        <v>4.9499999999999993</v>
      </c>
      <c r="D6" s="779">
        <v>3</v>
      </c>
      <c r="E6" s="778" t="s">
        <v>35</v>
      </c>
    </row>
    <row r="7" spans="1:6" ht="19.5" customHeight="1" x14ac:dyDescent="0.25">
      <c r="A7" s="2230" t="s">
        <v>1728</v>
      </c>
      <c r="B7" s="2231"/>
      <c r="C7" s="778">
        <v>8.3789999999999996</v>
      </c>
      <c r="D7" s="780" t="s">
        <v>35</v>
      </c>
      <c r="E7" s="778">
        <v>27.93</v>
      </c>
    </row>
    <row r="8" spans="1:6" ht="19.5" customHeight="1" x14ac:dyDescent="0.25">
      <c r="A8" s="2220" t="s">
        <v>1727</v>
      </c>
      <c r="B8" s="2221"/>
      <c r="C8" s="778">
        <v>4.5</v>
      </c>
      <c r="D8" s="779" t="s">
        <v>35</v>
      </c>
      <c r="E8" s="778">
        <v>45</v>
      </c>
    </row>
    <row r="9" spans="1:6" ht="19.5" customHeight="1" x14ac:dyDescent="0.25">
      <c r="A9" s="2232" t="s">
        <v>1726</v>
      </c>
      <c r="B9" s="2233"/>
      <c r="C9" s="1483">
        <v>59</v>
      </c>
      <c r="D9" s="1484" t="s">
        <v>35</v>
      </c>
      <c r="E9" s="1483">
        <v>590</v>
      </c>
    </row>
    <row r="10" spans="1:6" ht="19.5" customHeight="1" x14ac:dyDescent="0.25">
      <c r="A10" s="2220" t="s">
        <v>3452</v>
      </c>
      <c r="B10" s="2221"/>
      <c r="C10" s="778">
        <v>1.5</v>
      </c>
      <c r="D10" s="779" t="s">
        <v>35</v>
      </c>
      <c r="E10" s="778">
        <v>15</v>
      </c>
    </row>
    <row r="11" spans="1:6" ht="19.5" customHeight="1" x14ac:dyDescent="0.25">
      <c r="A11" s="2220" t="s">
        <v>3453</v>
      </c>
      <c r="B11" s="2221"/>
      <c r="C11" s="778">
        <v>2.8000000000000003</v>
      </c>
      <c r="D11" s="779" t="s">
        <v>35</v>
      </c>
      <c r="E11" s="778">
        <v>28</v>
      </c>
    </row>
    <row r="12" spans="1:6" ht="19.5" customHeight="1" x14ac:dyDescent="0.25">
      <c r="A12" s="2220" t="s">
        <v>3757</v>
      </c>
      <c r="B12" s="2221"/>
      <c r="C12" s="778">
        <v>80.5</v>
      </c>
      <c r="D12" s="779">
        <v>7</v>
      </c>
      <c r="E12" s="778" t="s">
        <v>35</v>
      </c>
    </row>
    <row r="13" spans="1:6" ht="19.5" customHeight="1" x14ac:dyDescent="0.25">
      <c r="A13" s="2220" t="s">
        <v>3758</v>
      </c>
      <c r="B13" s="2221"/>
      <c r="C13" s="778" t="s">
        <v>35</v>
      </c>
      <c r="D13" s="779">
        <v>12</v>
      </c>
      <c r="E13" s="778" t="s">
        <v>35</v>
      </c>
    </row>
    <row r="14" spans="1:6" ht="15.75" thickBot="1" x14ac:dyDescent="0.3">
      <c r="A14" s="2218" t="s">
        <v>3454</v>
      </c>
      <c r="B14" s="2219"/>
      <c r="C14" s="776">
        <v>5.63</v>
      </c>
      <c r="D14" s="777" t="s">
        <v>35</v>
      </c>
      <c r="E14" s="776">
        <v>56.3</v>
      </c>
    </row>
    <row r="15" spans="1:6" ht="16.5" thickTop="1" thickBot="1" x14ac:dyDescent="0.3">
      <c r="A15" s="775"/>
      <c r="C15" s="774"/>
      <c r="E15" s="773"/>
    </row>
    <row r="16" spans="1:6" ht="16.5" thickTop="1" thickBot="1" x14ac:dyDescent="0.3">
      <c r="A16" s="772" t="s">
        <v>1725</v>
      </c>
      <c r="B16" s="771">
        <v>63.5</v>
      </c>
      <c r="D16" s="770" t="s">
        <v>1724</v>
      </c>
      <c r="E16" s="769">
        <v>18.2</v>
      </c>
      <c r="F16" s="768"/>
    </row>
    <row r="17" spans="1:5" ht="15.75" thickBot="1" x14ac:dyDescent="0.3">
      <c r="A17" s="767" t="s">
        <v>1723</v>
      </c>
      <c r="B17" s="766">
        <v>4077.9589999999998</v>
      </c>
      <c r="C17" s="765"/>
      <c r="D17" s="764" t="s">
        <v>1722</v>
      </c>
      <c r="E17" s="763">
        <v>4042.759</v>
      </c>
    </row>
    <row r="18" spans="1:5" ht="15.75" thickTop="1" x14ac:dyDescent="0.25"/>
  </sheetData>
  <mergeCells count="13">
    <mergeCell ref="A14:B14"/>
    <mergeCell ref="A11:B11"/>
    <mergeCell ref="A1:E2"/>
    <mergeCell ref="A6:B6"/>
    <mergeCell ref="A3:B3"/>
    <mergeCell ref="A4:B4"/>
    <mergeCell ref="A5:B5"/>
    <mergeCell ref="A7:B7"/>
    <mergeCell ref="A8:B8"/>
    <mergeCell ref="A9:B9"/>
    <mergeCell ref="A10:B10"/>
    <mergeCell ref="A12:B12"/>
    <mergeCell ref="A13:B13"/>
  </mergeCells>
  <printOptions horizontalCentered="1"/>
  <pageMargins left="0.51181102362204722" right="0.51181102362204722" top="0.78740157480314965" bottom="0.78740157480314965" header="0.31496062992125984" footer="0.31496062992125984"/>
  <pageSetup paperSize="9" scale="5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C7F96-E91A-4366-A92D-79DB0939D577}">
  <sheetPr>
    <tabColor theme="2" tint="-0.749992370372631"/>
    <pageSetUpPr fitToPage="1"/>
  </sheetPr>
  <dimension ref="A1:G21"/>
  <sheetViews>
    <sheetView workbookViewId="0">
      <selection sqref="A1:XFD1048576"/>
    </sheetView>
  </sheetViews>
  <sheetFormatPr defaultRowHeight="15" x14ac:dyDescent="0.25"/>
  <cols>
    <col min="1" max="1" width="18.85546875" customWidth="1"/>
    <col min="2" max="2" width="14.140625" customWidth="1"/>
    <col min="3" max="3" width="15.7109375" customWidth="1"/>
    <col min="4" max="4" width="13.5703125" customWidth="1"/>
    <col min="5" max="5" width="11.7109375" customWidth="1"/>
    <col min="6" max="6" width="14.5703125" customWidth="1"/>
  </cols>
  <sheetData>
    <row r="1" spans="1:7" ht="21.75" customHeight="1" thickTop="1" x14ac:dyDescent="0.25">
      <c r="A1" s="2222" t="s">
        <v>1748</v>
      </c>
      <c r="B1" s="2223"/>
      <c r="C1" s="2223"/>
      <c r="D1" s="2223"/>
      <c r="E1" s="2223"/>
      <c r="F1" s="2224"/>
    </row>
    <row r="2" spans="1:7" ht="21.75" customHeight="1" thickBot="1" x14ac:dyDescent="0.3">
      <c r="A2" s="2250"/>
      <c r="B2" s="2251"/>
      <c r="C2" s="2251"/>
      <c r="D2" s="2251"/>
      <c r="E2" s="2251"/>
      <c r="F2" s="2252"/>
    </row>
    <row r="3" spans="1:7" ht="15.75" thickBot="1" x14ac:dyDescent="0.3">
      <c r="A3" s="787" t="s">
        <v>1747</v>
      </c>
      <c r="B3" s="786" t="s">
        <v>481</v>
      </c>
      <c r="C3" s="786" t="s">
        <v>1746</v>
      </c>
      <c r="D3" s="786" t="s">
        <v>1745</v>
      </c>
      <c r="E3" s="786" t="s">
        <v>1744</v>
      </c>
      <c r="F3" s="785" t="s">
        <v>1743</v>
      </c>
      <c r="G3" s="784"/>
    </row>
    <row r="4" spans="1:7" ht="15.75" thickBot="1" x14ac:dyDescent="0.3">
      <c r="A4" s="2255"/>
      <c r="B4" s="2244" t="s">
        <v>1742</v>
      </c>
      <c r="C4" s="2241">
        <v>0.30199999999999999</v>
      </c>
      <c r="D4" s="2234">
        <v>126</v>
      </c>
      <c r="E4" s="2237">
        <v>126</v>
      </c>
      <c r="F4" s="2257">
        <v>38.052</v>
      </c>
      <c r="G4" s="784"/>
    </row>
    <row r="5" spans="1:7" ht="15.75" thickBot="1" x14ac:dyDescent="0.3">
      <c r="A5" s="2256"/>
      <c r="B5" s="2245"/>
      <c r="C5" s="2242"/>
      <c r="D5" s="2235"/>
      <c r="E5" s="2237"/>
      <c r="F5" s="2257"/>
      <c r="G5" s="784"/>
    </row>
    <row r="6" spans="1:7" ht="15.75" thickBot="1" x14ac:dyDescent="0.3">
      <c r="A6" s="2256"/>
      <c r="B6" s="2245"/>
      <c r="C6" s="2242"/>
      <c r="D6" s="2235"/>
      <c r="E6" s="2234"/>
      <c r="F6" s="2258"/>
      <c r="G6" s="784"/>
    </row>
    <row r="7" spans="1:7" ht="15.75" thickBot="1" x14ac:dyDescent="0.3">
      <c r="A7" s="2247"/>
      <c r="B7" s="2244" t="s">
        <v>1741</v>
      </c>
      <c r="C7" s="2241">
        <v>0.19600000000000001</v>
      </c>
      <c r="D7" s="2234">
        <v>77</v>
      </c>
      <c r="E7" s="2237">
        <v>77</v>
      </c>
      <c r="F7" s="2257">
        <v>15.092000000000001</v>
      </c>
      <c r="G7" s="784"/>
    </row>
    <row r="8" spans="1:7" ht="15.75" thickBot="1" x14ac:dyDescent="0.3">
      <c r="A8" s="2248"/>
      <c r="B8" s="2245"/>
      <c r="C8" s="2242"/>
      <c r="D8" s="2235"/>
      <c r="E8" s="2237"/>
      <c r="F8" s="2257"/>
      <c r="G8" s="784"/>
    </row>
    <row r="9" spans="1:7" ht="15.75" thickBot="1" x14ac:dyDescent="0.3">
      <c r="A9" s="2249"/>
      <c r="B9" s="2245"/>
      <c r="C9" s="2242"/>
      <c r="D9" s="2235"/>
      <c r="E9" s="2234"/>
      <c r="F9" s="2258"/>
      <c r="G9" s="784"/>
    </row>
    <row r="10" spans="1:7" ht="15.75" thickBot="1" x14ac:dyDescent="0.3">
      <c r="A10" s="2247"/>
      <c r="B10" s="2244" t="s">
        <v>1740</v>
      </c>
      <c r="C10" s="2241">
        <v>0.19600000000000001</v>
      </c>
      <c r="D10" s="2234">
        <v>1</v>
      </c>
      <c r="E10" s="2237">
        <v>1</v>
      </c>
      <c r="F10" s="2238">
        <v>0.19600000000000001</v>
      </c>
      <c r="G10" s="784"/>
    </row>
    <row r="11" spans="1:7" ht="15.75" thickBot="1" x14ac:dyDescent="0.3">
      <c r="A11" s="2248"/>
      <c r="B11" s="2245"/>
      <c r="C11" s="2242"/>
      <c r="D11" s="2235"/>
      <c r="E11" s="2237"/>
      <c r="F11" s="2238"/>
      <c r="G11" s="784"/>
    </row>
    <row r="12" spans="1:7" ht="15.75" thickBot="1" x14ac:dyDescent="0.3">
      <c r="A12" s="2249"/>
      <c r="B12" s="2246"/>
      <c r="C12" s="2243"/>
      <c r="D12" s="2236"/>
      <c r="E12" s="2237"/>
      <c r="F12" s="2238"/>
      <c r="G12" s="784"/>
    </row>
    <row r="13" spans="1:7" ht="15.75" thickBot="1" x14ac:dyDescent="0.3">
      <c r="A13" s="2247"/>
      <c r="B13" s="2244" t="s">
        <v>3455</v>
      </c>
      <c r="C13" s="2241">
        <v>0.75</v>
      </c>
      <c r="D13" s="2234">
        <v>1</v>
      </c>
      <c r="E13" s="2237">
        <v>2</v>
      </c>
      <c r="F13" s="2238">
        <v>0.75</v>
      </c>
      <c r="G13" s="784"/>
    </row>
    <row r="14" spans="1:7" ht="15.75" thickBot="1" x14ac:dyDescent="0.3">
      <c r="A14" s="2248"/>
      <c r="B14" s="2245"/>
      <c r="C14" s="2242"/>
      <c r="D14" s="2235"/>
      <c r="E14" s="2237"/>
      <c r="F14" s="2238"/>
      <c r="G14" s="784"/>
    </row>
    <row r="15" spans="1:7" ht="15.75" thickBot="1" x14ac:dyDescent="0.3">
      <c r="A15" s="2249"/>
      <c r="B15" s="2246"/>
      <c r="C15" s="2243"/>
      <c r="D15" s="2236"/>
      <c r="E15" s="2237"/>
      <c r="F15" s="2238"/>
      <c r="G15" s="784"/>
    </row>
    <row r="16" spans="1:7" ht="15.75" thickBot="1" x14ac:dyDescent="0.3">
      <c r="A16" s="775"/>
      <c r="E16" s="165"/>
      <c r="F16" s="773"/>
    </row>
    <row r="17" spans="1:6" ht="15.75" thickBot="1" x14ac:dyDescent="0.3">
      <c r="A17" s="2253" t="s">
        <v>1739</v>
      </c>
      <c r="B17" s="2254"/>
      <c r="C17" s="782" t="s">
        <v>449</v>
      </c>
      <c r="D17" s="782" t="s">
        <v>1738</v>
      </c>
      <c r="E17" s="165"/>
      <c r="F17" s="773"/>
    </row>
    <row r="18" spans="1:6" ht="15.75" thickBot="1" x14ac:dyDescent="0.3">
      <c r="A18" s="2239" t="s">
        <v>1737</v>
      </c>
      <c r="B18" s="2240"/>
      <c r="C18" s="782">
        <v>204</v>
      </c>
      <c r="D18" s="783">
        <v>53.339999999999996</v>
      </c>
      <c r="F18" s="773"/>
    </row>
    <row r="19" spans="1:6" ht="15.75" thickBot="1" x14ac:dyDescent="0.3">
      <c r="A19" s="2239" t="s">
        <v>3456</v>
      </c>
      <c r="B19" s="2240"/>
      <c r="C19" s="782">
        <v>1</v>
      </c>
      <c r="D19" s="783">
        <v>0.75</v>
      </c>
      <c r="F19" s="773"/>
    </row>
    <row r="20" spans="1:6" ht="15.75" thickBot="1" x14ac:dyDescent="0.3">
      <c r="A20" s="2239" t="s">
        <v>1736</v>
      </c>
      <c r="B20" s="2240"/>
      <c r="C20" s="782">
        <v>204</v>
      </c>
      <c r="D20" s="782" t="s">
        <v>35</v>
      </c>
      <c r="F20" s="773"/>
    </row>
    <row r="21" spans="1:6" ht="15.75" thickBot="1" x14ac:dyDescent="0.3">
      <c r="A21" s="2239" t="s">
        <v>1736</v>
      </c>
      <c r="B21" s="2240"/>
      <c r="C21" s="782">
        <v>2</v>
      </c>
      <c r="D21" s="782" t="s">
        <v>35</v>
      </c>
      <c r="E21" s="1485"/>
      <c r="F21" s="1486"/>
    </row>
  </sheetData>
  <mergeCells count="30">
    <mergeCell ref="A1:F2"/>
    <mergeCell ref="A18:B18"/>
    <mergeCell ref="A17:B17"/>
    <mergeCell ref="A21:B21"/>
    <mergeCell ref="A4:A6"/>
    <mergeCell ref="F4:F6"/>
    <mergeCell ref="E4:E6"/>
    <mergeCell ref="D4:D6"/>
    <mergeCell ref="C4:C6"/>
    <mergeCell ref="B4:B6"/>
    <mergeCell ref="F13:F15"/>
    <mergeCell ref="F7:F9"/>
    <mergeCell ref="E13:E15"/>
    <mergeCell ref="E7:E9"/>
    <mergeCell ref="D13:D15"/>
    <mergeCell ref="D7:D9"/>
    <mergeCell ref="C7:C9"/>
    <mergeCell ref="B13:B15"/>
    <mergeCell ref="B7:B9"/>
    <mergeCell ref="A13:A15"/>
    <mergeCell ref="A7:A9"/>
    <mergeCell ref="A10:A12"/>
    <mergeCell ref="B10:B12"/>
    <mergeCell ref="C10:C12"/>
    <mergeCell ref="D10:D12"/>
    <mergeCell ref="E10:E12"/>
    <mergeCell ref="F10:F12"/>
    <mergeCell ref="A19:B19"/>
    <mergeCell ref="A20:B20"/>
    <mergeCell ref="C13:C15"/>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C7097-77FC-4F1C-B5DC-CC29A08CBAA2}">
  <sheetPr>
    <tabColor theme="2" tint="-0.749992370372631"/>
  </sheetPr>
  <dimension ref="A1:F13"/>
  <sheetViews>
    <sheetView workbookViewId="0">
      <selection sqref="A1:XFD1048576"/>
    </sheetView>
  </sheetViews>
  <sheetFormatPr defaultRowHeight="15" x14ac:dyDescent="0.25"/>
  <cols>
    <col min="1" max="1" width="47.5703125" customWidth="1"/>
    <col min="2" max="2" width="49.5703125" customWidth="1"/>
    <col min="3" max="3" width="18.5703125" customWidth="1"/>
    <col min="4" max="4" width="23.85546875" bestFit="1" customWidth="1"/>
    <col min="5" max="5" width="18.5703125" bestFit="1" customWidth="1"/>
  </cols>
  <sheetData>
    <row r="1" spans="1:6" ht="19.5" customHeight="1" thickTop="1" x14ac:dyDescent="0.25">
      <c r="A1" s="2222" t="s">
        <v>1735</v>
      </c>
      <c r="B1" s="2223"/>
      <c r="C1" s="2223"/>
      <c r="D1" s="2223"/>
      <c r="E1" s="2224"/>
    </row>
    <row r="2" spans="1:6" ht="19.5" customHeight="1" thickBot="1" x14ac:dyDescent="0.3">
      <c r="A2" s="2225"/>
      <c r="B2" s="2226"/>
      <c r="C2" s="2226"/>
      <c r="D2" s="2226"/>
      <c r="E2" s="2227"/>
    </row>
    <row r="3" spans="1:6" ht="20.25" customHeight="1" thickTop="1" thickBot="1" x14ac:dyDescent="0.3">
      <c r="A3" s="2228" t="s">
        <v>1734</v>
      </c>
      <c r="B3" s="2229"/>
      <c r="C3" s="781" t="s">
        <v>1733</v>
      </c>
      <c r="D3" s="781" t="s">
        <v>1732</v>
      </c>
      <c r="E3" s="781" t="s">
        <v>1731</v>
      </c>
    </row>
    <row r="4" spans="1:6" ht="18" customHeight="1" thickTop="1" x14ac:dyDescent="0.25">
      <c r="A4" s="2230" t="s">
        <v>1730</v>
      </c>
      <c r="B4" s="2231"/>
      <c r="C4" s="778">
        <v>40.462000000000003</v>
      </c>
      <c r="D4" s="779" t="s">
        <v>35</v>
      </c>
      <c r="E4" s="778">
        <v>404.62</v>
      </c>
    </row>
    <row r="5" spans="1:6" ht="18" customHeight="1" x14ac:dyDescent="0.25">
      <c r="A5" s="2220" t="s">
        <v>1729</v>
      </c>
      <c r="B5" s="2221"/>
      <c r="C5" s="778">
        <v>2.65</v>
      </c>
      <c r="D5" s="779">
        <v>1</v>
      </c>
      <c r="E5" s="778" t="s">
        <v>35</v>
      </c>
    </row>
    <row r="6" spans="1:6" ht="18" customHeight="1" x14ac:dyDescent="0.25">
      <c r="A6" s="1199" t="s">
        <v>3199</v>
      </c>
      <c r="B6" s="1200"/>
      <c r="C6" s="778">
        <v>42</v>
      </c>
      <c r="D6" s="779" t="s">
        <v>35</v>
      </c>
      <c r="E6" s="778">
        <v>42</v>
      </c>
    </row>
    <row r="7" spans="1:6" ht="17.25" customHeight="1" x14ac:dyDescent="0.25">
      <c r="A7" s="2230" t="s">
        <v>1728</v>
      </c>
      <c r="B7" s="2231"/>
      <c r="C7" s="778">
        <v>1.5</v>
      </c>
      <c r="D7" s="780" t="s">
        <v>35</v>
      </c>
      <c r="E7" s="778">
        <v>5</v>
      </c>
    </row>
    <row r="8" spans="1:6" ht="19.5" customHeight="1" x14ac:dyDescent="0.25">
      <c r="A8" s="2220" t="s">
        <v>1727</v>
      </c>
      <c r="B8" s="2221"/>
      <c r="C8" s="778">
        <v>1.766</v>
      </c>
      <c r="D8" s="779" t="s">
        <v>35</v>
      </c>
      <c r="E8" s="778">
        <v>17.66</v>
      </c>
    </row>
    <row r="9" spans="1:6" ht="15.75" thickBot="1" x14ac:dyDescent="0.3">
      <c r="A9" s="2218" t="s">
        <v>1726</v>
      </c>
      <c r="B9" s="2219"/>
      <c r="C9" s="776">
        <v>7.2</v>
      </c>
      <c r="D9" s="777" t="s">
        <v>35</v>
      </c>
      <c r="E9" s="776">
        <v>72</v>
      </c>
    </row>
    <row r="10" spans="1:6" ht="16.5" thickTop="1" thickBot="1" x14ac:dyDescent="0.3">
      <c r="A10" s="775"/>
      <c r="C10" s="774"/>
      <c r="E10" s="773"/>
    </row>
    <row r="11" spans="1:6" ht="16.5" thickTop="1" thickBot="1" x14ac:dyDescent="0.3">
      <c r="A11" s="772" t="s">
        <v>1725</v>
      </c>
      <c r="B11" s="771">
        <v>50.966000000000001</v>
      </c>
      <c r="D11" s="770" t="s">
        <v>3198</v>
      </c>
      <c r="E11" s="769">
        <v>7.2</v>
      </c>
      <c r="F11" s="768"/>
    </row>
    <row r="12" spans="1:6" ht="15.75" thickBot="1" x14ac:dyDescent="0.3">
      <c r="A12" s="767" t="s">
        <v>1723</v>
      </c>
      <c r="B12" s="766">
        <v>44.612000000000002</v>
      </c>
      <c r="C12" s="765"/>
      <c r="D12" s="764" t="s">
        <v>1722</v>
      </c>
      <c r="E12" s="763">
        <v>43.728000000000002</v>
      </c>
    </row>
    <row r="13" spans="1:6" ht="15.75" thickTop="1" x14ac:dyDescent="0.25"/>
  </sheetData>
  <mergeCells count="7">
    <mergeCell ref="A9:B9"/>
    <mergeCell ref="A1:E2"/>
    <mergeCell ref="A3:B3"/>
    <mergeCell ref="A4:B4"/>
    <mergeCell ref="A5:B5"/>
    <mergeCell ref="A7:B7"/>
    <mergeCell ref="A8:B8"/>
  </mergeCells>
  <printOptions horizontalCentered="1"/>
  <pageMargins left="0.51181102362204722" right="0.51181102362204722" top="0.78740157480314965" bottom="0.78740157480314965" header="0.31496062992125984" footer="0.31496062992125984"/>
  <pageSetup paperSize="9" scale="58"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E6557-7BF8-42E9-8BF0-597ED6238D89}">
  <sheetPr>
    <tabColor theme="2" tint="-0.749992370372631"/>
    <pageSetUpPr fitToPage="1"/>
  </sheetPr>
  <dimension ref="A1:G19"/>
  <sheetViews>
    <sheetView workbookViewId="0">
      <selection sqref="A1:XFD1048576"/>
    </sheetView>
  </sheetViews>
  <sheetFormatPr defaultRowHeight="15" x14ac:dyDescent="0.25"/>
  <cols>
    <col min="1" max="1" width="18.85546875" customWidth="1"/>
    <col min="2" max="2" width="14.140625" customWidth="1"/>
    <col min="3" max="3" width="15.7109375" customWidth="1"/>
    <col min="4" max="4" width="13.5703125" customWidth="1"/>
    <col min="5" max="5" width="11.7109375" customWidth="1"/>
    <col min="6" max="6" width="14.5703125" customWidth="1"/>
  </cols>
  <sheetData>
    <row r="1" spans="1:7" ht="21.75" customHeight="1" thickTop="1" x14ac:dyDescent="0.25">
      <c r="A1" s="2222" t="s">
        <v>1748</v>
      </c>
      <c r="B1" s="2223"/>
      <c r="C1" s="2223"/>
      <c r="D1" s="2223"/>
      <c r="E1" s="2223"/>
      <c r="F1" s="2224"/>
    </row>
    <row r="2" spans="1:7" ht="21.75" customHeight="1" thickBot="1" x14ac:dyDescent="0.3">
      <c r="A2" s="2250"/>
      <c r="B2" s="2251"/>
      <c r="C2" s="2251"/>
      <c r="D2" s="2251"/>
      <c r="E2" s="2251"/>
      <c r="F2" s="2252"/>
    </row>
    <row r="3" spans="1:7" ht="15.75" thickBot="1" x14ac:dyDescent="0.3">
      <c r="A3" s="787" t="s">
        <v>1747</v>
      </c>
      <c r="B3" s="786" t="s">
        <v>481</v>
      </c>
      <c r="C3" s="786" t="s">
        <v>1746</v>
      </c>
      <c r="D3" s="786" t="s">
        <v>1745</v>
      </c>
      <c r="E3" s="786" t="s">
        <v>1744</v>
      </c>
      <c r="F3" s="785" t="s">
        <v>1743</v>
      </c>
      <c r="G3" s="784"/>
    </row>
    <row r="4" spans="1:7" ht="15.75" thickBot="1" x14ac:dyDescent="0.3">
      <c r="A4" s="2255"/>
      <c r="B4" s="2244" t="s">
        <v>1742</v>
      </c>
      <c r="C4" s="2241">
        <v>0.30199999999999999</v>
      </c>
      <c r="D4" s="2234">
        <v>3</v>
      </c>
      <c r="E4" s="2237">
        <v>3</v>
      </c>
      <c r="F4" s="2257">
        <v>0.90599999999999992</v>
      </c>
      <c r="G4" s="784"/>
    </row>
    <row r="5" spans="1:7" ht="15.75" thickBot="1" x14ac:dyDescent="0.3">
      <c r="A5" s="2256"/>
      <c r="B5" s="2245"/>
      <c r="C5" s="2242"/>
      <c r="D5" s="2235"/>
      <c r="E5" s="2237"/>
      <c r="F5" s="2257"/>
      <c r="G5" s="784"/>
    </row>
    <row r="6" spans="1:7" ht="15.75" thickBot="1" x14ac:dyDescent="0.3">
      <c r="A6" s="2256"/>
      <c r="B6" s="2245"/>
      <c r="C6" s="2242"/>
      <c r="D6" s="2235"/>
      <c r="E6" s="2234"/>
      <c r="F6" s="2258"/>
      <c r="G6" s="784"/>
    </row>
    <row r="7" spans="1:7" ht="15.75" thickBot="1" x14ac:dyDescent="0.3">
      <c r="A7" s="2247"/>
      <c r="B7" s="2244" t="s">
        <v>3200</v>
      </c>
      <c r="C7" s="2241">
        <v>0.19600000000000001</v>
      </c>
      <c r="D7" s="2234">
        <v>8</v>
      </c>
      <c r="E7" s="2237">
        <v>8</v>
      </c>
      <c r="F7" s="2257">
        <v>1.5680000000000001</v>
      </c>
      <c r="G7" s="784"/>
    </row>
    <row r="8" spans="1:7" ht="15.75" thickBot="1" x14ac:dyDescent="0.3">
      <c r="A8" s="2248"/>
      <c r="B8" s="2245"/>
      <c r="C8" s="2242"/>
      <c r="D8" s="2235"/>
      <c r="E8" s="2237"/>
      <c r="F8" s="2257"/>
      <c r="G8" s="784"/>
    </row>
    <row r="9" spans="1:7" ht="15.75" thickBot="1" x14ac:dyDescent="0.3">
      <c r="A9" s="2249"/>
      <c r="B9" s="2245"/>
      <c r="C9" s="2242"/>
      <c r="D9" s="2235"/>
      <c r="E9" s="2234"/>
      <c r="F9" s="2258"/>
      <c r="G9" s="784"/>
    </row>
    <row r="10" spans="1:7" ht="15.75" thickBot="1" x14ac:dyDescent="0.3">
      <c r="A10" s="2259" t="s">
        <v>3201</v>
      </c>
      <c r="B10" s="2244" t="s">
        <v>3202</v>
      </c>
      <c r="C10" s="2241">
        <v>0.25</v>
      </c>
      <c r="D10" s="2234">
        <v>5</v>
      </c>
      <c r="E10" s="2237">
        <v>5</v>
      </c>
      <c r="F10" s="2238">
        <v>1.25</v>
      </c>
      <c r="G10" s="784"/>
    </row>
    <row r="11" spans="1:7" ht="15.75" thickBot="1" x14ac:dyDescent="0.3">
      <c r="A11" s="2260"/>
      <c r="B11" s="2245"/>
      <c r="C11" s="2242"/>
      <c r="D11" s="2235"/>
      <c r="E11" s="2237"/>
      <c r="F11" s="2238"/>
      <c r="G11" s="784"/>
    </row>
    <row r="12" spans="1:7" ht="15.75" thickBot="1" x14ac:dyDescent="0.3">
      <c r="A12" s="2261"/>
      <c r="B12" s="2246"/>
      <c r="C12" s="2243"/>
      <c r="D12" s="2236"/>
      <c r="E12" s="2237"/>
      <c r="F12" s="2238"/>
      <c r="G12" s="784"/>
    </row>
    <row r="13" spans="1:7" ht="15.75" thickBot="1" x14ac:dyDescent="0.3">
      <c r="A13" s="2259" t="s">
        <v>3203</v>
      </c>
      <c r="B13" s="2244"/>
      <c r="C13" s="2241">
        <v>0.6</v>
      </c>
      <c r="D13" s="2234">
        <v>4</v>
      </c>
      <c r="E13" s="2237">
        <v>4</v>
      </c>
      <c r="F13" s="2238">
        <v>2.4</v>
      </c>
      <c r="G13" s="784"/>
    </row>
    <row r="14" spans="1:7" ht="15.75" thickBot="1" x14ac:dyDescent="0.3">
      <c r="A14" s="2260"/>
      <c r="B14" s="2245"/>
      <c r="C14" s="2242"/>
      <c r="D14" s="2235"/>
      <c r="E14" s="2237"/>
      <c r="F14" s="2238"/>
      <c r="G14" s="784"/>
    </row>
    <row r="15" spans="1:7" ht="15.75" thickBot="1" x14ac:dyDescent="0.3">
      <c r="A15" s="2261"/>
      <c r="B15" s="2246"/>
      <c r="C15" s="2243"/>
      <c r="D15" s="2236"/>
      <c r="E15" s="2237"/>
      <c r="F15" s="2238"/>
      <c r="G15" s="784"/>
    </row>
    <row r="16" spans="1:7" ht="15.75" thickBot="1" x14ac:dyDescent="0.3">
      <c r="A16" s="775"/>
      <c r="E16" s="165"/>
      <c r="F16" s="773"/>
    </row>
    <row r="17" spans="1:6" ht="15.75" thickBot="1" x14ac:dyDescent="0.3">
      <c r="A17" s="2253" t="s">
        <v>1739</v>
      </c>
      <c r="B17" s="2254"/>
      <c r="C17" s="782" t="s">
        <v>449</v>
      </c>
      <c r="D17" s="782" t="s">
        <v>1738</v>
      </c>
      <c r="E17" s="165"/>
      <c r="F17" s="773"/>
    </row>
    <row r="18" spans="1:6" ht="15.75" thickBot="1" x14ac:dyDescent="0.3">
      <c r="A18" s="2239" t="s">
        <v>1737</v>
      </c>
      <c r="B18" s="2240"/>
      <c r="C18" s="782">
        <v>15</v>
      </c>
      <c r="D18" s="783">
        <v>6.1240000000000006</v>
      </c>
      <c r="F18" s="773"/>
    </row>
    <row r="19" spans="1:6" ht="15.75" thickBot="1" x14ac:dyDescent="0.3">
      <c r="A19" s="2239" t="s">
        <v>1736</v>
      </c>
      <c r="B19" s="2240"/>
      <c r="C19" s="782">
        <v>15</v>
      </c>
      <c r="D19" s="782" t="s">
        <v>35</v>
      </c>
      <c r="F19" s="773"/>
    </row>
  </sheetData>
  <mergeCells count="28">
    <mergeCell ref="F7:F9"/>
    <mergeCell ref="A1:F2"/>
    <mergeCell ref="A4:A6"/>
    <mergeCell ref="B4:B6"/>
    <mergeCell ref="C4:C6"/>
    <mergeCell ref="D4:D6"/>
    <mergeCell ref="E4:E6"/>
    <mergeCell ref="F4:F6"/>
    <mergeCell ref="A7:A9"/>
    <mergeCell ref="B7:B9"/>
    <mergeCell ref="C7:C9"/>
    <mergeCell ref="D7:D9"/>
    <mergeCell ref="E7:E9"/>
    <mergeCell ref="A19:B19"/>
    <mergeCell ref="A10:A12"/>
    <mergeCell ref="B10:B12"/>
    <mergeCell ref="C10:C12"/>
    <mergeCell ref="A13:A15"/>
    <mergeCell ref="B13:B15"/>
    <mergeCell ref="C13:C15"/>
    <mergeCell ref="D10:D12"/>
    <mergeCell ref="E10:E12"/>
    <mergeCell ref="F10:F12"/>
    <mergeCell ref="A17:B17"/>
    <mergeCell ref="A18:B18"/>
    <mergeCell ref="D13:D15"/>
    <mergeCell ref="E13:E15"/>
    <mergeCell ref="F13:F15"/>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35883-CB38-4C79-B4EB-79C57DD29380}">
  <sheetPr>
    <tabColor theme="2" tint="-0.749992370372631"/>
  </sheetPr>
  <dimension ref="A1:F16"/>
  <sheetViews>
    <sheetView workbookViewId="0">
      <selection sqref="A1:XFD1048576"/>
    </sheetView>
  </sheetViews>
  <sheetFormatPr defaultRowHeight="15" x14ac:dyDescent="0.25"/>
  <cols>
    <col min="1" max="1" width="47.5703125" customWidth="1"/>
    <col min="2" max="2" width="49.5703125" customWidth="1"/>
    <col min="3" max="3" width="18.5703125" customWidth="1"/>
    <col min="4" max="4" width="23.85546875" bestFit="1" customWidth="1"/>
    <col min="5" max="5" width="18.5703125" bestFit="1" customWidth="1"/>
  </cols>
  <sheetData>
    <row r="1" spans="1:6" ht="19.5" customHeight="1" thickTop="1" x14ac:dyDescent="0.25">
      <c r="A1" s="2222" t="s">
        <v>1749</v>
      </c>
      <c r="B1" s="2223"/>
      <c r="C1" s="2223"/>
      <c r="D1" s="2223"/>
      <c r="E1" s="2224"/>
    </row>
    <row r="2" spans="1:6" ht="19.5" customHeight="1" thickBot="1" x14ac:dyDescent="0.3">
      <c r="A2" s="2225"/>
      <c r="B2" s="2226"/>
      <c r="C2" s="2226"/>
      <c r="D2" s="2226"/>
      <c r="E2" s="2227"/>
    </row>
    <row r="3" spans="1:6" ht="20.25" customHeight="1" thickTop="1" thickBot="1" x14ac:dyDescent="0.3">
      <c r="A3" s="2228" t="s">
        <v>1734</v>
      </c>
      <c r="B3" s="2229"/>
      <c r="C3" s="781" t="s">
        <v>1733</v>
      </c>
      <c r="D3" s="781" t="s">
        <v>1732</v>
      </c>
      <c r="E3" s="781" t="s">
        <v>1731</v>
      </c>
    </row>
    <row r="4" spans="1:6" ht="18" customHeight="1" thickTop="1" x14ac:dyDescent="0.25">
      <c r="A4" s="2230" t="s">
        <v>1730</v>
      </c>
      <c r="B4" s="2231"/>
      <c r="C4" s="778">
        <v>4643.79</v>
      </c>
      <c r="D4" s="779" t="s">
        <v>35</v>
      </c>
      <c r="E4" s="778">
        <v>4643.79</v>
      </c>
    </row>
    <row r="5" spans="1:6" ht="18" customHeight="1" x14ac:dyDescent="0.25">
      <c r="A5" s="2220" t="s">
        <v>1729</v>
      </c>
      <c r="B5" s="2221"/>
      <c r="C5" s="778">
        <v>18.55</v>
      </c>
      <c r="D5" s="779">
        <v>7</v>
      </c>
      <c r="E5" s="778" t="s">
        <v>35</v>
      </c>
    </row>
    <row r="6" spans="1:6" ht="17.25" customHeight="1" x14ac:dyDescent="0.25">
      <c r="A6" s="2230" t="s">
        <v>1728</v>
      </c>
      <c r="B6" s="2231"/>
      <c r="C6" s="778">
        <v>10.022999999999998</v>
      </c>
      <c r="D6" s="780" t="s">
        <v>35</v>
      </c>
      <c r="E6" s="778">
        <v>33.409999999999997</v>
      </c>
    </row>
    <row r="7" spans="1:6" ht="19.5" customHeight="1" x14ac:dyDescent="0.25">
      <c r="A7" s="2220" t="s">
        <v>1727</v>
      </c>
      <c r="B7" s="2221"/>
      <c r="C7" s="778">
        <v>9.0020000000000007</v>
      </c>
      <c r="D7" s="779" t="s">
        <v>35</v>
      </c>
      <c r="E7" s="778">
        <v>90.02</v>
      </c>
    </row>
    <row r="8" spans="1:6" x14ac:dyDescent="0.25">
      <c r="A8" s="2220" t="s">
        <v>1726</v>
      </c>
      <c r="B8" s="2221"/>
      <c r="C8" s="778">
        <v>63.400000000000006</v>
      </c>
      <c r="D8" s="779" t="s">
        <v>35</v>
      </c>
      <c r="E8" s="778">
        <v>634</v>
      </c>
    </row>
    <row r="9" spans="1:6" ht="19.5" customHeight="1" x14ac:dyDescent="0.25">
      <c r="A9" s="2220" t="s">
        <v>3759</v>
      </c>
      <c r="B9" s="2221"/>
      <c r="C9" s="778">
        <v>0.60000000000000009</v>
      </c>
      <c r="D9" s="779" t="s">
        <v>35</v>
      </c>
      <c r="E9" s="778">
        <v>6</v>
      </c>
    </row>
    <row r="10" spans="1:6" ht="19.5" customHeight="1" x14ac:dyDescent="0.25">
      <c r="A10" s="2220" t="s">
        <v>3756</v>
      </c>
      <c r="B10" s="2221"/>
      <c r="C10" s="778">
        <v>10.540000000000001</v>
      </c>
      <c r="D10" s="779" t="s">
        <v>35</v>
      </c>
      <c r="E10" s="778">
        <v>105.4</v>
      </c>
    </row>
    <row r="11" spans="1:6" ht="19.5" customHeight="1" x14ac:dyDescent="0.25">
      <c r="A11" s="2220" t="s">
        <v>3757</v>
      </c>
      <c r="B11" s="2221"/>
      <c r="C11" s="778">
        <v>80.5</v>
      </c>
      <c r="D11" s="779">
        <v>7</v>
      </c>
      <c r="E11" s="778">
        <v>90.02</v>
      </c>
    </row>
    <row r="12" spans="1:6" ht="19.5" customHeight="1" thickBot="1" x14ac:dyDescent="0.3">
      <c r="A12" s="2218" t="s">
        <v>3760</v>
      </c>
      <c r="B12" s="2219"/>
      <c r="C12" s="776">
        <v>66.968999999999994</v>
      </c>
      <c r="D12" s="777" t="s">
        <v>35</v>
      </c>
      <c r="E12" s="776">
        <v>223.23</v>
      </c>
    </row>
    <row r="13" spans="1:6" ht="16.5" thickTop="1" thickBot="1" x14ac:dyDescent="0.3">
      <c r="A13" s="775"/>
      <c r="C13" s="774"/>
      <c r="E13" s="773"/>
    </row>
    <row r="14" spans="1:6" ht="16.5" thickTop="1" thickBot="1" x14ac:dyDescent="0.3">
      <c r="A14" s="772" t="s">
        <v>1725</v>
      </c>
      <c r="B14" s="771">
        <v>73.001999999999995</v>
      </c>
      <c r="D14" s="770" t="s">
        <v>1724</v>
      </c>
      <c r="E14" s="769">
        <v>95.542000000000002</v>
      </c>
      <c r="F14" s="768"/>
    </row>
    <row r="15" spans="1:6" ht="15.75" thickBot="1" x14ac:dyDescent="0.3">
      <c r="A15" s="767" t="s">
        <v>1723</v>
      </c>
      <c r="B15" s="766">
        <v>4830.3720000000003</v>
      </c>
      <c r="C15" s="765"/>
      <c r="D15" s="764" t="s">
        <v>1722</v>
      </c>
      <c r="E15" s="763">
        <v>4807.8320000000003</v>
      </c>
    </row>
    <row r="16" spans="1:6" ht="15.75" thickTop="1" x14ac:dyDescent="0.25"/>
  </sheetData>
  <mergeCells count="11">
    <mergeCell ref="A9:B9"/>
    <mergeCell ref="A10:B10"/>
    <mergeCell ref="A11:B11"/>
    <mergeCell ref="A12:B12"/>
    <mergeCell ref="A8:B8"/>
    <mergeCell ref="A7:B7"/>
    <mergeCell ref="A1:E2"/>
    <mergeCell ref="A6:B6"/>
    <mergeCell ref="A3:B3"/>
    <mergeCell ref="A4:B4"/>
    <mergeCell ref="A5:B5"/>
  </mergeCells>
  <printOptions horizontalCentered="1"/>
  <pageMargins left="0.51181102362204722" right="0.51181102362204722" top="0.78740157480314965" bottom="0.78740157480314965" header="0.31496062992125984" footer="0.31496062992125984"/>
  <pageSetup paperSize="9" scale="58"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5A998-619F-4FC0-9084-B22F541FB994}">
  <sheetPr>
    <tabColor theme="2" tint="-0.749992370372631"/>
    <pageSetUpPr fitToPage="1"/>
  </sheetPr>
  <dimension ref="A1:G17"/>
  <sheetViews>
    <sheetView workbookViewId="0">
      <selection sqref="A1:XFD1048576"/>
    </sheetView>
  </sheetViews>
  <sheetFormatPr defaultRowHeight="15" x14ac:dyDescent="0.25"/>
  <cols>
    <col min="1" max="1" width="18.85546875" customWidth="1"/>
    <col min="2" max="2" width="16.7109375" customWidth="1"/>
    <col min="3" max="3" width="15.7109375" customWidth="1"/>
    <col min="4" max="4" width="13.5703125" customWidth="1"/>
    <col min="5" max="5" width="11.7109375" customWidth="1"/>
    <col min="6" max="6" width="14.5703125" customWidth="1"/>
  </cols>
  <sheetData>
    <row r="1" spans="1:7" ht="21.75" customHeight="1" thickTop="1" x14ac:dyDescent="0.25">
      <c r="A1" s="2222" t="s">
        <v>1750</v>
      </c>
      <c r="B1" s="2223"/>
      <c r="C1" s="2223"/>
      <c r="D1" s="2223"/>
      <c r="E1" s="2223"/>
      <c r="F1" s="2224"/>
    </row>
    <row r="2" spans="1:7" ht="21.75" customHeight="1" thickBot="1" x14ac:dyDescent="0.3">
      <c r="A2" s="2250"/>
      <c r="B2" s="2251"/>
      <c r="C2" s="2251"/>
      <c r="D2" s="2251"/>
      <c r="E2" s="2251"/>
      <c r="F2" s="2252"/>
    </row>
    <row r="3" spans="1:7" ht="15.75" thickBot="1" x14ac:dyDescent="0.3">
      <c r="A3" s="787" t="s">
        <v>1747</v>
      </c>
      <c r="B3" s="786" t="s">
        <v>481</v>
      </c>
      <c r="C3" s="786" t="s">
        <v>1746</v>
      </c>
      <c r="D3" s="786" t="s">
        <v>1745</v>
      </c>
      <c r="E3" s="786" t="s">
        <v>1744</v>
      </c>
      <c r="F3" s="785" t="s">
        <v>1743</v>
      </c>
      <c r="G3" s="784"/>
    </row>
    <row r="4" spans="1:7" ht="15.75" thickBot="1" x14ac:dyDescent="0.3">
      <c r="A4" s="2255"/>
      <c r="B4" s="2244" t="s">
        <v>1742</v>
      </c>
      <c r="C4" s="2241">
        <v>0.30199999999999999</v>
      </c>
      <c r="D4" s="2234">
        <v>62</v>
      </c>
      <c r="E4" s="2237">
        <v>62</v>
      </c>
      <c r="F4" s="2257">
        <v>18.724</v>
      </c>
      <c r="G4" s="784"/>
    </row>
    <row r="5" spans="1:7" ht="15.75" thickBot="1" x14ac:dyDescent="0.3">
      <c r="A5" s="2256"/>
      <c r="B5" s="2245"/>
      <c r="C5" s="2242"/>
      <c r="D5" s="2235"/>
      <c r="E5" s="2237"/>
      <c r="F5" s="2257"/>
      <c r="G5" s="784"/>
    </row>
    <row r="6" spans="1:7" ht="15.75" thickBot="1" x14ac:dyDescent="0.3">
      <c r="A6" s="2256"/>
      <c r="B6" s="2245"/>
      <c r="C6" s="2242"/>
      <c r="D6" s="2235"/>
      <c r="E6" s="2234"/>
      <c r="F6" s="2258"/>
      <c r="G6" s="784"/>
    </row>
    <row r="7" spans="1:7" ht="15.75" thickBot="1" x14ac:dyDescent="0.3">
      <c r="A7" s="2255"/>
      <c r="B7" s="2244" t="s">
        <v>1741</v>
      </c>
      <c r="C7" s="2241">
        <v>0.19600000000000001</v>
      </c>
      <c r="D7" s="2234">
        <v>56</v>
      </c>
      <c r="E7" s="2237">
        <v>56</v>
      </c>
      <c r="F7" s="2257">
        <v>10.976000000000001</v>
      </c>
      <c r="G7" s="784"/>
    </row>
    <row r="8" spans="1:7" ht="15.75" thickBot="1" x14ac:dyDescent="0.3">
      <c r="A8" s="2256"/>
      <c r="B8" s="2245"/>
      <c r="C8" s="2242"/>
      <c r="D8" s="2235"/>
      <c r="E8" s="2237"/>
      <c r="F8" s="2257"/>
      <c r="G8" s="784"/>
    </row>
    <row r="9" spans="1:7" ht="19.5" customHeight="1" thickBot="1" x14ac:dyDescent="0.3">
      <c r="A9" s="2262"/>
      <c r="B9" s="2246"/>
      <c r="C9" s="2243"/>
      <c r="D9" s="2236"/>
      <c r="E9" s="2234"/>
      <c r="F9" s="2258"/>
      <c r="G9" s="784"/>
    </row>
    <row r="10" spans="1:7" ht="19.5" customHeight="1" thickBot="1" x14ac:dyDescent="0.3">
      <c r="A10" s="2255"/>
      <c r="B10" s="2244" t="s">
        <v>1740</v>
      </c>
      <c r="C10" s="2241">
        <v>0.19600000000000001</v>
      </c>
      <c r="D10" s="2234">
        <v>2</v>
      </c>
      <c r="E10" s="2237">
        <v>2</v>
      </c>
      <c r="F10" s="2238">
        <v>0.39200000000000002</v>
      </c>
      <c r="G10" s="784"/>
    </row>
    <row r="11" spans="1:7" ht="19.5" customHeight="1" thickBot="1" x14ac:dyDescent="0.3">
      <c r="A11" s="2256"/>
      <c r="B11" s="2245"/>
      <c r="C11" s="2242"/>
      <c r="D11" s="2235"/>
      <c r="E11" s="2237"/>
      <c r="F11" s="2238"/>
      <c r="G11" s="784"/>
    </row>
    <row r="12" spans="1:7" ht="19.5" customHeight="1" thickBot="1" x14ac:dyDescent="0.3">
      <c r="A12" s="2262"/>
      <c r="B12" s="2246"/>
      <c r="C12" s="2243"/>
      <c r="D12" s="2236"/>
      <c r="E12" s="2237"/>
      <c r="F12" s="2238"/>
      <c r="G12" s="784"/>
    </row>
    <row r="13" spans="1:7" ht="19.5" customHeight="1" thickBot="1" x14ac:dyDescent="0.3">
      <c r="A13" s="775"/>
      <c r="E13" s="165"/>
      <c r="F13" s="773"/>
    </row>
    <row r="14" spans="1:7" ht="15.75" thickBot="1" x14ac:dyDescent="0.3">
      <c r="A14" s="2253" t="s">
        <v>1739</v>
      </c>
      <c r="B14" s="2254"/>
      <c r="C14" s="782" t="s">
        <v>449</v>
      </c>
      <c r="D14" s="782" t="s">
        <v>1738</v>
      </c>
      <c r="E14" s="165"/>
      <c r="F14" s="773"/>
    </row>
    <row r="15" spans="1:7" ht="15.75" thickBot="1" x14ac:dyDescent="0.3">
      <c r="A15" s="2239" t="s">
        <v>1737</v>
      </c>
      <c r="B15" s="2240"/>
      <c r="C15" s="782">
        <v>120</v>
      </c>
      <c r="D15" s="783">
        <v>30.092000000000002</v>
      </c>
      <c r="F15" s="773"/>
    </row>
    <row r="16" spans="1:7" ht="15.75" thickBot="1" x14ac:dyDescent="0.3">
      <c r="A16" s="2263" t="s">
        <v>1736</v>
      </c>
      <c r="B16" s="2264"/>
      <c r="C16" s="789">
        <v>120</v>
      </c>
      <c r="D16" s="789" t="s">
        <v>35</v>
      </c>
      <c r="E16" s="765"/>
      <c r="F16" s="788"/>
    </row>
    <row r="17" ht="15.75" thickTop="1" x14ac:dyDescent="0.25"/>
  </sheetData>
  <mergeCells count="22">
    <mergeCell ref="A1:F2"/>
    <mergeCell ref="A15:B15"/>
    <mergeCell ref="A14:B14"/>
    <mergeCell ref="A16:B16"/>
    <mergeCell ref="A4:A6"/>
    <mergeCell ref="F4:F6"/>
    <mergeCell ref="E4:E6"/>
    <mergeCell ref="D4:D6"/>
    <mergeCell ref="C4:C6"/>
    <mergeCell ref="B4:B6"/>
    <mergeCell ref="A10:A12"/>
    <mergeCell ref="F10:F12"/>
    <mergeCell ref="E10:E12"/>
    <mergeCell ref="D10:D12"/>
    <mergeCell ref="C10:C12"/>
    <mergeCell ref="B10:B12"/>
    <mergeCell ref="A7:A9"/>
    <mergeCell ref="F7:F9"/>
    <mergeCell ref="E7:E9"/>
    <mergeCell ref="D7:D9"/>
    <mergeCell ref="C7:C9"/>
    <mergeCell ref="B7:B9"/>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44A59-6D6D-42F3-8FDB-81095490D24E}">
  <sheetPr>
    <tabColor theme="2" tint="-0.749992370372631"/>
    <pageSetUpPr fitToPage="1"/>
  </sheetPr>
  <dimension ref="A1:F35"/>
  <sheetViews>
    <sheetView workbookViewId="0">
      <selection sqref="A1:XFD1048576"/>
    </sheetView>
  </sheetViews>
  <sheetFormatPr defaultColWidth="9.140625" defaultRowHeight="15" x14ac:dyDescent="0.25"/>
  <cols>
    <col min="1" max="1" width="9.140625" style="233"/>
    <col min="2" max="2" width="50.7109375" style="233" customWidth="1"/>
    <col min="3" max="3" width="9.140625" style="233"/>
    <col min="4" max="6" width="15.7109375" style="234" customWidth="1"/>
    <col min="7" max="16384" width="9.140625" style="233"/>
  </cols>
  <sheetData>
    <row r="1" spans="1:6" x14ac:dyDescent="0.25">
      <c r="A1" s="233" t="s">
        <v>3440</v>
      </c>
    </row>
    <row r="2" spans="1:6" x14ac:dyDescent="0.25">
      <c r="A2" s="233" t="s">
        <v>1445</v>
      </c>
    </row>
    <row r="3" spans="1:6" x14ac:dyDescent="0.25">
      <c r="A3" s="133" t="s">
        <v>1446</v>
      </c>
      <c r="B3" s="232" t="s">
        <v>1447</v>
      </c>
    </row>
    <row r="4" spans="1:6" ht="18" x14ac:dyDescent="0.25">
      <c r="A4" s="560" t="s">
        <v>0</v>
      </c>
      <c r="B4" s="560" t="s">
        <v>8</v>
      </c>
      <c r="C4" s="560" t="s">
        <v>1</v>
      </c>
      <c r="D4" s="561" t="s">
        <v>449</v>
      </c>
      <c r="E4" s="561" t="s">
        <v>1448</v>
      </c>
      <c r="F4" s="561" t="s">
        <v>1449</v>
      </c>
    </row>
    <row r="5" spans="1:6" s="88" customFormat="1" x14ac:dyDescent="0.25">
      <c r="A5" s="562">
        <v>1</v>
      </c>
      <c r="B5" s="563" t="s">
        <v>1450</v>
      </c>
      <c r="C5" s="562" t="s">
        <v>28</v>
      </c>
      <c r="D5" s="564">
        <v>2101.3599999999997</v>
      </c>
      <c r="E5" s="564">
        <v>24200</v>
      </c>
      <c r="F5" s="564">
        <v>8.6833057851239653E-2</v>
      </c>
    </row>
    <row r="6" spans="1:6" x14ac:dyDescent="0.25">
      <c r="A6" s="565"/>
      <c r="B6" s="566"/>
      <c r="C6" s="566"/>
      <c r="D6" s="567"/>
      <c r="E6" s="568" t="s">
        <v>1451</v>
      </c>
      <c r="F6" s="569">
        <v>8.6833057851239653E-2</v>
      </c>
    </row>
    <row r="7" spans="1:6" x14ac:dyDescent="0.25">
      <c r="A7" s="565"/>
      <c r="B7" s="566"/>
      <c r="C7" s="566"/>
      <c r="D7" s="567"/>
      <c r="E7" s="568" t="s">
        <v>1452</v>
      </c>
      <c r="F7" s="569">
        <v>1</v>
      </c>
    </row>
    <row r="9" spans="1:6" x14ac:dyDescent="0.25">
      <c r="A9" s="133" t="s">
        <v>1446</v>
      </c>
      <c r="B9" s="232" t="s">
        <v>1453</v>
      </c>
    </row>
    <row r="10" spans="1:6" ht="18" x14ac:dyDescent="0.25">
      <c r="A10" s="560" t="s">
        <v>0</v>
      </c>
      <c r="B10" s="560" t="s">
        <v>8</v>
      </c>
      <c r="C10" s="560" t="s">
        <v>1</v>
      </c>
      <c r="D10" s="561" t="s">
        <v>449</v>
      </c>
      <c r="E10" s="561" t="s">
        <v>1448</v>
      </c>
      <c r="F10" s="561" t="s">
        <v>1449</v>
      </c>
    </row>
    <row r="11" spans="1:6" s="88" customFormat="1" x14ac:dyDescent="0.25">
      <c r="A11" s="562">
        <v>1</v>
      </c>
      <c r="B11" s="563" t="s">
        <v>965</v>
      </c>
      <c r="C11" s="562" t="s">
        <v>28</v>
      </c>
      <c r="D11" s="564">
        <v>9974.7624000000014</v>
      </c>
      <c r="E11" s="564">
        <v>21900</v>
      </c>
      <c r="F11" s="564">
        <v>0.45546860273972611</v>
      </c>
    </row>
    <row r="12" spans="1:6" s="88" customFormat="1" x14ac:dyDescent="0.25">
      <c r="A12" s="562">
        <v>2</v>
      </c>
      <c r="B12" s="563" t="s">
        <v>1454</v>
      </c>
      <c r="C12" s="562"/>
      <c r="D12" s="564">
        <v>0</v>
      </c>
      <c r="E12" s="564">
        <v>21900</v>
      </c>
      <c r="F12" s="564">
        <v>0</v>
      </c>
    </row>
    <row r="13" spans="1:6" x14ac:dyDescent="0.25">
      <c r="A13" s="565"/>
      <c r="B13" s="566"/>
      <c r="C13" s="566"/>
      <c r="D13" s="567"/>
      <c r="E13" s="568" t="s">
        <v>1455</v>
      </c>
      <c r="F13" s="569">
        <v>0.45546860273972611</v>
      </c>
    </row>
    <row r="14" spans="1:6" x14ac:dyDescent="0.25">
      <c r="A14" s="565"/>
      <c r="B14" s="566"/>
      <c r="C14" s="566"/>
      <c r="D14" s="567"/>
      <c r="E14" s="568" t="s">
        <v>1452</v>
      </c>
      <c r="F14" s="569">
        <v>1</v>
      </c>
    </row>
    <row r="16" spans="1:6" x14ac:dyDescent="0.25">
      <c r="A16" s="133" t="s">
        <v>1446</v>
      </c>
      <c r="B16" s="232" t="s">
        <v>1456</v>
      </c>
    </row>
    <row r="17" spans="1:6" ht="18" x14ac:dyDescent="0.25">
      <c r="A17" s="560" t="s">
        <v>0</v>
      </c>
      <c r="B17" s="560" t="s">
        <v>8</v>
      </c>
      <c r="C17" s="560" t="s">
        <v>1</v>
      </c>
      <c r="D17" s="561" t="s">
        <v>449</v>
      </c>
      <c r="E17" s="561" t="s">
        <v>1448</v>
      </c>
      <c r="F17" s="561" t="s">
        <v>1449</v>
      </c>
    </row>
    <row r="18" spans="1:6" s="88" customFormat="1" x14ac:dyDescent="0.25">
      <c r="A18" s="562">
        <v>1</v>
      </c>
      <c r="B18" s="563" t="s">
        <v>975</v>
      </c>
      <c r="C18" s="562" t="s">
        <v>20</v>
      </c>
      <c r="D18" s="564">
        <v>14133.54</v>
      </c>
      <c r="E18" s="564">
        <v>1610000</v>
      </c>
      <c r="F18" s="564">
        <v>8.7785962732919252E-3</v>
      </c>
    </row>
    <row r="19" spans="1:6" s="88" customFormat="1" x14ac:dyDescent="0.25">
      <c r="A19" s="562">
        <v>2</v>
      </c>
      <c r="B19" s="563" t="s">
        <v>676</v>
      </c>
      <c r="C19" s="562" t="s">
        <v>20</v>
      </c>
      <c r="D19" s="564">
        <v>5997.95</v>
      </c>
      <c r="E19" s="564">
        <v>3610000</v>
      </c>
      <c r="F19" s="564">
        <v>1.6614819944598337E-3</v>
      </c>
    </row>
    <row r="20" spans="1:6" s="88" customFormat="1" x14ac:dyDescent="0.25">
      <c r="A20" s="562">
        <v>3</v>
      </c>
      <c r="B20" s="563" t="s">
        <v>1457</v>
      </c>
      <c r="C20" s="562" t="s">
        <v>20</v>
      </c>
      <c r="D20" s="564">
        <v>8830.34</v>
      </c>
      <c r="E20" s="564">
        <v>123000</v>
      </c>
      <c r="F20" s="564">
        <v>7.1791382113821134E-2</v>
      </c>
    </row>
    <row r="21" spans="1:6" s="88" customFormat="1" x14ac:dyDescent="0.25">
      <c r="A21" s="562">
        <v>4</v>
      </c>
      <c r="B21" s="563" t="s">
        <v>1458</v>
      </c>
      <c r="C21" s="562" t="s">
        <v>23</v>
      </c>
      <c r="D21" s="564"/>
      <c r="E21" s="564">
        <v>9000</v>
      </c>
      <c r="F21" s="564">
        <v>0</v>
      </c>
    </row>
    <row r="22" spans="1:6" s="88" customFormat="1" x14ac:dyDescent="0.25">
      <c r="A22" s="562">
        <v>5</v>
      </c>
      <c r="B22" s="563" t="s">
        <v>1459</v>
      </c>
      <c r="C22" s="562" t="s">
        <v>23</v>
      </c>
      <c r="D22" s="564">
        <v>2369.0493060600002</v>
      </c>
      <c r="E22" s="564">
        <v>9000</v>
      </c>
      <c r="F22" s="564">
        <v>0.26322770067333334</v>
      </c>
    </row>
    <row r="23" spans="1:6" x14ac:dyDescent="0.25">
      <c r="A23" s="565"/>
      <c r="B23" s="566"/>
      <c r="C23" s="566"/>
      <c r="D23" s="567"/>
      <c r="E23" s="568" t="s">
        <v>1460</v>
      </c>
      <c r="F23" s="569">
        <v>0.34545916105490626</v>
      </c>
    </row>
    <row r="24" spans="1:6" x14ac:dyDescent="0.25">
      <c r="A24" s="565"/>
      <c r="B24" s="566"/>
      <c r="C24" s="566"/>
      <c r="D24" s="567"/>
      <c r="E24" s="568" t="s">
        <v>1452</v>
      </c>
      <c r="F24" s="569">
        <v>1</v>
      </c>
    </row>
    <row r="26" spans="1:6" x14ac:dyDescent="0.25">
      <c r="A26" s="133" t="s">
        <v>1446</v>
      </c>
      <c r="B26" s="232" t="s">
        <v>1461</v>
      </c>
    </row>
    <row r="27" spans="1:6" ht="18" x14ac:dyDescent="0.25">
      <c r="A27" s="560" t="s">
        <v>0</v>
      </c>
      <c r="B27" s="560" t="s">
        <v>8</v>
      </c>
      <c r="C27" s="560" t="s">
        <v>1</v>
      </c>
      <c r="D27" s="561" t="s">
        <v>449</v>
      </c>
      <c r="E27" s="561" t="s">
        <v>1448</v>
      </c>
      <c r="F27" s="561" t="s">
        <v>1449</v>
      </c>
    </row>
    <row r="28" spans="1:6" s="88" customFormat="1" x14ac:dyDescent="0.25">
      <c r="A28" s="562">
        <v>1</v>
      </c>
      <c r="B28" s="563" t="s">
        <v>1462</v>
      </c>
      <c r="C28" s="562" t="s">
        <v>1463</v>
      </c>
      <c r="D28" s="564">
        <v>610.75</v>
      </c>
      <c r="E28" s="564">
        <v>1100</v>
      </c>
      <c r="F28" s="564">
        <v>0.55522727272727268</v>
      </c>
    </row>
    <row r="29" spans="1:6" x14ac:dyDescent="0.25">
      <c r="A29" s="565"/>
      <c r="B29" s="566"/>
      <c r="C29" s="566"/>
      <c r="D29" s="567"/>
      <c r="E29" s="568" t="s">
        <v>1464</v>
      </c>
      <c r="F29" s="569">
        <v>0.55522727272727268</v>
      </c>
    </row>
    <row r="30" spans="1:6" x14ac:dyDescent="0.25">
      <c r="A30" s="565"/>
      <c r="B30" s="566"/>
      <c r="C30" s="566"/>
      <c r="D30" s="567"/>
      <c r="E30" s="568" t="s">
        <v>1452</v>
      </c>
      <c r="F30" s="569">
        <v>1</v>
      </c>
    </row>
    <row r="31" spans="1:6" x14ac:dyDescent="0.25">
      <c r="D31" s="553"/>
      <c r="E31" s="553"/>
      <c r="F31" s="553"/>
    </row>
    <row r="32" spans="1:6" x14ac:dyDescent="0.25">
      <c r="D32" s="49"/>
      <c r="E32" s="49"/>
      <c r="F32" s="49"/>
    </row>
    <row r="33" spans="1:6" x14ac:dyDescent="0.25">
      <c r="D33" s="555"/>
      <c r="E33" s="556"/>
      <c r="F33" s="557"/>
    </row>
    <row r="34" spans="1:6" x14ac:dyDescent="0.25">
      <c r="D34" s="558" t="s">
        <v>135</v>
      </c>
      <c r="E34" s="559"/>
      <c r="F34" s="558"/>
    </row>
    <row r="35" spans="1:6" x14ac:dyDescent="0.25">
      <c r="A35" s="233" t="s">
        <v>1115</v>
      </c>
      <c r="D35" s="558" t="s">
        <v>136</v>
      </c>
      <c r="E35" s="559"/>
      <c r="F35" s="558"/>
    </row>
  </sheetData>
  <printOptions horizontalCentered="1"/>
  <pageMargins left="0.78740157480314965" right="0.59055118110236227" top="0.78740157480314965" bottom="0.78740157480314965" header="0.59055118110236227" footer="0.59055118110236227"/>
  <pageSetup paperSize="9" scale="7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A1748-A20A-4949-BC4D-56CF9CEBF136}">
  <sheetPr>
    <tabColor theme="2" tint="-0.749992370372631"/>
    <pageSetUpPr fitToPage="1"/>
  </sheetPr>
  <dimension ref="A1:F35"/>
  <sheetViews>
    <sheetView workbookViewId="0">
      <selection sqref="A1:XFD1048576"/>
    </sheetView>
  </sheetViews>
  <sheetFormatPr defaultColWidth="9.140625" defaultRowHeight="15" x14ac:dyDescent="0.25"/>
  <cols>
    <col min="1" max="1" width="9.140625" style="233"/>
    <col min="2" max="2" width="50.7109375" style="233" customWidth="1"/>
    <col min="3" max="3" width="9.140625" style="233"/>
    <col min="4" max="6" width="15.7109375" style="234" customWidth="1"/>
    <col min="7" max="16384" width="9.140625" style="233"/>
  </cols>
  <sheetData>
    <row r="1" spans="1:6" x14ac:dyDescent="0.25">
      <c r="A1" s="233" t="s">
        <v>3439</v>
      </c>
    </row>
    <row r="2" spans="1:6" x14ac:dyDescent="0.25">
      <c r="A2" s="233" t="s">
        <v>1445</v>
      </c>
    </row>
    <row r="3" spans="1:6" x14ac:dyDescent="0.25">
      <c r="A3" s="133" t="s">
        <v>1446</v>
      </c>
      <c r="B3" s="232" t="s">
        <v>1447</v>
      </c>
    </row>
    <row r="4" spans="1:6" ht="18" x14ac:dyDescent="0.25">
      <c r="A4" s="560" t="s">
        <v>0</v>
      </c>
      <c r="B4" s="560" t="s">
        <v>8</v>
      </c>
      <c r="C4" s="560" t="s">
        <v>1</v>
      </c>
      <c r="D4" s="561" t="s">
        <v>449</v>
      </c>
      <c r="E4" s="561" t="s">
        <v>1448</v>
      </c>
      <c r="F4" s="561" t="s">
        <v>1449</v>
      </c>
    </row>
    <row r="5" spans="1:6" s="88" customFormat="1" x14ac:dyDescent="0.25">
      <c r="A5" s="562">
        <v>1</v>
      </c>
      <c r="B5" s="563" t="s">
        <v>1450</v>
      </c>
      <c r="C5" s="562" t="s">
        <v>28</v>
      </c>
      <c r="D5" s="564">
        <v>1680.0600000000004</v>
      </c>
      <c r="E5" s="564">
        <v>24200</v>
      </c>
      <c r="F5" s="564">
        <v>6.9423966942148779E-2</v>
      </c>
    </row>
    <row r="6" spans="1:6" x14ac:dyDescent="0.25">
      <c r="A6" s="565"/>
      <c r="B6" s="566"/>
      <c r="C6" s="566"/>
      <c r="D6" s="567"/>
      <c r="E6" s="568" t="s">
        <v>1451</v>
      </c>
      <c r="F6" s="569">
        <v>6.9423966942148779E-2</v>
      </c>
    </row>
    <row r="7" spans="1:6" x14ac:dyDescent="0.25">
      <c r="A7" s="565"/>
      <c r="B7" s="566"/>
      <c r="C7" s="566"/>
      <c r="D7" s="567"/>
      <c r="E7" s="568" t="s">
        <v>1452</v>
      </c>
      <c r="F7" s="569">
        <v>1</v>
      </c>
    </row>
    <row r="9" spans="1:6" x14ac:dyDescent="0.25">
      <c r="A9" s="133" t="s">
        <v>1446</v>
      </c>
      <c r="B9" s="232" t="s">
        <v>1453</v>
      </c>
    </row>
    <row r="10" spans="1:6" ht="18" x14ac:dyDescent="0.25">
      <c r="A10" s="560" t="s">
        <v>0</v>
      </c>
      <c r="B10" s="560" t="s">
        <v>8</v>
      </c>
      <c r="C10" s="560" t="s">
        <v>1</v>
      </c>
      <c r="D10" s="561" t="s">
        <v>449</v>
      </c>
      <c r="E10" s="561" t="s">
        <v>1448</v>
      </c>
      <c r="F10" s="561" t="s">
        <v>1449</v>
      </c>
    </row>
    <row r="11" spans="1:6" s="88" customFormat="1" x14ac:dyDescent="0.25">
      <c r="A11" s="562">
        <v>1</v>
      </c>
      <c r="B11" s="563" t="s">
        <v>965</v>
      </c>
      <c r="C11" s="562" t="s">
        <v>28</v>
      </c>
      <c r="D11" s="564">
        <v>0</v>
      </c>
      <c r="E11" s="564">
        <v>21900</v>
      </c>
      <c r="F11" s="564">
        <v>0</v>
      </c>
    </row>
    <row r="12" spans="1:6" s="88" customFormat="1" x14ac:dyDescent="0.25">
      <c r="A12" s="562">
        <v>2</v>
      </c>
      <c r="B12" s="563" t="s">
        <v>1454</v>
      </c>
      <c r="C12" s="562"/>
      <c r="D12" s="564">
        <v>0</v>
      </c>
      <c r="E12" s="564">
        <v>21900</v>
      </c>
      <c r="F12" s="564">
        <v>0</v>
      </c>
    </row>
    <row r="13" spans="1:6" x14ac:dyDescent="0.25">
      <c r="A13" s="565"/>
      <c r="B13" s="566"/>
      <c r="C13" s="566"/>
      <c r="D13" s="567"/>
      <c r="E13" s="568" t="s">
        <v>1455</v>
      </c>
      <c r="F13" s="569">
        <v>0</v>
      </c>
    </row>
    <row r="14" spans="1:6" x14ac:dyDescent="0.25">
      <c r="A14" s="565"/>
      <c r="B14" s="566"/>
      <c r="C14" s="566"/>
      <c r="D14" s="567"/>
      <c r="E14" s="568" t="s">
        <v>1452</v>
      </c>
      <c r="F14" s="569">
        <v>0</v>
      </c>
    </row>
    <row r="16" spans="1:6" x14ac:dyDescent="0.25">
      <c r="A16" s="133" t="s">
        <v>1446</v>
      </c>
      <c r="B16" s="232" t="s">
        <v>1456</v>
      </c>
    </row>
    <row r="17" spans="1:6" ht="18" x14ac:dyDescent="0.25">
      <c r="A17" s="560" t="s">
        <v>0</v>
      </c>
      <c r="B17" s="560" t="s">
        <v>8</v>
      </c>
      <c r="C17" s="560" t="s">
        <v>1</v>
      </c>
      <c r="D17" s="561" t="s">
        <v>449</v>
      </c>
      <c r="E17" s="561" t="s">
        <v>1448</v>
      </c>
      <c r="F17" s="561" t="s">
        <v>1449</v>
      </c>
    </row>
    <row r="18" spans="1:6" s="88" customFormat="1" x14ac:dyDescent="0.25">
      <c r="A18" s="562">
        <v>1</v>
      </c>
      <c r="B18" s="563" t="s">
        <v>975</v>
      </c>
      <c r="C18" s="562" t="s">
        <v>20</v>
      </c>
      <c r="D18" s="564">
        <v>12998.642000000002</v>
      </c>
      <c r="E18" s="564">
        <v>1610000</v>
      </c>
      <c r="F18" s="564">
        <v>8.0736906832298144E-3</v>
      </c>
    </row>
    <row r="19" spans="1:6" s="88" customFormat="1" x14ac:dyDescent="0.25">
      <c r="A19" s="562">
        <v>2</v>
      </c>
      <c r="B19" s="563" t="s">
        <v>676</v>
      </c>
      <c r="C19" s="562" t="s">
        <v>20</v>
      </c>
      <c r="D19" s="564">
        <v>0</v>
      </c>
      <c r="E19" s="564">
        <v>3610000</v>
      </c>
      <c r="F19" s="564">
        <v>0</v>
      </c>
    </row>
    <row r="20" spans="1:6" s="88" customFormat="1" x14ac:dyDescent="0.25">
      <c r="A20" s="562">
        <v>3</v>
      </c>
      <c r="B20" s="563" t="s">
        <v>1457</v>
      </c>
      <c r="C20" s="562" t="s">
        <v>20</v>
      </c>
      <c r="D20" s="564"/>
      <c r="E20" s="564">
        <v>123000</v>
      </c>
      <c r="F20" s="564">
        <v>0</v>
      </c>
    </row>
    <row r="21" spans="1:6" s="88" customFormat="1" x14ac:dyDescent="0.25">
      <c r="A21" s="562">
        <v>4</v>
      </c>
      <c r="B21" s="563" t="s">
        <v>1458</v>
      </c>
      <c r="C21" s="562" t="s">
        <v>23</v>
      </c>
      <c r="D21" s="564"/>
      <c r="E21" s="564">
        <v>9000</v>
      </c>
      <c r="F21" s="564">
        <v>0</v>
      </c>
    </row>
    <row r="22" spans="1:6" s="88" customFormat="1" x14ac:dyDescent="0.25">
      <c r="A22" s="562">
        <v>5</v>
      </c>
      <c r="B22" s="563" t="s">
        <v>1459</v>
      </c>
      <c r="C22" s="562" t="s">
        <v>23</v>
      </c>
      <c r="D22" s="564">
        <v>1826.4911819880001</v>
      </c>
      <c r="E22" s="564">
        <v>9000</v>
      </c>
      <c r="F22" s="564">
        <v>0.20294346466533333</v>
      </c>
    </row>
    <row r="23" spans="1:6" x14ac:dyDescent="0.25">
      <c r="A23" s="565"/>
      <c r="B23" s="566"/>
      <c r="C23" s="566"/>
      <c r="D23" s="567"/>
      <c r="E23" s="568" t="s">
        <v>1460</v>
      </c>
      <c r="F23" s="569">
        <v>0.21101715534856313</v>
      </c>
    </row>
    <row r="24" spans="1:6" x14ac:dyDescent="0.25">
      <c r="A24" s="565"/>
      <c r="B24" s="566"/>
      <c r="C24" s="566"/>
      <c r="D24" s="567"/>
      <c r="E24" s="568" t="s">
        <v>1452</v>
      </c>
      <c r="F24" s="569">
        <v>1</v>
      </c>
    </row>
    <row r="26" spans="1:6" x14ac:dyDescent="0.25">
      <c r="A26" s="133" t="s">
        <v>1446</v>
      </c>
      <c r="B26" s="232" t="s">
        <v>1461</v>
      </c>
    </row>
    <row r="27" spans="1:6" ht="18" x14ac:dyDescent="0.25">
      <c r="A27" s="560" t="s">
        <v>0</v>
      </c>
      <c r="B27" s="560" t="s">
        <v>8</v>
      </c>
      <c r="C27" s="560" t="s">
        <v>1</v>
      </c>
      <c r="D27" s="561" t="s">
        <v>449</v>
      </c>
      <c r="E27" s="561" t="s">
        <v>1448</v>
      </c>
      <c r="F27" s="561" t="s">
        <v>1449</v>
      </c>
    </row>
    <row r="28" spans="1:6" s="88" customFormat="1" x14ac:dyDescent="0.25">
      <c r="A28" s="562">
        <v>1</v>
      </c>
      <c r="B28" s="563" t="s">
        <v>1462</v>
      </c>
      <c r="C28" s="562" t="s">
        <v>1463</v>
      </c>
      <c r="D28" s="564">
        <v>511.48</v>
      </c>
      <c r="E28" s="564">
        <v>1100</v>
      </c>
      <c r="F28" s="564">
        <v>0.46498181818181822</v>
      </c>
    </row>
    <row r="29" spans="1:6" x14ac:dyDescent="0.25">
      <c r="A29" s="565"/>
      <c r="B29" s="566"/>
      <c r="C29" s="566"/>
      <c r="D29" s="567"/>
      <c r="E29" s="568" t="s">
        <v>1464</v>
      </c>
      <c r="F29" s="569">
        <v>0.46498181818181822</v>
      </c>
    </row>
    <row r="30" spans="1:6" x14ac:dyDescent="0.25">
      <c r="A30" s="565"/>
      <c r="B30" s="566"/>
      <c r="C30" s="566"/>
      <c r="D30" s="567"/>
      <c r="E30" s="568" t="s">
        <v>1452</v>
      </c>
      <c r="F30" s="569">
        <v>1</v>
      </c>
    </row>
    <row r="31" spans="1:6" x14ac:dyDescent="0.25">
      <c r="D31" s="553"/>
      <c r="E31" s="553"/>
      <c r="F31" s="553"/>
    </row>
    <row r="32" spans="1:6" x14ac:dyDescent="0.25">
      <c r="D32" s="49"/>
      <c r="E32" s="49"/>
      <c r="F32" s="49"/>
    </row>
    <row r="33" spans="1:6" x14ac:dyDescent="0.25">
      <c r="D33" s="555"/>
      <c r="E33" s="556"/>
      <c r="F33" s="557"/>
    </row>
    <row r="34" spans="1:6" x14ac:dyDescent="0.25">
      <c r="D34" s="558" t="s">
        <v>135</v>
      </c>
      <c r="E34" s="559"/>
      <c r="F34" s="558"/>
    </row>
    <row r="35" spans="1:6" x14ac:dyDescent="0.25">
      <c r="A35" s="233" t="s">
        <v>1115</v>
      </c>
      <c r="D35" s="558" t="s">
        <v>136</v>
      </c>
      <c r="E35" s="559"/>
      <c r="F35" s="558"/>
    </row>
  </sheetData>
  <printOptions horizontalCentered="1"/>
  <pageMargins left="0.78740157480314965" right="0.59055118110236227" top="0.78740157480314965" bottom="0.78740157480314965" header="0.59055118110236227" footer="0.59055118110236227"/>
  <pageSetup paperSize="9" scale="75"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8EEB8-1F90-425A-BC94-DDB453978376}">
  <sheetPr codeName="Planilha19">
    <tabColor theme="2" tint="-0.749992370372631"/>
    <pageSetUpPr fitToPage="1"/>
  </sheetPr>
  <dimension ref="A1:Q27"/>
  <sheetViews>
    <sheetView workbookViewId="0">
      <selection sqref="A1:XFD1048576"/>
    </sheetView>
  </sheetViews>
  <sheetFormatPr defaultColWidth="9.140625" defaultRowHeight="12" x14ac:dyDescent="0.25"/>
  <cols>
    <col min="1" max="1" width="2.7109375" style="11" customWidth="1"/>
    <col min="2" max="2" width="8.5703125" style="11" customWidth="1"/>
    <col min="3" max="3" width="23.7109375" style="11" customWidth="1"/>
    <col min="4" max="4" width="50.7109375" style="11" customWidth="1"/>
    <col min="5" max="5" width="9.140625" style="17"/>
    <col min="6" max="6" width="1.7109375" style="11" customWidth="1"/>
    <col min="7" max="10" width="10.7109375" style="11" customWidth="1"/>
    <col min="11" max="16" width="10.7109375" style="17" customWidth="1"/>
    <col min="17" max="17" width="2.7109375" style="11" customWidth="1"/>
    <col min="18" max="16384" width="9.140625" style="11"/>
  </cols>
  <sheetData>
    <row r="1" spans="1:17" ht="15.75" x14ac:dyDescent="0.25">
      <c r="A1" s="7" t="s">
        <v>4</v>
      </c>
      <c r="B1" s="205"/>
      <c r="C1" s="8"/>
      <c r="D1" s="8"/>
      <c r="E1" s="9"/>
      <c r="F1" s="8"/>
      <c r="G1" s="8"/>
      <c r="H1" s="8"/>
      <c r="I1" s="8"/>
      <c r="J1" s="8"/>
      <c r="K1" s="9"/>
      <c r="L1" s="9"/>
      <c r="M1" s="9"/>
      <c r="N1" s="9"/>
      <c r="O1" s="9"/>
      <c r="P1" s="9"/>
      <c r="Q1" s="10"/>
    </row>
    <row r="2" spans="1:17" ht="15.75" x14ac:dyDescent="0.25">
      <c r="A2" s="447"/>
      <c r="B2" s="448"/>
      <c r="C2" s="452" t="s">
        <v>5</v>
      </c>
      <c r="D2" s="453" t="s">
        <v>3501</v>
      </c>
      <c r="E2" s="450"/>
      <c r="F2" s="449"/>
      <c r="G2" s="449"/>
      <c r="H2" s="449"/>
      <c r="I2" s="449"/>
      <c r="J2" s="449"/>
      <c r="K2" s="450"/>
      <c r="L2" s="450"/>
      <c r="M2" s="450"/>
      <c r="N2" s="450"/>
      <c r="O2" s="450"/>
      <c r="P2" s="450"/>
      <c r="Q2" s="451"/>
    </row>
    <row r="3" spans="1:17" ht="15.75" x14ac:dyDescent="0.25">
      <c r="A3" s="12"/>
      <c r="B3" s="206"/>
      <c r="C3" s="13" t="s">
        <v>1284</v>
      </c>
      <c r="D3" s="39" t="s">
        <v>1717</v>
      </c>
      <c r="E3" s="14"/>
      <c r="F3" s="15"/>
      <c r="G3" s="15"/>
      <c r="H3" s="15"/>
      <c r="I3" s="15"/>
      <c r="J3" s="15"/>
      <c r="K3" s="14"/>
      <c r="L3" s="14"/>
      <c r="M3" s="14"/>
      <c r="N3" s="14"/>
      <c r="O3" s="14"/>
      <c r="P3" s="14"/>
      <c r="Q3" s="454"/>
    </row>
    <row r="4" spans="1:17" x14ac:dyDescent="0.25">
      <c r="A4" s="16"/>
      <c r="B4" s="207"/>
      <c r="Q4" s="18"/>
    </row>
    <row r="5" spans="1:17" s="24" customFormat="1" x14ac:dyDescent="0.25">
      <c r="A5" s="19"/>
      <c r="B5" s="2267" t="s">
        <v>288</v>
      </c>
      <c r="C5" s="2269" t="s">
        <v>287</v>
      </c>
      <c r="D5" s="2265" t="s">
        <v>6</v>
      </c>
      <c r="E5" s="2271" t="s">
        <v>7</v>
      </c>
      <c r="F5" s="20"/>
      <c r="G5" s="2267" t="s">
        <v>8</v>
      </c>
      <c r="H5" s="2265" t="s">
        <v>9</v>
      </c>
      <c r="I5" s="21" t="s">
        <v>10</v>
      </c>
      <c r="J5" s="455"/>
      <c r="K5" s="462" t="s">
        <v>11</v>
      </c>
      <c r="L5" s="21"/>
      <c r="M5" s="22"/>
      <c r="N5" s="458" t="s">
        <v>12</v>
      </c>
      <c r="O5" s="21"/>
      <c r="P5" s="22"/>
      <c r="Q5" s="23"/>
    </row>
    <row r="6" spans="1:17" s="24" customFormat="1" x14ac:dyDescent="0.25">
      <c r="A6" s="19"/>
      <c r="B6" s="2268"/>
      <c r="C6" s="2270"/>
      <c r="D6" s="2266"/>
      <c r="E6" s="2272"/>
      <c r="F6" s="20"/>
      <c r="G6" s="2268"/>
      <c r="H6" s="2266"/>
      <c r="I6" s="25" t="s">
        <v>13</v>
      </c>
      <c r="J6" s="456" t="s">
        <v>14</v>
      </c>
      <c r="K6" s="463" t="s">
        <v>15</v>
      </c>
      <c r="L6" s="25" t="s">
        <v>16</v>
      </c>
      <c r="M6" s="26" t="s">
        <v>17</v>
      </c>
      <c r="N6" s="459" t="s">
        <v>15</v>
      </c>
      <c r="O6" s="25" t="s">
        <v>16</v>
      </c>
      <c r="P6" s="26" t="s">
        <v>17</v>
      </c>
      <c r="Q6" s="23"/>
    </row>
    <row r="7" spans="1:17" s="28" customFormat="1" ht="30" customHeight="1" x14ac:dyDescent="0.25">
      <c r="A7" s="27"/>
      <c r="B7" s="210">
        <v>1</v>
      </c>
      <c r="C7" s="208" t="s">
        <v>18</v>
      </c>
      <c r="D7" s="30" t="s">
        <v>1285</v>
      </c>
      <c r="E7" s="1140">
        <v>22</v>
      </c>
      <c r="G7" s="211" t="s">
        <v>18</v>
      </c>
      <c r="H7" s="34" t="s">
        <v>2587</v>
      </c>
      <c r="I7" s="34" t="s">
        <v>727</v>
      </c>
      <c r="J7" s="457" t="s">
        <v>728</v>
      </c>
      <c r="K7" s="464"/>
      <c r="L7" s="32">
        <v>0</v>
      </c>
      <c r="M7" s="33">
        <v>0</v>
      </c>
      <c r="N7" s="460">
        <v>0</v>
      </c>
      <c r="O7" s="32">
        <v>22</v>
      </c>
      <c r="P7" s="33">
        <v>22</v>
      </c>
      <c r="Q7" s="29"/>
    </row>
    <row r="8" spans="1:17" s="28" customFormat="1" ht="30" customHeight="1" x14ac:dyDescent="0.25">
      <c r="A8" s="27"/>
      <c r="B8" s="31">
        <v>2</v>
      </c>
      <c r="C8" s="208" t="s">
        <v>191</v>
      </c>
      <c r="D8" s="156" t="s">
        <v>289</v>
      </c>
      <c r="E8" s="1140">
        <v>34.6</v>
      </c>
      <c r="G8" s="211" t="s">
        <v>168</v>
      </c>
      <c r="H8" s="34" t="s">
        <v>212</v>
      </c>
      <c r="I8" s="34" t="s">
        <v>190</v>
      </c>
      <c r="J8" s="457" t="s">
        <v>161</v>
      </c>
      <c r="K8" s="464">
        <v>0</v>
      </c>
      <c r="L8" s="32">
        <v>0</v>
      </c>
      <c r="M8" s="33">
        <v>0</v>
      </c>
      <c r="N8" s="461">
        <v>4.5999999999999996</v>
      </c>
      <c r="O8" s="157">
        <v>30</v>
      </c>
      <c r="P8" s="33">
        <v>34.6</v>
      </c>
      <c r="Q8" s="29"/>
    </row>
    <row r="9" spans="1:17" s="28" customFormat="1" ht="30" customHeight="1" x14ac:dyDescent="0.25">
      <c r="A9" s="27"/>
      <c r="B9" s="31">
        <v>3</v>
      </c>
      <c r="C9" s="208" t="s">
        <v>192</v>
      </c>
      <c r="D9" s="156" t="s">
        <v>1807</v>
      </c>
      <c r="E9" s="1140">
        <v>57</v>
      </c>
      <c r="G9" s="211" t="s">
        <v>729</v>
      </c>
      <c r="H9" s="34" t="s">
        <v>2588</v>
      </c>
      <c r="I9" s="132" t="s">
        <v>1387</v>
      </c>
      <c r="J9" s="457" t="s">
        <v>727</v>
      </c>
      <c r="K9" s="464">
        <v>0</v>
      </c>
      <c r="L9" s="32">
        <v>0</v>
      </c>
      <c r="M9" s="33">
        <v>0</v>
      </c>
      <c r="N9" s="460">
        <v>0</v>
      </c>
      <c r="O9" s="32">
        <v>57</v>
      </c>
      <c r="P9" s="33">
        <v>57</v>
      </c>
      <c r="Q9" s="29"/>
    </row>
    <row r="10" spans="1:17" s="28" customFormat="1" ht="30" customHeight="1" x14ac:dyDescent="0.25">
      <c r="A10" s="27"/>
      <c r="B10" s="31">
        <v>4</v>
      </c>
      <c r="C10" s="209" t="s">
        <v>2585</v>
      </c>
      <c r="D10" s="529" t="s">
        <v>1806</v>
      </c>
      <c r="E10" s="790">
        <v>29</v>
      </c>
      <c r="G10" s="212" t="s">
        <v>731</v>
      </c>
      <c r="H10" s="34" t="s">
        <v>2586</v>
      </c>
      <c r="I10" s="34" t="s">
        <v>732</v>
      </c>
      <c r="J10" s="457" t="s">
        <v>727</v>
      </c>
      <c r="K10" s="464">
        <v>0</v>
      </c>
      <c r="L10" s="32">
        <v>0</v>
      </c>
      <c r="M10" s="33">
        <v>0</v>
      </c>
      <c r="N10" s="460">
        <v>0</v>
      </c>
      <c r="O10" s="32">
        <v>29</v>
      </c>
      <c r="P10" s="33">
        <v>29</v>
      </c>
      <c r="Q10" s="29"/>
    </row>
    <row r="11" spans="1:17" s="28" customFormat="1" ht="30" customHeight="1" x14ac:dyDescent="0.25">
      <c r="A11" s="27"/>
      <c r="B11" s="31">
        <v>5</v>
      </c>
      <c r="C11" s="209" t="s">
        <v>36</v>
      </c>
      <c r="D11" s="529" t="s">
        <v>1805</v>
      </c>
      <c r="E11" s="790">
        <v>8</v>
      </c>
      <c r="G11" s="212" t="s">
        <v>730</v>
      </c>
      <c r="H11" s="34" t="s">
        <v>36</v>
      </c>
      <c r="I11" s="132" t="s">
        <v>732</v>
      </c>
      <c r="J11" s="457" t="s">
        <v>727</v>
      </c>
      <c r="K11" s="464">
        <v>0</v>
      </c>
      <c r="L11" s="32">
        <v>0</v>
      </c>
      <c r="M11" s="33">
        <v>0</v>
      </c>
      <c r="N11" s="460">
        <v>0</v>
      </c>
      <c r="O11" s="32">
        <v>8</v>
      </c>
      <c r="P11" s="33">
        <v>8</v>
      </c>
      <c r="Q11" s="29"/>
    </row>
    <row r="12" spans="1:17" s="28" customFormat="1" ht="30" customHeight="1" x14ac:dyDescent="0.25">
      <c r="A12" s="27"/>
      <c r="B12" s="31">
        <v>6</v>
      </c>
      <c r="C12" s="209" t="s">
        <v>1210</v>
      </c>
      <c r="D12" s="529" t="s">
        <v>2590</v>
      </c>
      <c r="E12" s="790">
        <v>22</v>
      </c>
      <c r="G12" s="212" t="s">
        <v>168</v>
      </c>
      <c r="H12" s="34" t="s">
        <v>169</v>
      </c>
      <c r="I12" s="132" t="s">
        <v>1051</v>
      </c>
      <c r="J12" s="791" t="s">
        <v>161</v>
      </c>
      <c r="K12" s="464">
        <v>0</v>
      </c>
      <c r="L12" s="32">
        <v>0</v>
      </c>
      <c r="M12" s="33">
        <v>0</v>
      </c>
      <c r="N12" s="460">
        <v>0</v>
      </c>
      <c r="O12" s="32">
        <v>22</v>
      </c>
      <c r="P12" s="33">
        <v>22</v>
      </c>
      <c r="Q12" s="29"/>
    </row>
    <row r="13" spans="1:17" s="28" customFormat="1" ht="30" customHeight="1" x14ac:dyDescent="0.25">
      <c r="A13" s="27"/>
      <c r="B13" s="31">
        <v>7</v>
      </c>
      <c r="C13" s="209" t="s">
        <v>1211</v>
      </c>
      <c r="D13" s="529" t="s">
        <v>2589</v>
      </c>
      <c r="E13" s="790">
        <v>6</v>
      </c>
      <c r="G13" s="212" t="s">
        <v>168</v>
      </c>
      <c r="H13" s="34" t="s">
        <v>169</v>
      </c>
      <c r="I13" s="132" t="s">
        <v>732</v>
      </c>
      <c r="J13" s="791" t="s">
        <v>1051</v>
      </c>
      <c r="K13" s="464">
        <v>0</v>
      </c>
      <c r="L13" s="32">
        <v>0</v>
      </c>
      <c r="M13" s="33">
        <v>0</v>
      </c>
      <c r="N13" s="460">
        <v>0</v>
      </c>
      <c r="O13" s="32">
        <v>6</v>
      </c>
      <c r="P13" s="33">
        <v>6</v>
      </c>
      <c r="Q13" s="29"/>
    </row>
    <row r="14" spans="1:17" s="28" customFormat="1" ht="30" customHeight="1" x14ac:dyDescent="0.25">
      <c r="A14" s="27"/>
      <c r="B14" s="31">
        <v>8</v>
      </c>
      <c r="C14" s="209" t="s">
        <v>170</v>
      </c>
      <c r="D14" s="529" t="s">
        <v>2590</v>
      </c>
      <c r="E14" s="790">
        <v>26</v>
      </c>
      <c r="G14" s="212" t="s">
        <v>168</v>
      </c>
      <c r="H14" s="34" t="s">
        <v>215</v>
      </c>
      <c r="I14" s="132" t="s">
        <v>1051</v>
      </c>
      <c r="J14" s="791" t="s">
        <v>161</v>
      </c>
      <c r="K14" s="464">
        <v>0</v>
      </c>
      <c r="L14" s="32">
        <v>0</v>
      </c>
      <c r="M14" s="33">
        <v>0</v>
      </c>
      <c r="N14" s="460">
        <v>0</v>
      </c>
      <c r="O14" s="32">
        <v>26</v>
      </c>
      <c r="P14" s="33">
        <v>26</v>
      </c>
      <c r="Q14" s="29"/>
    </row>
    <row r="15" spans="1:17" s="28" customFormat="1" ht="30" customHeight="1" x14ac:dyDescent="0.25">
      <c r="A15" s="27"/>
      <c r="B15" s="31">
        <v>9</v>
      </c>
      <c r="C15" s="209" t="s">
        <v>3715</v>
      </c>
      <c r="D15" s="529" t="s">
        <v>3716</v>
      </c>
      <c r="E15" s="790">
        <v>17.133333333333333</v>
      </c>
      <c r="G15" s="211" t="s">
        <v>18</v>
      </c>
      <c r="H15" s="34" t="s">
        <v>212</v>
      </c>
      <c r="I15" s="34" t="s">
        <v>727</v>
      </c>
      <c r="J15" s="791" t="s">
        <v>3718</v>
      </c>
      <c r="K15" s="464">
        <v>0</v>
      </c>
      <c r="L15" s="32">
        <v>0</v>
      </c>
      <c r="M15" s="33">
        <v>0</v>
      </c>
      <c r="N15" s="460">
        <v>0</v>
      </c>
      <c r="O15" s="32">
        <v>17.133333333333333</v>
      </c>
      <c r="P15" s="33">
        <v>17.133333333333333</v>
      </c>
      <c r="Q15" s="29"/>
    </row>
    <row r="16" spans="1:17" s="28" customFormat="1" ht="30" customHeight="1" x14ac:dyDescent="0.25">
      <c r="A16" s="27"/>
      <c r="B16" s="31">
        <v>10</v>
      </c>
      <c r="C16" s="209" t="s">
        <v>214</v>
      </c>
      <c r="D16" s="529" t="s">
        <v>3347</v>
      </c>
      <c r="E16" s="790">
        <v>1</v>
      </c>
      <c r="G16" s="212" t="s">
        <v>19</v>
      </c>
      <c r="H16" s="34" t="s">
        <v>19</v>
      </c>
      <c r="I16" s="34" t="s">
        <v>290</v>
      </c>
      <c r="J16" s="457" t="s">
        <v>213</v>
      </c>
      <c r="K16" s="464">
        <v>0</v>
      </c>
      <c r="L16" s="32">
        <v>0</v>
      </c>
      <c r="M16" s="33">
        <v>0</v>
      </c>
      <c r="N16" s="460">
        <v>0</v>
      </c>
      <c r="O16" s="32">
        <v>1</v>
      </c>
      <c r="P16" s="33">
        <v>1</v>
      </c>
      <c r="Q16" s="29"/>
    </row>
    <row r="17" spans="1:17" s="1761" customFormat="1" ht="30" customHeight="1" x14ac:dyDescent="0.25">
      <c r="A17" s="1756"/>
      <c r="B17" s="1757">
        <v>11</v>
      </c>
      <c r="C17" s="1758" t="s">
        <v>3717</v>
      </c>
      <c r="D17" s="1759" t="s">
        <v>3761</v>
      </c>
      <c r="E17" s="1760">
        <v>8.7666666666666675</v>
      </c>
      <c r="G17" s="1762" t="s">
        <v>19</v>
      </c>
      <c r="H17" s="1763" t="s">
        <v>19</v>
      </c>
      <c r="I17" s="1763" t="s">
        <v>290</v>
      </c>
      <c r="J17" s="1764" t="s">
        <v>213</v>
      </c>
      <c r="K17" s="1765">
        <v>0</v>
      </c>
      <c r="L17" s="1766">
        <v>0</v>
      </c>
      <c r="M17" s="1767">
        <v>0</v>
      </c>
      <c r="N17" s="1768">
        <v>0</v>
      </c>
      <c r="O17" s="1766">
        <v>8.7666666666666675</v>
      </c>
      <c r="P17" s="1767">
        <v>8.7666666666666675</v>
      </c>
      <c r="Q17" s="1769"/>
    </row>
    <row r="18" spans="1:17" ht="21.75" customHeight="1" thickBot="1" x14ac:dyDescent="0.3">
      <c r="A18" s="35"/>
      <c r="B18" s="36"/>
      <c r="C18" s="36"/>
      <c r="D18" s="36"/>
      <c r="E18" s="37"/>
      <c r="F18" s="36"/>
      <c r="G18" s="36"/>
      <c r="H18" s="36"/>
      <c r="I18" s="36"/>
      <c r="J18" s="36"/>
      <c r="K18" s="37"/>
      <c r="L18" s="37"/>
      <c r="M18" s="37"/>
      <c r="N18" s="37"/>
      <c r="O18" s="37"/>
      <c r="P18" s="213"/>
      <c r="Q18" s="38"/>
    </row>
    <row r="19" spans="1:17" x14ac:dyDescent="0.25">
      <c r="B19" s="11" t="s">
        <v>2584</v>
      </c>
    </row>
    <row r="25" spans="1:17" x14ac:dyDescent="0.25">
      <c r="M25" s="258"/>
      <c r="N25" s="259"/>
      <c r="O25" s="259"/>
      <c r="P25" s="259"/>
      <c r="Q25" s="260"/>
    </row>
    <row r="26" spans="1:17" x14ac:dyDescent="0.25">
      <c r="M26" s="261" t="s">
        <v>135</v>
      </c>
      <c r="N26" s="262"/>
      <c r="O26" s="262"/>
      <c r="P26" s="262"/>
      <c r="Q26" s="261"/>
    </row>
    <row r="27" spans="1:17" ht="12.75" x14ac:dyDescent="0.25">
      <c r="A27" s="46" t="s">
        <v>1115</v>
      </c>
      <c r="M27" s="261" t="s">
        <v>136</v>
      </c>
      <c r="N27" s="262"/>
      <c r="O27" s="262"/>
      <c r="P27" s="262"/>
      <c r="Q27" s="261"/>
    </row>
  </sheetData>
  <mergeCells count="6">
    <mergeCell ref="H5:H6"/>
    <mergeCell ref="B5:B6"/>
    <mergeCell ref="C5:C6"/>
    <mergeCell ref="D5:D6"/>
    <mergeCell ref="E5:E6"/>
    <mergeCell ref="G5:G6"/>
  </mergeCells>
  <printOptions horizontalCentered="1"/>
  <pageMargins left="0.59055118110236227" right="0.59055118110236227" top="0.98425196850393704" bottom="0.78740157480314965" header="0.59055118110236227" footer="0.59055118110236227"/>
  <pageSetup paperSize="9" scale="64"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2D505-3BF5-40AE-8FE4-B8CC8086E6E7}">
  <sheetPr>
    <tabColor theme="2" tint="-0.749992370372631"/>
    <pageSetUpPr fitToPage="1"/>
  </sheetPr>
  <dimension ref="A1:Q27"/>
  <sheetViews>
    <sheetView workbookViewId="0">
      <selection sqref="A1:XFD1048576"/>
    </sheetView>
  </sheetViews>
  <sheetFormatPr defaultColWidth="9.140625" defaultRowHeight="12" x14ac:dyDescent="0.25"/>
  <cols>
    <col min="1" max="1" width="2.7109375" style="11" customWidth="1"/>
    <col min="2" max="2" width="8.5703125" style="11" customWidth="1"/>
    <col min="3" max="3" width="23.7109375" style="11" customWidth="1"/>
    <col min="4" max="4" width="50.7109375" style="11" customWidth="1"/>
    <col min="5" max="5" width="9.140625" style="17"/>
    <col min="6" max="6" width="1.7109375" style="11" customWidth="1"/>
    <col min="7" max="10" width="10.7109375" style="11" customWidth="1"/>
    <col min="11" max="16" width="10.7109375" style="17" customWidth="1"/>
    <col min="17" max="17" width="2.7109375" style="11" customWidth="1"/>
    <col min="18" max="16384" width="9.140625" style="11"/>
  </cols>
  <sheetData>
    <row r="1" spans="1:17" ht="15.75" x14ac:dyDescent="0.25">
      <c r="A1" s="7" t="s">
        <v>4</v>
      </c>
      <c r="B1" s="205"/>
      <c r="C1" s="8"/>
      <c r="D1" s="8"/>
      <c r="E1" s="9"/>
      <c r="F1" s="8"/>
      <c r="G1" s="8"/>
      <c r="H1" s="8"/>
      <c r="I1" s="8"/>
      <c r="J1" s="8"/>
      <c r="K1" s="9"/>
      <c r="L1" s="9"/>
      <c r="M1" s="9"/>
      <c r="N1" s="9"/>
      <c r="O1" s="9"/>
      <c r="P1" s="9"/>
      <c r="Q1" s="10"/>
    </row>
    <row r="2" spans="1:17" ht="15.75" x14ac:dyDescent="0.25">
      <c r="A2" s="447"/>
      <c r="B2" s="448"/>
      <c r="C2" s="452" t="s">
        <v>5</v>
      </c>
      <c r="D2" s="453" t="s">
        <v>3501</v>
      </c>
      <c r="E2" s="450"/>
      <c r="F2" s="449"/>
      <c r="G2" s="449"/>
      <c r="H2" s="449"/>
      <c r="I2" s="449"/>
      <c r="J2" s="449"/>
      <c r="K2" s="450"/>
      <c r="L2" s="450"/>
      <c r="M2" s="450"/>
      <c r="N2" s="450"/>
      <c r="O2" s="450"/>
      <c r="P2" s="450"/>
      <c r="Q2" s="451"/>
    </row>
    <row r="3" spans="1:17" ht="15.75" x14ac:dyDescent="0.25">
      <c r="A3" s="12"/>
      <c r="B3" s="206"/>
      <c r="C3" s="13" t="s">
        <v>1284</v>
      </c>
      <c r="D3" s="39" t="s">
        <v>1804</v>
      </c>
      <c r="E3" s="14"/>
      <c r="F3" s="15"/>
      <c r="G3" s="15"/>
      <c r="H3" s="15"/>
      <c r="I3" s="15"/>
      <c r="J3" s="15"/>
      <c r="K3" s="14"/>
      <c r="L3" s="14"/>
      <c r="M3" s="14"/>
      <c r="N3" s="14"/>
      <c r="O3" s="14"/>
      <c r="P3" s="14"/>
      <c r="Q3" s="454"/>
    </row>
    <row r="4" spans="1:17" x14ac:dyDescent="0.25">
      <c r="A4" s="16"/>
      <c r="B4" s="207"/>
      <c r="Q4" s="18"/>
    </row>
    <row r="5" spans="1:17" s="24" customFormat="1" x14ac:dyDescent="0.25">
      <c r="A5" s="19"/>
      <c r="B5" s="2267" t="s">
        <v>288</v>
      </c>
      <c r="C5" s="2269" t="s">
        <v>287</v>
      </c>
      <c r="D5" s="2265" t="s">
        <v>6</v>
      </c>
      <c r="E5" s="2271" t="s">
        <v>7</v>
      </c>
      <c r="F5" s="20"/>
      <c r="G5" s="2267" t="s">
        <v>8</v>
      </c>
      <c r="H5" s="2265" t="s">
        <v>9</v>
      </c>
      <c r="I5" s="21" t="s">
        <v>10</v>
      </c>
      <c r="J5" s="455"/>
      <c r="K5" s="462" t="s">
        <v>11</v>
      </c>
      <c r="L5" s="21"/>
      <c r="M5" s="22"/>
      <c r="N5" s="458" t="s">
        <v>12</v>
      </c>
      <c r="O5" s="21"/>
      <c r="P5" s="22"/>
      <c r="Q5" s="23"/>
    </row>
    <row r="6" spans="1:17" s="24" customFormat="1" x14ac:dyDescent="0.25">
      <c r="A6" s="19"/>
      <c r="B6" s="2268"/>
      <c r="C6" s="2270"/>
      <c r="D6" s="2266"/>
      <c r="E6" s="2272"/>
      <c r="F6" s="20"/>
      <c r="G6" s="2268"/>
      <c r="H6" s="2266"/>
      <c r="I6" s="25" t="s">
        <v>13</v>
      </c>
      <c r="J6" s="456" t="s">
        <v>14</v>
      </c>
      <c r="K6" s="463" t="s">
        <v>15</v>
      </c>
      <c r="L6" s="25" t="s">
        <v>16</v>
      </c>
      <c r="M6" s="26" t="s">
        <v>17</v>
      </c>
      <c r="N6" s="459" t="s">
        <v>15</v>
      </c>
      <c r="O6" s="25" t="s">
        <v>16</v>
      </c>
      <c r="P6" s="26" t="s">
        <v>17</v>
      </c>
      <c r="Q6" s="23"/>
    </row>
    <row r="7" spans="1:17" s="28" customFormat="1" ht="30" customHeight="1" x14ac:dyDescent="0.25">
      <c r="A7" s="27"/>
      <c r="B7" s="210">
        <v>1</v>
      </c>
      <c r="C7" s="208" t="s">
        <v>18</v>
      </c>
      <c r="D7" s="30" t="s">
        <v>1285</v>
      </c>
      <c r="E7" s="1140">
        <v>22</v>
      </c>
      <c r="G7" s="211" t="s">
        <v>18</v>
      </c>
      <c r="H7" s="34" t="s">
        <v>2587</v>
      </c>
      <c r="I7" s="34" t="s">
        <v>727</v>
      </c>
      <c r="J7" s="457" t="s">
        <v>728</v>
      </c>
      <c r="K7" s="464"/>
      <c r="L7" s="32">
        <v>0</v>
      </c>
      <c r="M7" s="33">
        <v>0</v>
      </c>
      <c r="N7" s="460">
        <v>0</v>
      </c>
      <c r="O7" s="32">
        <v>22</v>
      </c>
      <c r="P7" s="33">
        <v>22</v>
      </c>
      <c r="Q7" s="29"/>
    </row>
    <row r="8" spans="1:17" s="28" customFormat="1" ht="30" customHeight="1" x14ac:dyDescent="0.25">
      <c r="A8" s="27"/>
      <c r="B8" s="31">
        <v>2</v>
      </c>
      <c r="C8" s="208" t="s">
        <v>191</v>
      </c>
      <c r="D8" s="156" t="s">
        <v>289</v>
      </c>
      <c r="E8" s="1140">
        <v>36</v>
      </c>
      <c r="G8" s="211" t="s">
        <v>168</v>
      </c>
      <c r="H8" s="34" t="s">
        <v>212</v>
      </c>
      <c r="I8" s="34" t="s">
        <v>190</v>
      </c>
      <c r="J8" s="457" t="s">
        <v>161</v>
      </c>
      <c r="K8" s="464">
        <v>0</v>
      </c>
      <c r="L8" s="32">
        <v>0</v>
      </c>
      <c r="M8" s="33">
        <v>0</v>
      </c>
      <c r="N8" s="461">
        <v>4.5999999999999996</v>
      </c>
      <c r="O8" s="157">
        <v>31.4</v>
      </c>
      <c r="P8" s="33">
        <v>36</v>
      </c>
      <c r="Q8" s="29"/>
    </row>
    <row r="9" spans="1:17" s="28" customFormat="1" ht="30" customHeight="1" x14ac:dyDescent="0.25">
      <c r="A9" s="27"/>
      <c r="B9" s="31">
        <v>3</v>
      </c>
      <c r="C9" s="208" t="s">
        <v>192</v>
      </c>
      <c r="D9" s="156" t="s">
        <v>1807</v>
      </c>
      <c r="E9" s="1140">
        <v>57</v>
      </c>
      <c r="G9" s="211" t="s">
        <v>729</v>
      </c>
      <c r="H9" s="34" t="s">
        <v>2588</v>
      </c>
      <c r="I9" s="132" t="s">
        <v>1387</v>
      </c>
      <c r="J9" s="457" t="s">
        <v>727</v>
      </c>
      <c r="K9" s="464">
        <v>0</v>
      </c>
      <c r="L9" s="32">
        <v>0</v>
      </c>
      <c r="M9" s="33">
        <v>0</v>
      </c>
      <c r="N9" s="460">
        <v>0</v>
      </c>
      <c r="O9" s="32">
        <v>57</v>
      </c>
      <c r="P9" s="33">
        <v>57</v>
      </c>
      <c r="Q9" s="29"/>
    </row>
    <row r="10" spans="1:17" s="28" customFormat="1" ht="30" customHeight="1" x14ac:dyDescent="0.25">
      <c r="A10" s="27"/>
      <c r="B10" s="31">
        <v>4</v>
      </c>
      <c r="C10" s="209" t="s">
        <v>2585</v>
      </c>
      <c r="D10" s="529" t="s">
        <v>1806</v>
      </c>
      <c r="E10" s="790">
        <v>35</v>
      </c>
      <c r="G10" s="212" t="s">
        <v>731</v>
      </c>
      <c r="H10" s="34" t="s">
        <v>2586</v>
      </c>
      <c r="I10" s="34" t="s">
        <v>732</v>
      </c>
      <c r="J10" s="457" t="s">
        <v>727</v>
      </c>
      <c r="K10" s="464">
        <v>0</v>
      </c>
      <c r="L10" s="32">
        <v>0</v>
      </c>
      <c r="M10" s="33">
        <v>0</v>
      </c>
      <c r="N10" s="460">
        <v>0</v>
      </c>
      <c r="O10" s="32">
        <v>35</v>
      </c>
      <c r="P10" s="33">
        <v>35</v>
      </c>
      <c r="Q10" s="29"/>
    </row>
    <row r="11" spans="1:17" s="28" customFormat="1" ht="30" customHeight="1" x14ac:dyDescent="0.25">
      <c r="A11" s="27"/>
      <c r="B11" s="31">
        <v>5</v>
      </c>
      <c r="C11" s="209" t="s">
        <v>36</v>
      </c>
      <c r="D11" s="529" t="s">
        <v>1805</v>
      </c>
      <c r="E11" s="790">
        <v>3</v>
      </c>
      <c r="G11" s="212" t="s">
        <v>730</v>
      </c>
      <c r="H11" s="34" t="s">
        <v>36</v>
      </c>
      <c r="I11" s="132" t="s">
        <v>732</v>
      </c>
      <c r="J11" s="457" t="s">
        <v>727</v>
      </c>
      <c r="K11" s="464">
        <v>0</v>
      </c>
      <c r="L11" s="32">
        <v>0</v>
      </c>
      <c r="M11" s="33">
        <v>0</v>
      </c>
      <c r="N11" s="460">
        <v>0</v>
      </c>
      <c r="O11" s="32">
        <v>3</v>
      </c>
      <c r="P11" s="33">
        <v>3</v>
      </c>
      <c r="Q11" s="29"/>
    </row>
    <row r="12" spans="1:17" s="28" customFormat="1" ht="30" customHeight="1" x14ac:dyDescent="0.25">
      <c r="A12" s="27"/>
      <c r="B12" s="31">
        <v>6</v>
      </c>
      <c r="C12" s="209" t="s">
        <v>1210</v>
      </c>
      <c r="D12" s="529" t="s">
        <v>2590</v>
      </c>
      <c r="E12" s="790">
        <v>34</v>
      </c>
      <c r="G12" s="212" t="s">
        <v>168</v>
      </c>
      <c r="H12" s="34" t="s">
        <v>169</v>
      </c>
      <c r="I12" s="132" t="s">
        <v>1051</v>
      </c>
      <c r="J12" s="791" t="s">
        <v>161</v>
      </c>
      <c r="K12" s="464">
        <v>0</v>
      </c>
      <c r="L12" s="32">
        <v>0</v>
      </c>
      <c r="M12" s="33">
        <v>0</v>
      </c>
      <c r="N12" s="460">
        <v>0</v>
      </c>
      <c r="O12" s="32">
        <v>34</v>
      </c>
      <c r="P12" s="33">
        <v>34</v>
      </c>
      <c r="Q12" s="29"/>
    </row>
    <row r="13" spans="1:17" s="28" customFormat="1" ht="30" customHeight="1" x14ac:dyDescent="0.25">
      <c r="A13" s="27"/>
      <c r="B13" s="31">
        <v>7</v>
      </c>
      <c r="C13" s="209" t="s">
        <v>1211</v>
      </c>
      <c r="D13" s="529" t="s">
        <v>2589</v>
      </c>
      <c r="E13" s="790">
        <v>6</v>
      </c>
      <c r="G13" s="212" t="s">
        <v>168</v>
      </c>
      <c r="H13" s="34" t="s">
        <v>169</v>
      </c>
      <c r="I13" s="132" t="s">
        <v>732</v>
      </c>
      <c r="J13" s="791" t="s">
        <v>1051</v>
      </c>
      <c r="K13" s="464">
        <v>0</v>
      </c>
      <c r="L13" s="32">
        <v>0</v>
      </c>
      <c r="M13" s="33">
        <v>0</v>
      </c>
      <c r="N13" s="460">
        <v>0</v>
      </c>
      <c r="O13" s="32">
        <v>6</v>
      </c>
      <c r="P13" s="33">
        <v>6</v>
      </c>
      <c r="Q13" s="29"/>
    </row>
    <row r="14" spans="1:17" s="28" customFormat="1" ht="30" customHeight="1" x14ac:dyDescent="0.25">
      <c r="A14" s="27"/>
      <c r="B14" s="31">
        <v>8</v>
      </c>
      <c r="C14" s="209" t="s">
        <v>170</v>
      </c>
      <c r="D14" s="529" t="s">
        <v>2590</v>
      </c>
      <c r="E14" s="790">
        <v>34</v>
      </c>
      <c r="G14" s="212" t="s">
        <v>168</v>
      </c>
      <c r="H14" s="34" t="s">
        <v>215</v>
      </c>
      <c r="I14" s="132" t="s">
        <v>1051</v>
      </c>
      <c r="J14" s="791" t="s">
        <v>161</v>
      </c>
      <c r="K14" s="464">
        <v>0</v>
      </c>
      <c r="L14" s="32">
        <v>0</v>
      </c>
      <c r="M14" s="33">
        <v>0</v>
      </c>
      <c r="N14" s="460">
        <v>0</v>
      </c>
      <c r="O14" s="32">
        <v>34</v>
      </c>
      <c r="P14" s="33">
        <v>34</v>
      </c>
      <c r="Q14" s="29"/>
    </row>
    <row r="15" spans="1:17" s="28" customFormat="1" ht="30" customHeight="1" x14ac:dyDescent="0.25">
      <c r="A15" s="27"/>
      <c r="B15" s="31">
        <v>9</v>
      </c>
      <c r="C15" s="209" t="s">
        <v>3715</v>
      </c>
      <c r="D15" s="529" t="s">
        <v>3716</v>
      </c>
      <c r="E15" s="790">
        <v>18.100000000000001</v>
      </c>
      <c r="G15" s="211" t="s">
        <v>18</v>
      </c>
      <c r="H15" s="34" t="s">
        <v>212</v>
      </c>
      <c r="I15" s="34" t="s">
        <v>727</v>
      </c>
      <c r="J15" s="791" t="s">
        <v>3718</v>
      </c>
      <c r="K15" s="464">
        <v>0</v>
      </c>
      <c r="L15" s="32">
        <v>0</v>
      </c>
      <c r="M15" s="33">
        <v>0</v>
      </c>
      <c r="N15" s="460">
        <v>0</v>
      </c>
      <c r="O15" s="32">
        <v>18.100000000000001</v>
      </c>
      <c r="P15" s="33">
        <v>18.100000000000001</v>
      </c>
      <c r="Q15" s="29"/>
    </row>
    <row r="16" spans="1:17" s="28" customFormat="1" ht="30" customHeight="1" x14ac:dyDescent="0.25">
      <c r="A16" s="27"/>
      <c r="B16" s="31">
        <v>10</v>
      </c>
      <c r="C16" s="209" t="s">
        <v>214</v>
      </c>
      <c r="D16" s="529" t="s">
        <v>3347</v>
      </c>
      <c r="E16" s="790">
        <v>0.6</v>
      </c>
      <c r="G16" s="212" t="s">
        <v>19</v>
      </c>
      <c r="H16" s="34" t="s">
        <v>19</v>
      </c>
      <c r="I16" s="34" t="s">
        <v>290</v>
      </c>
      <c r="J16" s="457" t="s">
        <v>213</v>
      </c>
      <c r="K16" s="464">
        <v>0</v>
      </c>
      <c r="L16" s="32">
        <v>0</v>
      </c>
      <c r="M16" s="33">
        <v>0</v>
      </c>
      <c r="N16" s="460">
        <v>0</v>
      </c>
      <c r="O16" s="32">
        <v>0.6</v>
      </c>
      <c r="P16" s="33">
        <v>0.6</v>
      </c>
      <c r="Q16" s="29"/>
    </row>
    <row r="17" spans="1:17" s="1761" customFormat="1" ht="30" customHeight="1" x14ac:dyDescent="0.25">
      <c r="A17" s="1756"/>
      <c r="B17" s="1757">
        <v>11</v>
      </c>
      <c r="C17" s="1758" t="s">
        <v>3717</v>
      </c>
      <c r="D17" s="1759" t="s">
        <v>3761</v>
      </c>
      <c r="E17" s="1760">
        <v>4.1333333333333337</v>
      </c>
      <c r="G17" s="1762" t="s">
        <v>19</v>
      </c>
      <c r="H17" s="1763" t="s">
        <v>19</v>
      </c>
      <c r="I17" s="1763" t="s">
        <v>290</v>
      </c>
      <c r="J17" s="1764" t="s">
        <v>213</v>
      </c>
      <c r="K17" s="1765">
        <v>0</v>
      </c>
      <c r="L17" s="1766">
        <v>0</v>
      </c>
      <c r="M17" s="1767">
        <v>0</v>
      </c>
      <c r="N17" s="1768">
        <v>0</v>
      </c>
      <c r="O17" s="1766">
        <v>4.1333333333333337</v>
      </c>
      <c r="P17" s="1767">
        <v>4.1333333333333337</v>
      </c>
      <c r="Q17" s="1769"/>
    </row>
    <row r="18" spans="1:17" ht="21.75" customHeight="1" thickBot="1" x14ac:dyDescent="0.3">
      <c r="A18" s="35"/>
      <c r="B18" s="36"/>
      <c r="C18" s="36"/>
      <c r="D18" s="36"/>
      <c r="E18" s="37"/>
      <c r="F18" s="36"/>
      <c r="G18" s="36"/>
      <c r="H18" s="36"/>
      <c r="I18" s="36"/>
      <c r="J18" s="36"/>
      <c r="K18" s="37"/>
      <c r="L18" s="37"/>
      <c r="M18" s="37"/>
      <c r="N18" s="37"/>
      <c r="O18" s="37"/>
      <c r="P18" s="213"/>
      <c r="Q18" s="38"/>
    </row>
    <row r="19" spans="1:17" x14ac:dyDescent="0.25">
      <c r="B19" s="11" t="s">
        <v>2584</v>
      </c>
    </row>
    <row r="25" spans="1:17" x14ac:dyDescent="0.25">
      <c r="M25" s="258"/>
      <c r="N25" s="259"/>
      <c r="O25" s="259"/>
      <c r="P25" s="259"/>
      <c r="Q25" s="260"/>
    </row>
    <row r="26" spans="1:17" x14ac:dyDescent="0.25">
      <c r="M26" s="261" t="s">
        <v>135</v>
      </c>
      <c r="N26" s="262"/>
      <c r="O26" s="262"/>
      <c r="P26" s="262"/>
      <c r="Q26" s="261"/>
    </row>
    <row r="27" spans="1:17" ht="12.75" x14ac:dyDescent="0.25">
      <c r="A27" s="46" t="s">
        <v>1115</v>
      </c>
      <c r="M27" s="261" t="s">
        <v>136</v>
      </c>
      <c r="N27" s="262"/>
      <c r="O27" s="262"/>
      <c r="P27" s="262"/>
      <c r="Q27" s="261"/>
    </row>
  </sheetData>
  <mergeCells count="6">
    <mergeCell ref="H5:H6"/>
    <mergeCell ref="B5:B6"/>
    <mergeCell ref="C5:C6"/>
    <mergeCell ref="D5:D6"/>
    <mergeCell ref="E5:E6"/>
    <mergeCell ref="G5:G6"/>
  </mergeCells>
  <printOptions horizontalCentered="1"/>
  <pageMargins left="0.59055118110236227" right="0.59055118110236227" top="0.98425196850393704" bottom="0.78740157480314965" header="0.59055118110236227" footer="0.59055118110236227"/>
  <pageSetup paperSize="9" scale="6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74931-0787-4E5E-A92C-EED5D7EB9E27}">
  <sheetPr codeName="Planilha20">
    <tabColor theme="2" tint="-0.749992370372631"/>
    <pageSetUpPr fitToPage="1"/>
  </sheetPr>
  <dimension ref="A1:E31"/>
  <sheetViews>
    <sheetView workbookViewId="0">
      <selection sqref="A1:XFD1048576"/>
    </sheetView>
  </sheetViews>
  <sheetFormatPr defaultRowHeight="15" x14ac:dyDescent="0.25"/>
  <cols>
    <col min="1" max="1" width="130.7109375" customWidth="1"/>
    <col min="3" max="3" width="9.7109375" customWidth="1"/>
    <col min="4" max="4" width="11.5703125" bestFit="1" customWidth="1"/>
  </cols>
  <sheetData>
    <row r="1" spans="1:5" ht="18.75" x14ac:dyDescent="0.3">
      <c r="A1" s="1" t="s">
        <v>2</v>
      </c>
      <c r="C1" s="114"/>
    </row>
    <row r="2" spans="1:5" ht="18.75" x14ac:dyDescent="0.3">
      <c r="A2" s="1" t="s">
        <v>4175</v>
      </c>
      <c r="C2" s="54"/>
    </row>
    <row r="3" spans="1:5" s="3" customFormat="1" ht="12.75" x14ac:dyDescent="0.25">
      <c r="A3" s="304" t="s">
        <v>926</v>
      </c>
      <c r="B3" s="305" t="s">
        <v>1</v>
      </c>
      <c r="C3" s="306" t="s">
        <v>942</v>
      </c>
      <c r="D3" s="308" t="s">
        <v>943</v>
      </c>
    </row>
    <row r="4" spans="1:5" s="3" customFormat="1" ht="12.75" x14ac:dyDescent="0.25">
      <c r="A4" s="5" t="s">
        <v>940</v>
      </c>
      <c r="B4" s="6" t="s">
        <v>3</v>
      </c>
      <c r="C4" s="225">
        <v>1.0923072445820432</v>
      </c>
      <c r="D4" s="308" t="s">
        <v>941</v>
      </c>
      <c r="E4" s="2"/>
    </row>
    <row r="5" spans="1:5" s="3" customFormat="1" ht="12.75" x14ac:dyDescent="0.25">
      <c r="A5" s="307" t="s">
        <v>939</v>
      </c>
      <c r="B5" s="6" t="s">
        <v>3</v>
      </c>
      <c r="C5" s="225">
        <v>1</v>
      </c>
      <c r="D5" s="308" t="s">
        <v>938</v>
      </c>
    </row>
    <row r="6" spans="1:5" s="3" customFormat="1" ht="12.75" x14ac:dyDescent="0.25">
      <c r="A6" s="309" t="s">
        <v>937</v>
      </c>
      <c r="B6" s="302" t="s">
        <v>3</v>
      </c>
      <c r="C6" s="303">
        <v>1.3653840557275541</v>
      </c>
      <c r="D6" s="1864" t="s">
        <v>3992</v>
      </c>
    </row>
    <row r="7" spans="1:5" s="3" customFormat="1" ht="12.75" x14ac:dyDescent="0.25">
      <c r="A7" s="307" t="s">
        <v>927</v>
      </c>
      <c r="B7" s="6" t="s">
        <v>3</v>
      </c>
      <c r="C7" s="225">
        <v>1.5</v>
      </c>
      <c r="D7" s="40"/>
    </row>
    <row r="8" spans="1:5" s="3" customFormat="1" ht="12.75" x14ac:dyDescent="0.25">
      <c r="A8" s="332" t="s">
        <v>1006</v>
      </c>
      <c r="B8" s="6" t="s">
        <v>3</v>
      </c>
      <c r="C8" s="225">
        <v>1.65</v>
      </c>
      <c r="D8" s="40"/>
    </row>
    <row r="9" spans="1:5" s="3" customFormat="1" ht="12.75" x14ac:dyDescent="0.25">
      <c r="A9" s="313" t="s">
        <v>966</v>
      </c>
      <c r="B9" s="6" t="s">
        <v>3</v>
      </c>
      <c r="C9" s="225">
        <v>2.4200549999999996</v>
      </c>
      <c r="D9" s="312" t="s">
        <v>967</v>
      </c>
    </row>
    <row r="10" spans="1:5" s="3" customFormat="1" ht="12.75" x14ac:dyDescent="0.25">
      <c r="A10" s="307" t="s">
        <v>928</v>
      </c>
      <c r="B10" s="6" t="s">
        <v>3</v>
      </c>
      <c r="C10" s="225">
        <v>2.4</v>
      </c>
      <c r="D10" s="40"/>
    </row>
    <row r="11" spans="1:5" s="3" customFormat="1" ht="12.75" x14ac:dyDescent="0.25">
      <c r="A11" s="307" t="s">
        <v>929</v>
      </c>
      <c r="B11" s="6" t="s">
        <v>3</v>
      </c>
      <c r="C11" s="225">
        <v>2.5</v>
      </c>
      <c r="D11" s="40"/>
    </row>
    <row r="12" spans="1:5" s="3" customFormat="1" ht="12.75" x14ac:dyDescent="0.25">
      <c r="A12" s="307" t="s">
        <v>215</v>
      </c>
      <c r="B12" s="6" t="s">
        <v>3</v>
      </c>
      <c r="C12" s="225">
        <v>2.4</v>
      </c>
      <c r="D12" s="40"/>
    </row>
    <row r="13" spans="1:5" s="3" customFormat="1" ht="12.75" x14ac:dyDescent="0.25">
      <c r="A13" s="307" t="s">
        <v>930</v>
      </c>
      <c r="B13" s="6" t="s">
        <v>3</v>
      </c>
      <c r="C13" s="225">
        <v>2.5</v>
      </c>
      <c r="D13" s="40"/>
    </row>
    <row r="14" spans="1:5" s="3" customFormat="1" ht="12.75" x14ac:dyDescent="0.25">
      <c r="A14" s="1754" t="s">
        <v>3677</v>
      </c>
      <c r="B14" s="302" t="s">
        <v>24</v>
      </c>
      <c r="C14" s="303">
        <v>1.1999999999999999E-3</v>
      </c>
      <c r="D14" s="792" t="s">
        <v>1820</v>
      </c>
    </row>
    <row r="15" spans="1:5" s="3" customFormat="1" ht="12.75" x14ac:dyDescent="0.25">
      <c r="A15" s="309" t="s">
        <v>931</v>
      </c>
      <c r="B15" s="302" t="s">
        <v>24</v>
      </c>
      <c r="C15" s="303">
        <v>5.9999999999999995E-4</v>
      </c>
      <c r="D15" s="792" t="s">
        <v>1820</v>
      </c>
    </row>
    <row r="16" spans="1:5" s="3" customFormat="1" ht="12.75" x14ac:dyDescent="0.25">
      <c r="A16" s="307" t="s">
        <v>932</v>
      </c>
      <c r="B16" s="6" t="s">
        <v>24</v>
      </c>
      <c r="C16" s="225">
        <v>2</v>
      </c>
      <c r="D16" s="308" t="s">
        <v>933</v>
      </c>
    </row>
    <row r="17" spans="1:4" s="3" customFormat="1" ht="12.75" x14ac:dyDescent="0.25">
      <c r="A17" s="309" t="s">
        <v>944</v>
      </c>
      <c r="B17" s="302" t="s">
        <v>3</v>
      </c>
      <c r="C17" s="303">
        <v>2.5548000000000002</v>
      </c>
      <c r="D17" s="308" t="s">
        <v>934</v>
      </c>
    </row>
    <row r="18" spans="1:4" s="3" customFormat="1" ht="12.75" x14ac:dyDescent="0.25">
      <c r="A18" s="309" t="s">
        <v>945</v>
      </c>
      <c r="B18" s="310" t="s">
        <v>3</v>
      </c>
      <c r="C18" s="303">
        <v>0.14460168000000001</v>
      </c>
      <c r="D18" s="308" t="s">
        <v>953</v>
      </c>
    </row>
    <row r="19" spans="1:4" s="3" customFormat="1" ht="12.75" x14ac:dyDescent="0.25">
      <c r="A19" s="309" t="s">
        <v>935</v>
      </c>
      <c r="B19" s="302" t="s">
        <v>24</v>
      </c>
      <c r="C19" s="303">
        <v>1.7489999999999999E-2</v>
      </c>
      <c r="D19" s="293" t="s">
        <v>936</v>
      </c>
    </row>
    <row r="20" spans="1:4" s="3" customFormat="1" ht="12.75" x14ac:dyDescent="0.25">
      <c r="A20" s="793" t="s">
        <v>1839</v>
      </c>
      <c r="B20" s="302" t="s">
        <v>24</v>
      </c>
      <c r="C20" s="303">
        <v>1.3784423400000001</v>
      </c>
      <c r="D20" s="308" t="s">
        <v>953</v>
      </c>
    </row>
    <row r="21" spans="1:4" s="3" customFormat="1" ht="12.75" x14ac:dyDescent="0.25">
      <c r="A21" s="793" t="s">
        <v>1838</v>
      </c>
      <c r="B21" s="311" t="s">
        <v>3</v>
      </c>
      <c r="C21" s="303">
        <v>1.113713964</v>
      </c>
      <c r="D21" s="308" t="s">
        <v>953</v>
      </c>
    </row>
    <row r="22" spans="1:4" s="3" customFormat="1" ht="12.75" x14ac:dyDescent="0.25">
      <c r="A22" s="793" t="s">
        <v>1845</v>
      </c>
      <c r="B22" s="302" t="s">
        <v>24</v>
      </c>
      <c r="C22" s="303">
        <v>1.056E-2</v>
      </c>
      <c r="D22" s="293" t="s">
        <v>1846</v>
      </c>
    </row>
    <row r="23" spans="1:4" s="3" customFormat="1" ht="12.75" x14ac:dyDescent="0.25">
      <c r="A23" s="315" t="s">
        <v>991</v>
      </c>
      <c r="B23" s="311" t="s">
        <v>3</v>
      </c>
      <c r="C23" s="303">
        <v>1.8644999999999998</v>
      </c>
      <c r="D23" s="293" t="s">
        <v>1207</v>
      </c>
    </row>
    <row r="24" spans="1:4" s="3" customFormat="1" ht="12.75" x14ac:dyDescent="0.25">
      <c r="A24" s="1754" t="s">
        <v>4064</v>
      </c>
      <c r="B24" s="1906" t="s">
        <v>24</v>
      </c>
      <c r="C24" s="303">
        <v>3.5000000000000001E-3</v>
      </c>
      <c r="D24" s="293" t="s">
        <v>4062</v>
      </c>
    </row>
    <row r="25" spans="1:4" s="3" customFormat="1" ht="12.75" x14ac:dyDescent="0.25">
      <c r="A25" s="1754" t="s">
        <v>4063</v>
      </c>
      <c r="B25" s="1906" t="s">
        <v>24</v>
      </c>
      <c r="C25" s="303">
        <v>3.6795000000000001E-2</v>
      </c>
      <c r="D25" s="293" t="s">
        <v>4065</v>
      </c>
    </row>
    <row r="26" spans="1:4" s="3" customFormat="1" ht="42.75" customHeight="1" x14ac:dyDescent="0.25">
      <c r="A26" s="2273" t="s">
        <v>962</v>
      </c>
      <c r="B26" s="2274"/>
      <c r="C26" s="2275"/>
    </row>
    <row r="27" spans="1:4" x14ac:dyDescent="0.25">
      <c r="C27" s="54" t="s">
        <v>1115</v>
      </c>
    </row>
    <row r="29" spans="1:4" x14ac:dyDescent="0.25">
      <c r="A29" s="229"/>
    </row>
    <row r="30" spans="1:4" x14ac:dyDescent="0.25">
      <c r="A30" s="261" t="s">
        <v>135</v>
      </c>
      <c r="C30" s="314"/>
    </row>
    <row r="31" spans="1:4" x14ac:dyDescent="0.25">
      <c r="A31" s="261" t="s">
        <v>136</v>
      </c>
      <c r="C31" s="54"/>
    </row>
  </sheetData>
  <mergeCells count="1">
    <mergeCell ref="A26:C26"/>
  </mergeCells>
  <printOptions horizontalCentered="1"/>
  <pageMargins left="0.59055118110236227" right="0.59055118110236227" top="0.78740157480314965" bottom="0.78740157480314965" header="0.59055118110236227" footer="0.59055118110236227"/>
  <pageSetup paperSize="9" scale="8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48C24-DB37-40F9-BFD5-5579F0089DF4}">
  <sheetPr>
    <tabColor theme="2" tint="-0.749992370372631"/>
    <pageSetUpPr fitToPage="1"/>
  </sheetPr>
  <dimension ref="A1:AH117"/>
  <sheetViews>
    <sheetView workbookViewId="0">
      <selection sqref="A1:XFD1048576"/>
    </sheetView>
  </sheetViews>
  <sheetFormatPr defaultRowHeight="15" x14ac:dyDescent="0.25"/>
  <cols>
    <col min="1" max="1" width="6.85546875" customWidth="1"/>
    <col min="2" max="2" width="11.42578125" bestFit="1" customWidth="1"/>
    <col min="3" max="3" width="4.42578125" style="768" customWidth="1"/>
    <col min="4" max="4" width="8.28515625" style="1782" bestFit="1" customWidth="1"/>
    <col min="5" max="5" width="9.140625" style="1782" bestFit="1" customWidth="1"/>
    <col min="6" max="6" width="15.28515625" bestFit="1" customWidth="1"/>
    <col min="7" max="7" width="16.42578125" style="1781" bestFit="1" customWidth="1"/>
    <col min="8" max="8" width="10.5703125" bestFit="1" customWidth="1"/>
    <col min="9" max="9" width="8.85546875" customWidth="1"/>
    <col min="10" max="10" width="16.140625" customWidth="1"/>
    <col min="11" max="11" width="9.7109375" customWidth="1"/>
    <col min="12" max="12" width="7.140625" customWidth="1"/>
    <col min="13" max="13" width="9.140625" customWidth="1"/>
    <col min="14" max="15" width="10.5703125" bestFit="1" customWidth="1"/>
    <col min="16" max="16" width="11.42578125" bestFit="1" customWidth="1"/>
    <col min="17" max="19" width="7.7109375" bestFit="1" customWidth="1"/>
    <col min="20" max="20" width="5.7109375" style="768" bestFit="1" customWidth="1"/>
    <col min="21" max="21" width="7.42578125" style="768" customWidth="1"/>
    <col min="22" max="22" width="12.28515625" style="768" customWidth="1"/>
    <col min="23" max="23" width="2.28515625" hidden="1" customWidth="1"/>
    <col min="24" max="24" width="4.5703125" hidden="1" customWidth="1"/>
    <col min="25" max="25" width="2.85546875" hidden="1" customWidth="1"/>
    <col min="26" max="26" width="4.5703125" hidden="1" customWidth="1"/>
    <col min="27" max="27" width="2.7109375" hidden="1" customWidth="1"/>
    <col min="28" max="28" width="4.5703125" hidden="1" customWidth="1"/>
    <col min="29" max="29" width="2.5703125" hidden="1" customWidth="1"/>
    <col min="30" max="30" width="4.5703125" hidden="1" customWidth="1"/>
    <col min="31" max="31" width="5.5703125" hidden="1" customWidth="1"/>
    <col min="32" max="32" width="3" hidden="1" customWidth="1"/>
    <col min="257" max="257" width="6.85546875" customWidth="1"/>
    <col min="258" max="258" width="11.42578125" bestFit="1" customWidth="1"/>
    <col min="259" max="259" width="4.42578125" customWidth="1"/>
    <col min="260" max="260" width="8.28515625" bestFit="1" customWidth="1"/>
    <col min="261" max="261" width="9.140625" bestFit="1" customWidth="1"/>
    <col min="262" max="262" width="15.28515625" bestFit="1" customWidth="1"/>
    <col min="263" max="263" width="16.42578125" bestFit="1" customWidth="1"/>
    <col min="264" max="264" width="10.5703125" bestFit="1" customWidth="1"/>
    <col min="265" max="265" width="8.85546875" customWidth="1"/>
    <col min="266" max="266" width="16.140625" customWidth="1"/>
    <col min="267" max="267" width="9.7109375" customWidth="1"/>
    <col min="268" max="268" width="7.140625" customWidth="1"/>
    <col min="269" max="269" width="9.140625" customWidth="1"/>
    <col min="270" max="271" width="10.5703125" bestFit="1" customWidth="1"/>
    <col min="272" max="272" width="11.42578125" bestFit="1" customWidth="1"/>
    <col min="273" max="275" width="7.7109375" bestFit="1" customWidth="1"/>
    <col min="276" max="276" width="5.7109375" bestFit="1" customWidth="1"/>
    <col min="277" max="277" width="7.42578125" customWidth="1"/>
    <col min="278" max="278" width="12.28515625" customWidth="1"/>
    <col min="279" max="279" width="2.28515625" bestFit="1" customWidth="1"/>
    <col min="280" max="280" width="4.5703125" bestFit="1" customWidth="1"/>
    <col min="281" max="281" width="2.85546875" customWidth="1"/>
    <col min="282" max="282" width="4.5703125" bestFit="1" customWidth="1"/>
    <col min="283" max="283" width="2.7109375" customWidth="1"/>
    <col min="284" max="284" width="4.5703125" bestFit="1" customWidth="1"/>
    <col min="285" max="285" width="2.5703125" customWidth="1"/>
    <col min="286" max="286" width="4.5703125" bestFit="1" customWidth="1"/>
    <col min="287" max="287" width="5.5703125" customWidth="1"/>
    <col min="288" max="288" width="3" bestFit="1" customWidth="1"/>
    <col min="513" max="513" width="6.85546875" customWidth="1"/>
    <col min="514" max="514" width="11.42578125" bestFit="1" customWidth="1"/>
    <col min="515" max="515" width="4.42578125" customWidth="1"/>
    <col min="516" max="516" width="8.28515625" bestFit="1" customWidth="1"/>
    <col min="517" max="517" width="9.140625" bestFit="1" customWidth="1"/>
    <col min="518" max="518" width="15.28515625" bestFit="1" customWidth="1"/>
    <col min="519" max="519" width="16.42578125" bestFit="1" customWidth="1"/>
    <col min="520" max="520" width="10.5703125" bestFit="1" customWidth="1"/>
    <col min="521" max="521" width="8.85546875" customWidth="1"/>
    <col min="522" max="522" width="16.140625" customWidth="1"/>
    <col min="523" max="523" width="9.7109375" customWidth="1"/>
    <col min="524" max="524" width="7.140625" customWidth="1"/>
    <col min="525" max="525" width="9.140625" customWidth="1"/>
    <col min="526" max="527" width="10.5703125" bestFit="1" customWidth="1"/>
    <col min="528" max="528" width="11.42578125" bestFit="1" customWidth="1"/>
    <col min="529" max="531" width="7.7109375" bestFit="1" customWidth="1"/>
    <col min="532" max="532" width="5.7109375" bestFit="1" customWidth="1"/>
    <col min="533" max="533" width="7.42578125" customWidth="1"/>
    <col min="534" max="534" width="12.28515625" customWidth="1"/>
    <col min="535" max="535" width="2.28515625" bestFit="1" customWidth="1"/>
    <col min="536" max="536" width="4.5703125" bestFit="1" customWidth="1"/>
    <col min="537" max="537" width="2.85546875" customWidth="1"/>
    <col min="538" max="538" width="4.5703125" bestFit="1" customWidth="1"/>
    <col min="539" max="539" width="2.7109375" customWidth="1"/>
    <col min="540" max="540" width="4.5703125" bestFit="1" customWidth="1"/>
    <col min="541" max="541" width="2.5703125" customWidth="1"/>
    <col min="542" max="542" width="4.5703125" bestFit="1" customWidth="1"/>
    <col min="543" max="543" width="5.5703125" customWidth="1"/>
    <col min="544" max="544" width="3" bestFit="1" customWidth="1"/>
    <col min="769" max="769" width="6.85546875" customWidth="1"/>
    <col min="770" max="770" width="11.42578125" bestFit="1" customWidth="1"/>
    <col min="771" max="771" width="4.42578125" customWidth="1"/>
    <col min="772" max="772" width="8.28515625" bestFit="1" customWidth="1"/>
    <col min="773" max="773" width="9.140625" bestFit="1" customWidth="1"/>
    <col min="774" max="774" width="15.28515625" bestFit="1" customWidth="1"/>
    <col min="775" max="775" width="16.42578125" bestFit="1" customWidth="1"/>
    <col min="776" max="776" width="10.5703125" bestFit="1" customWidth="1"/>
    <col min="777" max="777" width="8.85546875" customWidth="1"/>
    <col min="778" max="778" width="16.140625" customWidth="1"/>
    <col min="779" max="779" width="9.7109375" customWidth="1"/>
    <col min="780" max="780" width="7.140625" customWidth="1"/>
    <col min="781" max="781" width="9.140625" customWidth="1"/>
    <col min="782" max="783" width="10.5703125" bestFit="1" customWidth="1"/>
    <col min="784" max="784" width="11.42578125" bestFit="1" customWidth="1"/>
    <col min="785" max="787" width="7.7109375" bestFit="1" customWidth="1"/>
    <col min="788" max="788" width="5.7109375" bestFit="1" customWidth="1"/>
    <col min="789" max="789" width="7.42578125" customWidth="1"/>
    <col min="790" max="790" width="12.28515625" customWidth="1"/>
    <col min="791" max="791" width="2.28515625" bestFit="1" customWidth="1"/>
    <col min="792" max="792" width="4.5703125" bestFit="1" customWidth="1"/>
    <col min="793" max="793" width="2.85546875" customWidth="1"/>
    <col min="794" max="794" width="4.5703125" bestFit="1" customWidth="1"/>
    <col min="795" max="795" width="2.7109375" customWidth="1"/>
    <col min="796" max="796" width="4.5703125" bestFit="1" customWidth="1"/>
    <col min="797" max="797" width="2.5703125" customWidth="1"/>
    <col min="798" max="798" width="4.5703125" bestFit="1" customWidth="1"/>
    <col min="799" max="799" width="5.5703125" customWidth="1"/>
    <col min="800" max="800" width="3" bestFit="1" customWidth="1"/>
    <col min="1025" max="1025" width="6.85546875" customWidth="1"/>
    <col min="1026" max="1026" width="11.42578125" bestFit="1" customWidth="1"/>
    <col min="1027" max="1027" width="4.42578125" customWidth="1"/>
    <col min="1028" max="1028" width="8.28515625" bestFit="1" customWidth="1"/>
    <col min="1029" max="1029" width="9.140625" bestFit="1" customWidth="1"/>
    <col min="1030" max="1030" width="15.28515625" bestFit="1" customWidth="1"/>
    <col min="1031" max="1031" width="16.42578125" bestFit="1" customWidth="1"/>
    <col min="1032" max="1032" width="10.5703125" bestFit="1" customWidth="1"/>
    <col min="1033" max="1033" width="8.85546875" customWidth="1"/>
    <col min="1034" max="1034" width="16.140625" customWidth="1"/>
    <col min="1035" max="1035" width="9.7109375" customWidth="1"/>
    <col min="1036" max="1036" width="7.140625" customWidth="1"/>
    <col min="1037" max="1037" width="9.140625" customWidth="1"/>
    <col min="1038" max="1039" width="10.5703125" bestFit="1" customWidth="1"/>
    <col min="1040" max="1040" width="11.42578125" bestFit="1" customWidth="1"/>
    <col min="1041" max="1043" width="7.7109375" bestFit="1" customWidth="1"/>
    <col min="1044" max="1044" width="5.7109375" bestFit="1" customWidth="1"/>
    <col min="1045" max="1045" width="7.42578125" customWidth="1"/>
    <col min="1046" max="1046" width="12.28515625" customWidth="1"/>
    <col min="1047" max="1047" width="2.28515625" bestFit="1" customWidth="1"/>
    <col min="1048" max="1048" width="4.5703125" bestFit="1" customWidth="1"/>
    <col min="1049" max="1049" width="2.85546875" customWidth="1"/>
    <col min="1050" max="1050" width="4.5703125" bestFit="1" customWidth="1"/>
    <col min="1051" max="1051" width="2.7109375" customWidth="1"/>
    <col min="1052" max="1052" width="4.5703125" bestFit="1" customWidth="1"/>
    <col min="1053" max="1053" width="2.5703125" customWidth="1"/>
    <col min="1054" max="1054" width="4.5703125" bestFit="1" customWidth="1"/>
    <col min="1055" max="1055" width="5.5703125" customWidth="1"/>
    <col min="1056" max="1056" width="3" bestFit="1" customWidth="1"/>
    <col min="1281" max="1281" width="6.85546875" customWidth="1"/>
    <col min="1282" max="1282" width="11.42578125" bestFit="1" customWidth="1"/>
    <col min="1283" max="1283" width="4.42578125" customWidth="1"/>
    <col min="1284" max="1284" width="8.28515625" bestFit="1" customWidth="1"/>
    <col min="1285" max="1285" width="9.140625" bestFit="1" customWidth="1"/>
    <col min="1286" max="1286" width="15.28515625" bestFit="1" customWidth="1"/>
    <col min="1287" max="1287" width="16.42578125" bestFit="1" customWidth="1"/>
    <col min="1288" max="1288" width="10.5703125" bestFit="1" customWidth="1"/>
    <col min="1289" max="1289" width="8.85546875" customWidth="1"/>
    <col min="1290" max="1290" width="16.140625" customWidth="1"/>
    <col min="1291" max="1291" width="9.7109375" customWidth="1"/>
    <col min="1292" max="1292" width="7.140625" customWidth="1"/>
    <col min="1293" max="1293" width="9.140625" customWidth="1"/>
    <col min="1294" max="1295" width="10.5703125" bestFit="1" customWidth="1"/>
    <col min="1296" max="1296" width="11.42578125" bestFit="1" customWidth="1"/>
    <col min="1297" max="1299" width="7.7109375" bestFit="1" customWidth="1"/>
    <col min="1300" max="1300" width="5.7109375" bestFit="1" customWidth="1"/>
    <col min="1301" max="1301" width="7.42578125" customWidth="1"/>
    <col min="1302" max="1302" width="12.28515625" customWidth="1"/>
    <col min="1303" max="1303" width="2.28515625" bestFit="1" customWidth="1"/>
    <col min="1304" max="1304" width="4.5703125" bestFit="1" customWidth="1"/>
    <col min="1305" max="1305" width="2.85546875" customWidth="1"/>
    <col min="1306" max="1306" width="4.5703125" bestFit="1" customWidth="1"/>
    <col min="1307" max="1307" width="2.7109375" customWidth="1"/>
    <col min="1308" max="1308" width="4.5703125" bestFit="1" customWidth="1"/>
    <col min="1309" max="1309" width="2.5703125" customWidth="1"/>
    <col min="1310" max="1310" width="4.5703125" bestFit="1" customWidth="1"/>
    <col min="1311" max="1311" width="5.5703125" customWidth="1"/>
    <col min="1312" max="1312" width="3" bestFit="1" customWidth="1"/>
    <col min="1537" max="1537" width="6.85546875" customWidth="1"/>
    <col min="1538" max="1538" width="11.42578125" bestFit="1" customWidth="1"/>
    <col min="1539" max="1539" width="4.42578125" customWidth="1"/>
    <col min="1540" max="1540" width="8.28515625" bestFit="1" customWidth="1"/>
    <col min="1541" max="1541" width="9.140625" bestFit="1" customWidth="1"/>
    <col min="1542" max="1542" width="15.28515625" bestFit="1" customWidth="1"/>
    <col min="1543" max="1543" width="16.42578125" bestFit="1" customWidth="1"/>
    <col min="1544" max="1544" width="10.5703125" bestFit="1" customWidth="1"/>
    <col min="1545" max="1545" width="8.85546875" customWidth="1"/>
    <col min="1546" max="1546" width="16.140625" customWidth="1"/>
    <col min="1547" max="1547" width="9.7109375" customWidth="1"/>
    <col min="1548" max="1548" width="7.140625" customWidth="1"/>
    <col min="1549" max="1549" width="9.140625" customWidth="1"/>
    <col min="1550" max="1551" width="10.5703125" bestFit="1" customWidth="1"/>
    <col min="1552" max="1552" width="11.42578125" bestFit="1" customWidth="1"/>
    <col min="1553" max="1555" width="7.7109375" bestFit="1" customWidth="1"/>
    <col min="1556" max="1556" width="5.7109375" bestFit="1" customWidth="1"/>
    <col min="1557" max="1557" width="7.42578125" customWidth="1"/>
    <col min="1558" max="1558" width="12.28515625" customWidth="1"/>
    <col min="1559" max="1559" width="2.28515625" bestFit="1" customWidth="1"/>
    <col min="1560" max="1560" width="4.5703125" bestFit="1" customWidth="1"/>
    <col min="1561" max="1561" width="2.85546875" customWidth="1"/>
    <col min="1562" max="1562" width="4.5703125" bestFit="1" customWidth="1"/>
    <col min="1563" max="1563" width="2.7109375" customWidth="1"/>
    <col min="1564" max="1564" width="4.5703125" bestFit="1" customWidth="1"/>
    <col min="1565" max="1565" width="2.5703125" customWidth="1"/>
    <col min="1566" max="1566" width="4.5703125" bestFit="1" customWidth="1"/>
    <col min="1567" max="1567" width="5.5703125" customWidth="1"/>
    <col min="1568" max="1568" width="3" bestFit="1" customWidth="1"/>
    <col min="1793" max="1793" width="6.85546875" customWidth="1"/>
    <col min="1794" max="1794" width="11.42578125" bestFit="1" customWidth="1"/>
    <col min="1795" max="1795" width="4.42578125" customWidth="1"/>
    <col min="1796" max="1796" width="8.28515625" bestFit="1" customWidth="1"/>
    <col min="1797" max="1797" width="9.140625" bestFit="1" customWidth="1"/>
    <col min="1798" max="1798" width="15.28515625" bestFit="1" customWidth="1"/>
    <col min="1799" max="1799" width="16.42578125" bestFit="1" customWidth="1"/>
    <col min="1800" max="1800" width="10.5703125" bestFit="1" customWidth="1"/>
    <col min="1801" max="1801" width="8.85546875" customWidth="1"/>
    <col min="1802" max="1802" width="16.140625" customWidth="1"/>
    <col min="1803" max="1803" width="9.7109375" customWidth="1"/>
    <col min="1804" max="1804" width="7.140625" customWidth="1"/>
    <col min="1805" max="1805" width="9.140625" customWidth="1"/>
    <col min="1806" max="1807" width="10.5703125" bestFit="1" customWidth="1"/>
    <col min="1808" max="1808" width="11.42578125" bestFit="1" customWidth="1"/>
    <col min="1809" max="1811" width="7.7109375" bestFit="1" customWidth="1"/>
    <col min="1812" max="1812" width="5.7109375" bestFit="1" customWidth="1"/>
    <col min="1813" max="1813" width="7.42578125" customWidth="1"/>
    <col min="1814" max="1814" width="12.28515625" customWidth="1"/>
    <col min="1815" max="1815" width="2.28515625" bestFit="1" customWidth="1"/>
    <col min="1816" max="1816" width="4.5703125" bestFit="1" customWidth="1"/>
    <col min="1817" max="1817" width="2.85546875" customWidth="1"/>
    <col min="1818" max="1818" width="4.5703125" bestFit="1" customWidth="1"/>
    <col min="1819" max="1819" width="2.7109375" customWidth="1"/>
    <col min="1820" max="1820" width="4.5703125" bestFit="1" customWidth="1"/>
    <col min="1821" max="1821" width="2.5703125" customWidth="1"/>
    <col min="1822" max="1822" width="4.5703125" bestFit="1" customWidth="1"/>
    <col min="1823" max="1823" width="5.5703125" customWidth="1"/>
    <col min="1824" max="1824" width="3" bestFit="1" customWidth="1"/>
    <col min="2049" max="2049" width="6.85546875" customWidth="1"/>
    <col min="2050" max="2050" width="11.42578125" bestFit="1" customWidth="1"/>
    <col min="2051" max="2051" width="4.42578125" customWidth="1"/>
    <col min="2052" max="2052" width="8.28515625" bestFit="1" customWidth="1"/>
    <col min="2053" max="2053" width="9.140625" bestFit="1" customWidth="1"/>
    <col min="2054" max="2054" width="15.28515625" bestFit="1" customWidth="1"/>
    <col min="2055" max="2055" width="16.42578125" bestFit="1" customWidth="1"/>
    <col min="2056" max="2056" width="10.5703125" bestFit="1" customWidth="1"/>
    <col min="2057" max="2057" width="8.85546875" customWidth="1"/>
    <col min="2058" max="2058" width="16.140625" customWidth="1"/>
    <col min="2059" max="2059" width="9.7109375" customWidth="1"/>
    <col min="2060" max="2060" width="7.140625" customWidth="1"/>
    <col min="2061" max="2061" width="9.140625" customWidth="1"/>
    <col min="2062" max="2063" width="10.5703125" bestFit="1" customWidth="1"/>
    <col min="2064" max="2064" width="11.42578125" bestFit="1" customWidth="1"/>
    <col min="2065" max="2067" width="7.7109375" bestFit="1" customWidth="1"/>
    <col min="2068" max="2068" width="5.7109375" bestFit="1" customWidth="1"/>
    <col min="2069" max="2069" width="7.42578125" customWidth="1"/>
    <col min="2070" max="2070" width="12.28515625" customWidth="1"/>
    <col min="2071" max="2071" width="2.28515625" bestFit="1" customWidth="1"/>
    <col min="2072" max="2072" width="4.5703125" bestFit="1" customWidth="1"/>
    <col min="2073" max="2073" width="2.85546875" customWidth="1"/>
    <col min="2074" max="2074" width="4.5703125" bestFit="1" customWidth="1"/>
    <col min="2075" max="2075" width="2.7109375" customWidth="1"/>
    <col min="2076" max="2076" width="4.5703125" bestFit="1" customWidth="1"/>
    <col min="2077" max="2077" width="2.5703125" customWidth="1"/>
    <col min="2078" max="2078" width="4.5703125" bestFit="1" customWidth="1"/>
    <col min="2079" max="2079" width="5.5703125" customWidth="1"/>
    <col min="2080" max="2080" width="3" bestFit="1" customWidth="1"/>
    <col min="2305" max="2305" width="6.85546875" customWidth="1"/>
    <col min="2306" max="2306" width="11.42578125" bestFit="1" customWidth="1"/>
    <col min="2307" max="2307" width="4.42578125" customWidth="1"/>
    <col min="2308" max="2308" width="8.28515625" bestFit="1" customWidth="1"/>
    <col min="2309" max="2309" width="9.140625" bestFit="1" customWidth="1"/>
    <col min="2310" max="2310" width="15.28515625" bestFit="1" customWidth="1"/>
    <col min="2311" max="2311" width="16.42578125" bestFit="1" customWidth="1"/>
    <col min="2312" max="2312" width="10.5703125" bestFit="1" customWidth="1"/>
    <col min="2313" max="2313" width="8.85546875" customWidth="1"/>
    <col min="2314" max="2314" width="16.140625" customWidth="1"/>
    <col min="2315" max="2315" width="9.7109375" customWidth="1"/>
    <col min="2316" max="2316" width="7.140625" customWidth="1"/>
    <col min="2317" max="2317" width="9.140625" customWidth="1"/>
    <col min="2318" max="2319" width="10.5703125" bestFit="1" customWidth="1"/>
    <col min="2320" max="2320" width="11.42578125" bestFit="1" customWidth="1"/>
    <col min="2321" max="2323" width="7.7109375" bestFit="1" customWidth="1"/>
    <col min="2324" max="2324" width="5.7109375" bestFit="1" customWidth="1"/>
    <col min="2325" max="2325" width="7.42578125" customWidth="1"/>
    <col min="2326" max="2326" width="12.28515625" customWidth="1"/>
    <col min="2327" max="2327" width="2.28515625" bestFit="1" customWidth="1"/>
    <col min="2328" max="2328" width="4.5703125" bestFit="1" customWidth="1"/>
    <col min="2329" max="2329" width="2.85546875" customWidth="1"/>
    <col min="2330" max="2330" width="4.5703125" bestFit="1" customWidth="1"/>
    <col min="2331" max="2331" width="2.7109375" customWidth="1"/>
    <col min="2332" max="2332" width="4.5703125" bestFit="1" customWidth="1"/>
    <col min="2333" max="2333" width="2.5703125" customWidth="1"/>
    <col min="2334" max="2334" width="4.5703125" bestFit="1" customWidth="1"/>
    <col min="2335" max="2335" width="5.5703125" customWidth="1"/>
    <col min="2336" max="2336" width="3" bestFit="1" customWidth="1"/>
    <col min="2561" max="2561" width="6.85546875" customWidth="1"/>
    <col min="2562" max="2562" width="11.42578125" bestFit="1" customWidth="1"/>
    <col min="2563" max="2563" width="4.42578125" customWidth="1"/>
    <col min="2564" max="2564" width="8.28515625" bestFit="1" customWidth="1"/>
    <col min="2565" max="2565" width="9.140625" bestFit="1" customWidth="1"/>
    <col min="2566" max="2566" width="15.28515625" bestFit="1" customWidth="1"/>
    <col min="2567" max="2567" width="16.42578125" bestFit="1" customWidth="1"/>
    <col min="2568" max="2568" width="10.5703125" bestFit="1" customWidth="1"/>
    <col min="2569" max="2569" width="8.85546875" customWidth="1"/>
    <col min="2570" max="2570" width="16.140625" customWidth="1"/>
    <col min="2571" max="2571" width="9.7109375" customWidth="1"/>
    <col min="2572" max="2572" width="7.140625" customWidth="1"/>
    <col min="2573" max="2573" width="9.140625" customWidth="1"/>
    <col min="2574" max="2575" width="10.5703125" bestFit="1" customWidth="1"/>
    <col min="2576" max="2576" width="11.42578125" bestFit="1" customWidth="1"/>
    <col min="2577" max="2579" width="7.7109375" bestFit="1" customWidth="1"/>
    <col min="2580" max="2580" width="5.7109375" bestFit="1" customWidth="1"/>
    <col min="2581" max="2581" width="7.42578125" customWidth="1"/>
    <col min="2582" max="2582" width="12.28515625" customWidth="1"/>
    <col min="2583" max="2583" width="2.28515625" bestFit="1" customWidth="1"/>
    <col min="2584" max="2584" width="4.5703125" bestFit="1" customWidth="1"/>
    <col min="2585" max="2585" width="2.85546875" customWidth="1"/>
    <col min="2586" max="2586" width="4.5703125" bestFit="1" customWidth="1"/>
    <col min="2587" max="2587" width="2.7109375" customWidth="1"/>
    <col min="2588" max="2588" width="4.5703125" bestFit="1" customWidth="1"/>
    <col min="2589" max="2589" width="2.5703125" customWidth="1"/>
    <col min="2590" max="2590" width="4.5703125" bestFit="1" customWidth="1"/>
    <col min="2591" max="2591" width="5.5703125" customWidth="1"/>
    <col min="2592" max="2592" width="3" bestFit="1" customWidth="1"/>
    <col min="2817" max="2817" width="6.85546875" customWidth="1"/>
    <col min="2818" max="2818" width="11.42578125" bestFit="1" customWidth="1"/>
    <col min="2819" max="2819" width="4.42578125" customWidth="1"/>
    <col min="2820" max="2820" width="8.28515625" bestFit="1" customWidth="1"/>
    <col min="2821" max="2821" width="9.140625" bestFit="1" customWidth="1"/>
    <col min="2822" max="2822" width="15.28515625" bestFit="1" customWidth="1"/>
    <col min="2823" max="2823" width="16.42578125" bestFit="1" customWidth="1"/>
    <col min="2824" max="2824" width="10.5703125" bestFit="1" customWidth="1"/>
    <col min="2825" max="2825" width="8.85546875" customWidth="1"/>
    <col min="2826" max="2826" width="16.140625" customWidth="1"/>
    <col min="2827" max="2827" width="9.7109375" customWidth="1"/>
    <col min="2828" max="2828" width="7.140625" customWidth="1"/>
    <col min="2829" max="2829" width="9.140625" customWidth="1"/>
    <col min="2830" max="2831" width="10.5703125" bestFit="1" customWidth="1"/>
    <col min="2832" max="2832" width="11.42578125" bestFit="1" customWidth="1"/>
    <col min="2833" max="2835" width="7.7109375" bestFit="1" customWidth="1"/>
    <col min="2836" max="2836" width="5.7109375" bestFit="1" customWidth="1"/>
    <col min="2837" max="2837" width="7.42578125" customWidth="1"/>
    <col min="2838" max="2838" width="12.28515625" customWidth="1"/>
    <col min="2839" max="2839" width="2.28515625" bestFit="1" customWidth="1"/>
    <col min="2840" max="2840" width="4.5703125" bestFit="1" customWidth="1"/>
    <col min="2841" max="2841" width="2.85546875" customWidth="1"/>
    <col min="2842" max="2842" width="4.5703125" bestFit="1" customWidth="1"/>
    <col min="2843" max="2843" width="2.7109375" customWidth="1"/>
    <col min="2844" max="2844" width="4.5703125" bestFit="1" customWidth="1"/>
    <col min="2845" max="2845" width="2.5703125" customWidth="1"/>
    <col min="2846" max="2846" width="4.5703125" bestFit="1" customWidth="1"/>
    <col min="2847" max="2847" width="5.5703125" customWidth="1"/>
    <col min="2848" max="2848" width="3" bestFit="1" customWidth="1"/>
    <col min="3073" max="3073" width="6.85546875" customWidth="1"/>
    <col min="3074" max="3074" width="11.42578125" bestFit="1" customWidth="1"/>
    <col min="3075" max="3075" width="4.42578125" customWidth="1"/>
    <col min="3076" max="3076" width="8.28515625" bestFit="1" customWidth="1"/>
    <col min="3077" max="3077" width="9.140625" bestFit="1" customWidth="1"/>
    <col min="3078" max="3078" width="15.28515625" bestFit="1" customWidth="1"/>
    <col min="3079" max="3079" width="16.42578125" bestFit="1" customWidth="1"/>
    <col min="3080" max="3080" width="10.5703125" bestFit="1" customWidth="1"/>
    <col min="3081" max="3081" width="8.85546875" customWidth="1"/>
    <col min="3082" max="3082" width="16.140625" customWidth="1"/>
    <col min="3083" max="3083" width="9.7109375" customWidth="1"/>
    <col min="3084" max="3084" width="7.140625" customWidth="1"/>
    <col min="3085" max="3085" width="9.140625" customWidth="1"/>
    <col min="3086" max="3087" width="10.5703125" bestFit="1" customWidth="1"/>
    <col min="3088" max="3088" width="11.42578125" bestFit="1" customWidth="1"/>
    <col min="3089" max="3091" width="7.7109375" bestFit="1" customWidth="1"/>
    <col min="3092" max="3092" width="5.7109375" bestFit="1" customWidth="1"/>
    <col min="3093" max="3093" width="7.42578125" customWidth="1"/>
    <col min="3094" max="3094" width="12.28515625" customWidth="1"/>
    <col min="3095" max="3095" width="2.28515625" bestFit="1" customWidth="1"/>
    <col min="3096" max="3096" width="4.5703125" bestFit="1" customWidth="1"/>
    <col min="3097" max="3097" width="2.85546875" customWidth="1"/>
    <col min="3098" max="3098" width="4.5703125" bestFit="1" customWidth="1"/>
    <col min="3099" max="3099" width="2.7109375" customWidth="1"/>
    <col min="3100" max="3100" width="4.5703125" bestFit="1" customWidth="1"/>
    <col min="3101" max="3101" width="2.5703125" customWidth="1"/>
    <col min="3102" max="3102" width="4.5703125" bestFit="1" customWidth="1"/>
    <col min="3103" max="3103" width="5.5703125" customWidth="1"/>
    <col min="3104" max="3104" width="3" bestFit="1" customWidth="1"/>
    <col min="3329" max="3329" width="6.85546875" customWidth="1"/>
    <col min="3330" max="3330" width="11.42578125" bestFit="1" customWidth="1"/>
    <col min="3331" max="3331" width="4.42578125" customWidth="1"/>
    <col min="3332" max="3332" width="8.28515625" bestFit="1" customWidth="1"/>
    <col min="3333" max="3333" width="9.140625" bestFit="1" customWidth="1"/>
    <col min="3334" max="3334" width="15.28515625" bestFit="1" customWidth="1"/>
    <col min="3335" max="3335" width="16.42578125" bestFit="1" customWidth="1"/>
    <col min="3336" max="3336" width="10.5703125" bestFit="1" customWidth="1"/>
    <col min="3337" max="3337" width="8.85546875" customWidth="1"/>
    <col min="3338" max="3338" width="16.140625" customWidth="1"/>
    <col min="3339" max="3339" width="9.7109375" customWidth="1"/>
    <col min="3340" max="3340" width="7.140625" customWidth="1"/>
    <col min="3341" max="3341" width="9.140625" customWidth="1"/>
    <col min="3342" max="3343" width="10.5703125" bestFit="1" customWidth="1"/>
    <col min="3344" max="3344" width="11.42578125" bestFit="1" customWidth="1"/>
    <col min="3345" max="3347" width="7.7109375" bestFit="1" customWidth="1"/>
    <col min="3348" max="3348" width="5.7109375" bestFit="1" customWidth="1"/>
    <col min="3349" max="3349" width="7.42578125" customWidth="1"/>
    <col min="3350" max="3350" width="12.28515625" customWidth="1"/>
    <col min="3351" max="3351" width="2.28515625" bestFit="1" customWidth="1"/>
    <col min="3352" max="3352" width="4.5703125" bestFit="1" customWidth="1"/>
    <col min="3353" max="3353" width="2.85546875" customWidth="1"/>
    <col min="3354" max="3354" width="4.5703125" bestFit="1" customWidth="1"/>
    <col min="3355" max="3355" width="2.7109375" customWidth="1"/>
    <col min="3356" max="3356" width="4.5703125" bestFit="1" customWidth="1"/>
    <col min="3357" max="3357" width="2.5703125" customWidth="1"/>
    <col min="3358" max="3358" width="4.5703125" bestFit="1" customWidth="1"/>
    <col min="3359" max="3359" width="5.5703125" customWidth="1"/>
    <col min="3360" max="3360" width="3" bestFit="1" customWidth="1"/>
    <col min="3585" max="3585" width="6.85546875" customWidth="1"/>
    <col min="3586" max="3586" width="11.42578125" bestFit="1" customWidth="1"/>
    <col min="3587" max="3587" width="4.42578125" customWidth="1"/>
    <col min="3588" max="3588" width="8.28515625" bestFit="1" customWidth="1"/>
    <col min="3589" max="3589" width="9.140625" bestFit="1" customWidth="1"/>
    <col min="3590" max="3590" width="15.28515625" bestFit="1" customWidth="1"/>
    <col min="3591" max="3591" width="16.42578125" bestFit="1" customWidth="1"/>
    <col min="3592" max="3592" width="10.5703125" bestFit="1" customWidth="1"/>
    <col min="3593" max="3593" width="8.85546875" customWidth="1"/>
    <col min="3594" max="3594" width="16.140625" customWidth="1"/>
    <col min="3595" max="3595" width="9.7109375" customWidth="1"/>
    <col min="3596" max="3596" width="7.140625" customWidth="1"/>
    <col min="3597" max="3597" width="9.140625" customWidth="1"/>
    <col min="3598" max="3599" width="10.5703125" bestFit="1" customWidth="1"/>
    <col min="3600" max="3600" width="11.42578125" bestFit="1" customWidth="1"/>
    <col min="3601" max="3603" width="7.7109375" bestFit="1" customWidth="1"/>
    <col min="3604" max="3604" width="5.7109375" bestFit="1" customWidth="1"/>
    <col min="3605" max="3605" width="7.42578125" customWidth="1"/>
    <col min="3606" max="3606" width="12.28515625" customWidth="1"/>
    <col min="3607" max="3607" width="2.28515625" bestFit="1" customWidth="1"/>
    <col min="3608" max="3608" width="4.5703125" bestFit="1" customWidth="1"/>
    <col min="3609" max="3609" width="2.85546875" customWidth="1"/>
    <col min="3610" max="3610" width="4.5703125" bestFit="1" customWidth="1"/>
    <col min="3611" max="3611" width="2.7109375" customWidth="1"/>
    <col min="3612" max="3612" width="4.5703125" bestFit="1" customWidth="1"/>
    <col min="3613" max="3613" width="2.5703125" customWidth="1"/>
    <col min="3614" max="3614" width="4.5703125" bestFit="1" customWidth="1"/>
    <col min="3615" max="3615" width="5.5703125" customWidth="1"/>
    <col min="3616" max="3616" width="3" bestFit="1" customWidth="1"/>
    <col min="3841" max="3841" width="6.85546875" customWidth="1"/>
    <col min="3842" max="3842" width="11.42578125" bestFit="1" customWidth="1"/>
    <col min="3843" max="3843" width="4.42578125" customWidth="1"/>
    <col min="3844" max="3844" width="8.28515625" bestFit="1" customWidth="1"/>
    <col min="3845" max="3845" width="9.140625" bestFit="1" customWidth="1"/>
    <col min="3846" max="3846" width="15.28515625" bestFit="1" customWidth="1"/>
    <col min="3847" max="3847" width="16.42578125" bestFit="1" customWidth="1"/>
    <col min="3848" max="3848" width="10.5703125" bestFit="1" customWidth="1"/>
    <col min="3849" max="3849" width="8.85546875" customWidth="1"/>
    <col min="3850" max="3850" width="16.140625" customWidth="1"/>
    <col min="3851" max="3851" width="9.7109375" customWidth="1"/>
    <col min="3852" max="3852" width="7.140625" customWidth="1"/>
    <col min="3853" max="3853" width="9.140625" customWidth="1"/>
    <col min="3854" max="3855" width="10.5703125" bestFit="1" customWidth="1"/>
    <col min="3856" max="3856" width="11.42578125" bestFit="1" customWidth="1"/>
    <col min="3857" max="3859" width="7.7109375" bestFit="1" customWidth="1"/>
    <col min="3860" max="3860" width="5.7109375" bestFit="1" customWidth="1"/>
    <col min="3861" max="3861" width="7.42578125" customWidth="1"/>
    <col min="3862" max="3862" width="12.28515625" customWidth="1"/>
    <col min="3863" max="3863" width="2.28515625" bestFit="1" customWidth="1"/>
    <col min="3864" max="3864" width="4.5703125" bestFit="1" customWidth="1"/>
    <col min="3865" max="3865" width="2.85546875" customWidth="1"/>
    <col min="3866" max="3866" width="4.5703125" bestFit="1" customWidth="1"/>
    <col min="3867" max="3867" width="2.7109375" customWidth="1"/>
    <col min="3868" max="3868" width="4.5703125" bestFit="1" customWidth="1"/>
    <col min="3869" max="3869" width="2.5703125" customWidth="1"/>
    <col min="3870" max="3870" width="4.5703125" bestFit="1" customWidth="1"/>
    <col min="3871" max="3871" width="5.5703125" customWidth="1"/>
    <col min="3872" max="3872" width="3" bestFit="1" customWidth="1"/>
    <col min="4097" max="4097" width="6.85546875" customWidth="1"/>
    <col min="4098" max="4098" width="11.42578125" bestFit="1" customWidth="1"/>
    <col min="4099" max="4099" width="4.42578125" customWidth="1"/>
    <col min="4100" max="4100" width="8.28515625" bestFit="1" customWidth="1"/>
    <col min="4101" max="4101" width="9.140625" bestFit="1" customWidth="1"/>
    <col min="4102" max="4102" width="15.28515625" bestFit="1" customWidth="1"/>
    <col min="4103" max="4103" width="16.42578125" bestFit="1" customWidth="1"/>
    <col min="4104" max="4104" width="10.5703125" bestFit="1" customWidth="1"/>
    <col min="4105" max="4105" width="8.85546875" customWidth="1"/>
    <col min="4106" max="4106" width="16.140625" customWidth="1"/>
    <col min="4107" max="4107" width="9.7109375" customWidth="1"/>
    <col min="4108" max="4108" width="7.140625" customWidth="1"/>
    <col min="4109" max="4109" width="9.140625" customWidth="1"/>
    <col min="4110" max="4111" width="10.5703125" bestFit="1" customWidth="1"/>
    <col min="4112" max="4112" width="11.42578125" bestFit="1" customWidth="1"/>
    <col min="4113" max="4115" width="7.7109375" bestFit="1" customWidth="1"/>
    <col min="4116" max="4116" width="5.7109375" bestFit="1" customWidth="1"/>
    <col min="4117" max="4117" width="7.42578125" customWidth="1"/>
    <col min="4118" max="4118" width="12.28515625" customWidth="1"/>
    <col min="4119" max="4119" width="2.28515625" bestFit="1" customWidth="1"/>
    <col min="4120" max="4120" width="4.5703125" bestFit="1" customWidth="1"/>
    <col min="4121" max="4121" width="2.85546875" customWidth="1"/>
    <col min="4122" max="4122" width="4.5703125" bestFit="1" customWidth="1"/>
    <col min="4123" max="4123" width="2.7109375" customWidth="1"/>
    <col min="4124" max="4124" width="4.5703125" bestFit="1" customWidth="1"/>
    <col min="4125" max="4125" width="2.5703125" customWidth="1"/>
    <col min="4126" max="4126" width="4.5703125" bestFit="1" customWidth="1"/>
    <col min="4127" max="4127" width="5.5703125" customWidth="1"/>
    <col min="4128" max="4128" width="3" bestFit="1" customWidth="1"/>
    <col min="4353" max="4353" width="6.85546875" customWidth="1"/>
    <col min="4354" max="4354" width="11.42578125" bestFit="1" customWidth="1"/>
    <col min="4355" max="4355" width="4.42578125" customWidth="1"/>
    <col min="4356" max="4356" width="8.28515625" bestFit="1" customWidth="1"/>
    <col min="4357" max="4357" width="9.140625" bestFit="1" customWidth="1"/>
    <col min="4358" max="4358" width="15.28515625" bestFit="1" customWidth="1"/>
    <col min="4359" max="4359" width="16.42578125" bestFit="1" customWidth="1"/>
    <col min="4360" max="4360" width="10.5703125" bestFit="1" customWidth="1"/>
    <col min="4361" max="4361" width="8.85546875" customWidth="1"/>
    <col min="4362" max="4362" width="16.140625" customWidth="1"/>
    <col min="4363" max="4363" width="9.7109375" customWidth="1"/>
    <col min="4364" max="4364" width="7.140625" customWidth="1"/>
    <col min="4365" max="4365" width="9.140625" customWidth="1"/>
    <col min="4366" max="4367" width="10.5703125" bestFit="1" customWidth="1"/>
    <col min="4368" max="4368" width="11.42578125" bestFit="1" customWidth="1"/>
    <col min="4369" max="4371" width="7.7109375" bestFit="1" customWidth="1"/>
    <col min="4372" max="4372" width="5.7109375" bestFit="1" customWidth="1"/>
    <col min="4373" max="4373" width="7.42578125" customWidth="1"/>
    <col min="4374" max="4374" width="12.28515625" customWidth="1"/>
    <col min="4375" max="4375" width="2.28515625" bestFit="1" customWidth="1"/>
    <col min="4376" max="4376" width="4.5703125" bestFit="1" customWidth="1"/>
    <col min="4377" max="4377" width="2.85546875" customWidth="1"/>
    <col min="4378" max="4378" width="4.5703125" bestFit="1" customWidth="1"/>
    <col min="4379" max="4379" width="2.7109375" customWidth="1"/>
    <col min="4380" max="4380" width="4.5703125" bestFit="1" customWidth="1"/>
    <col min="4381" max="4381" width="2.5703125" customWidth="1"/>
    <col min="4382" max="4382" width="4.5703125" bestFit="1" customWidth="1"/>
    <col min="4383" max="4383" width="5.5703125" customWidth="1"/>
    <col min="4384" max="4384" width="3" bestFit="1" customWidth="1"/>
    <col min="4609" max="4609" width="6.85546875" customWidth="1"/>
    <col min="4610" max="4610" width="11.42578125" bestFit="1" customWidth="1"/>
    <col min="4611" max="4611" width="4.42578125" customWidth="1"/>
    <col min="4612" max="4612" width="8.28515625" bestFit="1" customWidth="1"/>
    <col min="4613" max="4613" width="9.140625" bestFit="1" customWidth="1"/>
    <col min="4614" max="4614" width="15.28515625" bestFit="1" customWidth="1"/>
    <col min="4615" max="4615" width="16.42578125" bestFit="1" customWidth="1"/>
    <col min="4616" max="4616" width="10.5703125" bestFit="1" customWidth="1"/>
    <col min="4617" max="4617" width="8.85546875" customWidth="1"/>
    <col min="4618" max="4618" width="16.140625" customWidth="1"/>
    <col min="4619" max="4619" width="9.7109375" customWidth="1"/>
    <col min="4620" max="4620" width="7.140625" customWidth="1"/>
    <col min="4621" max="4621" width="9.140625" customWidth="1"/>
    <col min="4622" max="4623" width="10.5703125" bestFit="1" customWidth="1"/>
    <col min="4624" max="4624" width="11.42578125" bestFit="1" customWidth="1"/>
    <col min="4625" max="4627" width="7.7109375" bestFit="1" customWidth="1"/>
    <col min="4628" max="4628" width="5.7109375" bestFit="1" customWidth="1"/>
    <col min="4629" max="4629" width="7.42578125" customWidth="1"/>
    <col min="4630" max="4630" width="12.28515625" customWidth="1"/>
    <col min="4631" max="4631" width="2.28515625" bestFit="1" customWidth="1"/>
    <col min="4632" max="4632" width="4.5703125" bestFit="1" customWidth="1"/>
    <col min="4633" max="4633" width="2.85546875" customWidth="1"/>
    <col min="4634" max="4634" width="4.5703125" bestFit="1" customWidth="1"/>
    <col min="4635" max="4635" width="2.7109375" customWidth="1"/>
    <col min="4636" max="4636" width="4.5703125" bestFit="1" customWidth="1"/>
    <col min="4637" max="4637" width="2.5703125" customWidth="1"/>
    <col min="4638" max="4638" width="4.5703125" bestFit="1" customWidth="1"/>
    <col min="4639" max="4639" width="5.5703125" customWidth="1"/>
    <col min="4640" max="4640" width="3" bestFit="1" customWidth="1"/>
    <col min="4865" max="4865" width="6.85546875" customWidth="1"/>
    <col min="4866" max="4866" width="11.42578125" bestFit="1" customWidth="1"/>
    <col min="4867" max="4867" width="4.42578125" customWidth="1"/>
    <col min="4868" max="4868" width="8.28515625" bestFit="1" customWidth="1"/>
    <col min="4869" max="4869" width="9.140625" bestFit="1" customWidth="1"/>
    <col min="4870" max="4870" width="15.28515625" bestFit="1" customWidth="1"/>
    <col min="4871" max="4871" width="16.42578125" bestFit="1" customWidth="1"/>
    <col min="4872" max="4872" width="10.5703125" bestFit="1" customWidth="1"/>
    <col min="4873" max="4873" width="8.85546875" customWidth="1"/>
    <col min="4874" max="4874" width="16.140625" customWidth="1"/>
    <col min="4875" max="4875" width="9.7109375" customWidth="1"/>
    <col min="4876" max="4876" width="7.140625" customWidth="1"/>
    <col min="4877" max="4877" width="9.140625" customWidth="1"/>
    <col min="4878" max="4879" width="10.5703125" bestFit="1" customWidth="1"/>
    <col min="4880" max="4880" width="11.42578125" bestFit="1" customWidth="1"/>
    <col min="4881" max="4883" width="7.7109375" bestFit="1" customWidth="1"/>
    <col min="4884" max="4884" width="5.7109375" bestFit="1" customWidth="1"/>
    <col min="4885" max="4885" width="7.42578125" customWidth="1"/>
    <col min="4886" max="4886" width="12.28515625" customWidth="1"/>
    <col min="4887" max="4887" width="2.28515625" bestFit="1" customWidth="1"/>
    <col min="4888" max="4888" width="4.5703125" bestFit="1" customWidth="1"/>
    <col min="4889" max="4889" width="2.85546875" customWidth="1"/>
    <col min="4890" max="4890" width="4.5703125" bestFit="1" customWidth="1"/>
    <col min="4891" max="4891" width="2.7109375" customWidth="1"/>
    <col min="4892" max="4892" width="4.5703125" bestFit="1" customWidth="1"/>
    <col min="4893" max="4893" width="2.5703125" customWidth="1"/>
    <col min="4894" max="4894" width="4.5703125" bestFit="1" customWidth="1"/>
    <col min="4895" max="4895" width="5.5703125" customWidth="1"/>
    <col min="4896" max="4896" width="3" bestFit="1" customWidth="1"/>
    <col min="5121" max="5121" width="6.85546875" customWidth="1"/>
    <col min="5122" max="5122" width="11.42578125" bestFit="1" customWidth="1"/>
    <col min="5123" max="5123" width="4.42578125" customWidth="1"/>
    <col min="5124" max="5124" width="8.28515625" bestFit="1" customWidth="1"/>
    <col min="5125" max="5125" width="9.140625" bestFit="1" customWidth="1"/>
    <col min="5126" max="5126" width="15.28515625" bestFit="1" customWidth="1"/>
    <col min="5127" max="5127" width="16.42578125" bestFit="1" customWidth="1"/>
    <col min="5128" max="5128" width="10.5703125" bestFit="1" customWidth="1"/>
    <col min="5129" max="5129" width="8.85546875" customWidth="1"/>
    <col min="5130" max="5130" width="16.140625" customWidth="1"/>
    <col min="5131" max="5131" width="9.7109375" customWidth="1"/>
    <col min="5132" max="5132" width="7.140625" customWidth="1"/>
    <col min="5133" max="5133" width="9.140625" customWidth="1"/>
    <col min="5134" max="5135" width="10.5703125" bestFit="1" customWidth="1"/>
    <col min="5136" max="5136" width="11.42578125" bestFit="1" customWidth="1"/>
    <col min="5137" max="5139" width="7.7109375" bestFit="1" customWidth="1"/>
    <col min="5140" max="5140" width="5.7109375" bestFit="1" customWidth="1"/>
    <col min="5141" max="5141" width="7.42578125" customWidth="1"/>
    <col min="5142" max="5142" width="12.28515625" customWidth="1"/>
    <col min="5143" max="5143" width="2.28515625" bestFit="1" customWidth="1"/>
    <col min="5144" max="5144" width="4.5703125" bestFit="1" customWidth="1"/>
    <col min="5145" max="5145" width="2.85546875" customWidth="1"/>
    <col min="5146" max="5146" width="4.5703125" bestFit="1" customWidth="1"/>
    <col min="5147" max="5147" width="2.7109375" customWidth="1"/>
    <col min="5148" max="5148" width="4.5703125" bestFit="1" customWidth="1"/>
    <col min="5149" max="5149" width="2.5703125" customWidth="1"/>
    <col min="5150" max="5150" width="4.5703125" bestFit="1" customWidth="1"/>
    <col min="5151" max="5151" width="5.5703125" customWidth="1"/>
    <col min="5152" max="5152" width="3" bestFit="1" customWidth="1"/>
    <col min="5377" max="5377" width="6.85546875" customWidth="1"/>
    <col min="5378" max="5378" width="11.42578125" bestFit="1" customWidth="1"/>
    <col min="5379" max="5379" width="4.42578125" customWidth="1"/>
    <col min="5380" max="5380" width="8.28515625" bestFit="1" customWidth="1"/>
    <col min="5381" max="5381" width="9.140625" bestFit="1" customWidth="1"/>
    <col min="5382" max="5382" width="15.28515625" bestFit="1" customWidth="1"/>
    <col min="5383" max="5383" width="16.42578125" bestFit="1" customWidth="1"/>
    <col min="5384" max="5384" width="10.5703125" bestFit="1" customWidth="1"/>
    <col min="5385" max="5385" width="8.85546875" customWidth="1"/>
    <col min="5386" max="5386" width="16.140625" customWidth="1"/>
    <col min="5387" max="5387" width="9.7109375" customWidth="1"/>
    <col min="5388" max="5388" width="7.140625" customWidth="1"/>
    <col min="5389" max="5389" width="9.140625" customWidth="1"/>
    <col min="5390" max="5391" width="10.5703125" bestFit="1" customWidth="1"/>
    <col min="5392" max="5392" width="11.42578125" bestFit="1" customWidth="1"/>
    <col min="5393" max="5395" width="7.7109375" bestFit="1" customWidth="1"/>
    <col min="5396" max="5396" width="5.7109375" bestFit="1" customWidth="1"/>
    <col min="5397" max="5397" width="7.42578125" customWidth="1"/>
    <col min="5398" max="5398" width="12.28515625" customWidth="1"/>
    <col min="5399" max="5399" width="2.28515625" bestFit="1" customWidth="1"/>
    <col min="5400" max="5400" width="4.5703125" bestFit="1" customWidth="1"/>
    <col min="5401" max="5401" width="2.85546875" customWidth="1"/>
    <col min="5402" max="5402" width="4.5703125" bestFit="1" customWidth="1"/>
    <col min="5403" max="5403" width="2.7109375" customWidth="1"/>
    <col min="5404" max="5404" width="4.5703125" bestFit="1" customWidth="1"/>
    <col min="5405" max="5405" width="2.5703125" customWidth="1"/>
    <col min="5406" max="5406" width="4.5703125" bestFit="1" customWidth="1"/>
    <col min="5407" max="5407" width="5.5703125" customWidth="1"/>
    <col min="5408" max="5408" width="3" bestFit="1" customWidth="1"/>
    <col min="5633" max="5633" width="6.85546875" customWidth="1"/>
    <col min="5634" max="5634" width="11.42578125" bestFit="1" customWidth="1"/>
    <col min="5635" max="5635" width="4.42578125" customWidth="1"/>
    <col min="5636" max="5636" width="8.28515625" bestFit="1" customWidth="1"/>
    <col min="5637" max="5637" width="9.140625" bestFit="1" customWidth="1"/>
    <col min="5638" max="5638" width="15.28515625" bestFit="1" customWidth="1"/>
    <col min="5639" max="5639" width="16.42578125" bestFit="1" customWidth="1"/>
    <col min="5640" max="5640" width="10.5703125" bestFit="1" customWidth="1"/>
    <col min="5641" max="5641" width="8.85546875" customWidth="1"/>
    <col min="5642" max="5642" width="16.140625" customWidth="1"/>
    <col min="5643" max="5643" width="9.7109375" customWidth="1"/>
    <col min="5644" max="5644" width="7.140625" customWidth="1"/>
    <col min="5645" max="5645" width="9.140625" customWidth="1"/>
    <col min="5646" max="5647" width="10.5703125" bestFit="1" customWidth="1"/>
    <col min="5648" max="5648" width="11.42578125" bestFit="1" customWidth="1"/>
    <col min="5649" max="5651" width="7.7109375" bestFit="1" customWidth="1"/>
    <col min="5652" max="5652" width="5.7109375" bestFit="1" customWidth="1"/>
    <col min="5653" max="5653" width="7.42578125" customWidth="1"/>
    <col min="5654" max="5654" width="12.28515625" customWidth="1"/>
    <col min="5655" max="5655" width="2.28515625" bestFit="1" customWidth="1"/>
    <col min="5656" max="5656" width="4.5703125" bestFit="1" customWidth="1"/>
    <col min="5657" max="5657" width="2.85546875" customWidth="1"/>
    <col min="5658" max="5658" width="4.5703125" bestFit="1" customWidth="1"/>
    <col min="5659" max="5659" width="2.7109375" customWidth="1"/>
    <col min="5660" max="5660" width="4.5703125" bestFit="1" customWidth="1"/>
    <col min="5661" max="5661" width="2.5703125" customWidth="1"/>
    <col min="5662" max="5662" width="4.5703125" bestFit="1" customWidth="1"/>
    <col min="5663" max="5663" width="5.5703125" customWidth="1"/>
    <col min="5664" max="5664" width="3" bestFit="1" customWidth="1"/>
    <col min="5889" max="5889" width="6.85546875" customWidth="1"/>
    <col min="5890" max="5890" width="11.42578125" bestFit="1" customWidth="1"/>
    <col min="5891" max="5891" width="4.42578125" customWidth="1"/>
    <col min="5892" max="5892" width="8.28515625" bestFit="1" customWidth="1"/>
    <col min="5893" max="5893" width="9.140625" bestFit="1" customWidth="1"/>
    <col min="5894" max="5894" width="15.28515625" bestFit="1" customWidth="1"/>
    <col min="5895" max="5895" width="16.42578125" bestFit="1" customWidth="1"/>
    <col min="5896" max="5896" width="10.5703125" bestFit="1" customWidth="1"/>
    <col min="5897" max="5897" width="8.85546875" customWidth="1"/>
    <col min="5898" max="5898" width="16.140625" customWidth="1"/>
    <col min="5899" max="5899" width="9.7109375" customWidth="1"/>
    <col min="5900" max="5900" width="7.140625" customWidth="1"/>
    <col min="5901" max="5901" width="9.140625" customWidth="1"/>
    <col min="5902" max="5903" width="10.5703125" bestFit="1" customWidth="1"/>
    <col min="5904" max="5904" width="11.42578125" bestFit="1" customWidth="1"/>
    <col min="5905" max="5907" width="7.7109375" bestFit="1" customWidth="1"/>
    <col min="5908" max="5908" width="5.7109375" bestFit="1" customWidth="1"/>
    <col min="5909" max="5909" width="7.42578125" customWidth="1"/>
    <col min="5910" max="5910" width="12.28515625" customWidth="1"/>
    <col min="5911" max="5911" width="2.28515625" bestFit="1" customWidth="1"/>
    <col min="5912" max="5912" width="4.5703125" bestFit="1" customWidth="1"/>
    <col min="5913" max="5913" width="2.85546875" customWidth="1"/>
    <col min="5914" max="5914" width="4.5703125" bestFit="1" customWidth="1"/>
    <col min="5915" max="5915" width="2.7109375" customWidth="1"/>
    <col min="5916" max="5916" width="4.5703125" bestFit="1" customWidth="1"/>
    <col min="5917" max="5917" width="2.5703125" customWidth="1"/>
    <col min="5918" max="5918" width="4.5703125" bestFit="1" customWidth="1"/>
    <col min="5919" max="5919" width="5.5703125" customWidth="1"/>
    <col min="5920" max="5920" width="3" bestFit="1" customWidth="1"/>
    <col min="6145" max="6145" width="6.85546875" customWidth="1"/>
    <col min="6146" max="6146" width="11.42578125" bestFit="1" customWidth="1"/>
    <col min="6147" max="6147" width="4.42578125" customWidth="1"/>
    <col min="6148" max="6148" width="8.28515625" bestFit="1" customWidth="1"/>
    <col min="6149" max="6149" width="9.140625" bestFit="1" customWidth="1"/>
    <col min="6150" max="6150" width="15.28515625" bestFit="1" customWidth="1"/>
    <col min="6151" max="6151" width="16.42578125" bestFit="1" customWidth="1"/>
    <col min="6152" max="6152" width="10.5703125" bestFit="1" customWidth="1"/>
    <col min="6153" max="6153" width="8.85546875" customWidth="1"/>
    <col min="6154" max="6154" width="16.140625" customWidth="1"/>
    <col min="6155" max="6155" width="9.7109375" customWidth="1"/>
    <col min="6156" max="6156" width="7.140625" customWidth="1"/>
    <col min="6157" max="6157" width="9.140625" customWidth="1"/>
    <col min="6158" max="6159" width="10.5703125" bestFit="1" customWidth="1"/>
    <col min="6160" max="6160" width="11.42578125" bestFit="1" customWidth="1"/>
    <col min="6161" max="6163" width="7.7109375" bestFit="1" customWidth="1"/>
    <col min="6164" max="6164" width="5.7109375" bestFit="1" customWidth="1"/>
    <col min="6165" max="6165" width="7.42578125" customWidth="1"/>
    <col min="6166" max="6166" width="12.28515625" customWidth="1"/>
    <col min="6167" max="6167" width="2.28515625" bestFit="1" customWidth="1"/>
    <col min="6168" max="6168" width="4.5703125" bestFit="1" customWidth="1"/>
    <col min="6169" max="6169" width="2.85546875" customWidth="1"/>
    <col min="6170" max="6170" width="4.5703125" bestFit="1" customWidth="1"/>
    <col min="6171" max="6171" width="2.7109375" customWidth="1"/>
    <col min="6172" max="6172" width="4.5703125" bestFit="1" customWidth="1"/>
    <col min="6173" max="6173" width="2.5703125" customWidth="1"/>
    <col min="6174" max="6174" width="4.5703125" bestFit="1" customWidth="1"/>
    <col min="6175" max="6175" width="5.5703125" customWidth="1"/>
    <col min="6176" max="6176" width="3" bestFit="1" customWidth="1"/>
    <col min="6401" max="6401" width="6.85546875" customWidth="1"/>
    <col min="6402" max="6402" width="11.42578125" bestFit="1" customWidth="1"/>
    <col min="6403" max="6403" width="4.42578125" customWidth="1"/>
    <col min="6404" max="6404" width="8.28515625" bestFit="1" customWidth="1"/>
    <col min="6405" max="6405" width="9.140625" bestFit="1" customWidth="1"/>
    <col min="6406" max="6406" width="15.28515625" bestFit="1" customWidth="1"/>
    <col min="6407" max="6407" width="16.42578125" bestFit="1" customWidth="1"/>
    <col min="6408" max="6408" width="10.5703125" bestFit="1" customWidth="1"/>
    <col min="6409" max="6409" width="8.85546875" customWidth="1"/>
    <col min="6410" max="6410" width="16.140625" customWidth="1"/>
    <col min="6411" max="6411" width="9.7109375" customWidth="1"/>
    <col min="6412" max="6412" width="7.140625" customWidth="1"/>
    <col min="6413" max="6413" width="9.140625" customWidth="1"/>
    <col min="6414" max="6415" width="10.5703125" bestFit="1" customWidth="1"/>
    <col min="6416" max="6416" width="11.42578125" bestFit="1" customWidth="1"/>
    <col min="6417" max="6419" width="7.7109375" bestFit="1" customWidth="1"/>
    <col min="6420" max="6420" width="5.7109375" bestFit="1" customWidth="1"/>
    <col min="6421" max="6421" width="7.42578125" customWidth="1"/>
    <col min="6422" max="6422" width="12.28515625" customWidth="1"/>
    <col min="6423" max="6423" width="2.28515625" bestFit="1" customWidth="1"/>
    <col min="6424" max="6424" width="4.5703125" bestFit="1" customWidth="1"/>
    <col min="6425" max="6425" width="2.85546875" customWidth="1"/>
    <col min="6426" max="6426" width="4.5703125" bestFit="1" customWidth="1"/>
    <col min="6427" max="6427" width="2.7109375" customWidth="1"/>
    <col min="6428" max="6428" width="4.5703125" bestFit="1" customWidth="1"/>
    <col min="6429" max="6429" width="2.5703125" customWidth="1"/>
    <col min="6430" max="6430" width="4.5703125" bestFit="1" customWidth="1"/>
    <col min="6431" max="6431" width="5.5703125" customWidth="1"/>
    <col min="6432" max="6432" width="3" bestFit="1" customWidth="1"/>
    <col min="6657" max="6657" width="6.85546875" customWidth="1"/>
    <col min="6658" max="6658" width="11.42578125" bestFit="1" customWidth="1"/>
    <col min="6659" max="6659" width="4.42578125" customWidth="1"/>
    <col min="6660" max="6660" width="8.28515625" bestFit="1" customWidth="1"/>
    <col min="6661" max="6661" width="9.140625" bestFit="1" customWidth="1"/>
    <col min="6662" max="6662" width="15.28515625" bestFit="1" customWidth="1"/>
    <col min="6663" max="6663" width="16.42578125" bestFit="1" customWidth="1"/>
    <col min="6664" max="6664" width="10.5703125" bestFit="1" customWidth="1"/>
    <col min="6665" max="6665" width="8.85546875" customWidth="1"/>
    <col min="6666" max="6666" width="16.140625" customWidth="1"/>
    <col min="6667" max="6667" width="9.7109375" customWidth="1"/>
    <col min="6668" max="6668" width="7.140625" customWidth="1"/>
    <col min="6669" max="6669" width="9.140625" customWidth="1"/>
    <col min="6670" max="6671" width="10.5703125" bestFit="1" customWidth="1"/>
    <col min="6672" max="6672" width="11.42578125" bestFit="1" customWidth="1"/>
    <col min="6673" max="6675" width="7.7109375" bestFit="1" customWidth="1"/>
    <col min="6676" max="6676" width="5.7109375" bestFit="1" customWidth="1"/>
    <col min="6677" max="6677" width="7.42578125" customWidth="1"/>
    <col min="6678" max="6678" width="12.28515625" customWidth="1"/>
    <col min="6679" max="6679" width="2.28515625" bestFit="1" customWidth="1"/>
    <col min="6680" max="6680" width="4.5703125" bestFit="1" customWidth="1"/>
    <col min="6681" max="6681" width="2.85546875" customWidth="1"/>
    <col min="6682" max="6682" width="4.5703125" bestFit="1" customWidth="1"/>
    <col min="6683" max="6683" width="2.7109375" customWidth="1"/>
    <col min="6684" max="6684" width="4.5703125" bestFit="1" customWidth="1"/>
    <col min="6685" max="6685" width="2.5703125" customWidth="1"/>
    <col min="6686" max="6686" width="4.5703125" bestFit="1" customWidth="1"/>
    <col min="6687" max="6687" width="5.5703125" customWidth="1"/>
    <col min="6688" max="6688" width="3" bestFit="1" customWidth="1"/>
    <col min="6913" max="6913" width="6.85546875" customWidth="1"/>
    <col min="6914" max="6914" width="11.42578125" bestFit="1" customWidth="1"/>
    <col min="6915" max="6915" width="4.42578125" customWidth="1"/>
    <col min="6916" max="6916" width="8.28515625" bestFit="1" customWidth="1"/>
    <col min="6917" max="6917" width="9.140625" bestFit="1" customWidth="1"/>
    <col min="6918" max="6918" width="15.28515625" bestFit="1" customWidth="1"/>
    <col min="6919" max="6919" width="16.42578125" bestFit="1" customWidth="1"/>
    <col min="6920" max="6920" width="10.5703125" bestFit="1" customWidth="1"/>
    <col min="6921" max="6921" width="8.85546875" customWidth="1"/>
    <col min="6922" max="6922" width="16.140625" customWidth="1"/>
    <col min="6923" max="6923" width="9.7109375" customWidth="1"/>
    <col min="6924" max="6924" width="7.140625" customWidth="1"/>
    <col min="6925" max="6925" width="9.140625" customWidth="1"/>
    <col min="6926" max="6927" width="10.5703125" bestFit="1" customWidth="1"/>
    <col min="6928" max="6928" width="11.42578125" bestFit="1" customWidth="1"/>
    <col min="6929" max="6931" width="7.7109375" bestFit="1" customWidth="1"/>
    <col min="6932" max="6932" width="5.7109375" bestFit="1" customWidth="1"/>
    <col min="6933" max="6933" width="7.42578125" customWidth="1"/>
    <col min="6934" max="6934" width="12.28515625" customWidth="1"/>
    <col min="6935" max="6935" width="2.28515625" bestFit="1" customWidth="1"/>
    <col min="6936" max="6936" width="4.5703125" bestFit="1" customWidth="1"/>
    <col min="6937" max="6937" width="2.85546875" customWidth="1"/>
    <col min="6938" max="6938" width="4.5703125" bestFit="1" customWidth="1"/>
    <col min="6939" max="6939" width="2.7109375" customWidth="1"/>
    <col min="6940" max="6940" width="4.5703125" bestFit="1" customWidth="1"/>
    <col min="6941" max="6941" width="2.5703125" customWidth="1"/>
    <col min="6942" max="6942" width="4.5703125" bestFit="1" customWidth="1"/>
    <col min="6943" max="6943" width="5.5703125" customWidth="1"/>
    <col min="6944" max="6944" width="3" bestFit="1" customWidth="1"/>
    <col min="7169" max="7169" width="6.85546875" customWidth="1"/>
    <col min="7170" max="7170" width="11.42578125" bestFit="1" customWidth="1"/>
    <col min="7171" max="7171" width="4.42578125" customWidth="1"/>
    <col min="7172" max="7172" width="8.28515625" bestFit="1" customWidth="1"/>
    <col min="7173" max="7173" width="9.140625" bestFit="1" customWidth="1"/>
    <col min="7174" max="7174" width="15.28515625" bestFit="1" customWidth="1"/>
    <col min="7175" max="7175" width="16.42578125" bestFit="1" customWidth="1"/>
    <col min="7176" max="7176" width="10.5703125" bestFit="1" customWidth="1"/>
    <col min="7177" max="7177" width="8.85546875" customWidth="1"/>
    <col min="7178" max="7178" width="16.140625" customWidth="1"/>
    <col min="7179" max="7179" width="9.7109375" customWidth="1"/>
    <col min="7180" max="7180" width="7.140625" customWidth="1"/>
    <col min="7181" max="7181" width="9.140625" customWidth="1"/>
    <col min="7182" max="7183" width="10.5703125" bestFit="1" customWidth="1"/>
    <col min="7184" max="7184" width="11.42578125" bestFit="1" customWidth="1"/>
    <col min="7185" max="7187" width="7.7109375" bestFit="1" customWidth="1"/>
    <col min="7188" max="7188" width="5.7109375" bestFit="1" customWidth="1"/>
    <col min="7189" max="7189" width="7.42578125" customWidth="1"/>
    <col min="7190" max="7190" width="12.28515625" customWidth="1"/>
    <col min="7191" max="7191" width="2.28515625" bestFit="1" customWidth="1"/>
    <col min="7192" max="7192" width="4.5703125" bestFit="1" customWidth="1"/>
    <col min="7193" max="7193" width="2.85546875" customWidth="1"/>
    <col min="7194" max="7194" width="4.5703125" bestFit="1" customWidth="1"/>
    <col min="7195" max="7195" width="2.7109375" customWidth="1"/>
    <col min="7196" max="7196" width="4.5703125" bestFit="1" customWidth="1"/>
    <col min="7197" max="7197" width="2.5703125" customWidth="1"/>
    <col min="7198" max="7198" width="4.5703125" bestFit="1" customWidth="1"/>
    <col min="7199" max="7199" width="5.5703125" customWidth="1"/>
    <col min="7200" max="7200" width="3" bestFit="1" customWidth="1"/>
    <col min="7425" max="7425" width="6.85546875" customWidth="1"/>
    <col min="7426" max="7426" width="11.42578125" bestFit="1" customWidth="1"/>
    <col min="7427" max="7427" width="4.42578125" customWidth="1"/>
    <col min="7428" max="7428" width="8.28515625" bestFit="1" customWidth="1"/>
    <col min="7429" max="7429" width="9.140625" bestFit="1" customWidth="1"/>
    <col min="7430" max="7430" width="15.28515625" bestFit="1" customWidth="1"/>
    <col min="7431" max="7431" width="16.42578125" bestFit="1" customWidth="1"/>
    <col min="7432" max="7432" width="10.5703125" bestFit="1" customWidth="1"/>
    <col min="7433" max="7433" width="8.85546875" customWidth="1"/>
    <col min="7434" max="7434" width="16.140625" customWidth="1"/>
    <col min="7435" max="7435" width="9.7109375" customWidth="1"/>
    <col min="7436" max="7436" width="7.140625" customWidth="1"/>
    <col min="7437" max="7437" width="9.140625" customWidth="1"/>
    <col min="7438" max="7439" width="10.5703125" bestFit="1" customWidth="1"/>
    <col min="7440" max="7440" width="11.42578125" bestFit="1" customWidth="1"/>
    <col min="7441" max="7443" width="7.7109375" bestFit="1" customWidth="1"/>
    <col min="7444" max="7444" width="5.7109375" bestFit="1" customWidth="1"/>
    <col min="7445" max="7445" width="7.42578125" customWidth="1"/>
    <col min="7446" max="7446" width="12.28515625" customWidth="1"/>
    <col min="7447" max="7447" width="2.28515625" bestFit="1" customWidth="1"/>
    <col min="7448" max="7448" width="4.5703125" bestFit="1" customWidth="1"/>
    <col min="7449" max="7449" width="2.85546875" customWidth="1"/>
    <col min="7450" max="7450" width="4.5703125" bestFit="1" customWidth="1"/>
    <col min="7451" max="7451" width="2.7109375" customWidth="1"/>
    <col min="7452" max="7452" width="4.5703125" bestFit="1" customWidth="1"/>
    <col min="7453" max="7453" width="2.5703125" customWidth="1"/>
    <col min="7454" max="7454" width="4.5703125" bestFit="1" customWidth="1"/>
    <col min="7455" max="7455" width="5.5703125" customWidth="1"/>
    <col min="7456" max="7456" width="3" bestFit="1" customWidth="1"/>
    <col min="7681" max="7681" width="6.85546875" customWidth="1"/>
    <col min="7682" max="7682" width="11.42578125" bestFit="1" customWidth="1"/>
    <col min="7683" max="7683" width="4.42578125" customWidth="1"/>
    <col min="7684" max="7684" width="8.28515625" bestFit="1" customWidth="1"/>
    <col min="7685" max="7685" width="9.140625" bestFit="1" customWidth="1"/>
    <col min="7686" max="7686" width="15.28515625" bestFit="1" customWidth="1"/>
    <col min="7687" max="7687" width="16.42578125" bestFit="1" customWidth="1"/>
    <col min="7688" max="7688" width="10.5703125" bestFit="1" customWidth="1"/>
    <col min="7689" max="7689" width="8.85546875" customWidth="1"/>
    <col min="7690" max="7690" width="16.140625" customWidth="1"/>
    <col min="7691" max="7691" width="9.7109375" customWidth="1"/>
    <col min="7692" max="7692" width="7.140625" customWidth="1"/>
    <col min="7693" max="7693" width="9.140625" customWidth="1"/>
    <col min="7694" max="7695" width="10.5703125" bestFit="1" customWidth="1"/>
    <col min="7696" max="7696" width="11.42578125" bestFit="1" customWidth="1"/>
    <col min="7697" max="7699" width="7.7109375" bestFit="1" customWidth="1"/>
    <col min="7700" max="7700" width="5.7109375" bestFit="1" customWidth="1"/>
    <col min="7701" max="7701" width="7.42578125" customWidth="1"/>
    <col min="7702" max="7702" width="12.28515625" customWidth="1"/>
    <col min="7703" max="7703" width="2.28515625" bestFit="1" customWidth="1"/>
    <col min="7704" max="7704" width="4.5703125" bestFit="1" customWidth="1"/>
    <col min="7705" max="7705" width="2.85546875" customWidth="1"/>
    <col min="7706" max="7706" width="4.5703125" bestFit="1" customWidth="1"/>
    <col min="7707" max="7707" width="2.7109375" customWidth="1"/>
    <col min="7708" max="7708" width="4.5703125" bestFit="1" customWidth="1"/>
    <col min="7709" max="7709" width="2.5703125" customWidth="1"/>
    <col min="7710" max="7710" width="4.5703125" bestFit="1" customWidth="1"/>
    <col min="7711" max="7711" width="5.5703125" customWidth="1"/>
    <col min="7712" max="7712" width="3" bestFit="1" customWidth="1"/>
    <col min="7937" max="7937" width="6.85546875" customWidth="1"/>
    <col min="7938" max="7938" width="11.42578125" bestFit="1" customWidth="1"/>
    <col min="7939" max="7939" width="4.42578125" customWidth="1"/>
    <col min="7940" max="7940" width="8.28515625" bestFit="1" customWidth="1"/>
    <col min="7941" max="7941" width="9.140625" bestFit="1" customWidth="1"/>
    <col min="7942" max="7942" width="15.28515625" bestFit="1" customWidth="1"/>
    <col min="7943" max="7943" width="16.42578125" bestFit="1" customWidth="1"/>
    <col min="7944" max="7944" width="10.5703125" bestFit="1" customWidth="1"/>
    <col min="7945" max="7945" width="8.85546875" customWidth="1"/>
    <col min="7946" max="7946" width="16.140625" customWidth="1"/>
    <col min="7947" max="7947" width="9.7109375" customWidth="1"/>
    <col min="7948" max="7948" width="7.140625" customWidth="1"/>
    <col min="7949" max="7949" width="9.140625" customWidth="1"/>
    <col min="7950" max="7951" width="10.5703125" bestFit="1" customWidth="1"/>
    <col min="7952" max="7952" width="11.42578125" bestFit="1" customWidth="1"/>
    <col min="7953" max="7955" width="7.7109375" bestFit="1" customWidth="1"/>
    <col min="7956" max="7956" width="5.7109375" bestFit="1" customWidth="1"/>
    <col min="7957" max="7957" width="7.42578125" customWidth="1"/>
    <col min="7958" max="7958" width="12.28515625" customWidth="1"/>
    <col min="7959" max="7959" width="2.28515625" bestFit="1" customWidth="1"/>
    <col min="7960" max="7960" width="4.5703125" bestFit="1" customWidth="1"/>
    <col min="7961" max="7961" width="2.85546875" customWidth="1"/>
    <col min="7962" max="7962" width="4.5703125" bestFit="1" customWidth="1"/>
    <col min="7963" max="7963" width="2.7109375" customWidth="1"/>
    <col min="7964" max="7964" width="4.5703125" bestFit="1" customWidth="1"/>
    <col min="7965" max="7965" width="2.5703125" customWidth="1"/>
    <col min="7966" max="7966" width="4.5703125" bestFit="1" customWidth="1"/>
    <col min="7967" max="7967" width="5.5703125" customWidth="1"/>
    <col min="7968" max="7968" width="3" bestFit="1" customWidth="1"/>
    <col min="8193" max="8193" width="6.85546875" customWidth="1"/>
    <col min="8194" max="8194" width="11.42578125" bestFit="1" customWidth="1"/>
    <col min="8195" max="8195" width="4.42578125" customWidth="1"/>
    <col min="8196" max="8196" width="8.28515625" bestFit="1" customWidth="1"/>
    <col min="8197" max="8197" width="9.140625" bestFit="1" customWidth="1"/>
    <col min="8198" max="8198" width="15.28515625" bestFit="1" customWidth="1"/>
    <col min="8199" max="8199" width="16.42578125" bestFit="1" customWidth="1"/>
    <col min="8200" max="8200" width="10.5703125" bestFit="1" customWidth="1"/>
    <col min="8201" max="8201" width="8.85546875" customWidth="1"/>
    <col min="8202" max="8202" width="16.140625" customWidth="1"/>
    <col min="8203" max="8203" width="9.7109375" customWidth="1"/>
    <col min="8204" max="8204" width="7.140625" customWidth="1"/>
    <col min="8205" max="8205" width="9.140625" customWidth="1"/>
    <col min="8206" max="8207" width="10.5703125" bestFit="1" customWidth="1"/>
    <col min="8208" max="8208" width="11.42578125" bestFit="1" customWidth="1"/>
    <col min="8209" max="8211" width="7.7109375" bestFit="1" customWidth="1"/>
    <col min="8212" max="8212" width="5.7109375" bestFit="1" customWidth="1"/>
    <col min="8213" max="8213" width="7.42578125" customWidth="1"/>
    <col min="8214" max="8214" width="12.28515625" customWidth="1"/>
    <col min="8215" max="8215" width="2.28515625" bestFit="1" customWidth="1"/>
    <col min="8216" max="8216" width="4.5703125" bestFit="1" customWidth="1"/>
    <col min="8217" max="8217" width="2.85546875" customWidth="1"/>
    <col min="8218" max="8218" width="4.5703125" bestFit="1" customWidth="1"/>
    <col min="8219" max="8219" width="2.7109375" customWidth="1"/>
    <col min="8220" max="8220" width="4.5703125" bestFit="1" customWidth="1"/>
    <col min="8221" max="8221" width="2.5703125" customWidth="1"/>
    <col min="8222" max="8222" width="4.5703125" bestFit="1" customWidth="1"/>
    <col min="8223" max="8223" width="5.5703125" customWidth="1"/>
    <col min="8224" max="8224" width="3" bestFit="1" customWidth="1"/>
    <col min="8449" max="8449" width="6.85546875" customWidth="1"/>
    <col min="8450" max="8450" width="11.42578125" bestFit="1" customWidth="1"/>
    <col min="8451" max="8451" width="4.42578125" customWidth="1"/>
    <col min="8452" max="8452" width="8.28515625" bestFit="1" customWidth="1"/>
    <col min="8453" max="8453" width="9.140625" bestFit="1" customWidth="1"/>
    <col min="8454" max="8454" width="15.28515625" bestFit="1" customWidth="1"/>
    <col min="8455" max="8455" width="16.42578125" bestFit="1" customWidth="1"/>
    <col min="8456" max="8456" width="10.5703125" bestFit="1" customWidth="1"/>
    <col min="8457" max="8457" width="8.85546875" customWidth="1"/>
    <col min="8458" max="8458" width="16.140625" customWidth="1"/>
    <col min="8459" max="8459" width="9.7109375" customWidth="1"/>
    <col min="8460" max="8460" width="7.140625" customWidth="1"/>
    <col min="8461" max="8461" width="9.140625" customWidth="1"/>
    <col min="8462" max="8463" width="10.5703125" bestFit="1" customWidth="1"/>
    <col min="8464" max="8464" width="11.42578125" bestFit="1" customWidth="1"/>
    <col min="8465" max="8467" width="7.7109375" bestFit="1" customWidth="1"/>
    <col min="8468" max="8468" width="5.7109375" bestFit="1" customWidth="1"/>
    <col min="8469" max="8469" width="7.42578125" customWidth="1"/>
    <col min="8470" max="8470" width="12.28515625" customWidth="1"/>
    <col min="8471" max="8471" width="2.28515625" bestFit="1" customWidth="1"/>
    <col min="8472" max="8472" width="4.5703125" bestFit="1" customWidth="1"/>
    <col min="8473" max="8473" width="2.85546875" customWidth="1"/>
    <col min="8474" max="8474" width="4.5703125" bestFit="1" customWidth="1"/>
    <col min="8475" max="8475" width="2.7109375" customWidth="1"/>
    <col min="8476" max="8476" width="4.5703125" bestFit="1" customWidth="1"/>
    <col min="8477" max="8477" width="2.5703125" customWidth="1"/>
    <col min="8478" max="8478" width="4.5703125" bestFit="1" customWidth="1"/>
    <col min="8479" max="8479" width="5.5703125" customWidth="1"/>
    <col min="8480" max="8480" width="3" bestFit="1" customWidth="1"/>
    <col min="8705" max="8705" width="6.85546875" customWidth="1"/>
    <col min="8706" max="8706" width="11.42578125" bestFit="1" customWidth="1"/>
    <col min="8707" max="8707" width="4.42578125" customWidth="1"/>
    <col min="8708" max="8708" width="8.28515625" bestFit="1" customWidth="1"/>
    <col min="8709" max="8709" width="9.140625" bestFit="1" customWidth="1"/>
    <col min="8710" max="8710" width="15.28515625" bestFit="1" customWidth="1"/>
    <col min="8711" max="8711" width="16.42578125" bestFit="1" customWidth="1"/>
    <col min="8712" max="8712" width="10.5703125" bestFit="1" customWidth="1"/>
    <col min="8713" max="8713" width="8.85546875" customWidth="1"/>
    <col min="8714" max="8714" width="16.140625" customWidth="1"/>
    <col min="8715" max="8715" width="9.7109375" customWidth="1"/>
    <col min="8716" max="8716" width="7.140625" customWidth="1"/>
    <col min="8717" max="8717" width="9.140625" customWidth="1"/>
    <col min="8718" max="8719" width="10.5703125" bestFit="1" customWidth="1"/>
    <col min="8720" max="8720" width="11.42578125" bestFit="1" customWidth="1"/>
    <col min="8721" max="8723" width="7.7109375" bestFit="1" customWidth="1"/>
    <col min="8724" max="8724" width="5.7109375" bestFit="1" customWidth="1"/>
    <col min="8725" max="8725" width="7.42578125" customWidth="1"/>
    <col min="8726" max="8726" width="12.28515625" customWidth="1"/>
    <col min="8727" max="8727" width="2.28515625" bestFit="1" customWidth="1"/>
    <col min="8728" max="8728" width="4.5703125" bestFit="1" customWidth="1"/>
    <col min="8729" max="8729" width="2.85546875" customWidth="1"/>
    <col min="8730" max="8730" width="4.5703125" bestFit="1" customWidth="1"/>
    <col min="8731" max="8731" width="2.7109375" customWidth="1"/>
    <col min="8732" max="8732" width="4.5703125" bestFit="1" customWidth="1"/>
    <col min="8733" max="8733" width="2.5703125" customWidth="1"/>
    <col min="8734" max="8734" width="4.5703125" bestFit="1" customWidth="1"/>
    <col min="8735" max="8735" width="5.5703125" customWidth="1"/>
    <col min="8736" max="8736" width="3" bestFit="1" customWidth="1"/>
    <col min="8961" max="8961" width="6.85546875" customWidth="1"/>
    <col min="8962" max="8962" width="11.42578125" bestFit="1" customWidth="1"/>
    <col min="8963" max="8963" width="4.42578125" customWidth="1"/>
    <col min="8964" max="8964" width="8.28515625" bestFit="1" customWidth="1"/>
    <col min="8965" max="8965" width="9.140625" bestFit="1" customWidth="1"/>
    <col min="8966" max="8966" width="15.28515625" bestFit="1" customWidth="1"/>
    <col min="8967" max="8967" width="16.42578125" bestFit="1" customWidth="1"/>
    <col min="8968" max="8968" width="10.5703125" bestFit="1" customWidth="1"/>
    <col min="8969" max="8969" width="8.85546875" customWidth="1"/>
    <col min="8970" max="8970" width="16.140625" customWidth="1"/>
    <col min="8971" max="8971" width="9.7109375" customWidth="1"/>
    <col min="8972" max="8972" width="7.140625" customWidth="1"/>
    <col min="8973" max="8973" width="9.140625" customWidth="1"/>
    <col min="8974" max="8975" width="10.5703125" bestFit="1" customWidth="1"/>
    <col min="8976" max="8976" width="11.42578125" bestFit="1" customWidth="1"/>
    <col min="8977" max="8979" width="7.7109375" bestFit="1" customWidth="1"/>
    <col min="8980" max="8980" width="5.7109375" bestFit="1" customWidth="1"/>
    <col min="8981" max="8981" width="7.42578125" customWidth="1"/>
    <col min="8982" max="8982" width="12.28515625" customWidth="1"/>
    <col min="8983" max="8983" width="2.28515625" bestFit="1" customWidth="1"/>
    <col min="8984" max="8984" width="4.5703125" bestFit="1" customWidth="1"/>
    <col min="8985" max="8985" width="2.85546875" customWidth="1"/>
    <col min="8986" max="8986" width="4.5703125" bestFit="1" customWidth="1"/>
    <col min="8987" max="8987" width="2.7109375" customWidth="1"/>
    <col min="8988" max="8988" width="4.5703125" bestFit="1" customWidth="1"/>
    <col min="8989" max="8989" width="2.5703125" customWidth="1"/>
    <col min="8990" max="8990" width="4.5703125" bestFit="1" customWidth="1"/>
    <col min="8991" max="8991" width="5.5703125" customWidth="1"/>
    <col min="8992" max="8992" width="3" bestFit="1" customWidth="1"/>
    <col min="9217" max="9217" width="6.85546875" customWidth="1"/>
    <col min="9218" max="9218" width="11.42578125" bestFit="1" customWidth="1"/>
    <col min="9219" max="9219" width="4.42578125" customWidth="1"/>
    <col min="9220" max="9220" width="8.28515625" bestFit="1" customWidth="1"/>
    <col min="9221" max="9221" width="9.140625" bestFit="1" customWidth="1"/>
    <col min="9222" max="9222" width="15.28515625" bestFit="1" customWidth="1"/>
    <col min="9223" max="9223" width="16.42578125" bestFit="1" customWidth="1"/>
    <col min="9224" max="9224" width="10.5703125" bestFit="1" customWidth="1"/>
    <col min="9225" max="9225" width="8.85546875" customWidth="1"/>
    <col min="9226" max="9226" width="16.140625" customWidth="1"/>
    <col min="9227" max="9227" width="9.7109375" customWidth="1"/>
    <col min="9228" max="9228" width="7.140625" customWidth="1"/>
    <col min="9229" max="9229" width="9.140625" customWidth="1"/>
    <col min="9230" max="9231" width="10.5703125" bestFit="1" customWidth="1"/>
    <col min="9232" max="9232" width="11.42578125" bestFit="1" customWidth="1"/>
    <col min="9233" max="9235" width="7.7109375" bestFit="1" customWidth="1"/>
    <col min="9236" max="9236" width="5.7109375" bestFit="1" customWidth="1"/>
    <col min="9237" max="9237" width="7.42578125" customWidth="1"/>
    <col min="9238" max="9238" width="12.28515625" customWidth="1"/>
    <col min="9239" max="9239" width="2.28515625" bestFit="1" customWidth="1"/>
    <col min="9240" max="9240" width="4.5703125" bestFit="1" customWidth="1"/>
    <col min="9241" max="9241" width="2.85546875" customWidth="1"/>
    <col min="9242" max="9242" width="4.5703125" bestFit="1" customWidth="1"/>
    <col min="9243" max="9243" width="2.7109375" customWidth="1"/>
    <col min="9244" max="9244" width="4.5703125" bestFit="1" customWidth="1"/>
    <col min="9245" max="9245" width="2.5703125" customWidth="1"/>
    <col min="9246" max="9246" width="4.5703125" bestFit="1" customWidth="1"/>
    <col min="9247" max="9247" width="5.5703125" customWidth="1"/>
    <col min="9248" max="9248" width="3" bestFit="1" customWidth="1"/>
    <col min="9473" max="9473" width="6.85546875" customWidth="1"/>
    <col min="9474" max="9474" width="11.42578125" bestFit="1" customWidth="1"/>
    <col min="9475" max="9475" width="4.42578125" customWidth="1"/>
    <col min="9476" max="9476" width="8.28515625" bestFit="1" customWidth="1"/>
    <col min="9477" max="9477" width="9.140625" bestFit="1" customWidth="1"/>
    <col min="9478" max="9478" width="15.28515625" bestFit="1" customWidth="1"/>
    <col min="9479" max="9479" width="16.42578125" bestFit="1" customWidth="1"/>
    <col min="9480" max="9480" width="10.5703125" bestFit="1" customWidth="1"/>
    <col min="9481" max="9481" width="8.85546875" customWidth="1"/>
    <col min="9482" max="9482" width="16.140625" customWidth="1"/>
    <col min="9483" max="9483" width="9.7109375" customWidth="1"/>
    <col min="9484" max="9484" width="7.140625" customWidth="1"/>
    <col min="9485" max="9485" width="9.140625" customWidth="1"/>
    <col min="9486" max="9487" width="10.5703125" bestFit="1" customWidth="1"/>
    <col min="9488" max="9488" width="11.42578125" bestFit="1" customWidth="1"/>
    <col min="9489" max="9491" width="7.7109375" bestFit="1" customWidth="1"/>
    <col min="9492" max="9492" width="5.7109375" bestFit="1" customWidth="1"/>
    <col min="9493" max="9493" width="7.42578125" customWidth="1"/>
    <col min="9494" max="9494" width="12.28515625" customWidth="1"/>
    <col min="9495" max="9495" width="2.28515625" bestFit="1" customWidth="1"/>
    <col min="9496" max="9496" width="4.5703125" bestFit="1" customWidth="1"/>
    <col min="9497" max="9497" width="2.85546875" customWidth="1"/>
    <col min="9498" max="9498" width="4.5703125" bestFit="1" customWidth="1"/>
    <col min="9499" max="9499" width="2.7109375" customWidth="1"/>
    <col min="9500" max="9500" width="4.5703125" bestFit="1" customWidth="1"/>
    <col min="9501" max="9501" width="2.5703125" customWidth="1"/>
    <col min="9502" max="9502" width="4.5703125" bestFit="1" customWidth="1"/>
    <col min="9503" max="9503" width="5.5703125" customWidth="1"/>
    <col min="9504" max="9504" width="3" bestFit="1" customWidth="1"/>
    <col min="9729" max="9729" width="6.85546875" customWidth="1"/>
    <col min="9730" max="9730" width="11.42578125" bestFit="1" customWidth="1"/>
    <col min="9731" max="9731" width="4.42578125" customWidth="1"/>
    <col min="9732" max="9732" width="8.28515625" bestFit="1" customWidth="1"/>
    <col min="9733" max="9733" width="9.140625" bestFit="1" customWidth="1"/>
    <col min="9734" max="9734" width="15.28515625" bestFit="1" customWidth="1"/>
    <col min="9735" max="9735" width="16.42578125" bestFit="1" customWidth="1"/>
    <col min="9736" max="9736" width="10.5703125" bestFit="1" customWidth="1"/>
    <col min="9737" max="9737" width="8.85546875" customWidth="1"/>
    <col min="9738" max="9738" width="16.140625" customWidth="1"/>
    <col min="9739" max="9739" width="9.7109375" customWidth="1"/>
    <col min="9740" max="9740" width="7.140625" customWidth="1"/>
    <col min="9741" max="9741" width="9.140625" customWidth="1"/>
    <col min="9742" max="9743" width="10.5703125" bestFit="1" customWidth="1"/>
    <col min="9744" max="9744" width="11.42578125" bestFit="1" customWidth="1"/>
    <col min="9745" max="9747" width="7.7109375" bestFit="1" customWidth="1"/>
    <col min="9748" max="9748" width="5.7109375" bestFit="1" customWidth="1"/>
    <col min="9749" max="9749" width="7.42578125" customWidth="1"/>
    <col min="9750" max="9750" width="12.28515625" customWidth="1"/>
    <col min="9751" max="9751" width="2.28515625" bestFit="1" customWidth="1"/>
    <col min="9752" max="9752" width="4.5703125" bestFit="1" customWidth="1"/>
    <col min="9753" max="9753" width="2.85546875" customWidth="1"/>
    <col min="9754" max="9754" width="4.5703125" bestFit="1" customWidth="1"/>
    <col min="9755" max="9755" width="2.7109375" customWidth="1"/>
    <col min="9756" max="9756" width="4.5703125" bestFit="1" customWidth="1"/>
    <col min="9757" max="9757" width="2.5703125" customWidth="1"/>
    <col min="9758" max="9758" width="4.5703125" bestFit="1" customWidth="1"/>
    <col min="9759" max="9759" width="5.5703125" customWidth="1"/>
    <col min="9760" max="9760" width="3" bestFit="1" customWidth="1"/>
    <col min="9985" max="9985" width="6.85546875" customWidth="1"/>
    <col min="9986" max="9986" width="11.42578125" bestFit="1" customWidth="1"/>
    <col min="9987" max="9987" width="4.42578125" customWidth="1"/>
    <col min="9988" max="9988" width="8.28515625" bestFit="1" customWidth="1"/>
    <col min="9989" max="9989" width="9.140625" bestFit="1" customWidth="1"/>
    <col min="9990" max="9990" width="15.28515625" bestFit="1" customWidth="1"/>
    <col min="9991" max="9991" width="16.42578125" bestFit="1" customWidth="1"/>
    <col min="9992" max="9992" width="10.5703125" bestFit="1" customWidth="1"/>
    <col min="9993" max="9993" width="8.85546875" customWidth="1"/>
    <col min="9994" max="9994" width="16.140625" customWidth="1"/>
    <col min="9995" max="9995" width="9.7109375" customWidth="1"/>
    <col min="9996" max="9996" width="7.140625" customWidth="1"/>
    <col min="9997" max="9997" width="9.140625" customWidth="1"/>
    <col min="9998" max="9999" width="10.5703125" bestFit="1" customWidth="1"/>
    <col min="10000" max="10000" width="11.42578125" bestFit="1" customWidth="1"/>
    <col min="10001" max="10003" width="7.7109375" bestFit="1" customWidth="1"/>
    <col min="10004" max="10004" width="5.7109375" bestFit="1" customWidth="1"/>
    <col min="10005" max="10005" width="7.42578125" customWidth="1"/>
    <col min="10006" max="10006" width="12.28515625" customWidth="1"/>
    <col min="10007" max="10007" width="2.28515625" bestFit="1" customWidth="1"/>
    <col min="10008" max="10008" width="4.5703125" bestFit="1" customWidth="1"/>
    <col min="10009" max="10009" width="2.85546875" customWidth="1"/>
    <col min="10010" max="10010" width="4.5703125" bestFit="1" customWidth="1"/>
    <col min="10011" max="10011" width="2.7109375" customWidth="1"/>
    <col min="10012" max="10012" width="4.5703125" bestFit="1" customWidth="1"/>
    <col min="10013" max="10013" width="2.5703125" customWidth="1"/>
    <col min="10014" max="10014" width="4.5703125" bestFit="1" customWidth="1"/>
    <col min="10015" max="10015" width="5.5703125" customWidth="1"/>
    <col min="10016" max="10016" width="3" bestFit="1" customWidth="1"/>
    <col min="10241" max="10241" width="6.85546875" customWidth="1"/>
    <col min="10242" max="10242" width="11.42578125" bestFit="1" customWidth="1"/>
    <col min="10243" max="10243" width="4.42578125" customWidth="1"/>
    <col min="10244" max="10244" width="8.28515625" bestFit="1" customWidth="1"/>
    <col min="10245" max="10245" width="9.140625" bestFit="1" customWidth="1"/>
    <col min="10246" max="10246" width="15.28515625" bestFit="1" customWidth="1"/>
    <col min="10247" max="10247" width="16.42578125" bestFit="1" customWidth="1"/>
    <col min="10248" max="10248" width="10.5703125" bestFit="1" customWidth="1"/>
    <col min="10249" max="10249" width="8.85546875" customWidth="1"/>
    <col min="10250" max="10250" width="16.140625" customWidth="1"/>
    <col min="10251" max="10251" width="9.7109375" customWidth="1"/>
    <col min="10252" max="10252" width="7.140625" customWidth="1"/>
    <col min="10253" max="10253" width="9.140625" customWidth="1"/>
    <col min="10254" max="10255" width="10.5703125" bestFit="1" customWidth="1"/>
    <col min="10256" max="10256" width="11.42578125" bestFit="1" customWidth="1"/>
    <col min="10257" max="10259" width="7.7109375" bestFit="1" customWidth="1"/>
    <col min="10260" max="10260" width="5.7109375" bestFit="1" customWidth="1"/>
    <col min="10261" max="10261" width="7.42578125" customWidth="1"/>
    <col min="10262" max="10262" width="12.28515625" customWidth="1"/>
    <col min="10263" max="10263" width="2.28515625" bestFit="1" customWidth="1"/>
    <col min="10264" max="10264" width="4.5703125" bestFit="1" customWidth="1"/>
    <col min="10265" max="10265" width="2.85546875" customWidth="1"/>
    <col min="10266" max="10266" width="4.5703125" bestFit="1" customWidth="1"/>
    <col min="10267" max="10267" width="2.7109375" customWidth="1"/>
    <col min="10268" max="10268" width="4.5703125" bestFit="1" customWidth="1"/>
    <col min="10269" max="10269" width="2.5703125" customWidth="1"/>
    <col min="10270" max="10270" width="4.5703125" bestFit="1" customWidth="1"/>
    <col min="10271" max="10271" width="5.5703125" customWidth="1"/>
    <col min="10272" max="10272" width="3" bestFit="1" customWidth="1"/>
    <col min="10497" max="10497" width="6.85546875" customWidth="1"/>
    <col min="10498" max="10498" width="11.42578125" bestFit="1" customWidth="1"/>
    <col min="10499" max="10499" width="4.42578125" customWidth="1"/>
    <col min="10500" max="10500" width="8.28515625" bestFit="1" customWidth="1"/>
    <col min="10501" max="10501" width="9.140625" bestFit="1" customWidth="1"/>
    <col min="10502" max="10502" width="15.28515625" bestFit="1" customWidth="1"/>
    <col min="10503" max="10503" width="16.42578125" bestFit="1" customWidth="1"/>
    <col min="10504" max="10504" width="10.5703125" bestFit="1" customWidth="1"/>
    <col min="10505" max="10505" width="8.85546875" customWidth="1"/>
    <col min="10506" max="10506" width="16.140625" customWidth="1"/>
    <col min="10507" max="10507" width="9.7109375" customWidth="1"/>
    <col min="10508" max="10508" width="7.140625" customWidth="1"/>
    <col min="10509" max="10509" width="9.140625" customWidth="1"/>
    <col min="10510" max="10511" width="10.5703125" bestFit="1" customWidth="1"/>
    <col min="10512" max="10512" width="11.42578125" bestFit="1" customWidth="1"/>
    <col min="10513" max="10515" width="7.7109375" bestFit="1" customWidth="1"/>
    <col min="10516" max="10516" width="5.7109375" bestFit="1" customWidth="1"/>
    <col min="10517" max="10517" width="7.42578125" customWidth="1"/>
    <col min="10518" max="10518" width="12.28515625" customWidth="1"/>
    <col min="10519" max="10519" width="2.28515625" bestFit="1" customWidth="1"/>
    <col min="10520" max="10520" width="4.5703125" bestFit="1" customWidth="1"/>
    <col min="10521" max="10521" width="2.85546875" customWidth="1"/>
    <col min="10522" max="10522" width="4.5703125" bestFit="1" customWidth="1"/>
    <col min="10523" max="10523" width="2.7109375" customWidth="1"/>
    <col min="10524" max="10524" width="4.5703125" bestFit="1" customWidth="1"/>
    <col min="10525" max="10525" width="2.5703125" customWidth="1"/>
    <col min="10526" max="10526" width="4.5703125" bestFit="1" customWidth="1"/>
    <col min="10527" max="10527" width="5.5703125" customWidth="1"/>
    <col min="10528" max="10528" width="3" bestFit="1" customWidth="1"/>
    <col min="10753" max="10753" width="6.85546875" customWidth="1"/>
    <col min="10754" max="10754" width="11.42578125" bestFit="1" customWidth="1"/>
    <col min="10755" max="10755" width="4.42578125" customWidth="1"/>
    <col min="10756" max="10756" width="8.28515625" bestFit="1" customWidth="1"/>
    <col min="10757" max="10757" width="9.140625" bestFit="1" customWidth="1"/>
    <col min="10758" max="10758" width="15.28515625" bestFit="1" customWidth="1"/>
    <col min="10759" max="10759" width="16.42578125" bestFit="1" customWidth="1"/>
    <col min="10760" max="10760" width="10.5703125" bestFit="1" customWidth="1"/>
    <col min="10761" max="10761" width="8.85546875" customWidth="1"/>
    <col min="10762" max="10762" width="16.140625" customWidth="1"/>
    <col min="10763" max="10763" width="9.7109375" customWidth="1"/>
    <col min="10764" max="10764" width="7.140625" customWidth="1"/>
    <col min="10765" max="10765" width="9.140625" customWidth="1"/>
    <col min="10766" max="10767" width="10.5703125" bestFit="1" customWidth="1"/>
    <col min="10768" max="10768" width="11.42578125" bestFit="1" customWidth="1"/>
    <col min="10769" max="10771" width="7.7109375" bestFit="1" customWidth="1"/>
    <col min="10772" max="10772" width="5.7109375" bestFit="1" customWidth="1"/>
    <col min="10773" max="10773" width="7.42578125" customWidth="1"/>
    <col min="10774" max="10774" width="12.28515625" customWidth="1"/>
    <col min="10775" max="10775" width="2.28515625" bestFit="1" customWidth="1"/>
    <col min="10776" max="10776" width="4.5703125" bestFit="1" customWidth="1"/>
    <col min="10777" max="10777" width="2.85546875" customWidth="1"/>
    <col min="10778" max="10778" width="4.5703125" bestFit="1" customWidth="1"/>
    <col min="10779" max="10779" width="2.7109375" customWidth="1"/>
    <col min="10780" max="10780" width="4.5703125" bestFit="1" customWidth="1"/>
    <col min="10781" max="10781" width="2.5703125" customWidth="1"/>
    <col min="10782" max="10782" width="4.5703125" bestFit="1" customWidth="1"/>
    <col min="10783" max="10783" width="5.5703125" customWidth="1"/>
    <col min="10784" max="10784" width="3" bestFit="1" customWidth="1"/>
    <col min="11009" max="11009" width="6.85546875" customWidth="1"/>
    <col min="11010" max="11010" width="11.42578125" bestFit="1" customWidth="1"/>
    <col min="11011" max="11011" width="4.42578125" customWidth="1"/>
    <col min="11012" max="11012" width="8.28515625" bestFit="1" customWidth="1"/>
    <col min="11013" max="11013" width="9.140625" bestFit="1" customWidth="1"/>
    <col min="11014" max="11014" width="15.28515625" bestFit="1" customWidth="1"/>
    <col min="11015" max="11015" width="16.42578125" bestFit="1" customWidth="1"/>
    <col min="11016" max="11016" width="10.5703125" bestFit="1" customWidth="1"/>
    <col min="11017" max="11017" width="8.85546875" customWidth="1"/>
    <col min="11018" max="11018" width="16.140625" customWidth="1"/>
    <col min="11019" max="11019" width="9.7109375" customWidth="1"/>
    <col min="11020" max="11020" width="7.140625" customWidth="1"/>
    <col min="11021" max="11021" width="9.140625" customWidth="1"/>
    <col min="11022" max="11023" width="10.5703125" bestFit="1" customWidth="1"/>
    <col min="11024" max="11024" width="11.42578125" bestFit="1" customWidth="1"/>
    <col min="11025" max="11027" width="7.7109375" bestFit="1" customWidth="1"/>
    <col min="11028" max="11028" width="5.7109375" bestFit="1" customWidth="1"/>
    <col min="11029" max="11029" width="7.42578125" customWidth="1"/>
    <col min="11030" max="11030" width="12.28515625" customWidth="1"/>
    <col min="11031" max="11031" width="2.28515625" bestFit="1" customWidth="1"/>
    <col min="11032" max="11032" width="4.5703125" bestFit="1" customWidth="1"/>
    <col min="11033" max="11033" width="2.85546875" customWidth="1"/>
    <col min="11034" max="11034" width="4.5703125" bestFit="1" customWidth="1"/>
    <col min="11035" max="11035" width="2.7109375" customWidth="1"/>
    <col min="11036" max="11036" width="4.5703125" bestFit="1" customWidth="1"/>
    <col min="11037" max="11037" width="2.5703125" customWidth="1"/>
    <col min="11038" max="11038" width="4.5703125" bestFit="1" customWidth="1"/>
    <col min="11039" max="11039" width="5.5703125" customWidth="1"/>
    <col min="11040" max="11040" width="3" bestFit="1" customWidth="1"/>
    <col min="11265" max="11265" width="6.85546875" customWidth="1"/>
    <col min="11266" max="11266" width="11.42578125" bestFit="1" customWidth="1"/>
    <col min="11267" max="11267" width="4.42578125" customWidth="1"/>
    <col min="11268" max="11268" width="8.28515625" bestFit="1" customWidth="1"/>
    <col min="11269" max="11269" width="9.140625" bestFit="1" customWidth="1"/>
    <col min="11270" max="11270" width="15.28515625" bestFit="1" customWidth="1"/>
    <col min="11271" max="11271" width="16.42578125" bestFit="1" customWidth="1"/>
    <col min="11272" max="11272" width="10.5703125" bestFit="1" customWidth="1"/>
    <col min="11273" max="11273" width="8.85546875" customWidth="1"/>
    <col min="11274" max="11274" width="16.140625" customWidth="1"/>
    <col min="11275" max="11275" width="9.7109375" customWidth="1"/>
    <col min="11276" max="11276" width="7.140625" customWidth="1"/>
    <col min="11277" max="11277" width="9.140625" customWidth="1"/>
    <col min="11278" max="11279" width="10.5703125" bestFit="1" customWidth="1"/>
    <col min="11280" max="11280" width="11.42578125" bestFit="1" customWidth="1"/>
    <col min="11281" max="11283" width="7.7109375" bestFit="1" customWidth="1"/>
    <col min="11284" max="11284" width="5.7109375" bestFit="1" customWidth="1"/>
    <col min="11285" max="11285" width="7.42578125" customWidth="1"/>
    <col min="11286" max="11286" width="12.28515625" customWidth="1"/>
    <col min="11287" max="11287" width="2.28515625" bestFit="1" customWidth="1"/>
    <col min="11288" max="11288" width="4.5703125" bestFit="1" customWidth="1"/>
    <col min="11289" max="11289" width="2.85546875" customWidth="1"/>
    <col min="11290" max="11290" width="4.5703125" bestFit="1" customWidth="1"/>
    <col min="11291" max="11291" width="2.7109375" customWidth="1"/>
    <col min="11292" max="11292" width="4.5703125" bestFit="1" customWidth="1"/>
    <col min="11293" max="11293" width="2.5703125" customWidth="1"/>
    <col min="11294" max="11294" width="4.5703125" bestFit="1" customWidth="1"/>
    <col min="11295" max="11295" width="5.5703125" customWidth="1"/>
    <col min="11296" max="11296" width="3" bestFit="1" customWidth="1"/>
    <col min="11521" max="11521" width="6.85546875" customWidth="1"/>
    <col min="11522" max="11522" width="11.42578125" bestFit="1" customWidth="1"/>
    <col min="11523" max="11523" width="4.42578125" customWidth="1"/>
    <col min="11524" max="11524" width="8.28515625" bestFit="1" customWidth="1"/>
    <col min="11525" max="11525" width="9.140625" bestFit="1" customWidth="1"/>
    <col min="11526" max="11526" width="15.28515625" bestFit="1" customWidth="1"/>
    <col min="11527" max="11527" width="16.42578125" bestFit="1" customWidth="1"/>
    <col min="11528" max="11528" width="10.5703125" bestFit="1" customWidth="1"/>
    <col min="11529" max="11529" width="8.85546875" customWidth="1"/>
    <col min="11530" max="11530" width="16.140625" customWidth="1"/>
    <col min="11531" max="11531" width="9.7109375" customWidth="1"/>
    <col min="11532" max="11532" width="7.140625" customWidth="1"/>
    <col min="11533" max="11533" width="9.140625" customWidth="1"/>
    <col min="11534" max="11535" width="10.5703125" bestFit="1" customWidth="1"/>
    <col min="11536" max="11536" width="11.42578125" bestFit="1" customWidth="1"/>
    <col min="11537" max="11539" width="7.7109375" bestFit="1" customWidth="1"/>
    <col min="11540" max="11540" width="5.7109375" bestFit="1" customWidth="1"/>
    <col min="11541" max="11541" width="7.42578125" customWidth="1"/>
    <col min="11542" max="11542" width="12.28515625" customWidth="1"/>
    <col min="11543" max="11543" width="2.28515625" bestFit="1" customWidth="1"/>
    <col min="11544" max="11544" width="4.5703125" bestFit="1" customWidth="1"/>
    <col min="11545" max="11545" width="2.85546875" customWidth="1"/>
    <col min="11546" max="11546" width="4.5703125" bestFit="1" customWidth="1"/>
    <col min="11547" max="11547" width="2.7109375" customWidth="1"/>
    <col min="11548" max="11548" width="4.5703125" bestFit="1" customWidth="1"/>
    <col min="11549" max="11549" width="2.5703125" customWidth="1"/>
    <col min="11550" max="11550" width="4.5703125" bestFit="1" customWidth="1"/>
    <col min="11551" max="11551" width="5.5703125" customWidth="1"/>
    <col min="11552" max="11552" width="3" bestFit="1" customWidth="1"/>
    <col min="11777" max="11777" width="6.85546875" customWidth="1"/>
    <col min="11778" max="11778" width="11.42578125" bestFit="1" customWidth="1"/>
    <col min="11779" max="11779" width="4.42578125" customWidth="1"/>
    <col min="11780" max="11780" width="8.28515625" bestFit="1" customWidth="1"/>
    <col min="11781" max="11781" width="9.140625" bestFit="1" customWidth="1"/>
    <col min="11782" max="11782" width="15.28515625" bestFit="1" customWidth="1"/>
    <col min="11783" max="11783" width="16.42578125" bestFit="1" customWidth="1"/>
    <col min="11784" max="11784" width="10.5703125" bestFit="1" customWidth="1"/>
    <col min="11785" max="11785" width="8.85546875" customWidth="1"/>
    <col min="11786" max="11786" width="16.140625" customWidth="1"/>
    <col min="11787" max="11787" width="9.7109375" customWidth="1"/>
    <col min="11788" max="11788" width="7.140625" customWidth="1"/>
    <col min="11789" max="11789" width="9.140625" customWidth="1"/>
    <col min="11790" max="11791" width="10.5703125" bestFit="1" customWidth="1"/>
    <col min="11792" max="11792" width="11.42578125" bestFit="1" customWidth="1"/>
    <col min="11793" max="11795" width="7.7109375" bestFit="1" customWidth="1"/>
    <col min="11796" max="11796" width="5.7109375" bestFit="1" customWidth="1"/>
    <col min="11797" max="11797" width="7.42578125" customWidth="1"/>
    <col min="11798" max="11798" width="12.28515625" customWidth="1"/>
    <col min="11799" max="11799" width="2.28515625" bestFit="1" customWidth="1"/>
    <col min="11800" max="11800" width="4.5703125" bestFit="1" customWidth="1"/>
    <col min="11801" max="11801" width="2.85546875" customWidth="1"/>
    <col min="11802" max="11802" width="4.5703125" bestFit="1" customWidth="1"/>
    <col min="11803" max="11803" width="2.7109375" customWidth="1"/>
    <col min="11804" max="11804" width="4.5703125" bestFit="1" customWidth="1"/>
    <col min="11805" max="11805" width="2.5703125" customWidth="1"/>
    <col min="11806" max="11806" width="4.5703125" bestFit="1" customWidth="1"/>
    <col min="11807" max="11807" width="5.5703125" customWidth="1"/>
    <col min="11808" max="11808" width="3" bestFit="1" customWidth="1"/>
    <col min="12033" max="12033" width="6.85546875" customWidth="1"/>
    <col min="12034" max="12034" width="11.42578125" bestFit="1" customWidth="1"/>
    <col min="12035" max="12035" width="4.42578125" customWidth="1"/>
    <col min="12036" max="12036" width="8.28515625" bestFit="1" customWidth="1"/>
    <col min="12037" max="12037" width="9.140625" bestFit="1" customWidth="1"/>
    <col min="12038" max="12038" width="15.28515625" bestFit="1" customWidth="1"/>
    <col min="12039" max="12039" width="16.42578125" bestFit="1" customWidth="1"/>
    <col min="12040" max="12040" width="10.5703125" bestFit="1" customWidth="1"/>
    <col min="12041" max="12041" width="8.85546875" customWidth="1"/>
    <col min="12042" max="12042" width="16.140625" customWidth="1"/>
    <col min="12043" max="12043" width="9.7109375" customWidth="1"/>
    <col min="12044" max="12044" width="7.140625" customWidth="1"/>
    <col min="12045" max="12045" width="9.140625" customWidth="1"/>
    <col min="12046" max="12047" width="10.5703125" bestFit="1" customWidth="1"/>
    <col min="12048" max="12048" width="11.42578125" bestFit="1" customWidth="1"/>
    <col min="12049" max="12051" width="7.7109375" bestFit="1" customWidth="1"/>
    <col min="12052" max="12052" width="5.7109375" bestFit="1" customWidth="1"/>
    <col min="12053" max="12053" width="7.42578125" customWidth="1"/>
    <col min="12054" max="12054" width="12.28515625" customWidth="1"/>
    <col min="12055" max="12055" width="2.28515625" bestFit="1" customWidth="1"/>
    <col min="12056" max="12056" width="4.5703125" bestFit="1" customWidth="1"/>
    <col min="12057" max="12057" width="2.85546875" customWidth="1"/>
    <col min="12058" max="12058" width="4.5703125" bestFit="1" customWidth="1"/>
    <col min="12059" max="12059" width="2.7109375" customWidth="1"/>
    <col min="12060" max="12060" width="4.5703125" bestFit="1" customWidth="1"/>
    <col min="12061" max="12061" width="2.5703125" customWidth="1"/>
    <col min="12062" max="12062" width="4.5703125" bestFit="1" customWidth="1"/>
    <col min="12063" max="12063" width="5.5703125" customWidth="1"/>
    <col min="12064" max="12064" width="3" bestFit="1" customWidth="1"/>
    <col min="12289" max="12289" width="6.85546875" customWidth="1"/>
    <col min="12290" max="12290" width="11.42578125" bestFit="1" customWidth="1"/>
    <col min="12291" max="12291" width="4.42578125" customWidth="1"/>
    <col min="12292" max="12292" width="8.28515625" bestFit="1" customWidth="1"/>
    <col min="12293" max="12293" width="9.140625" bestFit="1" customWidth="1"/>
    <col min="12294" max="12294" width="15.28515625" bestFit="1" customWidth="1"/>
    <col min="12295" max="12295" width="16.42578125" bestFit="1" customWidth="1"/>
    <col min="12296" max="12296" width="10.5703125" bestFit="1" customWidth="1"/>
    <col min="12297" max="12297" width="8.85546875" customWidth="1"/>
    <col min="12298" max="12298" width="16.140625" customWidth="1"/>
    <col min="12299" max="12299" width="9.7109375" customWidth="1"/>
    <col min="12300" max="12300" width="7.140625" customWidth="1"/>
    <col min="12301" max="12301" width="9.140625" customWidth="1"/>
    <col min="12302" max="12303" width="10.5703125" bestFit="1" customWidth="1"/>
    <col min="12304" max="12304" width="11.42578125" bestFit="1" customWidth="1"/>
    <col min="12305" max="12307" width="7.7109375" bestFit="1" customWidth="1"/>
    <col min="12308" max="12308" width="5.7109375" bestFit="1" customWidth="1"/>
    <col min="12309" max="12309" width="7.42578125" customWidth="1"/>
    <col min="12310" max="12310" width="12.28515625" customWidth="1"/>
    <col min="12311" max="12311" width="2.28515625" bestFit="1" customWidth="1"/>
    <col min="12312" max="12312" width="4.5703125" bestFit="1" customWidth="1"/>
    <col min="12313" max="12313" width="2.85546875" customWidth="1"/>
    <col min="12314" max="12314" width="4.5703125" bestFit="1" customWidth="1"/>
    <col min="12315" max="12315" width="2.7109375" customWidth="1"/>
    <col min="12316" max="12316" width="4.5703125" bestFit="1" customWidth="1"/>
    <col min="12317" max="12317" width="2.5703125" customWidth="1"/>
    <col min="12318" max="12318" width="4.5703125" bestFit="1" customWidth="1"/>
    <col min="12319" max="12319" width="5.5703125" customWidth="1"/>
    <col min="12320" max="12320" width="3" bestFit="1" customWidth="1"/>
    <col min="12545" max="12545" width="6.85546875" customWidth="1"/>
    <col min="12546" max="12546" width="11.42578125" bestFit="1" customWidth="1"/>
    <col min="12547" max="12547" width="4.42578125" customWidth="1"/>
    <col min="12548" max="12548" width="8.28515625" bestFit="1" customWidth="1"/>
    <col min="12549" max="12549" width="9.140625" bestFit="1" customWidth="1"/>
    <col min="12550" max="12550" width="15.28515625" bestFit="1" customWidth="1"/>
    <col min="12551" max="12551" width="16.42578125" bestFit="1" customWidth="1"/>
    <col min="12552" max="12552" width="10.5703125" bestFit="1" customWidth="1"/>
    <col min="12553" max="12553" width="8.85546875" customWidth="1"/>
    <col min="12554" max="12554" width="16.140625" customWidth="1"/>
    <col min="12555" max="12555" width="9.7109375" customWidth="1"/>
    <col min="12556" max="12556" width="7.140625" customWidth="1"/>
    <col min="12557" max="12557" width="9.140625" customWidth="1"/>
    <col min="12558" max="12559" width="10.5703125" bestFit="1" customWidth="1"/>
    <col min="12560" max="12560" width="11.42578125" bestFit="1" customWidth="1"/>
    <col min="12561" max="12563" width="7.7109375" bestFit="1" customWidth="1"/>
    <col min="12564" max="12564" width="5.7109375" bestFit="1" customWidth="1"/>
    <col min="12565" max="12565" width="7.42578125" customWidth="1"/>
    <col min="12566" max="12566" width="12.28515625" customWidth="1"/>
    <col min="12567" max="12567" width="2.28515625" bestFit="1" customWidth="1"/>
    <col min="12568" max="12568" width="4.5703125" bestFit="1" customWidth="1"/>
    <col min="12569" max="12569" width="2.85546875" customWidth="1"/>
    <col min="12570" max="12570" width="4.5703125" bestFit="1" customWidth="1"/>
    <col min="12571" max="12571" width="2.7109375" customWidth="1"/>
    <col min="12572" max="12572" width="4.5703125" bestFit="1" customWidth="1"/>
    <col min="12573" max="12573" width="2.5703125" customWidth="1"/>
    <col min="12574" max="12574" width="4.5703125" bestFit="1" customWidth="1"/>
    <col min="12575" max="12575" width="5.5703125" customWidth="1"/>
    <col min="12576" max="12576" width="3" bestFit="1" customWidth="1"/>
    <col min="12801" max="12801" width="6.85546875" customWidth="1"/>
    <col min="12802" max="12802" width="11.42578125" bestFit="1" customWidth="1"/>
    <col min="12803" max="12803" width="4.42578125" customWidth="1"/>
    <col min="12804" max="12804" width="8.28515625" bestFit="1" customWidth="1"/>
    <col min="12805" max="12805" width="9.140625" bestFit="1" customWidth="1"/>
    <col min="12806" max="12806" width="15.28515625" bestFit="1" customWidth="1"/>
    <col min="12807" max="12807" width="16.42578125" bestFit="1" customWidth="1"/>
    <col min="12808" max="12808" width="10.5703125" bestFit="1" customWidth="1"/>
    <col min="12809" max="12809" width="8.85546875" customWidth="1"/>
    <col min="12810" max="12810" width="16.140625" customWidth="1"/>
    <col min="12811" max="12811" width="9.7109375" customWidth="1"/>
    <col min="12812" max="12812" width="7.140625" customWidth="1"/>
    <col min="12813" max="12813" width="9.140625" customWidth="1"/>
    <col min="12814" max="12815" width="10.5703125" bestFit="1" customWidth="1"/>
    <col min="12816" max="12816" width="11.42578125" bestFit="1" customWidth="1"/>
    <col min="12817" max="12819" width="7.7109375" bestFit="1" customWidth="1"/>
    <col min="12820" max="12820" width="5.7109375" bestFit="1" customWidth="1"/>
    <col min="12821" max="12821" width="7.42578125" customWidth="1"/>
    <col min="12822" max="12822" width="12.28515625" customWidth="1"/>
    <col min="12823" max="12823" width="2.28515625" bestFit="1" customWidth="1"/>
    <col min="12824" max="12824" width="4.5703125" bestFit="1" customWidth="1"/>
    <col min="12825" max="12825" width="2.85546875" customWidth="1"/>
    <col min="12826" max="12826" width="4.5703125" bestFit="1" customWidth="1"/>
    <col min="12827" max="12827" width="2.7109375" customWidth="1"/>
    <col min="12828" max="12828" width="4.5703125" bestFit="1" customWidth="1"/>
    <col min="12829" max="12829" width="2.5703125" customWidth="1"/>
    <col min="12830" max="12830" width="4.5703125" bestFit="1" customWidth="1"/>
    <col min="12831" max="12831" width="5.5703125" customWidth="1"/>
    <col min="12832" max="12832" width="3" bestFit="1" customWidth="1"/>
    <col min="13057" max="13057" width="6.85546875" customWidth="1"/>
    <col min="13058" max="13058" width="11.42578125" bestFit="1" customWidth="1"/>
    <col min="13059" max="13059" width="4.42578125" customWidth="1"/>
    <col min="13060" max="13060" width="8.28515625" bestFit="1" customWidth="1"/>
    <col min="13061" max="13061" width="9.140625" bestFit="1" customWidth="1"/>
    <col min="13062" max="13062" width="15.28515625" bestFit="1" customWidth="1"/>
    <col min="13063" max="13063" width="16.42578125" bestFit="1" customWidth="1"/>
    <col min="13064" max="13064" width="10.5703125" bestFit="1" customWidth="1"/>
    <col min="13065" max="13065" width="8.85546875" customWidth="1"/>
    <col min="13066" max="13066" width="16.140625" customWidth="1"/>
    <col min="13067" max="13067" width="9.7109375" customWidth="1"/>
    <col min="13068" max="13068" width="7.140625" customWidth="1"/>
    <col min="13069" max="13069" width="9.140625" customWidth="1"/>
    <col min="13070" max="13071" width="10.5703125" bestFit="1" customWidth="1"/>
    <col min="13072" max="13072" width="11.42578125" bestFit="1" customWidth="1"/>
    <col min="13073" max="13075" width="7.7109375" bestFit="1" customWidth="1"/>
    <col min="13076" max="13076" width="5.7109375" bestFit="1" customWidth="1"/>
    <col min="13077" max="13077" width="7.42578125" customWidth="1"/>
    <col min="13078" max="13078" width="12.28515625" customWidth="1"/>
    <col min="13079" max="13079" width="2.28515625" bestFit="1" customWidth="1"/>
    <col min="13080" max="13080" width="4.5703125" bestFit="1" customWidth="1"/>
    <col min="13081" max="13081" width="2.85546875" customWidth="1"/>
    <col min="13082" max="13082" width="4.5703125" bestFit="1" customWidth="1"/>
    <col min="13083" max="13083" width="2.7109375" customWidth="1"/>
    <col min="13084" max="13084" width="4.5703125" bestFit="1" customWidth="1"/>
    <col min="13085" max="13085" width="2.5703125" customWidth="1"/>
    <col min="13086" max="13086" width="4.5703125" bestFit="1" customWidth="1"/>
    <col min="13087" max="13087" width="5.5703125" customWidth="1"/>
    <col min="13088" max="13088" width="3" bestFit="1" customWidth="1"/>
    <col min="13313" max="13313" width="6.85546875" customWidth="1"/>
    <col min="13314" max="13314" width="11.42578125" bestFit="1" customWidth="1"/>
    <col min="13315" max="13315" width="4.42578125" customWidth="1"/>
    <col min="13316" max="13316" width="8.28515625" bestFit="1" customWidth="1"/>
    <col min="13317" max="13317" width="9.140625" bestFit="1" customWidth="1"/>
    <col min="13318" max="13318" width="15.28515625" bestFit="1" customWidth="1"/>
    <col min="13319" max="13319" width="16.42578125" bestFit="1" customWidth="1"/>
    <col min="13320" max="13320" width="10.5703125" bestFit="1" customWidth="1"/>
    <col min="13321" max="13321" width="8.85546875" customWidth="1"/>
    <col min="13322" max="13322" width="16.140625" customWidth="1"/>
    <col min="13323" max="13323" width="9.7109375" customWidth="1"/>
    <col min="13324" max="13324" width="7.140625" customWidth="1"/>
    <col min="13325" max="13325" width="9.140625" customWidth="1"/>
    <col min="13326" max="13327" width="10.5703125" bestFit="1" customWidth="1"/>
    <col min="13328" max="13328" width="11.42578125" bestFit="1" customWidth="1"/>
    <col min="13329" max="13331" width="7.7109375" bestFit="1" customWidth="1"/>
    <col min="13332" max="13332" width="5.7109375" bestFit="1" customWidth="1"/>
    <col min="13333" max="13333" width="7.42578125" customWidth="1"/>
    <col min="13334" max="13334" width="12.28515625" customWidth="1"/>
    <col min="13335" max="13335" width="2.28515625" bestFit="1" customWidth="1"/>
    <col min="13336" max="13336" width="4.5703125" bestFit="1" customWidth="1"/>
    <col min="13337" max="13337" width="2.85546875" customWidth="1"/>
    <col min="13338" max="13338" width="4.5703125" bestFit="1" customWidth="1"/>
    <col min="13339" max="13339" width="2.7109375" customWidth="1"/>
    <col min="13340" max="13340" width="4.5703125" bestFit="1" customWidth="1"/>
    <col min="13341" max="13341" width="2.5703125" customWidth="1"/>
    <col min="13342" max="13342" width="4.5703125" bestFit="1" customWidth="1"/>
    <col min="13343" max="13343" width="5.5703125" customWidth="1"/>
    <col min="13344" max="13344" width="3" bestFit="1" customWidth="1"/>
    <col min="13569" max="13569" width="6.85546875" customWidth="1"/>
    <col min="13570" max="13570" width="11.42578125" bestFit="1" customWidth="1"/>
    <col min="13571" max="13571" width="4.42578125" customWidth="1"/>
    <col min="13572" max="13572" width="8.28515625" bestFit="1" customWidth="1"/>
    <col min="13573" max="13573" width="9.140625" bestFit="1" customWidth="1"/>
    <col min="13574" max="13574" width="15.28515625" bestFit="1" customWidth="1"/>
    <col min="13575" max="13575" width="16.42578125" bestFit="1" customWidth="1"/>
    <col min="13576" max="13576" width="10.5703125" bestFit="1" customWidth="1"/>
    <col min="13577" max="13577" width="8.85546875" customWidth="1"/>
    <col min="13578" max="13578" width="16.140625" customWidth="1"/>
    <col min="13579" max="13579" width="9.7109375" customWidth="1"/>
    <col min="13580" max="13580" width="7.140625" customWidth="1"/>
    <col min="13581" max="13581" width="9.140625" customWidth="1"/>
    <col min="13582" max="13583" width="10.5703125" bestFit="1" customWidth="1"/>
    <col min="13584" max="13584" width="11.42578125" bestFit="1" customWidth="1"/>
    <col min="13585" max="13587" width="7.7109375" bestFit="1" customWidth="1"/>
    <col min="13588" max="13588" width="5.7109375" bestFit="1" customWidth="1"/>
    <col min="13589" max="13589" width="7.42578125" customWidth="1"/>
    <col min="13590" max="13590" width="12.28515625" customWidth="1"/>
    <col min="13591" max="13591" width="2.28515625" bestFit="1" customWidth="1"/>
    <col min="13592" max="13592" width="4.5703125" bestFit="1" customWidth="1"/>
    <col min="13593" max="13593" width="2.85546875" customWidth="1"/>
    <col min="13594" max="13594" width="4.5703125" bestFit="1" customWidth="1"/>
    <col min="13595" max="13595" width="2.7109375" customWidth="1"/>
    <col min="13596" max="13596" width="4.5703125" bestFit="1" customWidth="1"/>
    <col min="13597" max="13597" width="2.5703125" customWidth="1"/>
    <col min="13598" max="13598" width="4.5703125" bestFit="1" customWidth="1"/>
    <col min="13599" max="13599" width="5.5703125" customWidth="1"/>
    <col min="13600" max="13600" width="3" bestFit="1" customWidth="1"/>
    <col min="13825" max="13825" width="6.85546875" customWidth="1"/>
    <col min="13826" max="13826" width="11.42578125" bestFit="1" customWidth="1"/>
    <col min="13827" max="13827" width="4.42578125" customWidth="1"/>
    <col min="13828" max="13828" width="8.28515625" bestFit="1" customWidth="1"/>
    <col min="13829" max="13829" width="9.140625" bestFit="1" customWidth="1"/>
    <col min="13830" max="13830" width="15.28515625" bestFit="1" customWidth="1"/>
    <col min="13831" max="13831" width="16.42578125" bestFit="1" customWidth="1"/>
    <col min="13832" max="13832" width="10.5703125" bestFit="1" customWidth="1"/>
    <col min="13833" max="13833" width="8.85546875" customWidth="1"/>
    <col min="13834" max="13834" width="16.140625" customWidth="1"/>
    <col min="13835" max="13835" width="9.7109375" customWidth="1"/>
    <col min="13836" max="13836" width="7.140625" customWidth="1"/>
    <col min="13837" max="13837" width="9.140625" customWidth="1"/>
    <col min="13838" max="13839" width="10.5703125" bestFit="1" customWidth="1"/>
    <col min="13840" max="13840" width="11.42578125" bestFit="1" customWidth="1"/>
    <col min="13841" max="13843" width="7.7109375" bestFit="1" customWidth="1"/>
    <col min="13844" max="13844" width="5.7109375" bestFit="1" customWidth="1"/>
    <col min="13845" max="13845" width="7.42578125" customWidth="1"/>
    <col min="13846" max="13846" width="12.28515625" customWidth="1"/>
    <col min="13847" max="13847" width="2.28515625" bestFit="1" customWidth="1"/>
    <col min="13848" max="13848" width="4.5703125" bestFit="1" customWidth="1"/>
    <col min="13849" max="13849" width="2.85546875" customWidth="1"/>
    <col min="13850" max="13850" width="4.5703125" bestFit="1" customWidth="1"/>
    <col min="13851" max="13851" width="2.7109375" customWidth="1"/>
    <col min="13852" max="13852" width="4.5703125" bestFit="1" customWidth="1"/>
    <col min="13853" max="13853" width="2.5703125" customWidth="1"/>
    <col min="13854" max="13854" width="4.5703125" bestFit="1" customWidth="1"/>
    <col min="13855" max="13855" width="5.5703125" customWidth="1"/>
    <col min="13856" max="13856" width="3" bestFit="1" customWidth="1"/>
    <col min="14081" max="14081" width="6.85546875" customWidth="1"/>
    <col min="14082" max="14082" width="11.42578125" bestFit="1" customWidth="1"/>
    <col min="14083" max="14083" width="4.42578125" customWidth="1"/>
    <col min="14084" max="14084" width="8.28515625" bestFit="1" customWidth="1"/>
    <col min="14085" max="14085" width="9.140625" bestFit="1" customWidth="1"/>
    <col min="14086" max="14086" width="15.28515625" bestFit="1" customWidth="1"/>
    <col min="14087" max="14087" width="16.42578125" bestFit="1" customWidth="1"/>
    <col min="14088" max="14088" width="10.5703125" bestFit="1" customWidth="1"/>
    <col min="14089" max="14089" width="8.85546875" customWidth="1"/>
    <col min="14090" max="14090" width="16.140625" customWidth="1"/>
    <col min="14091" max="14091" width="9.7109375" customWidth="1"/>
    <col min="14092" max="14092" width="7.140625" customWidth="1"/>
    <col min="14093" max="14093" width="9.140625" customWidth="1"/>
    <col min="14094" max="14095" width="10.5703125" bestFit="1" customWidth="1"/>
    <col min="14096" max="14096" width="11.42578125" bestFit="1" customWidth="1"/>
    <col min="14097" max="14099" width="7.7109375" bestFit="1" customWidth="1"/>
    <col min="14100" max="14100" width="5.7109375" bestFit="1" customWidth="1"/>
    <col min="14101" max="14101" width="7.42578125" customWidth="1"/>
    <col min="14102" max="14102" width="12.28515625" customWidth="1"/>
    <col min="14103" max="14103" width="2.28515625" bestFit="1" customWidth="1"/>
    <col min="14104" max="14104" width="4.5703125" bestFit="1" customWidth="1"/>
    <col min="14105" max="14105" width="2.85546875" customWidth="1"/>
    <col min="14106" max="14106" width="4.5703125" bestFit="1" customWidth="1"/>
    <col min="14107" max="14107" width="2.7109375" customWidth="1"/>
    <col min="14108" max="14108" width="4.5703125" bestFit="1" customWidth="1"/>
    <col min="14109" max="14109" width="2.5703125" customWidth="1"/>
    <col min="14110" max="14110" width="4.5703125" bestFit="1" customWidth="1"/>
    <col min="14111" max="14111" width="5.5703125" customWidth="1"/>
    <col min="14112" max="14112" width="3" bestFit="1" customWidth="1"/>
    <col min="14337" max="14337" width="6.85546875" customWidth="1"/>
    <col min="14338" max="14338" width="11.42578125" bestFit="1" customWidth="1"/>
    <col min="14339" max="14339" width="4.42578125" customWidth="1"/>
    <col min="14340" max="14340" width="8.28515625" bestFit="1" customWidth="1"/>
    <col min="14341" max="14341" width="9.140625" bestFit="1" customWidth="1"/>
    <col min="14342" max="14342" width="15.28515625" bestFit="1" customWidth="1"/>
    <col min="14343" max="14343" width="16.42578125" bestFit="1" customWidth="1"/>
    <col min="14344" max="14344" width="10.5703125" bestFit="1" customWidth="1"/>
    <col min="14345" max="14345" width="8.85546875" customWidth="1"/>
    <col min="14346" max="14346" width="16.140625" customWidth="1"/>
    <col min="14347" max="14347" width="9.7109375" customWidth="1"/>
    <col min="14348" max="14348" width="7.140625" customWidth="1"/>
    <col min="14349" max="14349" width="9.140625" customWidth="1"/>
    <col min="14350" max="14351" width="10.5703125" bestFit="1" customWidth="1"/>
    <col min="14352" max="14352" width="11.42578125" bestFit="1" customWidth="1"/>
    <col min="14353" max="14355" width="7.7109375" bestFit="1" customWidth="1"/>
    <col min="14356" max="14356" width="5.7109375" bestFit="1" customWidth="1"/>
    <col min="14357" max="14357" width="7.42578125" customWidth="1"/>
    <col min="14358" max="14358" width="12.28515625" customWidth="1"/>
    <col min="14359" max="14359" width="2.28515625" bestFit="1" customWidth="1"/>
    <col min="14360" max="14360" width="4.5703125" bestFit="1" customWidth="1"/>
    <col min="14361" max="14361" width="2.85546875" customWidth="1"/>
    <col min="14362" max="14362" width="4.5703125" bestFit="1" customWidth="1"/>
    <col min="14363" max="14363" width="2.7109375" customWidth="1"/>
    <col min="14364" max="14364" width="4.5703125" bestFit="1" customWidth="1"/>
    <col min="14365" max="14365" width="2.5703125" customWidth="1"/>
    <col min="14366" max="14366" width="4.5703125" bestFit="1" customWidth="1"/>
    <col min="14367" max="14367" width="5.5703125" customWidth="1"/>
    <col min="14368" max="14368" width="3" bestFit="1" customWidth="1"/>
    <col min="14593" max="14593" width="6.85546875" customWidth="1"/>
    <col min="14594" max="14594" width="11.42578125" bestFit="1" customWidth="1"/>
    <col min="14595" max="14595" width="4.42578125" customWidth="1"/>
    <col min="14596" max="14596" width="8.28515625" bestFit="1" customWidth="1"/>
    <col min="14597" max="14597" width="9.140625" bestFit="1" customWidth="1"/>
    <col min="14598" max="14598" width="15.28515625" bestFit="1" customWidth="1"/>
    <col min="14599" max="14599" width="16.42578125" bestFit="1" customWidth="1"/>
    <col min="14600" max="14600" width="10.5703125" bestFit="1" customWidth="1"/>
    <col min="14601" max="14601" width="8.85546875" customWidth="1"/>
    <col min="14602" max="14602" width="16.140625" customWidth="1"/>
    <col min="14603" max="14603" width="9.7109375" customWidth="1"/>
    <col min="14604" max="14604" width="7.140625" customWidth="1"/>
    <col min="14605" max="14605" width="9.140625" customWidth="1"/>
    <col min="14606" max="14607" width="10.5703125" bestFit="1" customWidth="1"/>
    <col min="14608" max="14608" width="11.42578125" bestFit="1" customWidth="1"/>
    <col min="14609" max="14611" width="7.7109375" bestFit="1" customWidth="1"/>
    <col min="14612" max="14612" width="5.7109375" bestFit="1" customWidth="1"/>
    <col min="14613" max="14613" width="7.42578125" customWidth="1"/>
    <col min="14614" max="14614" width="12.28515625" customWidth="1"/>
    <col min="14615" max="14615" width="2.28515625" bestFit="1" customWidth="1"/>
    <col min="14616" max="14616" width="4.5703125" bestFit="1" customWidth="1"/>
    <col min="14617" max="14617" width="2.85546875" customWidth="1"/>
    <col min="14618" max="14618" width="4.5703125" bestFit="1" customWidth="1"/>
    <col min="14619" max="14619" width="2.7109375" customWidth="1"/>
    <col min="14620" max="14620" width="4.5703125" bestFit="1" customWidth="1"/>
    <col min="14621" max="14621" width="2.5703125" customWidth="1"/>
    <col min="14622" max="14622" width="4.5703125" bestFit="1" customWidth="1"/>
    <col min="14623" max="14623" width="5.5703125" customWidth="1"/>
    <col min="14624" max="14624" width="3" bestFit="1" customWidth="1"/>
    <col min="14849" max="14849" width="6.85546875" customWidth="1"/>
    <col min="14850" max="14850" width="11.42578125" bestFit="1" customWidth="1"/>
    <col min="14851" max="14851" width="4.42578125" customWidth="1"/>
    <col min="14852" max="14852" width="8.28515625" bestFit="1" customWidth="1"/>
    <col min="14853" max="14853" width="9.140625" bestFit="1" customWidth="1"/>
    <col min="14854" max="14854" width="15.28515625" bestFit="1" customWidth="1"/>
    <col min="14855" max="14855" width="16.42578125" bestFit="1" customWidth="1"/>
    <col min="14856" max="14856" width="10.5703125" bestFit="1" customWidth="1"/>
    <col min="14857" max="14857" width="8.85546875" customWidth="1"/>
    <col min="14858" max="14858" width="16.140625" customWidth="1"/>
    <col min="14859" max="14859" width="9.7109375" customWidth="1"/>
    <col min="14860" max="14860" width="7.140625" customWidth="1"/>
    <col min="14861" max="14861" width="9.140625" customWidth="1"/>
    <col min="14862" max="14863" width="10.5703125" bestFit="1" customWidth="1"/>
    <col min="14864" max="14864" width="11.42578125" bestFit="1" customWidth="1"/>
    <col min="14865" max="14867" width="7.7109375" bestFit="1" customWidth="1"/>
    <col min="14868" max="14868" width="5.7109375" bestFit="1" customWidth="1"/>
    <col min="14869" max="14869" width="7.42578125" customWidth="1"/>
    <col min="14870" max="14870" width="12.28515625" customWidth="1"/>
    <col min="14871" max="14871" width="2.28515625" bestFit="1" customWidth="1"/>
    <col min="14872" max="14872" width="4.5703125" bestFit="1" customWidth="1"/>
    <col min="14873" max="14873" width="2.85546875" customWidth="1"/>
    <col min="14874" max="14874" width="4.5703125" bestFit="1" customWidth="1"/>
    <col min="14875" max="14875" width="2.7109375" customWidth="1"/>
    <col min="14876" max="14876" width="4.5703125" bestFit="1" customWidth="1"/>
    <col min="14877" max="14877" width="2.5703125" customWidth="1"/>
    <col min="14878" max="14878" width="4.5703125" bestFit="1" customWidth="1"/>
    <col min="14879" max="14879" width="5.5703125" customWidth="1"/>
    <col min="14880" max="14880" width="3" bestFit="1" customWidth="1"/>
    <col min="15105" max="15105" width="6.85546875" customWidth="1"/>
    <col min="15106" max="15106" width="11.42578125" bestFit="1" customWidth="1"/>
    <col min="15107" max="15107" width="4.42578125" customWidth="1"/>
    <col min="15108" max="15108" width="8.28515625" bestFit="1" customWidth="1"/>
    <col min="15109" max="15109" width="9.140625" bestFit="1" customWidth="1"/>
    <col min="15110" max="15110" width="15.28515625" bestFit="1" customWidth="1"/>
    <col min="15111" max="15111" width="16.42578125" bestFit="1" customWidth="1"/>
    <col min="15112" max="15112" width="10.5703125" bestFit="1" customWidth="1"/>
    <col min="15113" max="15113" width="8.85546875" customWidth="1"/>
    <col min="15114" max="15114" width="16.140625" customWidth="1"/>
    <col min="15115" max="15115" width="9.7109375" customWidth="1"/>
    <col min="15116" max="15116" width="7.140625" customWidth="1"/>
    <col min="15117" max="15117" width="9.140625" customWidth="1"/>
    <col min="15118" max="15119" width="10.5703125" bestFit="1" customWidth="1"/>
    <col min="15120" max="15120" width="11.42578125" bestFit="1" customWidth="1"/>
    <col min="15121" max="15123" width="7.7109375" bestFit="1" customWidth="1"/>
    <col min="15124" max="15124" width="5.7109375" bestFit="1" customWidth="1"/>
    <col min="15125" max="15125" width="7.42578125" customWidth="1"/>
    <col min="15126" max="15126" width="12.28515625" customWidth="1"/>
    <col min="15127" max="15127" width="2.28515625" bestFit="1" customWidth="1"/>
    <col min="15128" max="15128" width="4.5703125" bestFit="1" customWidth="1"/>
    <col min="15129" max="15129" width="2.85546875" customWidth="1"/>
    <col min="15130" max="15130" width="4.5703125" bestFit="1" customWidth="1"/>
    <col min="15131" max="15131" width="2.7109375" customWidth="1"/>
    <col min="15132" max="15132" width="4.5703125" bestFit="1" customWidth="1"/>
    <col min="15133" max="15133" width="2.5703125" customWidth="1"/>
    <col min="15134" max="15134" width="4.5703125" bestFit="1" customWidth="1"/>
    <col min="15135" max="15135" width="5.5703125" customWidth="1"/>
    <col min="15136" max="15136" width="3" bestFit="1" customWidth="1"/>
    <col min="15361" max="15361" width="6.85546875" customWidth="1"/>
    <col min="15362" max="15362" width="11.42578125" bestFit="1" customWidth="1"/>
    <col min="15363" max="15363" width="4.42578125" customWidth="1"/>
    <col min="15364" max="15364" width="8.28515625" bestFit="1" customWidth="1"/>
    <col min="15365" max="15365" width="9.140625" bestFit="1" customWidth="1"/>
    <col min="15366" max="15366" width="15.28515625" bestFit="1" customWidth="1"/>
    <col min="15367" max="15367" width="16.42578125" bestFit="1" customWidth="1"/>
    <col min="15368" max="15368" width="10.5703125" bestFit="1" customWidth="1"/>
    <col min="15369" max="15369" width="8.85546875" customWidth="1"/>
    <col min="15370" max="15370" width="16.140625" customWidth="1"/>
    <col min="15371" max="15371" width="9.7109375" customWidth="1"/>
    <col min="15372" max="15372" width="7.140625" customWidth="1"/>
    <col min="15373" max="15373" width="9.140625" customWidth="1"/>
    <col min="15374" max="15375" width="10.5703125" bestFit="1" customWidth="1"/>
    <col min="15376" max="15376" width="11.42578125" bestFit="1" customWidth="1"/>
    <col min="15377" max="15379" width="7.7109375" bestFit="1" customWidth="1"/>
    <col min="15380" max="15380" width="5.7109375" bestFit="1" customWidth="1"/>
    <col min="15381" max="15381" width="7.42578125" customWidth="1"/>
    <col min="15382" max="15382" width="12.28515625" customWidth="1"/>
    <col min="15383" max="15383" width="2.28515625" bestFit="1" customWidth="1"/>
    <col min="15384" max="15384" width="4.5703125" bestFit="1" customWidth="1"/>
    <col min="15385" max="15385" width="2.85546875" customWidth="1"/>
    <col min="15386" max="15386" width="4.5703125" bestFit="1" customWidth="1"/>
    <col min="15387" max="15387" width="2.7109375" customWidth="1"/>
    <col min="15388" max="15388" width="4.5703125" bestFit="1" customWidth="1"/>
    <col min="15389" max="15389" width="2.5703125" customWidth="1"/>
    <col min="15390" max="15390" width="4.5703125" bestFit="1" customWidth="1"/>
    <col min="15391" max="15391" width="5.5703125" customWidth="1"/>
    <col min="15392" max="15392" width="3" bestFit="1" customWidth="1"/>
    <col min="15617" max="15617" width="6.85546875" customWidth="1"/>
    <col min="15618" max="15618" width="11.42578125" bestFit="1" customWidth="1"/>
    <col min="15619" max="15619" width="4.42578125" customWidth="1"/>
    <col min="15620" max="15620" width="8.28515625" bestFit="1" customWidth="1"/>
    <col min="15621" max="15621" width="9.140625" bestFit="1" customWidth="1"/>
    <col min="15622" max="15622" width="15.28515625" bestFit="1" customWidth="1"/>
    <col min="15623" max="15623" width="16.42578125" bestFit="1" customWidth="1"/>
    <col min="15624" max="15624" width="10.5703125" bestFit="1" customWidth="1"/>
    <col min="15625" max="15625" width="8.85546875" customWidth="1"/>
    <col min="15626" max="15626" width="16.140625" customWidth="1"/>
    <col min="15627" max="15627" width="9.7109375" customWidth="1"/>
    <col min="15628" max="15628" width="7.140625" customWidth="1"/>
    <col min="15629" max="15629" width="9.140625" customWidth="1"/>
    <col min="15630" max="15631" width="10.5703125" bestFit="1" customWidth="1"/>
    <col min="15632" max="15632" width="11.42578125" bestFit="1" customWidth="1"/>
    <col min="15633" max="15635" width="7.7109375" bestFit="1" customWidth="1"/>
    <col min="15636" max="15636" width="5.7109375" bestFit="1" customWidth="1"/>
    <col min="15637" max="15637" width="7.42578125" customWidth="1"/>
    <col min="15638" max="15638" width="12.28515625" customWidth="1"/>
    <col min="15639" max="15639" width="2.28515625" bestFit="1" customWidth="1"/>
    <col min="15640" max="15640" width="4.5703125" bestFit="1" customWidth="1"/>
    <col min="15641" max="15641" width="2.85546875" customWidth="1"/>
    <col min="15642" max="15642" width="4.5703125" bestFit="1" customWidth="1"/>
    <col min="15643" max="15643" width="2.7109375" customWidth="1"/>
    <col min="15644" max="15644" width="4.5703125" bestFit="1" customWidth="1"/>
    <col min="15645" max="15645" width="2.5703125" customWidth="1"/>
    <col min="15646" max="15646" width="4.5703125" bestFit="1" customWidth="1"/>
    <col min="15647" max="15647" width="5.5703125" customWidth="1"/>
    <col min="15648" max="15648" width="3" bestFit="1" customWidth="1"/>
    <col min="15873" max="15873" width="6.85546875" customWidth="1"/>
    <col min="15874" max="15874" width="11.42578125" bestFit="1" customWidth="1"/>
    <col min="15875" max="15875" width="4.42578125" customWidth="1"/>
    <col min="15876" max="15876" width="8.28515625" bestFit="1" customWidth="1"/>
    <col min="15877" max="15877" width="9.140625" bestFit="1" customWidth="1"/>
    <col min="15878" max="15878" width="15.28515625" bestFit="1" customWidth="1"/>
    <col min="15879" max="15879" width="16.42578125" bestFit="1" customWidth="1"/>
    <col min="15880" max="15880" width="10.5703125" bestFit="1" customWidth="1"/>
    <col min="15881" max="15881" width="8.85546875" customWidth="1"/>
    <col min="15882" max="15882" width="16.140625" customWidth="1"/>
    <col min="15883" max="15883" width="9.7109375" customWidth="1"/>
    <col min="15884" max="15884" width="7.140625" customWidth="1"/>
    <col min="15885" max="15885" width="9.140625" customWidth="1"/>
    <col min="15886" max="15887" width="10.5703125" bestFit="1" customWidth="1"/>
    <col min="15888" max="15888" width="11.42578125" bestFit="1" customWidth="1"/>
    <col min="15889" max="15891" width="7.7109375" bestFit="1" customWidth="1"/>
    <col min="15892" max="15892" width="5.7109375" bestFit="1" customWidth="1"/>
    <col min="15893" max="15893" width="7.42578125" customWidth="1"/>
    <col min="15894" max="15894" width="12.28515625" customWidth="1"/>
    <col min="15895" max="15895" width="2.28515625" bestFit="1" customWidth="1"/>
    <col min="15896" max="15896" width="4.5703125" bestFit="1" customWidth="1"/>
    <col min="15897" max="15897" width="2.85546875" customWidth="1"/>
    <col min="15898" max="15898" width="4.5703125" bestFit="1" customWidth="1"/>
    <col min="15899" max="15899" width="2.7109375" customWidth="1"/>
    <col min="15900" max="15900" width="4.5703125" bestFit="1" customWidth="1"/>
    <col min="15901" max="15901" width="2.5703125" customWidth="1"/>
    <col min="15902" max="15902" width="4.5703125" bestFit="1" customWidth="1"/>
    <col min="15903" max="15903" width="5.5703125" customWidth="1"/>
    <col min="15904" max="15904" width="3" bestFit="1" customWidth="1"/>
    <col min="16129" max="16129" width="6.85546875" customWidth="1"/>
    <col min="16130" max="16130" width="11.42578125" bestFit="1" customWidth="1"/>
    <col min="16131" max="16131" width="4.42578125" customWidth="1"/>
    <col min="16132" max="16132" width="8.28515625" bestFit="1" customWidth="1"/>
    <col min="16133" max="16133" width="9.140625" bestFit="1" customWidth="1"/>
    <col min="16134" max="16134" width="15.28515625" bestFit="1" customWidth="1"/>
    <col min="16135" max="16135" width="16.42578125" bestFit="1" customWidth="1"/>
    <col min="16136" max="16136" width="10.5703125" bestFit="1" customWidth="1"/>
    <col min="16137" max="16137" width="8.85546875" customWidth="1"/>
    <col min="16138" max="16138" width="16.140625" customWidth="1"/>
    <col min="16139" max="16139" width="9.7109375" customWidth="1"/>
    <col min="16140" max="16140" width="7.140625" customWidth="1"/>
    <col min="16141" max="16141" width="9.140625" customWidth="1"/>
    <col min="16142" max="16143" width="10.5703125" bestFit="1" customWidth="1"/>
    <col min="16144" max="16144" width="11.42578125" bestFit="1" customWidth="1"/>
    <col min="16145" max="16147" width="7.7109375" bestFit="1" customWidth="1"/>
    <col min="16148" max="16148" width="5.7109375" bestFit="1" customWidth="1"/>
    <col min="16149" max="16149" width="7.42578125" customWidth="1"/>
    <col min="16150" max="16150" width="12.28515625" customWidth="1"/>
    <col min="16151" max="16151" width="2.28515625" bestFit="1" customWidth="1"/>
    <col min="16152" max="16152" width="4.5703125" bestFit="1" customWidth="1"/>
    <col min="16153" max="16153" width="2.85546875" customWidth="1"/>
    <col min="16154" max="16154" width="4.5703125" bestFit="1" customWidth="1"/>
    <col min="16155" max="16155" width="2.7109375" customWidth="1"/>
    <col min="16156" max="16156" width="4.5703125" bestFit="1" customWidth="1"/>
    <col min="16157" max="16157" width="2.5703125" customWidth="1"/>
    <col min="16158" max="16158" width="4.5703125" bestFit="1" customWidth="1"/>
    <col min="16159" max="16159" width="5.5703125" customWidth="1"/>
    <col min="16160" max="16160" width="3" bestFit="1" customWidth="1"/>
  </cols>
  <sheetData>
    <row r="1" spans="1:34" ht="36.75" customHeight="1" thickBot="1" x14ac:dyDescent="0.3">
      <c r="A1" s="1860" t="s">
        <v>3991</v>
      </c>
      <c r="B1" s="1859" t="s">
        <v>3990</v>
      </c>
      <c r="C1" s="1859" t="s">
        <v>3989</v>
      </c>
      <c r="D1" s="1859" t="s">
        <v>3988</v>
      </c>
      <c r="E1" s="1859" t="s">
        <v>3987</v>
      </c>
      <c r="F1" s="1859" t="s">
        <v>3986</v>
      </c>
      <c r="G1" s="1859" t="s">
        <v>3985</v>
      </c>
      <c r="H1" s="1859" t="s">
        <v>3984</v>
      </c>
      <c r="I1" s="1859" t="s">
        <v>3983</v>
      </c>
      <c r="J1" s="1859" t="s">
        <v>3982</v>
      </c>
      <c r="K1" s="1859" t="s">
        <v>3981</v>
      </c>
      <c r="L1" s="1859" t="s">
        <v>3980</v>
      </c>
      <c r="M1" s="1859" t="s">
        <v>3979</v>
      </c>
      <c r="N1" s="1859" t="s">
        <v>3978</v>
      </c>
      <c r="O1" s="1859" t="s">
        <v>3977</v>
      </c>
      <c r="P1" s="1859" t="s">
        <v>3976</v>
      </c>
      <c r="Q1" s="1859" t="s">
        <v>3868</v>
      </c>
      <c r="R1" s="1859" t="s">
        <v>3867</v>
      </c>
      <c r="S1" s="1859" t="s">
        <v>3866</v>
      </c>
      <c r="T1" s="1859" t="s">
        <v>3869</v>
      </c>
      <c r="U1" s="1859" t="s">
        <v>3975</v>
      </c>
      <c r="V1" s="1859" t="s">
        <v>3974</v>
      </c>
      <c r="W1" s="2276" t="s">
        <v>3973</v>
      </c>
      <c r="X1" s="2277"/>
      <c r="Y1" s="2277"/>
      <c r="Z1" s="2277"/>
      <c r="AA1" s="2277"/>
      <c r="AB1" s="2277"/>
      <c r="AC1" s="2277"/>
      <c r="AD1" s="2277"/>
      <c r="AE1" s="2277"/>
      <c r="AF1" s="2278"/>
    </row>
    <row r="2" spans="1:34" x14ac:dyDescent="0.25">
      <c r="A2" s="1858">
        <v>1</v>
      </c>
      <c r="B2" s="1857" t="s">
        <v>3972</v>
      </c>
      <c r="C2" s="1856" t="s">
        <v>35</v>
      </c>
      <c r="D2" s="1884">
        <v>163308.35500000001</v>
      </c>
      <c r="E2" s="1885">
        <v>8246093.6990999999</v>
      </c>
      <c r="F2" s="1853">
        <v>18.600000000000001</v>
      </c>
      <c r="G2" s="1851">
        <v>1678</v>
      </c>
      <c r="H2" s="1855">
        <v>0.04</v>
      </c>
      <c r="I2" s="1854">
        <v>18.100000000000001</v>
      </c>
      <c r="J2" s="1853">
        <v>52.99</v>
      </c>
      <c r="K2" s="1852">
        <v>8.08</v>
      </c>
      <c r="L2" s="1852">
        <v>9.8800000000000008</v>
      </c>
      <c r="M2" s="1852">
        <v>29.05</v>
      </c>
      <c r="N2" s="1852">
        <v>47.01</v>
      </c>
      <c r="O2" s="1852">
        <v>38.94</v>
      </c>
      <c r="P2" s="1852">
        <v>29.05</v>
      </c>
      <c r="Q2" s="1852">
        <v>30.6</v>
      </c>
      <c r="R2" s="1852">
        <v>23.4</v>
      </c>
      <c r="S2" s="1852">
        <v>7.1</v>
      </c>
      <c r="T2" s="1851">
        <v>0</v>
      </c>
      <c r="U2" s="1851" t="s">
        <v>3885</v>
      </c>
      <c r="V2" s="1850" t="s">
        <v>3884</v>
      </c>
      <c r="W2" s="1849" t="s">
        <v>1222</v>
      </c>
      <c r="X2" s="1847">
        <v>0</v>
      </c>
      <c r="Y2" s="1848" t="s">
        <v>1229</v>
      </c>
      <c r="Z2" s="1847">
        <v>14.05</v>
      </c>
      <c r="AA2" s="1848" t="s">
        <v>1236</v>
      </c>
      <c r="AB2" s="1847">
        <v>0</v>
      </c>
      <c r="AC2" s="1848" t="s">
        <v>3870</v>
      </c>
      <c r="AD2" s="1847">
        <v>0</v>
      </c>
      <c r="AE2" s="1846" t="s">
        <v>3869</v>
      </c>
      <c r="AF2" s="1845">
        <v>0</v>
      </c>
      <c r="AH2">
        <v>1342</v>
      </c>
    </row>
    <row r="3" spans="1:34" x14ac:dyDescent="0.25">
      <c r="A3" s="1844">
        <v>2</v>
      </c>
      <c r="B3" s="1843" t="s">
        <v>3971</v>
      </c>
      <c r="C3" s="1842" t="s">
        <v>35</v>
      </c>
      <c r="D3" s="1886">
        <v>163409.67790000001</v>
      </c>
      <c r="E3" s="1887">
        <v>8246144.5718999999</v>
      </c>
      <c r="F3" s="1838">
        <v>24.9</v>
      </c>
      <c r="G3" s="1841">
        <v>1598</v>
      </c>
      <c r="H3" s="1840">
        <v>0.02</v>
      </c>
      <c r="I3" s="1839">
        <v>9.1999999999999993</v>
      </c>
      <c r="J3" s="1838">
        <v>22.11</v>
      </c>
      <c r="K3" s="1836">
        <v>7.53</v>
      </c>
      <c r="L3" s="1836">
        <v>20.79</v>
      </c>
      <c r="M3" s="1836">
        <v>49.57</v>
      </c>
      <c r="N3" s="1837">
        <v>77.89</v>
      </c>
      <c r="O3" s="1837">
        <v>70.349999999999994</v>
      </c>
      <c r="P3" s="1837">
        <v>49.57</v>
      </c>
      <c r="Q3" s="1836">
        <v>38.4</v>
      </c>
      <c r="R3" s="1836">
        <v>25.3</v>
      </c>
      <c r="S3" s="1836">
        <v>13.1</v>
      </c>
      <c r="T3" s="1835">
        <v>3.9856699999999998</v>
      </c>
      <c r="U3" s="1835" t="s">
        <v>3900</v>
      </c>
      <c r="V3" s="1834" t="s">
        <v>3887</v>
      </c>
      <c r="W3" s="1833" t="s">
        <v>1222</v>
      </c>
      <c r="X3" s="1785">
        <v>14.57</v>
      </c>
      <c r="Y3" s="1786" t="s">
        <v>1229</v>
      </c>
      <c r="Z3" s="1785">
        <v>34.57</v>
      </c>
      <c r="AA3" s="1786" t="s">
        <v>1236</v>
      </c>
      <c r="AB3" s="1785">
        <v>0</v>
      </c>
      <c r="AC3" s="1786" t="s">
        <v>3870</v>
      </c>
      <c r="AD3" s="1785">
        <v>3.0999999999999996</v>
      </c>
      <c r="AE3" s="1784" t="s">
        <v>3869</v>
      </c>
      <c r="AF3" s="1832">
        <v>3.9856699999999998</v>
      </c>
      <c r="AH3">
        <v>1363</v>
      </c>
    </row>
    <row r="4" spans="1:34" x14ac:dyDescent="0.25">
      <c r="A4" s="1844">
        <v>3</v>
      </c>
      <c r="B4" s="1843" t="s">
        <v>3970</v>
      </c>
      <c r="C4" s="1842" t="s">
        <v>35</v>
      </c>
      <c r="D4" s="1886">
        <v>163448.53109999999</v>
      </c>
      <c r="E4" s="1887">
        <v>8246214.6275000004</v>
      </c>
      <c r="F4" s="1838">
        <v>19.2</v>
      </c>
      <c r="G4" s="1841">
        <v>1585</v>
      </c>
      <c r="H4" s="1840">
        <v>0.03</v>
      </c>
      <c r="I4" s="1839">
        <v>10.1</v>
      </c>
      <c r="J4" s="1838">
        <v>21.79</v>
      </c>
      <c r="K4" s="1836">
        <v>10.1</v>
      </c>
      <c r="L4" s="1836">
        <v>16.86</v>
      </c>
      <c r="M4" s="1836">
        <v>51.25</v>
      </c>
      <c r="N4" s="1837">
        <v>78.209999999999994</v>
      </c>
      <c r="O4" s="1837">
        <v>98.11</v>
      </c>
      <c r="P4" s="1837">
        <v>51.25</v>
      </c>
      <c r="Q4" s="1836">
        <v>34.700000000000003</v>
      </c>
      <c r="R4" s="1836">
        <v>22</v>
      </c>
      <c r="S4" s="1836">
        <v>12.7</v>
      </c>
      <c r="T4" s="1835">
        <v>4.2287499999999998</v>
      </c>
      <c r="U4" s="1835" t="s">
        <v>3900</v>
      </c>
      <c r="V4" s="1834" t="s">
        <v>3887</v>
      </c>
      <c r="W4" s="1833" t="s">
        <v>1222</v>
      </c>
      <c r="X4" s="1785">
        <v>16.25</v>
      </c>
      <c r="Y4" s="1786" t="s">
        <v>1229</v>
      </c>
      <c r="Z4" s="1785">
        <v>36.25</v>
      </c>
      <c r="AA4" s="1786" t="s">
        <v>1236</v>
      </c>
      <c r="AB4" s="1785">
        <v>0</v>
      </c>
      <c r="AC4" s="1786" t="s">
        <v>3870</v>
      </c>
      <c r="AD4" s="1785">
        <v>2.6999999999999993</v>
      </c>
      <c r="AE4" s="1784" t="s">
        <v>3869</v>
      </c>
      <c r="AF4" s="1832">
        <v>4.2287499999999998</v>
      </c>
      <c r="AH4">
        <v>1525</v>
      </c>
    </row>
    <row r="5" spans="1:34" x14ac:dyDescent="0.25">
      <c r="A5" s="1844">
        <v>4</v>
      </c>
      <c r="B5" s="1843" t="s">
        <v>3969</v>
      </c>
      <c r="C5" s="1842" t="s">
        <v>35</v>
      </c>
      <c r="D5" s="1886">
        <v>163523.40289999999</v>
      </c>
      <c r="E5" s="1887">
        <v>8246218.3693000004</v>
      </c>
      <c r="F5" s="1838">
        <v>17</v>
      </c>
      <c r="G5" s="1841">
        <v>1726</v>
      </c>
      <c r="H5" s="1840">
        <v>0.01</v>
      </c>
      <c r="I5" s="1839">
        <v>10.7</v>
      </c>
      <c r="J5" s="1838" t="s">
        <v>3968</v>
      </c>
      <c r="K5" s="1836">
        <v>6.45</v>
      </c>
      <c r="L5" s="1836">
        <v>18.91</v>
      </c>
      <c r="M5" s="1836">
        <v>45.59</v>
      </c>
      <c r="N5" s="1837">
        <v>70.959999999999994</v>
      </c>
      <c r="O5" s="1837">
        <v>64.510000000000005</v>
      </c>
      <c r="P5" s="1837">
        <v>45.59</v>
      </c>
      <c r="Q5" s="1836">
        <v>34.9</v>
      </c>
      <c r="R5" s="1836">
        <v>24.6</v>
      </c>
      <c r="S5" s="1836">
        <v>10.3</v>
      </c>
      <c r="T5" s="1835">
        <v>2.2097700000000011</v>
      </c>
      <c r="U5" s="1835" t="s">
        <v>3898</v>
      </c>
      <c r="V5" s="1834" t="s">
        <v>3897</v>
      </c>
      <c r="W5" s="1833" t="s">
        <v>1222</v>
      </c>
      <c r="X5" s="1785">
        <v>10.590000000000003</v>
      </c>
      <c r="Y5" s="1786" t="s">
        <v>1229</v>
      </c>
      <c r="Z5" s="1785">
        <v>30.590000000000003</v>
      </c>
      <c r="AA5" s="1786" t="s">
        <v>1236</v>
      </c>
      <c r="AB5" s="1785">
        <v>0</v>
      </c>
      <c r="AC5" s="1786" t="s">
        <v>3870</v>
      </c>
      <c r="AD5" s="1785">
        <v>0.30000000000000071</v>
      </c>
      <c r="AE5" s="1784" t="s">
        <v>3869</v>
      </c>
      <c r="AF5" s="1832">
        <v>2.2097700000000011</v>
      </c>
      <c r="AH5">
        <v>1369</v>
      </c>
    </row>
    <row r="6" spans="1:34" x14ac:dyDescent="0.25">
      <c r="A6" s="1844">
        <v>5</v>
      </c>
      <c r="B6" s="1843" t="s">
        <v>3967</v>
      </c>
      <c r="C6" s="1842" t="s">
        <v>35</v>
      </c>
      <c r="D6" s="1886">
        <v>163613.8334</v>
      </c>
      <c r="E6" s="1887">
        <v>8246145.6200999999</v>
      </c>
      <c r="F6" s="1838">
        <v>28.7</v>
      </c>
      <c r="G6" s="1841">
        <v>1327</v>
      </c>
      <c r="H6" s="1840">
        <v>0.17</v>
      </c>
      <c r="I6" s="1839">
        <v>7.3</v>
      </c>
      <c r="J6" s="1838">
        <v>1.0900000000000001</v>
      </c>
      <c r="K6" s="1836">
        <v>4</v>
      </c>
      <c r="L6" s="1836">
        <v>14.8</v>
      </c>
      <c r="M6" s="1836">
        <v>80.11</v>
      </c>
      <c r="N6" s="1837">
        <v>98.91</v>
      </c>
      <c r="O6" s="1837">
        <v>94.9</v>
      </c>
      <c r="P6" s="1837">
        <v>80.11</v>
      </c>
      <c r="Q6" s="1836">
        <v>40.1</v>
      </c>
      <c r="R6" s="1836">
        <v>25.4</v>
      </c>
      <c r="S6" s="1836">
        <v>14.7</v>
      </c>
      <c r="T6" s="1835">
        <v>9.8999999999999986</v>
      </c>
      <c r="U6" s="1835" t="s">
        <v>3900</v>
      </c>
      <c r="V6" s="1834" t="s">
        <v>3887</v>
      </c>
      <c r="W6" s="1833" t="s">
        <v>1222</v>
      </c>
      <c r="X6" s="1785">
        <v>40</v>
      </c>
      <c r="Y6" s="1786" t="s">
        <v>1229</v>
      </c>
      <c r="Z6" s="1785">
        <v>40</v>
      </c>
      <c r="AA6" s="1786" t="s">
        <v>1236</v>
      </c>
      <c r="AB6" s="1785">
        <v>0.10000000000000142</v>
      </c>
      <c r="AC6" s="1786" t="s">
        <v>3870</v>
      </c>
      <c r="AD6" s="1785">
        <v>4.6999999999999993</v>
      </c>
      <c r="AE6" s="1784" t="s">
        <v>3869</v>
      </c>
      <c r="AF6" s="1832">
        <v>9.8999999999999986</v>
      </c>
      <c r="AH6">
        <v>1334</v>
      </c>
    </row>
    <row r="7" spans="1:34" x14ac:dyDescent="0.25">
      <c r="A7" s="1844">
        <v>6</v>
      </c>
      <c r="B7" s="1843" t="s">
        <v>3966</v>
      </c>
      <c r="C7" s="1842" t="s">
        <v>35</v>
      </c>
      <c r="D7" s="1886">
        <v>163468.1948</v>
      </c>
      <c r="E7" s="1887">
        <v>8246331.7943000002</v>
      </c>
      <c r="F7" s="1838">
        <v>17.3</v>
      </c>
      <c r="G7" s="1841">
        <v>1686</v>
      </c>
      <c r="H7" s="1840">
        <v>0.03</v>
      </c>
      <c r="I7" s="1839">
        <v>13.5</v>
      </c>
      <c r="J7" s="1838">
        <v>31.12</v>
      </c>
      <c r="K7" s="1836">
        <v>7.36</v>
      </c>
      <c r="L7" s="1836">
        <v>19.55</v>
      </c>
      <c r="M7" s="1836">
        <v>41.98</v>
      </c>
      <c r="N7" s="1837">
        <v>68.88</v>
      </c>
      <c r="O7" s="1837">
        <v>61.52</v>
      </c>
      <c r="P7" s="1837">
        <v>41.98</v>
      </c>
      <c r="Q7" s="1836">
        <v>20.7</v>
      </c>
      <c r="R7" s="1836">
        <v>17.3</v>
      </c>
      <c r="S7" s="1836">
        <v>3.3</v>
      </c>
      <c r="T7" s="1835">
        <v>1.3959999999999995</v>
      </c>
      <c r="U7" s="1835" t="s">
        <v>3898</v>
      </c>
      <c r="V7" s="1834" t="s">
        <v>3897</v>
      </c>
      <c r="W7" s="1833" t="s">
        <v>1222</v>
      </c>
      <c r="X7" s="1785">
        <v>6.9799999999999969</v>
      </c>
      <c r="Y7" s="1786" t="s">
        <v>1229</v>
      </c>
      <c r="Z7" s="1785">
        <v>26.979999999999997</v>
      </c>
      <c r="AA7" s="1786" t="s">
        <v>1236</v>
      </c>
      <c r="AB7" s="1785">
        <v>0</v>
      </c>
      <c r="AC7" s="1786" t="s">
        <v>3870</v>
      </c>
      <c r="AD7" s="1785">
        <v>0</v>
      </c>
      <c r="AE7" s="1784" t="s">
        <v>3869</v>
      </c>
      <c r="AF7" s="1832">
        <v>1.3959999999999995</v>
      </c>
      <c r="AH7">
        <v>1308</v>
      </c>
    </row>
    <row r="8" spans="1:34" x14ac:dyDescent="0.25">
      <c r="A8" s="1844">
        <v>7</v>
      </c>
      <c r="B8" s="1843" t="s">
        <v>3965</v>
      </c>
      <c r="C8" s="1842" t="s">
        <v>35</v>
      </c>
      <c r="D8" s="1886">
        <v>163590.4933</v>
      </c>
      <c r="E8" s="1887">
        <v>8246288.6957</v>
      </c>
      <c r="F8" s="1838">
        <v>28.3</v>
      </c>
      <c r="G8" s="1841">
        <v>1355</v>
      </c>
      <c r="H8" s="1840">
        <v>0.1</v>
      </c>
      <c r="I8" s="1839">
        <v>8.3000000000000007</v>
      </c>
      <c r="J8" s="1838">
        <v>4.01</v>
      </c>
      <c r="K8" s="1836">
        <v>5.19</v>
      </c>
      <c r="L8" s="1836">
        <v>17.43</v>
      </c>
      <c r="M8" s="1836">
        <v>73.37</v>
      </c>
      <c r="N8" s="1837">
        <v>95.99</v>
      </c>
      <c r="O8" s="1837">
        <v>9080</v>
      </c>
      <c r="P8" s="1837">
        <v>73.37</v>
      </c>
      <c r="Q8" s="1836">
        <v>36.6</v>
      </c>
      <c r="R8" s="1836">
        <v>21.1</v>
      </c>
      <c r="S8" s="1836">
        <v>15.5</v>
      </c>
      <c r="T8" s="1835">
        <v>9.8740000000000023</v>
      </c>
      <c r="U8" s="1835" t="s">
        <v>3900</v>
      </c>
      <c r="V8" s="1834" t="s">
        <v>3887</v>
      </c>
      <c r="W8" s="1833" t="s">
        <v>1222</v>
      </c>
      <c r="X8" s="1785">
        <v>38.370000000000005</v>
      </c>
      <c r="Y8" s="1786" t="s">
        <v>1229</v>
      </c>
      <c r="Z8" s="1785">
        <v>40</v>
      </c>
      <c r="AA8" s="1786" t="s">
        <v>1236</v>
      </c>
      <c r="AB8" s="1785">
        <v>0</v>
      </c>
      <c r="AC8" s="1786" t="s">
        <v>3870</v>
      </c>
      <c r="AD8" s="1785">
        <v>5.5</v>
      </c>
      <c r="AE8" s="1784" t="s">
        <v>3869</v>
      </c>
      <c r="AF8" s="1832">
        <v>9.8740000000000023</v>
      </c>
      <c r="AH8">
        <v>1581</v>
      </c>
    </row>
    <row r="9" spans="1:34" x14ac:dyDescent="0.25">
      <c r="A9" s="1844">
        <v>8</v>
      </c>
      <c r="B9" s="1843" t="s">
        <v>3964</v>
      </c>
      <c r="C9" s="1842" t="s">
        <v>35</v>
      </c>
      <c r="D9" s="1886">
        <v>163676.52410000001</v>
      </c>
      <c r="E9" s="1887">
        <v>8246255.3028999995</v>
      </c>
      <c r="F9" s="1838">
        <v>28</v>
      </c>
      <c r="G9" s="1841">
        <v>1303</v>
      </c>
      <c r="H9" s="1840">
        <v>0.18</v>
      </c>
      <c r="I9" s="1839">
        <v>7.4</v>
      </c>
      <c r="J9" s="1838">
        <v>0.5</v>
      </c>
      <c r="K9" s="1836">
        <v>4</v>
      </c>
      <c r="L9" s="1836">
        <v>12.77</v>
      </c>
      <c r="M9" s="1836">
        <v>82.72</v>
      </c>
      <c r="N9" s="1837">
        <v>99</v>
      </c>
      <c r="O9" s="1837">
        <v>95.49</v>
      </c>
      <c r="P9" s="1837">
        <v>82.72</v>
      </c>
      <c r="Q9" s="1836">
        <v>36.299999999999997</v>
      </c>
      <c r="R9" s="1836">
        <v>21</v>
      </c>
      <c r="S9" s="1836">
        <v>15.3</v>
      </c>
      <c r="T9" s="1835">
        <v>10.120000000000001</v>
      </c>
      <c r="U9" s="1835" t="s">
        <v>3900</v>
      </c>
      <c r="V9" s="1834" t="s">
        <v>3887</v>
      </c>
      <c r="W9" s="1833" t="s">
        <v>1222</v>
      </c>
      <c r="X9" s="1785">
        <v>40</v>
      </c>
      <c r="Y9" s="1786" t="s">
        <v>1229</v>
      </c>
      <c r="Z9" s="1785">
        <v>40</v>
      </c>
      <c r="AA9" s="1786" t="s">
        <v>1236</v>
      </c>
      <c r="AB9" s="1785">
        <v>0</v>
      </c>
      <c r="AC9" s="1786" t="s">
        <v>3870</v>
      </c>
      <c r="AD9" s="1785">
        <v>5.3000000000000007</v>
      </c>
      <c r="AE9" s="1784" t="s">
        <v>3869</v>
      </c>
      <c r="AF9" s="1832">
        <v>10.120000000000001</v>
      </c>
      <c r="AH9">
        <v>1293</v>
      </c>
    </row>
    <row r="10" spans="1:34" x14ac:dyDescent="0.25">
      <c r="A10" s="1844">
        <v>9</v>
      </c>
      <c r="B10" s="1843" t="s">
        <v>3963</v>
      </c>
      <c r="C10" s="1842" t="s">
        <v>35</v>
      </c>
      <c r="D10" s="1782">
        <v>163539.6686</v>
      </c>
      <c r="E10" s="1887">
        <v>8246395.5480000004</v>
      </c>
      <c r="F10" s="1838">
        <v>22.6</v>
      </c>
      <c r="G10" s="1841">
        <v>1575</v>
      </c>
      <c r="H10" s="1840">
        <v>0.04</v>
      </c>
      <c r="I10" s="1839">
        <v>15.8</v>
      </c>
      <c r="J10" s="1838">
        <v>49.93</v>
      </c>
      <c r="K10" s="1836">
        <v>7.56</v>
      </c>
      <c r="L10" s="1836">
        <v>6</v>
      </c>
      <c r="M10" s="1836">
        <v>36.520000000000003</v>
      </c>
      <c r="N10" s="1837">
        <v>50.07</v>
      </c>
      <c r="O10" s="1837">
        <v>42.51</v>
      </c>
      <c r="P10" s="1837">
        <v>36.520000000000003</v>
      </c>
      <c r="Q10" s="1836">
        <v>35.299999999999997</v>
      </c>
      <c r="R10" s="1836">
        <v>21</v>
      </c>
      <c r="S10" s="1836">
        <v>14.3</v>
      </c>
      <c r="T10" s="1835">
        <v>1.2293600000000009</v>
      </c>
      <c r="U10" s="1835" t="s">
        <v>3900</v>
      </c>
      <c r="V10" s="1834" t="s">
        <v>3887</v>
      </c>
      <c r="W10" s="1833" t="s">
        <v>1222</v>
      </c>
      <c r="X10" s="1785">
        <v>1.5200000000000031</v>
      </c>
      <c r="Y10" s="1786" t="s">
        <v>1229</v>
      </c>
      <c r="Z10" s="1785">
        <v>21.520000000000003</v>
      </c>
      <c r="AA10" s="1786" t="s">
        <v>1236</v>
      </c>
      <c r="AB10" s="1785">
        <v>0</v>
      </c>
      <c r="AC10" s="1786" t="s">
        <v>3870</v>
      </c>
      <c r="AD10" s="1785">
        <v>4.3000000000000007</v>
      </c>
      <c r="AE10" s="1784" t="s">
        <v>3869</v>
      </c>
      <c r="AF10" s="1832">
        <v>1.2293600000000009</v>
      </c>
      <c r="AH10">
        <v>1339</v>
      </c>
    </row>
    <row r="11" spans="1:34" x14ac:dyDescent="0.25">
      <c r="A11" s="1844">
        <v>10</v>
      </c>
      <c r="B11" s="1843" t="s">
        <v>3962</v>
      </c>
      <c r="C11" s="1842" t="s">
        <v>35</v>
      </c>
      <c r="D11" s="1886">
        <v>163651.18400000001</v>
      </c>
      <c r="E11" s="1887">
        <v>8246360.2084999997</v>
      </c>
      <c r="F11" s="1838">
        <v>21.1</v>
      </c>
      <c r="G11" s="1841">
        <v>1623</v>
      </c>
      <c r="H11" s="1840">
        <v>0.05</v>
      </c>
      <c r="I11" s="1839">
        <v>12</v>
      </c>
      <c r="J11" s="1838">
        <v>27.65</v>
      </c>
      <c r="K11" s="1836">
        <v>8.33</v>
      </c>
      <c r="L11" s="1836">
        <v>7.66</v>
      </c>
      <c r="M11" s="1836">
        <v>56.36</v>
      </c>
      <c r="N11" s="1837">
        <v>72.349999999999994</v>
      </c>
      <c r="O11" s="1837">
        <v>64.03</v>
      </c>
      <c r="P11" s="1837">
        <v>56.36</v>
      </c>
      <c r="Q11" s="1836">
        <v>41.1</v>
      </c>
      <c r="R11" s="1836">
        <v>29.7</v>
      </c>
      <c r="S11" s="1836">
        <v>11.1</v>
      </c>
      <c r="T11" s="1835">
        <v>4.8294800000000002</v>
      </c>
      <c r="U11" s="1835" t="s">
        <v>3891</v>
      </c>
      <c r="V11" s="1834" t="s">
        <v>3890</v>
      </c>
      <c r="W11" s="1833" t="s">
        <v>1222</v>
      </c>
      <c r="X11" s="1785">
        <v>21.36</v>
      </c>
      <c r="Y11" s="1786" t="s">
        <v>1229</v>
      </c>
      <c r="Z11" s="1785">
        <v>40</v>
      </c>
      <c r="AA11" s="1786" t="s">
        <v>1236</v>
      </c>
      <c r="AB11" s="1785">
        <v>1.1000000000000014</v>
      </c>
      <c r="AC11" s="1786" t="s">
        <v>3870</v>
      </c>
      <c r="AD11" s="1785">
        <v>1.0999999999999996</v>
      </c>
      <c r="AE11" s="1784" t="s">
        <v>3869</v>
      </c>
      <c r="AF11" s="1832">
        <v>4.8294800000000002</v>
      </c>
      <c r="AH11">
        <v>1342</v>
      </c>
    </row>
    <row r="12" spans="1:34" x14ac:dyDescent="0.25">
      <c r="A12" s="1844">
        <v>11</v>
      </c>
      <c r="B12" s="1843" t="s">
        <v>3961</v>
      </c>
      <c r="C12" s="1842" t="s">
        <v>35</v>
      </c>
      <c r="D12" s="1886">
        <v>163617.7641</v>
      </c>
      <c r="E12" s="1887">
        <v>8246481.3574000001</v>
      </c>
      <c r="F12" s="1838">
        <v>22</v>
      </c>
      <c r="G12" s="1841">
        <v>1612</v>
      </c>
      <c r="H12" s="1840">
        <v>0.03</v>
      </c>
      <c r="I12" s="1839">
        <v>11</v>
      </c>
      <c r="J12" s="1838">
        <v>33.29</v>
      </c>
      <c r="K12" s="1836">
        <v>6.03</v>
      </c>
      <c r="L12" s="1836">
        <v>10.9</v>
      </c>
      <c r="M12" s="1836">
        <v>49.78</v>
      </c>
      <c r="N12" s="1837">
        <v>66.709999999999994</v>
      </c>
      <c r="O12" s="1837">
        <v>60.68</v>
      </c>
      <c r="P12" s="1837">
        <v>49.78</v>
      </c>
      <c r="Q12" s="1836">
        <v>38.1</v>
      </c>
      <c r="R12" s="1836">
        <v>23.3</v>
      </c>
      <c r="S12" s="1836">
        <v>14.7</v>
      </c>
      <c r="T12" s="1835">
        <v>4.5906599999999997</v>
      </c>
      <c r="U12" s="1835" t="s">
        <v>3900</v>
      </c>
      <c r="V12" s="1834" t="s">
        <v>3887</v>
      </c>
      <c r="W12" s="1833" t="s">
        <v>1222</v>
      </c>
      <c r="X12" s="1785">
        <v>14.780000000000001</v>
      </c>
      <c r="Y12" s="1786" t="s">
        <v>1229</v>
      </c>
      <c r="Z12" s="1785">
        <v>34.78</v>
      </c>
      <c r="AA12" s="1786" t="s">
        <v>1236</v>
      </c>
      <c r="AB12" s="1785">
        <v>0</v>
      </c>
      <c r="AC12" s="1786" t="s">
        <v>3870</v>
      </c>
      <c r="AD12" s="1785">
        <v>4.6999999999999993</v>
      </c>
      <c r="AE12" s="1784" t="s">
        <v>3869</v>
      </c>
      <c r="AF12" s="1832">
        <v>4.5906599999999997</v>
      </c>
      <c r="AH12">
        <v>1431</v>
      </c>
    </row>
    <row r="13" spans="1:34" x14ac:dyDescent="0.25">
      <c r="A13" s="1844">
        <v>12</v>
      </c>
      <c r="B13" s="1843" t="s">
        <v>3960</v>
      </c>
      <c r="C13" s="1842" t="s">
        <v>35</v>
      </c>
      <c r="D13" s="1886">
        <v>163729.78890000001</v>
      </c>
      <c r="E13" s="1887">
        <v>8246451.2849000003</v>
      </c>
      <c r="F13" s="1838">
        <v>29</v>
      </c>
      <c r="G13" s="1841">
        <v>1347</v>
      </c>
      <c r="H13" s="1840">
        <v>0.15</v>
      </c>
      <c r="I13" s="1839">
        <v>7.4</v>
      </c>
      <c r="J13" s="1838">
        <v>0.93</v>
      </c>
      <c r="K13" s="1836">
        <v>5.18</v>
      </c>
      <c r="L13" s="1836">
        <v>15.05</v>
      </c>
      <c r="M13" s="1836">
        <v>78.849999999999994</v>
      </c>
      <c r="N13" s="1837">
        <v>99.07</v>
      </c>
      <c r="O13" s="1837">
        <v>93.39</v>
      </c>
      <c r="P13" s="1837">
        <v>78.849999999999994</v>
      </c>
      <c r="Q13" s="1836">
        <v>36</v>
      </c>
      <c r="R13" s="1836">
        <v>22.4</v>
      </c>
      <c r="S13" s="1836">
        <v>13.7</v>
      </c>
      <c r="T13" s="1835">
        <v>9.48</v>
      </c>
      <c r="U13" s="1835" t="s">
        <v>3900</v>
      </c>
      <c r="V13" s="1834" t="s">
        <v>3887</v>
      </c>
      <c r="W13" s="1833" t="s">
        <v>1222</v>
      </c>
      <c r="X13" s="1785">
        <v>40</v>
      </c>
      <c r="Y13" s="1786" t="s">
        <v>1229</v>
      </c>
      <c r="Z13" s="1785">
        <v>40</v>
      </c>
      <c r="AA13" s="1786" t="s">
        <v>1236</v>
      </c>
      <c r="AB13" s="1785">
        <v>0</v>
      </c>
      <c r="AC13" s="1786" t="s">
        <v>3870</v>
      </c>
      <c r="AD13" s="1785">
        <v>3.6999999999999993</v>
      </c>
      <c r="AE13" s="1784" t="s">
        <v>3869</v>
      </c>
      <c r="AF13" s="1832">
        <v>9.48</v>
      </c>
      <c r="AH13">
        <v>1327</v>
      </c>
    </row>
    <row r="14" spans="1:34" x14ac:dyDescent="0.25">
      <c r="A14" s="1844">
        <v>13</v>
      </c>
      <c r="B14" s="1843" t="s">
        <v>3959</v>
      </c>
      <c r="C14" s="1842" t="s">
        <v>35</v>
      </c>
      <c r="D14" s="1886">
        <v>163789.19579999999</v>
      </c>
      <c r="E14" s="1887">
        <v>8246385.2818999998</v>
      </c>
      <c r="F14" s="1838">
        <v>28.6</v>
      </c>
      <c r="G14" s="1841">
        <v>1330</v>
      </c>
      <c r="H14" s="1840">
        <v>0.19</v>
      </c>
      <c r="I14" s="1839">
        <v>7.5</v>
      </c>
      <c r="J14" s="1838">
        <v>0.66</v>
      </c>
      <c r="K14" s="1836">
        <v>5.31</v>
      </c>
      <c r="L14" s="1836">
        <v>17.600000000000001</v>
      </c>
      <c r="M14" s="1836">
        <v>76.44</v>
      </c>
      <c r="N14" s="1837">
        <v>99.34</v>
      </c>
      <c r="O14" s="1837">
        <v>94.03</v>
      </c>
      <c r="P14" s="1837">
        <v>76.44</v>
      </c>
      <c r="Q14" s="1836">
        <v>35</v>
      </c>
      <c r="R14" s="1836">
        <v>21.3</v>
      </c>
      <c r="S14" s="1836">
        <v>13.7</v>
      </c>
      <c r="T14" s="1835">
        <v>9.48</v>
      </c>
      <c r="U14" s="1835" t="s">
        <v>3900</v>
      </c>
      <c r="V14" s="1834" t="s">
        <v>3887</v>
      </c>
      <c r="W14" s="1833" t="s">
        <v>1222</v>
      </c>
      <c r="X14" s="1785">
        <v>40</v>
      </c>
      <c r="Y14" s="1786" t="s">
        <v>1229</v>
      </c>
      <c r="Z14" s="1785">
        <v>40</v>
      </c>
      <c r="AA14" s="1786" t="s">
        <v>1236</v>
      </c>
      <c r="AB14" s="1785">
        <v>0</v>
      </c>
      <c r="AC14" s="1786" t="s">
        <v>3870</v>
      </c>
      <c r="AD14" s="1785">
        <v>3.6999999999999993</v>
      </c>
      <c r="AE14" s="1784" t="s">
        <v>3869</v>
      </c>
      <c r="AF14" s="1832">
        <v>9.48</v>
      </c>
    </row>
    <row r="15" spans="1:34" x14ac:dyDescent="0.25">
      <c r="A15" s="1844">
        <v>14</v>
      </c>
      <c r="B15" s="1843" t="s">
        <v>3958</v>
      </c>
      <c r="C15" s="1842" t="s">
        <v>35</v>
      </c>
      <c r="D15" s="1886">
        <v>163663.1906</v>
      </c>
      <c r="E15" s="1887">
        <v>8246578.7202000003</v>
      </c>
      <c r="F15" s="1838">
        <v>15.8</v>
      </c>
      <c r="G15" s="1841">
        <v>1746</v>
      </c>
      <c r="H15" s="1840">
        <v>0.01</v>
      </c>
      <c r="I15" s="1839">
        <v>15.5</v>
      </c>
      <c r="J15" s="1838">
        <v>51.38</v>
      </c>
      <c r="K15" s="1836">
        <v>5.46</v>
      </c>
      <c r="L15" s="1836">
        <v>8.9499999999999993</v>
      </c>
      <c r="M15" s="1836">
        <v>34.21</v>
      </c>
      <c r="N15" s="1837">
        <v>48.62</v>
      </c>
      <c r="O15" s="1837">
        <v>43.16</v>
      </c>
      <c r="P15" s="1837">
        <v>34.21</v>
      </c>
      <c r="Q15" s="1836">
        <v>27.5</v>
      </c>
      <c r="R15" s="1836">
        <v>23.9</v>
      </c>
      <c r="S15" s="1836">
        <v>3.5</v>
      </c>
      <c r="T15" s="1835">
        <v>0</v>
      </c>
      <c r="U15" s="1835" t="s">
        <v>3885</v>
      </c>
      <c r="V15" s="1834" t="s">
        <v>3884</v>
      </c>
      <c r="W15" s="1833" t="s">
        <v>1222</v>
      </c>
      <c r="X15" s="1785">
        <v>0</v>
      </c>
      <c r="Y15" s="1786" t="s">
        <v>1229</v>
      </c>
      <c r="Z15" s="1785">
        <v>19.21</v>
      </c>
      <c r="AA15" s="1786" t="s">
        <v>1236</v>
      </c>
      <c r="AB15" s="1785">
        <v>0</v>
      </c>
      <c r="AC15" s="1786" t="s">
        <v>3870</v>
      </c>
      <c r="AD15" s="1785">
        <v>0</v>
      </c>
      <c r="AE15" s="1784" t="s">
        <v>3869</v>
      </c>
      <c r="AF15" s="1832">
        <v>0</v>
      </c>
      <c r="AH15">
        <v>1295</v>
      </c>
    </row>
    <row r="16" spans="1:34" x14ac:dyDescent="0.25">
      <c r="A16" s="1844">
        <v>15</v>
      </c>
      <c r="B16" s="1843" t="s">
        <v>3957</v>
      </c>
      <c r="C16" s="1842" t="s">
        <v>35</v>
      </c>
      <c r="D16" s="1886">
        <v>163798.72330000001</v>
      </c>
      <c r="E16" s="1887">
        <v>8246510.4621000001</v>
      </c>
      <c r="F16" s="1838">
        <v>28.4</v>
      </c>
      <c r="G16" s="1841">
        <v>1343</v>
      </c>
      <c r="H16" s="1840">
        <v>0.25</v>
      </c>
      <c r="I16" s="1839">
        <v>7</v>
      </c>
      <c r="J16" s="1838">
        <v>0.83</v>
      </c>
      <c r="K16" s="1836">
        <v>3.63</v>
      </c>
      <c r="L16" s="1836">
        <v>15.91</v>
      </c>
      <c r="M16" s="1836">
        <v>79.63</v>
      </c>
      <c r="N16" s="1837">
        <v>99.17</v>
      </c>
      <c r="O16" s="1837">
        <v>95.54</v>
      </c>
      <c r="P16" s="1837">
        <v>79.63</v>
      </c>
      <c r="Q16" s="1836">
        <v>35.799999999999997</v>
      </c>
      <c r="R16" s="1836">
        <v>21.1</v>
      </c>
      <c r="S16" s="1836">
        <v>14.7</v>
      </c>
      <c r="T16" s="1835">
        <v>9.879999999999999</v>
      </c>
      <c r="U16" s="1835" t="s">
        <v>3900</v>
      </c>
      <c r="V16" s="1834" t="s">
        <v>3887</v>
      </c>
      <c r="W16" s="1833" t="s">
        <v>1222</v>
      </c>
      <c r="X16" s="1785">
        <v>40</v>
      </c>
      <c r="Y16" s="1786" t="s">
        <v>1229</v>
      </c>
      <c r="Z16" s="1785">
        <v>40</v>
      </c>
      <c r="AA16" s="1786" t="s">
        <v>1236</v>
      </c>
      <c r="AB16" s="1785">
        <v>0</v>
      </c>
      <c r="AC16" s="1786" t="s">
        <v>3870</v>
      </c>
      <c r="AD16" s="1785">
        <v>4.6999999999999993</v>
      </c>
      <c r="AE16" s="1784" t="s">
        <v>3869</v>
      </c>
      <c r="AF16" s="1832">
        <v>9.879999999999999</v>
      </c>
      <c r="AH16">
        <v>1305</v>
      </c>
    </row>
    <row r="17" spans="1:34" x14ac:dyDescent="0.25">
      <c r="A17" s="1844">
        <v>16</v>
      </c>
      <c r="B17" s="1843" t="s">
        <v>3956</v>
      </c>
      <c r="C17" s="1842" t="s">
        <v>35</v>
      </c>
      <c r="D17" s="1886">
        <v>163905.09299999999</v>
      </c>
      <c r="E17" s="1887">
        <v>8246352.3234999999</v>
      </c>
      <c r="F17" s="1838">
        <v>30.5</v>
      </c>
      <c r="G17" s="1841">
        <v>1290</v>
      </c>
      <c r="H17" s="1840">
        <v>0.35</v>
      </c>
      <c r="I17" s="1839">
        <v>6.2</v>
      </c>
      <c r="J17" s="1838">
        <v>0.26</v>
      </c>
      <c r="K17" s="1836">
        <v>4.51</v>
      </c>
      <c r="L17" s="1836">
        <v>12.07</v>
      </c>
      <c r="M17" s="1836">
        <v>83.15</v>
      </c>
      <c r="N17" s="1837">
        <v>99.74</v>
      </c>
      <c r="O17" s="1837">
        <v>95.23</v>
      </c>
      <c r="P17" s="1837">
        <v>83.15</v>
      </c>
      <c r="Q17" s="1836">
        <v>40.5</v>
      </c>
      <c r="R17" s="1836">
        <v>25.1</v>
      </c>
      <c r="S17" s="1836">
        <v>15.4</v>
      </c>
      <c r="T17" s="1835">
        <v>10.26</v>
      </c>
      <c r="U17" s="1835" t="s">
        <v>3900</v>
      </c>
      <c r="V17" s="1834" t="s">
        <v>3887</v>
      </c>
      <c r="W17" s="1833" t="s">
        <v>1222</v>
      </c>
      <c r="X17" s="1785">
        <v>40</v>
      </c>
      <c r="Y17" s="1786" t="s">
        <v>1229</v>
      </c>
      <c r="Z17" s="1785">
        <v>40</v>
      </c>
      <c r="AA17" s="1786" t="s">
        <v>1236</v>
      </c>
      <c r="AB17" s="1785">
        <v>0.5</v>
      </c>
      <c r="AC17" s="1786" t="s">
        <v>3870</v>
      </c>
      <c r="AD17" s="1785">
        <v>5.4</v>
      </c>
      <c r="AE17" s="1784" t="s">
        <v>3869</v>
      </c>
      <c r="AF17" s="1832">
        <v>10.26</v>
      </c>
      <c r="AH17">
        <v>1302</v>
      </c>
    </row>
    <row r="18" spans="1:34" x14ac:dyDescent="0.25">
      <c r="A18" s="1844">
        <v>17</v>
      </c>
      <c r="B18" s="1843" t="s">
        <v>3955</v>
      </c>
      <c r="C18" s="1842" t="s">
        <v>35</v>
      </c>
      <c r="D18" s="1886">
        <v>163801.18290000001</v>
      </c>
      <c r="E18" s="1887">
        <v>8246609.7939999998</v>
      </c>
      <c r="F18" s="1838">
        <v>28.5</v>
      </c>
      <c r="G18" s="1841">
        <v>1322</v>
      </c>
      <c r="H18" s="1840">
        <v>0.18</v>
      </c>
      <c r="I18" s="1839">
        <v>7</v>
      </c>
      <c r="J18" s="1838">
        <v>6.2</v>
      </c>
      <c r="K18" s="1836">
        <v>2.87</v>
      </c>
      <c r="L18" s="1836">
        <v>13.89</v>
      </c>
      <c r="M18" s="1836">
        <v>77.040000000000006</v>
      </c>
      <c r="N18" s="1837">
        <v>93.8</v>
      </c>
      <c r="O18" s="1837">
        <v>90.93</v>
      </c>
      <c r="P18" s="1837">
        <v>77.040000000000006</v>
      </c>
      <c r="Q18" s="1836">
        <v>36.299999999999997</v>
      </c>
      <c r="R18" s="1836">
        <v>26.1</v>
      </c>
      <c r="S18" s="1836">
        <v>10.3</v>
      </c>
      <c r="T18" s="1835">
        <v>8.120000000000001</v>
      </c>
      <c r="U18" s="1835" t="s">
        <v>3898</v>
      </c>
      <c r="V18" s="1834" t="s">
        <v>3897</v>
      </c>
      <c r="W18" s="1833" t="s">
        <v>1222</v>
      </c>
      <c r="X18" s="1785">
        <v>40</v>
      </c>
      <c r="Y18" s="1786" t="s">
        <v>1229</v>
      </c>
      <c r="Z18" s="1785">
        <v>40</v>
      </c>
      <c r="AA18" s="1786" t="s">
        <v>1236</v>
      </c>
      <c r="AB18" s="1785">
        <v>0</v>
      </c>
      <c r="AC18" s="1786" t="s">
        <v>3870</v>
      </c>
      <c r="AD18" s="1785">
        <v>0.30000000000000071</v>
      </c>
      <c r="AE18" s="1784" t="s">
        <v>3869</v>
      </c>
      <c r="AF18" s="1832">
        <v>8.120000000000001</v>
      </c>
      <c r="AH18">
        <v>1293</v>
      </c>
    </row>
    <row r="19" spans="1:34" x14ac:dyDescent="0.25">
      <c r="A19" s="1844">
        <v>18</v>
      </c>
      <c r="B19" s="1843" t="s">
        <v>3954</v>
      </c>
      <c r="C19" s="1842" t="s">
        <v>35</v>
      </c>
      <c r="D19" s="1886">
        <v>163913.57329999999</v>
      </c>
      <c r="E19" s="1887">
        <v>8246592.7478</v>
      </c>
      <c r="F19" s="1838">
        <v>29</v>
      </c>
      <c r="G19" s="1841">
        <v>1356</v>
      </c>
      <c r="H19" s="1840">
        <v>0.04</v>
      </c>
      <c r="I19" s="1839">
        <v>7</v>
      </c>
      <c r="J19" s="1838">
        <v>3.76</v>
      </c>
      <c r="K19" s="1836">
        <v>7.6</v>
      </c>
      <c r="L19" s="1836">
        <v>9.15</v>
      </c>
      <c r="M19" s="1836">
        <v>79.489999999999995</v>
      </c>
      <c r="N19" s="1837">
        <v>96.24</v>
      </c>
      <c r="O19" s="1837">
        <v>88.64</v>
      </c>
      <c r="P19" s="1837">
        <v>79.489999999999995</v>
      </c>
      <c r="Q19" s="1836">
        <v>45.2</v>
      </c>
      <c r="R19" s="1836">
        <v>28.4</v>
      </c>
      <c r="S19" s="1836">
        <v>16.7</v>
      </c>
      <c r="T19" s="1835">
        <v>11.72</v>
      </c>
      <c r="U19" s="1835" t="s">
        <v>3888</v>
      </c>
      <c r="V19" s="1834" t="s">
        <v>3887</v>
      </c>
      <c r="W19" s="1833" t="s">
        <v>1222</v>
      </c>
      <c r="X19" s="1785">
        <v>40</v>
      </c>
      <c r="Y19" s="1786" t="s">
        <v>1229</v>
      </c>
      <c r="Z19" s="1785">
        <v>40</v>
      </c>
      <c r="AA19" s="1786" t="s">
        <v>1236</v>
      </c>
      <c r="AB19" s="1785">
        <v>5.2000000000000028</v>
      </c>
      <c r="AC19" s="1786" t="s">
        <v>3870</v>
      </c>
      <c r="AD19" s="1785">
        <v>6.6999999999999993</v>
      </c>
      <c r="AE19" s="1784" t="s">
        <v>3869</v>
      </c>
      <c r="AF19" s="1832">
        <v>11.72</v>
      </c>
      <c r="AH19">
        <v>1322</v>
      </c>
    </row>
    <row r="20" spans="1:34" x14ac:dyDescent="0.25">
      <c r="A20" s="1844">
        <v>19</v>
      </c>
      <c r="B20" s="1843" t="s">
        <v>3953</v>
      </c>
      <c r="C20" s="1842" t="s">
        <v>35</v>
      </c>
      <c r="D20" s="1886">
        <v>163905.7451</v>
      </c>
      <c r="E20" s="1887">
        <v>8246704.3881999999</v>
      </c>
      <c r="F20" s="1838">
        <v>19.5</v>
      </c>
      <c r="G20" s="1841">
        <v>1640</v>
      </c>
      <c r="H20" s="1840">
        <v>0.05</v>
      </c>
      <c r="I20" s="1839">
        <v>10</v>
      </c>
      <c r="J20" s="1838">
        <v>26.6</v>
      </c>
      <c r="K20" s="1836">
        <v>12.47</v>
      </c>
      <c r="L20" s="1836">
        <v>20.61</v>
      </c>
      <c r="M20" s="1836">
        <v>40.32</v>
      </c>
      <c r="N20" s="1837">
        <v>73.400000000000006</v>
      </c>
      <c r="O20" s="1837">
        <v>60.93</v>
      </c>
      <c r="P20" s="1837">
        <v>40.32</v>
      </c>
      <c r="Q20" s="1836">
        <v>37.1</v>
      </c>
      <c r="R20" s="1836">
        <v>24.5</v>
      </c>
      <c r="S20" s="1836">
        <v>12.5</v>
      </c>
      <c r="T20" s="1835">
        <v>1.6970000000000001</v>
      </c>
      <c r="U20" s="1835" t="s">
        <v>3900</v>
      </c>
      <c r="V20" s="1834" t="s">
        <v>3887</v>
      </c>
      <c r="W20" s="1833" t="s">
        <v>1222</v>
      </c>
      <c r="X20" s="1785">
        <v>5.32</v>
      </c>
      <c r="Y20" s="1786" t="s">
        <v>1229</v>
      </c>
      <c r="Z20" s="1785">
        <v>25.32</v>
      </c>
      <c r="AA20" s="1786" t="s">
        <v>1236</v>
      </c>
      <c r="AB20" s="1785">
        <v>0</v>
      </c>
      <c r="AC20" s="1786" t="s">
        <v>3870</v>
      </c>
      <c r="AD20" s="1785">
        <v>2.5</v>
      </c>
      <c r="AE20" s="1784" t="s">
        <v>3869</v>
      </c>
      <c r="AF20" s="1832">
        <v>1.6970000000000001</v>
      </c>
      <c r="AH20">
        <v>1371</v>
      </c>
    </row>
    <row r="21" spans="1:34" x14ac:dyDescent="0.25">
      <c r="A21" s="1844">
        <v>20</v>
      </c>
      <c r="B21" s="1843" t="s">
        <v>3952</v>
      </c>
      <c r="C21" s="1842" t="s">
        <v>35</v>
      </c>
      <c r="D21" s="1886">
        <v>163976.4338</v>
      </c>
      <c r="E21" s="1887">
        <v>8246637.9040999999</v>
      </c>
      <c r="F21" s="1838">
        <v>29</v>
      </c>
      <c r="G21" s="1841">
        <v>1350</v>
      </c>
      <c r="H21" s="1840">
        <v>0.25</v>
      </c>
      <c r="I21" s="1839">
        <v>7.5</v>
      </c>
      <c r="J21" s="1838">
        <v>0.91</v>
      </c>
      <c r="K21" s="1836">
        <v>6.26</v>
      </c>
      <c r="L21" s="1836">
        <v>15.44</v>
      </c>
      <c r="M21" s="1836">
        <v>77.38</v>
      </c>
      <c r="N21" s="1837">
        <v>99.09</v>
      </c>
      <c r="O21" s="1837">
        <v>92.82</v>
      </c>
      <c r="P21" s="1837">
        <v>77.38</v>
      </c>
      <c r="Q21" s="1836">
        <v>36.200000000000003</v>
      </c>
      <c r="R21" s="1836">
        <v>23.5</v>
      </c>
      <c r="S21" s="1836">
        <v>12.7</v>
      </c>
      <c r="T21" s="1835">
        <v>9.08</v>
      </c>
      <c r="U21" s="1835" t="s">
        <v>3900</v>
      </c>
      <c r="V21" s="1834" t="s">
        <v>3887</v>
      </c>
      <c r="W21" s="1833" t="s">
        <v>1222</v>
      </c>
      <c r="X21" s="1785">
        <v>40</v>
      </c>
      <c r="Y21" s="1786" t="s">
        <v>1229</v>
      </c>
      <c r="Z21" s="1785">
        <v>40</v>
      </c>
      <c r="AA21" s="1786" t="s">
        <v>1236</v>
      </c>
      <c r="AB21" s="1785">
        <v>0</v>
      </c>
      <c r="AC21" s="1786" t="s">
        <v>3870</v>
      </c>
      <c r="AD21" s="1785">
        <v>2.6999999999999993</v>
      </c>
      <c r="AE21" s="1784" t="s">
        <v>3869</v>
      </c>
      <c r="AF21" s="1832">
        <v>9.08</v>
      </c>
      <c r="AH21">
        <v>1340</v>
      </c>
    </row>
    <row r="22" spans="1:34" x14ac:dyDescent="0.25">
      <c r="A22" s="1844">
        <v>21</v>
      </c>
      <c r="B22" s="1843" t="s">
        <v>3951</v>
      </c>
      <c r="C22" s="1842" t="s">
        <v>35</v>
      </c>
      <c r="D22" s="1886">
        <v>163939.5539</v>
      </c>
      <c r="E22" s="1887">
        <v>8246792.5604999997</v>
      </c>
      <c r="F22" s="1838">
        <v>32.5</v>
      </c>
      <c r="G22" s="1841">
        <v>1303</v>
      </c>
      <c r="H22" s="1840">
        <v>0.11</v>
      </c>
      <c r="I22" s="1839">
        <v>4.3</v>
      </c>
      <c r="J22" s="1838">
        <v>1.27</v>
      </c>
      <c r="K22" s="1836">
        <v>5.81</v>
      </c>
      <c r="L22" s="1836">
        <v>8.26</v>
      </c>
      <c r="M22" s="1836">
        <v>84.65</v>
      </c>
      <c r="N22" s="1837">
        <v>98.73</v>
      </c>
      <c r="O22" s="1837">
        <v>92.92</v>
      </c>
      <c r="P22" s="1837">
        <v>84.65</v>
      </c>
      <c r="Q22" s="1836">
        <v>49.1</v>
      </c>
      <c r="R22" s="1836">
        <v>30.3</v>
      </c>
      <c r="S22" s="1836">
        <v>18.7</v>
      </c>
      <c r="T22" s="1835">
        <v>13.3</v>
      </c>
      <c r="U22" s="1835" t="s">
        <v>3891</v>
      </c>
      <c r="V22" s="1834" t="s">
        <v>3890</v>
      </c>
      <c r="W22" s="1833" t="s">
        <v>1222</v>
      </c>
      <c r="X22" s="1785">
        <v>40</v>
      </c>
      <c r="Y22" s="1786" t="s">
        <v>1229</v>
      </c>
      <c r="Z22" s="1785">
        <v>40</v>
      </c>
      <c r="AA22" s="1786" t="s">
        <v>1236</v>
      </c>
      <c r="AB22" s="1785">
        <v>9.1000000000000014</v>
      </c>
      <c r="AC22" s="1786" t="s">
        <v>3870</v>
      </c>
      <c r="AD22" s="1785">
        <v>8.6999999999999993</v>
      </c>
      <c r="AE22" s="1784" t="s">
        <v>3869</v>
      </c>
      <c r="AF22" s="1832">
        <v>13.3</v>
      </c>
      <c r="AH22">
        <v>1365</v>
      </c>
    </row>
    <row r="23" spans="1:34" x14ac:dyDescent="0.25">
      <c r="A23" s="1844">
        <v>22</v>
      </c>
      <c r="B23" s="1843" t="s">
        <v>3950</v>
      </c>
      <c r="C23" s="1842" t="s">
        <v>35</v>
      </c>
      <c r="D23" s="1886">
        <v>164047.0589</v>
      </c>
      <c r="E23" s="1887">
        <v>8246688.5614999998</v>
      </c>
      <c r="F23" s="1838">
        <v>28.2</v>
      </c>
      <c r="G23" s="1841">
        <v>1377</v>
      </c>
      <c r="H23" s="1840">
        <v>0.12</v>
      </c>
      <c r="I23" s="1839">
        <v>8.1999999999999993</v>
      </c>
      <c r="J23" s="1838">
        <v>2.67</v>
      </c>
      <c r="K23" s="1836">
        <v>5.14</v>
      </c>
      <c r="L23" s="1836">
        <v>13.38</v>
      </c>
      <c r="M23" s="1836">
        <v>78.819999999999993</v>
      </c>
      <c r="N23" s="1837">
        <v>97.33</v>
      </c>
      <c r="O23" s="1837">
        <v>92.19</v>
      </c>
      <c r="P23" s="1837">
        <v>78.819999999999993</v>
      </c>
      <c r="Q23" s="1836">
        <v>40.6</v>
      </c>
      <c r="R23" s="1836">
        <v>28</v>
      </c>
      <c r="S23" s="1836">
        <v>12.6</v>
      </c>
      <c r="T23" s="1835">
        <v>9.16</v>
      </c>
      <c r="U23" s="1835" t="s">
        <v>3900</v>
      </c>
      <c r="V23" s="1834" t="s">
        <v>3887</v>
      </c>
      <c r="W23" s="1833" t="s">
        <v>1222</v>
      </c>
      <c r="X23" s="1785">
        <v>40</v>
      </c>
      <c r="Y23" s="1786" t="s">
        <v>1229</v>
      </c>
      <c r="Z23" s="1785">
        <v>40</v>
      </c>
      <c r="AA23" s="1786" t="s">
        <v>1236</v>
      </c>
      <c r="AB23" s="1785">
        <v>0.60000000000000142</v>
      </c>
      <c r="AC23" s="1786" t="s">
        <v>3870</v>
      </c>
      <c r="AD23" s="1785">
        <v>2.5999999999999996</v>
      </c>
      <c r="AE23" s="1784" t="s">
        <v>3869</v>
      </c>
      <c r="AF23" s="1832">
        <v>9.16</v>
      </c>
      <c r="AH23">
        <v>1370</v>
      </c>
    </row>
    <row r="24" spans="1:34" x14ac:dyDescent="0.25">
      <c r="A24" s="1844">
        <v>23</v>
      </c>
      <c r="B24" s="1843" t="s">
        <v>3949</v>
      </c>
      <c r="C24" s="1842" t="s">
        <v>35</v>
      </c>
      <c r="D24" s="1886">
        <v>164117.7341</v>
      </c>
      <c r="E24" s="1887">
        <v>8246498.8669999996</v>
      </c>
      <c r="F24" s="1838">
        <v>30.8</v>
      </c>
      <c r="G24" s="1841">
        <v>1302</v>
      </c>
      <c r="H24" s="1840">
        <v>0.24</v>
      </c>
      <c r="I24" s="1839">
        <v>6.3</v>
      </c>
      <c r="J24" s="1838">
        <v>0.65</v>
      </c>
      <c r="K24" s="1836">
        <v>4.4800000000000004</v>
      </c>
      <c r="L24" s="1836">
        <v>16.04</v>
      </c>
      <c r="M24" s="1836">
        <v>78.84</v>
      </c>
      <c r="N24" s="1837">
        <v>99.35</v>
      </c>
      <c r="O24" s="1837">
        <v>94.87</v>
      </c>
      <c r="P24" s="1837">
        <v>78.84</v>
      </c>
      <c r="Q24" s="1836">
        <v>38.200000000000003</v>
      </c>
      <c r="R24" s="1836">
        <v>22.2</v>
      </c>
      <c r="S24" s="1836">
        <v>16</v>
      </c>
      <c r="T24" s="1835">
        <v>10.4</v>
      </c>
      <c r="U24" s="1835" t="s">
        <v>3900</v>
      </c>
      <c r="V24" s="1834" t="s">
        <v>3887</v>
      </c>
      <c r="W24" s="1833" t="s">
        <v>1222</v>
      </c>
      <c r="X24" s="1785">
        <v>40</v>
      </c>
      <c r="Y24" s="1786" t="s">
        <v>1229</v>
      </c>
      <c r="Z24" s="1785">
        <v>40</v>
      </c>
      <c r="AA24" s="1786" t="s">
        <v>1236</v>
      </c>
      <c r="AB24" s="1785">
        <v>0</v>
      </c>
      <c r="AC24" s="1786" t="s">
        <v>3870</v>
      </c>
      <c r="AD24" s="1785">
        <v>6</v>
      </c>
      <c r="AE24" s="1784" t="s">
        <v>3869</v>
      </c>
      <c r="AF24" s="1832">
        <v>10.4</v>
      </c>
      <c r="AH24">
        <v>1424</v>
      </c>
    </row>
    <row r="25" spans="1:34" x14ac:dyDescent="0.25">
      <c r="A25" s="1844">
        <v>24</v>
      </c>
      <c r="B25" s="1843" t="s">
        <v>3948</v>
      </c>
      <c r="C25" s="1842" t="s">
        <v>35</v>
      </c>
      <c r="D25" s="1886">
        <v>164128.76579999999</v>
      </c>
      <c r="E25" s="1887">
        <v>8246752.2659999998</v>
      </c>
      <c r="F25" s="1838">
        <v>29.8</v>
      </c>
      <c r="G25" s="1841">
        <v>1370</v>
      </c>
      <c r="H25" s="1840">
        <v>0.09</v>
      </c>
      <c r="I25" s="1839">
        <v>7.4</v>
      </c>
      <c r="J25" s="1838">
        <v>4.88</v>
      </c>
      <c r="K25" s="1836">
        <v>6.83</v>
      </c>
      <c r="L25" s="1836">
        <v>10.6</v>
      </c>
      <c r="M25" s="1836">
        <v>77.69</v>
      </c>
      <c r="N25" s="1837">
        <v>95.12</v>
      </c>
      <c r="O25" s="1837">
        <v>88.29</v>
      </c>
      <c r="P25" s="1837">
        <v>77.69</v>
      </c>
      <c r="Q25" s="1836">
        <v>45.7</v>
      </c>
      <c r="R25" s="1836">
        <v>31.5</v>
      </c>
      <c r="S25" s="1836">
        <v>14.3</v>
      </c>
      <c r="T25" s="1835">
        <v>10.860000000000001</v>
      </c>
      <c r="U25" s="1835" t="s">
        <v>3891</v>
      </c>
      <c r="V25" s="1834" t="s">
        <v>3890</v>
      </c>
      <c r="W25" s="1833" t="s">
        <v>1222</v>
      </c>
      <c r="X25" s="1785">
        <v>40</v>
      </c>
      <c r="Y25" s="1786" t="s">
        <v>1229</v>
      </c>
      <c r="Z25" s="1785">
        <v>40</v>
      </c>
      <c r="AA25" s="1786" t="s">
        <v>1236</v>
      </c>
      <c r="AB25" s="1785">
        <v>5.7000000000000028</v>
      </c>
      <c r="AC25" s="1786" t="s">
        <v>3870</v>
      </c>
      <c r="AD25" s="1785">
        <v>4.3000000000000007</v>
      </c>
      <c r="AE25" s="1784" t="s">
        <v>3869</v>
      </c>
      <c r="AF25" s="1832">
        <v>10.860000000000001</v>
      </c>
      <c r="AH25">
        <v>1292</v>
      </c>
    </row>
    <row r="26" spans="1:34" x14ac:dyDescent="0.25">
      <c r="A26" s="1844">
        <v>25</v>
      </c>
      <c r="B26" s="1843" t="s">
        <v>3947</v>
      </c>
      <c r="C26" s="1842" t="s">
        <v>35</v>
      </c>
      <c r="D26" s="1888">
        <v>164038.91140000001</v>
      </c>
      <c r="E26" s="1887">
        <v>8246936.4173999997</v>
      </c>
      <c r="F26" s="1838">
        <v>30.6</v>
      </c>
      <c r="G26" s="1841">
        <v>1318</v>
      </c>
      <c r="H26" s="1840">
        <v>0.13</v>
      </c>
      <c r="I26" s="1839">
        <v>4.8</v>
      </c>
      <c r="J26" s="1838">
        <v>1.3</v>
      </c>
      <c r="K26" s="1836">
        <v>2.12</v>
      </c>
      <c r="L26" s="1836">
        <v>8.9600000000000009</v>
      </c>
      <c r="M26" s="1836">
        <v>87.61</v>
      </c>
      <c r="N26" s="1837">
        <v>98.7</v>
      </c>
      <c r="O26" s="1837">
        <v>96.57</v>
      </c>
      <c r="P26" s="1837">
        <v>87.61</v>
      </c>
      <c r="Q26" s="1836">
        <v>39.4</v>
      </c>
      <c r="R26" s="1836">
        <v>25.3</v>
      </c>
      <c r="S26" s="1836">
        <v>14.1</v>
      </c>
      <c r="T26" s="1835">
        <v>9.64</v>
      </c>
      <c r="U26" s="1835" t="s">
        <v>3900</v>
      </c>
      <c r="V26" s="1834" t="s">
        <v>3887</v>
      </c>
      <c r="W26" s="1833" t="s">
        <v>1222</v>
      </c>
      <c r="X26" s="1785">
        <v>40</v>
      </c>
      <c r="Y26" s="1786" t="s">
        <v>1229</v>
      </c>
      <c r="Z26" s="1785">
        <v>40</v>
      </c>
      <c r="AA26" s="1786" t="s">
        <v>1236</v>
      </c>
      <c r="AB26" s="1785">
        <v>0</v>
      </c>
      <c r="AC26" s="1786" t="s">
        <v>3870</v>
      </c>
      <c r="AD26" s="1785">
        <v>4.0999999999999996</v>
      </c>
      <c r="AE26" s="1784" t="s">
        <v>3869</v>
      </c>
      <c r="AF26" s="1832">
        <v>9.64</v>
      </c>
      <c r="AH26">
        <v>1315</v>
      </c>
    </row>
    <row r="27" spans="1:34" x14ac:dyDescent="0.25">
      <c r="A27" s="1844">
        <v>26</v>
      </c>
      <c r="B27" s="1843" t="s">
        <v>3946</v>
      </c>
      <c r="C27" s="1842" t="s">
        <v>35</v>
      </c>
      <c r="D27" s="1888">
        <v>164118.87729999999</v>
      </c>
      <c r="E27" s="1889">
        <v>8246867.8646</v>
      </c>
      <c r="F27" s="1838">
        <v>29.6</v>
      </c>
      <c r="G27" s="1841">
        <v>1380</v>
      </c>
      <c r="H27" s="1840">
        <v>0.14000000000000001</v>
      </c>
      <c r="I27" s="1839">
        <v>6.6</v>
      </c>
      <c r="J27" s="1838">
        <v>3.55</v>
      </c>
      <c r="K27" s="1836">
        <v>3.27</v>
      </c>
      <c r="L27" s="1836">
        <v>6.35</v>
      </c>
      <c r="M27" s="1836">
        <v>86.83</v>
      </c>
      <c r="N27" s="1837">
        <v>96.45</v>
      </c>
      <c r="O27" s="1837">
        <v>93.18</v>
      </c>
      <c r="P27" s="1837">
        <v>86.83</v>
      </c>
      <c r="Q27" s="1836">
        <v>44</v>
      </c>
      <c r="R27" s="1836">
        <v>30.4</v>
      </c>
      <c r="S27" s="1836">
        <v>13.6</v>
      </c>
      <c r="T27" s="1835">
        <v>10.24</v>
      </c>
      <c r="U27" s="1835" t="s">
        <v>3891</v>
      </c>
      <c r="V27" s="1834" t="s">
        <v>3890</v>
      </c>
      <c r="W27" s="1833" t="s">
        <v>1222</v>
      </c>
      <c r="X27" s="1785">
        <v>40</v>
      </c>
      <c r="Y27" s="1786" t="s">
        <v>1229</v>
      </c>
      <c r="Z27" s="1785">
        <v>40</v>
      </c>
      <c r="AA27" s="1786" t="s">
        <v>1236</v>
      </c>
      <c r="AB27" s="1785">
        <v>4</v>
      </c>
      <c r="AC27" s="1786" t="s">
        <v>3870</v>
      </c>
      <c r="AD27" s="1785">
        <v>3.5999999999999996</v>
      </c>
      <c r="AE27" s="1784" t="s">
        <v>3869</v>
      </c>
      <c r="AF27" s="1832">
        <v>10.24</v>
      </c>
      <c r="AH27">
        <v>1577</v>
      </c>
    </row>
    <row r="28" spans="1:34" x14ac:dyDescent="0.25">
      <c r="A28" s="1844">
        <v>27</v>
      </c>
      <c r="B28" s="1843" t="s">
        <v>3945</v>
      </c>
      <c r="C28" s="1842" t="s">
        <v>35</v>
      </c>
      <c r="D28" s="1888">
        <v>164135.83929999999</v>
      </c>
      <c r="E28" s="1889">
        <v>8246939.6366999997</v>
      </c>
      <c r="F28" s="1838">
        <v>32.799999999999997</v>
      </c>
      <c r="G28" s="1841">
        <v>1275</v>
      </c>
      <c r="H28" s="1840">
        <v>0.23</v>
      </c>
      <c r="I28" s="1839">
        <v>4.3</v>
      </c>
      <c r="J28" s="1838">
        <v>0.48</v>
      </c>
      <c r="K28" s="1836">
        <v>5.31</v>
      </c>
      <c r="L28" s="1836">
        <v>8.68</v>
      </c>
      <c r="M28" s="1836">
        <v>85.53</v>
      </c>
      <c r="N28" s="1837">
        <v>99.52</v>
      </c>
      <c r="O28" s="1837">
        <v>94.21</v>
      </c>
      <c r="P28" s="1837">
        <v>85.53</v>
      </c>
      <c r="Q28" s="1836">
        <v>39.4</v>
      </c>
      <c r="R28" s="1836">
        <v>22.4</v>
      </c>
      <c r="S28" s="1836">
        <v>17</v>
      </c>
      <c r="T28" s="1835">
        <v>10.8</v>
      </c>
      <c r="U28" s="1835" t="s">
        <v>3900</v>
      </c>
      <c r="V28" s="1834" t="s">
        <v>3887</v>
      </c>
      <c r="W28" s="1833" t="s">
        <v>1222</v>
      </c>
      <c r="X28" s="1785">
        <v>40</v>
      </c>
      <c r="Y28" s="1786" t="s">
        <v>1229</v>
      </c>
      <c r="Z28" s="1785">
        <v>40</v>
      </c>
      <c r="AA28" s="1786" t="s">
        <v>1236</v>
      </c>
      <c r="AB28" s="1785">
        <v>0</v>
      </c>
      <c r="AC28" s="1786" t="s">
        <v>3870</v>
      </c>
      <c r="AD28" s="1785">
        <v>7</v>
      </c>
      <c r="AE28" s="1784" t="s">
        <v>3869</v>
      </c>
      <c r="AF28" s="1832">
        <v>10.8</v>
      </c>
      <c r="AH28">
        <v>1585</v>
      </c>
    </row>
    <row r="29" spans="1:34" x14ac:dyDescent="0.25">
      <c r="A29" s="1844">
        <v>28</v>
      </c>
      <c r="B29" s="1843" t="s">
        <v>3944</v>
      </c>
      <c r="C29" s="1842" t="s">
        <v>35</v>
      </c>
      <c r="D29" s="1886">
        <v>164232.073</v>
      </c>
      <c r="E29" s="1887">
        <v>8246844.7665999997</v>
      </c>
      <c r="F29" s="1838">
        <v>31.1</v>
      </c>
      <c r="G29" s="1841">
        <v>1360</v>
      </c>
      <c r="H29" s="1840">
        <v>0.3</v>
      </c>
      <c r="I29" s="1839">
        <v>7.4</v>
      </c>
      <c r="J29" s="1838">
        <v>2.85</v>
      </c>
      <c r="K29" s="1836">
        <v>6.49</v>
      </c>
      <c r="L29" s="1836">
        <v>16.16</v>
      </c>
      <c r="M29" s="1836">
        <v>74.489999999999995</v>
      </c>
      <c r="N29" s="1837">
        <v>97.15</v>
      </c>
      <c r="O29" s="1837">
        <v>90.66</v>
      </c>
      <c r="P29" s="1837">
        <v>74.489999999999995</v>
      </c>
      <c r="Q29" s="1836">
        <v>36.9</v>
      </c>
      <c r="R29" s="1836">
        <v>24.2</v>
      </c>
      <c r="S29" s="1836">
        <v>12.7</v>
      </c>
      <c r="T29" s="1835">
        <v>8.9779999999999998</v>
      </c>
      <c r="U29" s="1835" t="s">
        <v>3900</v>
      </c>
      <c r="V29" s="1834" t="s">
        <v>3887</v>
      </c>
      <c r="W29" s="1833" t="s">
        <v>1222</v>
      </c>
      <c r="X29" s="1785">
        <v>39.489999999999995</v>
      </c>
      <c r="Y29" s="1786" t="s">
        <v>1229</v>
      </c>
      <c r="Z29" s="1785">
        <v>40</v>
      </c>
      <c r="AA29" s="1786" t="s">
        <v>1236</v>
      </c>
      <c r="AB29" s="1785">
        <v>0</v>
      </c>
      <c r="AC29" s="1786" t="s">
        <v>3870</v>
      </c>
      <c r="AD29" s="1785">
        <v>2.6999999999999993</v>
      </c>
      <c r="AE29" s="1784" t="s">
        <v>3869</v>
      </c>
      <c r="AF29" s="1832">
        <v>8.9779999999999998</v>
      </c>
      <c r="AH29">
        <v>1572</v>
      </c>
    </row>
    <row r="30" spans="1:34" x14ac:dyDescent="0.25">
      <c r="A30" s="1844">
        <v>29</v>
      </c>
      <c r="B30" s="1843" t="s">
        <v>3943</v>
      </c>
      <c r="C30" s="1842" t="s">
        <v>35</v>
      </c>
      <c r="D30" s="1888">
        <v>164210.02650000001</v>
      </c>
      <c r="E30" s="1889">
        <v>8246992.2566</v>
      </c>
      <c r="F30" s="1838">
        <v>27.5</v>
      </c>
      <c r="G30" s="1841">
        <v>1320</v>
      </c>
      <c r="H30" s="1840">
        <v>0.17</v>
      </c>
      <c r="I30" s="1839">
        <v>3.5</v>
      </c>
      <c r="J30" s="1838">
        <v>3.09</v>
      </c>
      <c r="K30" s="1836">
        <v>3.52</v>
      </c>
      <c r="L30" s="1836">
        <v>12.64</v>
      </c>
      <c r="M30" s="1836">
        <v>80.760000000000005</v>
      </c>
      <c r="N30" s="1837">
        <v>96.91</v>
      </c>
      <c r="O30" s="1837">
        <v>93.4</v>
      </c>
      <c r="P30" s="1837">
        <v>80.760000000000005</v>
      </c>
      <c r="Q30" s="1836">
        <v>36.700000000000003</v>
      </c>
      <c r="R30" s="1836">
        <v>23.4</v>
      </c>
      <c r="S30" s="1836">
        <v>13.2</v>
      </c>
      <c r="T30" s="1835">
        <v>9.2799999999999994</v>
      </c>
      <c r="U30" s="1835" t="s">
        <v>3900</v>
      </c>
      <c r="V30" s="1834" t="s">
        <v>3887</v>
      </c>
      <c r="W30" s="1833" t="s">
        <v>1222</v>
      </c>
      <c r="X30" s="1785">
        <v>40</v>
      </c>
      <c r="Y30" s="1786" t="s">
        <v>1229</v>
      </c>
      <c r="Z30" s="1785">
        <v>40</v>
      </c>
      <c r="AA30" s="1786" t="s">
        <v>1236</v>
      </c>
      <c r="AB30" s="1785">
        <v>0</v>
      </c>
      <c r="AC30" s="1786" t="s">
        <v>3870</v>
      </c>
      <c r="AD30" s="1785">
        <v>3.1999999999999993</v>
      </c>
      <c r="AE30" s="1784" t="s">
        <v>3869</v>
      </c>
      <c r="AF30" s="1832">
        <v>9.2799999999999994</v>
      </c>
      <c r="AH30">
        <v>1428</v>
      </c>
    </row>
    <row r="31" spans="1:34" x14ac:dyDescent="0.25">
      <c r="A31" s="1844">
        <v>30</v>
      </c>
      <c r="B31" s="1843" t="s">
        <v>3942</v>
      </c>
      <c r="C31" s="1842" t="s">
        <v>35</v>
      </c>
      <c r="D31" s="1888">
        <v>164334.43609999999</v>
      </c>
      <c r="E31" s="1889">
        <v>8246939.0250000004</v>
      </c>
      <c r="F31" s="1838">
        <v>26.8</v>
      </c>
      <c r="G31" s="1841">
        <v>1375</v>
      </c>
      <c r="H31" s="1840">
        <v>0.08</v>
      </c>
      <c r="I31" s="1839">
        <v>7.5</v>
      </c>
      <c r="J31" s="1838">
        <v>8.73</v>
      </c>
      <c r="K31" s="1836">
        <v>3.84</v>
      </c>
      <c r="L31" s="1836">
        <v>8.52</v>
      </c>
      <c r="M31" s="1836">
        <v>78.91</v>
      </c>
      <c r="N31" s="1837">
        <v>91.27</v>
      </c>
      <c r="O31" s="1837">
        <v>87.43</v>
      </c>
      <c r="P31" s="1837">
        <v>78.91</v>
      </c>
      <c r="Q31" s="1836">
        <v>43</v>
      </c>
      <c r="R31" s="1836">
        <v>30.5</v>
      </c>
      <c r="S31" s="1836">
        <v>12.5</v>
      </c>
      <c r="T31" s="1835">
        <v>9.6</v>
      </c>
      <c r="U31" s="1835" t="s">
        <v>3891</v>
      </c>
      <c r="V31" s="1834" t="s">
        <v>3941</v>
      </c>
      <c r="W31" s="1833" t="s">
        <v>1222</v>
      </c>
      <c r="X31" s="1785">
        <v>40</v>
      </c>
      <c r="Y31" s="1786" t="s">
        <v>1229</v>
      </c>
      <c r="Z31" s="1785">
        <v>40</v>
      </c>
      <c r="AA31" s="1786" t="s">
        <v>1236</v>
      </c>
      <c r="AB31" s="1785">
        <v>3</v>
      </c>
      <c r="AC31" s="1786" t="s">
        <v>3870</v>
      </c>
      <c r="AD31" s="1785">
        <v>2.5</v>
      </c>
      <c r="AE31" s="1784" t="s">
        <v>3869</v>
      </c>
      <c r="AF31" s="1832">
        <v>9.6</v>
      </c>
      <c r="AH31">
        <v>1398</v>
      </c>
    </row>
    <row r="32" spans="1:34" x14ac:dyDescent="0.25">
      <c r="A32" s="1844">
        <v>31</v>
      </c>
      <c r="B32" s="1843" t="s">
        <v>3940</v>
      </c>
      <c r="C32" s="1842" t="s">
        <v>35</v>
      </c>
      <c r="D32" s="1888">
        <v>164267.27230000001</v>
      </c>
      <c r="E32" s="1889">
        <v>8246560.6424000002</v>
      </c>
      <c r="F32" s="1838">
        <v>30</v>
      </c>
      <c r="G32" s="1841">
        <v>1318</v>
      </c>
      <c r="H32" s="1840">
        <v>0.22</v>
      </c>
      <c r="I32" s="1839">
        <v>6.6</v>
      </c>
      <c r="J32" s="1838">
        <v>0.41</v>
      </c>
      <c r="K32" s="1836">
        <v>4.8</v>
      </c>
      <c r="L32" s="1836">
        <v>13.62</v>
      </c>
      <c r="M32" s="1836">
        <v>81.180000000000007</v>
      </c>
      <c r="N32" s="1837">
        <v>99.59</v>
      </c>
      <c r="O32" s="1837">
        <v>94.8</v>
      </c>
      <c r="P32" s="1837">
        <v>81.180000000000007</v>
      </c>
      <c r="Q32" s="1836">
        <v>40.4</v>
      </c>
      <c r="R32" s="1836">
        <v>24.1</v>
      </c>
      <c r="S32" s="1836">
        <v>16.3</v>
      </c>
      <c r="T32" s="1835">
        <v>10.600000000000001</v>
      </c>
      <c r="U32" s="1835" t="s">
        <v>3900</v>
      </c>
      <c r="V32" s="1834" t="s">
        <v>3887</v>
      </c>
      <c r="W32" s="1833" t="s">
        <v>1222</v>
      </c>
      <c r="X32" s="1785">
        <v>40</v>
      </c>
      <c r="Y32" s="1786" t="s">
        <v>1229</v>
      </c>
      <c r="Z32" s="1785">
        <v>40</v>
      </c>
      <c r="AA32" s="1786" t="s">
        <v>1236</v>
      </c>
      <c r="AB32" s="1785">
        <v>0.39999999999999858</v>
      </c>
      <c r="AC32" s="1786" t="s">
        <v>3870</v>
      </c>
      <c r="AD32" s="1785">
        <v>6.3000000000000007</v>
      </c>
      <c r="AE32" s="1784" t="s">
        <v>3869</v>
      </c>
      <c r="AF32" s="1832">
        <v>10.600000000000001</v>
      </c>
      <c r="AH32">
        <v>1414</v>
      </c>
    </row>
    <row r="33" spans="1:34" x14ac:dyDescent="0.25">
      <c r="A33" s="1844">
        <v>32</v>
      </c>
      <c r="B33" s="1843" t="s">
        <v>3939</v>
      </c>
      <c r="C33" s="1842" t="s">
        <v>35</v>
      </c>
      <c r="D33" s="1888">
        <v>164346.89679999999</v>
      </c>
      <c r="E33" s="1887">
        <v>8246597.9291000003</v>
      </c>
      <c r="F33" s="1838">
        <v>31</v>
      </c>
      <c r="G33" s="1841">
        <v>1318</v>
      </c>
      <c r="H33" s="1840">
        <v>0.16</v>
      </c>
      <c r="I33" s="1839">
        <v>6.8</v>
      </c>
      <c r="J33" s="1838">
        <v>0.62</v>
      </c>
      <c r="K33" s="1836">
        <v>3.99</v>
      </c>
      <c r="L33" s="1836">
        <v>11.35</v>
      </c>
      <c r="M33" s="1836">
        <v>84.04</v>
      </c>
      <c r="N33" s="1837">
        <v>99.38</v>
      </c>
      <c r="O33" s="1837">
        <v>95.39</v>
      </c>
      <c r="P33" s="1837">
        <v>84.04</v>
      </c>
      <c r="Q33" s="1836">
        <v>38</v>
      </c>
      <c r="R33" s="1836">
        <v>20.6</v>
      </c>
      <c r="S33" s="1836">
        <v>17.399999999999999</v>
      </c>
      <c r="T33" s="1835">
        <v>10.959999999999999</v>
      </c>
      <c r="U33" s="1835" t="s">
        <v>3900</v>
      </c>
      <c r="V33" s="1834" t="s">
        <v>3887</v>
      </c>
      <c r="W33" s="1833" t="s">
        <v>1222</v>
      </c>
      <c r="X33" s="1785">
        <v>40</v>
      </c>
      <c r="Y33" s="1786" t="s">
        <v>1229</v>
      </c>
      <c r="Z33" s="1785">
        <v>40</v>
      </c>
      <c r="AA33" s="1786" t="s">
        <v>1236</v>
      </c>
      <c r="AB33" s="1785">
        <v>0</v>
      </c>
      <c r="AC33" s="1786" t="s">
        <v>3870</v>
      </c>
      <c r="AD33" s="1785">
        <v>7.3999999999999986</v>
      </c>
      <c r="AE33" s="1784" t="s">
        <v>3869</v>
      </c>
      <c r="AF33" s="1832">
        <v>10.959999999999999</v>
      </c>
      <c r="AH33">
        <v>1400</v>
      </c>
    </row>
    <row r="34" spans="1:34" x14ac:dyDescent="0.25">
      <c r="A34" s="1844">
        <v>33</v>
      </c>
      <c r="B34" s="1843" t="s">
        <v>3938</v>
      </c>
      <c r="C34" s="1842" t="s">
        <v>35</v>
      </c>
      <c r="D34" s="1888">
        <v>164427.02220000001</v>
      </c>
      <c r="E34" s="1889">
        <v>8246606.7495999997</v>
      </c>
      <c r="F34" s="1838">
        <v>32</v>
      </c>
      <c r="G34" s="1841">
        <v>1312</v>
      </c>
      <c r="H34" s="1840">
        <v>0.24</v>
      </c>
      <c r="I34" s="1839">
        <v>6.6</v>
      </c>
      <c r="J34" s="1838">
        <v>0.36</v>
      </c>
      <c r="K34" s="1836">
        <v>4.87</v>
      </c>
      <c r="L34" s="1836">
        <v>13.24</v>
      </c>
      <c r="M34" s="1836">
        <v>81.53</v>
      </c>
      <c r="N34" s="1837">
        <v>99.64</v>
      </c>
      <c r="O34" s="1837">
        <v>94.77</v>
      </c>
      <c r="P34" s="1837">
        <v>81.53</v>
      </c>
      <c r="Q34" s="1836">
        <v>37.700000000000003</v>
      </c>
      <c r="R34" s="1836">
        <v>21.9</v>
      </c>
      <c r="S34" s="1836">
        <v>15.8</v>
      </c>
      <c r="T34" s="1835">
        <v>10.32</v>
      </c>
      <c r="U34" s="1835" t="s">
        <v>3900</v>
      </c>
      <c r="V34" s="1834" t="s">
        <v>3887</v>
      </c>
      <c r="W34" s="1833" t="s">
        <v>1222</v>
      </c>
      <c r="X34" s="1785">
        <v>40</v>
      </c>
      <c r="Y34" s="1786" t="s">
        <v>1229</v>
      </c>
      <c r="Z34" s="1785">
        <v>40</v>
      </c>
      <c r="AA34" s="1786" t="s">
        <v>1236</v>
      </c>
      <c r="AB34" s="1785">
        <v>0</v>
      </c>
      <c r="AC34" s="1786" t="s">
        <v>3870</v>
      </c>
      <c r="AD34" s="1785">
        <v>5.8000000000000007</v>
      </c>
      <c r="AE34" s="1784" t="s">
        <v>3869</v>
      </c>
      <c r="AF34" s="1832">
        <v>10.32</v>
      </c>
      <c r="AH34">
        <v>1330</v>
      </c>
    </row>
    <row r="35" spans="1:34" x14ac:dyDescent="0.25">
      <c r="A35" s="1844">
        <v>34</v>
      </c>
      <c r="B35" s="1843" t="s">
        <v>3937</v>
      </c>
      <c r="C35" s="1842" t="s">
        <v>35</v>
      </c>
      <c r="D35" s="1888">
        <v>164470.99780000001</v>
      </c>
      <c r="E35" s="1889">
        <v>8246684.1963999998</v>
      </c>
      <c r="F35" s="1838">
        <v>29</v>
      </c>
      <c r="G35" s="1841">
        <v>1315</v>
      </c>
      <c r="H35" s="1840">
        <v>0.19</v>
      </c>
      <c r="I35" s="1839">
        <v>6.9</v>
      </c>
      <c r="J35" s="1838">
        <v>0.35</v>
      </c>
      <c r="K35" s="1836">
        <v>4.17</v>
      </c>
      <c r="L35" s="1836">
        <v>14.45</v>
      </c>
      <c r="M35" s="1836">
        <v>81.040000000000006</v>
      </c>
      <c r="N35" s="1837">
        <v>99.65</v>
      </c>
      <c r="O35" s="1837">
        <v>95.49</v>
      </c>
      <c r="P35" s="1837">
        <v>81.010000000000005</v>
      </c>
      <c r="Q35" s="1836">
        <v>39.700000000000003</v>
      </c>
      <c r="R35" s="1836">
        <v>23.7</v>
      </c>
      <c r="S35" s="1836">
        <v>16</v>
      </c>
      <c r="T35" s="1835">
        <v>10.4</v>
      </c>
      <c r="U35" s="1835" t="s">
        <v>3900</v>
      </c>
      <c r="V35" s="1834" t="s">
        <v>3887</v>
      </c>
      <c r="W35" s="1833" t="s">
        <v>1222</v>
      </c>
      <c r="X35" s="1785">
        <v>40</v>
      </c>
      <c r="Y35" s="1786" t="s">
        <v>1229</v>
      </c>
      <c r="Z35" s="1785">
        <v>40</v>
      </c>
      <c r="AA35" s="1786" t="s">
        <v>1236</v>
      </c>
      <c r="AB35" s="1785">
        <v>0</v>
      </c>
      <c r="AC35" s="1786" t="s">
        <v>3870</v>
      </c>
      <c r="AD35" s="1785">
        <v>6</v>
      </c>
      <c r="AE35" s="1784" t="s">
        <v>3869</v>
      </c>
      <c r="AF35" s="1832">
        <v>10.4</v>
      </c>
      <c r="AH35">
        <v>1276</v>
      </c>
    </row>
    <row r="36" spans="1:34" x14ac:dyDescent="0.25">
      <c r="A36" s="1844">
        <v>35</v>
      </c>
      <c r="B36" s="1843" t="s">
        <v>3936</v>
      </c>
      <c r="C36" s="1842" t="s">
        <v>35</v>
      </c>
      <c r="D36" s="1888">
        <v>164727.1427</v>
      </c>
      <c r="E36" s="1889">
        <v>8246839.2822000002</v>
      </c>
      <c r="F36" s="1838">
        <v>32.200000000000003</v>
      </c>
      <c r="G36" s="1841">
        <v>1401</v>
      </c>
      <c r="H36" s="1840">
        <v>0.1</v>
      </c>
      <c r="I36" s="1839">
        <v>7</v>
      </c>
      <c r="J36" s="1838">
        <v>5.19</v>
      </c>
      <c r="K36" s="1836">
        <v>4.8099999999999996</v>
      </c>
      <c r="L36" s="1836">
        <v>13.97</v>
      </c>
      <c r="M36" s="1836">
        <v>76.03</v>
      </c>
      <c r="N36" s="1837">
        <v>94.81</v>
      </c>
      <c r="O36" s="1837">
        <v>90</v>
      </c>
      <c r="P36" s="1837">
        <v>76.03</v>
      </c>
      <c r="Q36" s="1836">
        <v>49.7</v>
      </c>
      <c r="R36" s="1836">
        <v>34.4</v>
      </c>
      <c r="S36" s="1836">
        <v>15.3</v>
      </c>
      <c r="T36" s="1835">
        <v>12.060000000000002</v>
      </c>
      <c r="U36" s="1835" t="s">
        <v>3891</v>
      </c>
      <c r="V36" s="1834" t="s">
        <v>3890</v>
      </c>
      <c r="W36" s="1833" t="s">
        <v>1222</v>
      </c>
      <c r="X36" s="1785">
        <v>40</v>
      </c>
      <c r="Y36" s="1786" t="s">
        <v>1229</v>
      </c>
      <c r="Z36" s="1785">
        <v>40</v>
      </c>
      <c r="AA36" s="1786" t="s">
        <v>1236</v>
      </c>
      <c r="AB36" s="1785">
        <v>9.7000000000000028</v>
      </c>
      <c r="AC36" s="1786" t="s">
        <v>3870</v>
      </c>
      <c r="AD36" s="1785">
        <v>5.3000000000000007</v>
      </c>
      <c r="AE36" s="1784" t="s">
        <v>3869</v>
      </c>
      <c r="AF36" s="1832">
        <v>12.060000000000002</v>
      </c>
      <c r="AH36">
        <v>1318</v>
      </c>
    </row>
    <row r="37" spans="1:34" x14ac:dyDescent="0.25">
      <c r="A37" s="1844">
        <v>36</v>
      </c>
      <c r="B37" s="1843" t="s">
        <v>3935</v>
      </c>
      <c r="C37" s="1842" t="s">
        <v>35</v>
      </c>
      <c r="D37" s="1890">
        <v>164491.25529999999</v>
      </c>
      <c r="E37" s="1889">
        <v>8247141.0313999997</v>
      </c>
      <c r="F37" s="1838">
        <v>29.4</v>
      </c>
      <c r="G37" s="1841">
        <v>1317</v>
      </c>
      <c r="H37" s="1840">
        <v>0.09</v>
      </c>
      <c r="I37" s="1839">
        <v>4</v>
      </c>
      <c r="J37" s="1838">
        <v>3.54</v>
      </c>
      <c r="K37" s="1836">
        <v>4.84</v>
      </c>
      <c r="L37" s="1836">
        <v>10.08</v>
      </c>
      <c r="M37" s="1836">
        <v>81.540000000000006</v>
      </c>
      <c r="N37" s="1837">
        <v>96.46</v>
      </c>
      <c r="O37" s="1837">
        <v>91.62</v>
      </c>
      <c r="P37" s="1837">
        <v>81.540000000000006</v>
      </c>
      <c r="Q37" s="1836">
        <v>43.8</v>
      </c>
      <c r="R37" s="1836">
        <v>27.3</v>
      </c>
      <c r="S37" s="1836">
        <v>16.3</v>
      </c>
      <c r="T37" s="1835">
        <v>11.280000000000001</v>
      </c>
      <c r="U37" s="1835" t="s">
        <v>3888</v>
      </c>
      <c r="V37" s="1834" t="s">
        <v>3906</v>
      </c>
      <c r="W37" s="1833" t="s">
        <v>1222</v>
      </c>
      <c r="X37" s="1785">
        <v>40</v>
      </c>
      <c r="Y37" s="1786" t="s">
        <v>1229</v>
      </c>
      <c r="Z37" s="1785">
        <v>40</v>
      </c>
      <c r="AA37" s="1786" t="s">
        <v>1236</v>
      </c>
      <c r="AB37" s="1785">
        <v>3.7999999999999972</v>
      </c>
      <c r="AC37" s="1786" t="s">
        <v>3870</v>
      </c>
      <c r="AD37" s="1785">
        <v>6.3000000000000007</v>
      </c>
      <c r="AE37" s="1784" t="s">
        <v>3869</v>
      </c>
      <c r="AF37" s="1832">
        <v>11.280000000000001</v>
      </c>
      <c r="AH37">
        <v>1302</v>
      </c>
    </row>
    <row r="38" spans="1:34" x14ac:dyDescent="0.25">
      <c r="A38" s="1844">
        <v>37</v>
      </c>
      <c r="B38" s="1843" t="s">
        <v>3934</v>
      </c>
      <c r="C38" s="1842" t="s">
        <v>35</v>
      </c>
      <c r="D38" s="1890">
        <v>164660.6</v>
      </c>
      <c r="E38" s="1889">
        <v>8247230.4811000004</v>
      </c>
      <c r="F38" s="1838">
        <v>28.5</v>
      </c>
      <c r="G38" s="1841">
        <v>1312</v>
      </c>
      <c r="H38" s="1840">
        <v>0.36</v>
      </c>
      <c r="I38" s="1839">
        <v>6.6</v>
      </c>
      <c r="J38" s="1838">
        <v>4.34</v>
      </c>
      <c r="K38" s="1836">
        <v>6.3</v>
      </c>
      <c r="L38" s="1836">
        <v>16.39</v>
      </c>
      <c r="M38" s="1836">
        <v>72.989999999999995</v>
      </c>
      <c r="N38" s="1837">
        <v>95.68</v>
      </c>
      <c r="O38" s="1837">
        <v>89.38</v>
      </c>
      <c r="P38" s="1837">
        <v>72.989999999999995</v>
      </c>
      <c r="Q38" s="1836">
        <v>31.7</v>
      </c>
      <c r="R38" s="1836">
        <v>23.4</v>
      </c>
      <c r="S38" s="1836">
        <v>8.3000000000000007</v>
      </c>
      <c r="T38" s="1835">
        <v>7.597999999999999</v>
      </c>
      <c r="U38" s="1835" t="s">
        <v>3898</v>
      </c>
      <c r="V38" s="1834" t="s">
        <v>3897</v>
      </c>
      <c r="W38" s="1833" t="s">
        <v>1222</v>
      </c>
      <c r="X38" s="1785">
        <v>37.989999999999995</v>
      </c>
      <c r="Y38" s="1786" t="s">
        <v>1229</v>
      </c>
      <c r="Z38" s="1785">
        <v>40</v>
      </c>
      <c r="AA38" s="1786" t="s">
        <v>1236</v>
      </c>
      <c r="AB38" s="1785">
        <v>0</v>
      </c>
      <c r="AC38" s="1786" t="s">
        <v>3870</v>
      </c>
      <c r="AD38" s="1785">
        <v>0</v>
      </c>
      <c r="AE38" s="1784" t="s">
        <v>3869</v>
      </c>
      <c r="AF38" s="1832">
        <v>7.597999999999999</v>
      </c>
      <c r="AH38">
        <v>1330</v>
      </c>
    </row>
    <row r="39" spans="1:34" x14ac:dyDescent="0.25">
      <c r="A39" s="1844">
        <v>38</v>
      </c>
      <c r="B39" s="1843" t="s">
        <v>3933</v>
      </c>
      <c r="C39" s="1842" t="s">
        <v>35</v>
      </c>
      <c r="D39" s="1890">
        <v>164814.38709999999</v>
      </c>
      <c r="E39" s="1889">
        <v>8247368.1167000001</v>
      </c>
      <c r="F39" s="1838">
        <v>30.9</v>
      </c>
      <c r="G39" s="1841">
        <v>1304</v>
      </c>
      <c r="H39" s="1840">
        <v>0.32</v>
      </c>
      <c r="I39" s="1839">
        <v>3.9</v>
      </c>
      <c r="J39" s="1838">
        <v>1.32</v>
      </c>
      <c r="K39" s="1836">
        <v>2.04</v>
      </c>
      <c r="L39" s="1836">
        <v>9.83</v>
      </c>
      <c r="M39" s="1836">
        <v>86.8</v>
      </c>
      <c r="N39" s="1837">
        <v>98.68</v>
      </c>
      <c r="O39" s="1837">
        <v>96.64</v>
      </c>
      <c r="P39" s="1837">
        <v>86.8</v>
      </c>
      <c r="Q39" s="1836">
        <v>42.9</v>
      </c>
      <c r="R39" s="1836">
        <v>27.9</v>
      </c>
      <c r="S39" s="1836">
        <v>15</v>
      </c>
      <c r="T39" s="1835">
        <v>10.58</v>
      </c>
      <c r="U39" s="1835" t="s">
        <v>3888</v>
      </c>
      <c r="V39" s="1834" t="s">
        <v>3887</v>
      </c>
      <c r="W39" s="1833" t="s">
        <v>1222</v>
      </c>
      <c r="X39" s="1785">
        <v>40</v>
      </c>
      <c r="Y39" s="1786" t="s">
        <v>1229</v>
      </c>
      <c r="Z39" s="1785">
        <v>40</v>
      </c>
      <c r="AA39" s="1786" t="s">
        <v>1236</v>
      </c>
      <c r="AB39" s="1785">
        <v>2.8999999999999986</v>
      </c>
      <c r="AC39" s="1786" t="s">
        <v>3870</v>
      </c>
      <c r="AD39" s="1785">
        <v>5</v>
      </c>
      <c r="AE39" s="1784" t="s">
        <v>3869</v>
      </c>
      <c r="AF39" s="1832">
        <v>10.58</v>
      </c>
      <c r="AH39">
        <v>1307</v>
      </c>
    </row>
    <row r="40" spans="1:34" x14ac:dyDescent="0.25">
      <c r="A40" s="1844">
        <v>39</v>
      </c>
      <c r="B40" s="1843" t="s">
        <v>3932</v>
      </c>
      <c r="C40" s="1842" t="s">
        <v>35</v>
      </c>
      <c r="D40" s="1890">
        <v>164906.53539999999</v>
      </c>
      <c r="E40" s="1889">
        <v>8247311.9027000004</v>
      </c>
      <c r="F40" s="1838">
        <v>30.5</v>
      </c>
      <c r="G40" s="1841">
        <v>1368</v>
      </c>
      <c r="H40" s="1840">
        <v>0.3</v>
      </c>
      <c r="I40" s="1839">
        <v>7.5</v>
      </c>
      <c r="J40" s="1838">
        <v>0.6</v>
      </c>
      <c r="K40" s="1836">
        <v>6.15</v>
      </c>
      <c r="L40" s="1836">
        <v>14.87</v>
      </c>
      <c r="M40" s="1836">
        <v>78.38</v>
      </c>
      <c r="N40" s="1837">
        <v>99.4</v>
      </c>
      <c r="O40" s="1837">
        <v>93.25</v>
      </c>
      <c r="P40" s="1837">
        <v>78.3</v>
      </c>
      <c r="Q40" s="1836">
        <v>36.200000000000003</v>
      </c>
      <c r="R40" s="1836">
        <v>25</v>
      </c>
      <c r="S40" s="1836">
        <v>11.2</v>
      </c>
      <c r="T40" s="1835">
        <v>8.48</v>
      </c>
      <c r="U40" s="1835" t="s">
        <v>3900</v>
      </c>
      <c r="V40" s="1834" t="s">
        <v>3887</v>
      </c>
      <c r="W40" s="1833" t="s">
        <v>1222</v>
      </c>
      <c r="X40" s="1785">
        <v>40</v>
      </c>
      <c r="Y40" s="1786" t="s">
        <v>1229</v>
      </c>
      <c r="Z40" s="1785">
        <v>40</v>
      </c>
      <c r="AA40" s="1786" t="s">
        <v>1236</v>
      </c>
      <c r="AB40" s="1785">
        <v>0</v>
      </c>
      <c r="AC40" s="1786" t="s">
        <v>3870</v>
      </c>
      <c r="AD40" s="1785">
        <v>1.1999999999999993</v>
      </c>
      <c r="AE40" s="1784" t="s">
        <v>3869</v>
      </c>
      <c r="AF40" s="1832">
        <v>8.48</v>
      </c>
    </row>
    <row r="41" spans="1:34" x14ac:dyDescent="0.25">
      <c r="A41" s="1844">
        <v>40</v>
      </c>
      <c r="B41" s="1843" t="s">
        <v>3931</v>
      </c>
      <c r="C41" s="1842" t="s">
        <v>35</v>
      </c>
      <c r="D41" s="1886">
        <v>165010.56510000001</v>
      </c>
      <c r="E41" s="1887">
        <v>8247405.6644000001</v>
      </c>
      <c r="F41" s="1838">
        <v>28</v>
      </c>
      <c r="G41" s="1841">
        <v>1350</v>
      </c>
      <c r="H41" s="1840">
        <v>0.26</v>
      </c>
      <c r="I41" s="1839">
        <v>7.3</v>
      </c>
      <c r="J41" s="1838">
        <v>3.95</v>
      </c>
      <c r="K41" s="1836">
        <v>7.35</v>
      </c>
      <c r="L41" s="1836">
        <v>15.43</v>
      </c>
      <c r="M41" s="1836">
        <v>73.260000000000005</v>
      </c>
      <c r="N41" s="1837">
        <v>96.05</v>
      </c>
      <c r="O41" s="1837">
        <v>88.69</v>
      </c>
      <c r="P41" s="1837">
        <v>73.260000000000005</v>
      </c>
      <c r="Q41" s="1836">
        <v>37.299999999999997</v>
      </c>
      <c r="R41" s="1836">
        <v>22</v>
      </c>
      <c r="S41" s="1836">
        <v>15.2</v>
      </c>
      <c r="T41" s="1835">
        <v>9.7320000000000011</v>
      </c>
      <c r="U41" s="1835" t="s">
        <v>3900</v>
      </c>
      <c r="V41" s="1834" t="s">
        <v>3887</v>
      </c>
      <c r="W41" s="1833" t="s">
        <v>1222</v>
      </c>
      <c r="X41" s="1785">
        <v>38.260000000000005</v>
      </c>
      <c r="Y41" s="1786" t="s">
        <v>1229</v>
      </c>
      <c r="Z41" s="1785">
        <v>40</v>
      </c>
      <c r="AA41" s="1786" t="s">
        <v>1236</v>
      </c>
      <c r="AB41" s="1785">
        <v>0</v>
      </c>
      <c r="AC41" s="1786" t="s">
        <v>3870</v>
      </c>
      <c r="AD41" s="1785">
        <v>5.1999999999999993</v>
      </c>
      <c r="AE41" s="1784" t="s">
        <v>3869</v>
      </c>
      <c r="AF41" s="1832">
        <v>9.7320000000000011</v>
      </c>
    </row>
    <row r="42" spans="1:34" x14ac:dyDescent="0.25">
      <c r="A42" s="1844">
        <v>41</v>
      </c>
      <c r="B42" s="1843" t="s">
        <v>3930</v>
      </c>
      <c r="C42" s="1842" t="s">
        <v>35</v>
      </c>
      <c r="D42" s="1886">
        <v>165170.47349999999</v>
      </c>
      <c r="E42" s="1887">
        <v>8247437.5142999999</v>
      </c>
      <c r="F42" s="1838">
        <v>30</v>
      </c>
      <c r="G42" s="1841">
        <v>1342</v>
      </c>
      <c r="H42" s="1840">
        <v>0.33</v>
      </c>
      <c r="I42" s="1839">
        <v>7.2</v>
      </c>
      <c r="J42" s="1838">
        <v>1.18</v>
      </c>
      <c r="K42" s="1836">
        <v>9.9</v>
      </c>
      <c r="L42" s="1836">
        <v>1.1299999999999999</v>
      </c>
      <c r="M42" s="1836">
        <v>72.78</v>
      </c>
      <c r="N42" s="1837">
        <v>98.82</v>
      </c>
      <c r="O42" s="1837">
        <v>88.91</v>
      </c>
      <c r="P42" s="1837">
        <v>72.78</v>
      </c>
      <c r="Q42" s="1836">
        <v>37.299999999999997</v>
      </c>
      <c r="R42" s="1836">
        <v>23.3</v>
      </c>
      <c r="S42" s="1836">
        <v>14</v>
      </c>
      <c r="T42" s="1835">
        <v>9.1560000000000006</v>
      </c>
      <c r="U42" s="1835" t="s">
        <v>3900</v>
      </c>
      <c r="V42" s="1834" t="s">
        <v>3887</v>
      </c>
      <c r="W42" s="1833" t="s">
        <v>1222</v>
      </c>
      <c r="X42" s="1785">
        <v>37.78</v>
      </c>
      <c r="Y42" s="1786" t="s">
        <v>1229</v>
      </c>
      <c r="Z42" s="1785">
        <v>40</v>
      </c>
      <c r="AA42" s="1786" t="s">
        <v>1236</v>
      </c>
      <c r="AB42" s="1785">
        <v>0</v>
      </c>
      <c r="AC42" s="1786" t="s">
        <v>3870</v>
      </c>
      <c r="AD42" s="1785">
        <v>4</v>
      </c>
      <c r="AE42" s="1784" t="s">
        <v>3869</v>
      </c>
      <c r="AF42" s="1832">
        <v>9.1560000000000006</v>
      </c>
    </row>
    <row r="43" spans="1:34" x14ac:dyDescent="0.25">
      <c r="A43" s="1844">
        <v>42</v>
      </c>
      <c r="B43" s="1843" t="s">
        <v>3929</v>
      </c>
      <c r="C43" s="1842" t="s">
        <v>35</v>
      </c>
      <c r="D43" s="1886">
        <v>163788.10130000001</v>
      </c>
      <c r="E43" s="1887">
        <v>8246134.5464000003</v>
      </c>
      <c r="F43" s="1838">
        <v>21</v>
      </c>
      <c r="G43" s="1841">
        <v>1682</v>
      </c>
      <c r="H43" s="1840">
        <v>0.03</v>
      </c>
      <c r="I43" s="1839">
        <v>12.1</v>
      </c>
      <c r="J43" s="1838">
        <v>32.75</v>
      </c>
      <c r="K43" s="1836">
        <v>12.32</v>
      </c>
      <c r="L43" s="1836">
        <v>25.8</v>
      </c>
      <c r="M43" s="1836">
        <v>29.13</v>
      </c>
      <c r="N43" s="1837">
        <v>67.25</v>
      </c>
      <c r="O43" s="1837">
        <v>54.93</v>
      </c>
      <c r="P43" s="1837">
        <v>29.13</v>
      </c>
      <c r="Q43" s="1836">
        <v>33.5</v>
      </c>
      <c r="R43" s="1836">
        <v>20.7</v>
      </c>
      <c r="S43" s="1836">
        <v>12.8</v>
      </c>
      <c r="T43" s="1835">
        <v>0.39564000000000005</v>
      </c>
      <c r="U43" s="1835" t="s">
        <v>3928</v>
      </c>
      <c r="V43" s="1834" t="s">
        <v>3921</v>
      </c>
      <c r="W43" s="1833" t="s">
        <v>1222</v>
      </c>
      <c r="X43" s="1785">
        <v>0</v>
      </c>
      <c r="Y43" s="1786" t="s">
        <v>1229</v>
      </c>
      <c r="Z43" s="1785">
        <v>14.129999999999999</v>
      </c>
      <c r="AA43" s="1786" t="s">
        <v>1236</v>
      </c>
      <c r="AB43" s="1785">
        <v>0</v>
      </c>
      <c r="AC43" s="1786" t="s">
        <v>3870</v>
      </c>
      <c r="AD43" s="1785">
        <v>2.8000000000000007</v>
      </c>
      <c r="AE43" s="1784" t="s">
        <v>3869</v>
      </c>
      <c r="AF43" s="1832">
        <v>0.39564000000000005</v>
      </c>
    </row>
    <row r="44" spans="1:34" x14ac:dyDescent="0.25">
      <c r="A44" s="1844">
        <v>43</v>
      </c>
      <c r="B44" s="1843" t="s">
        <v>3927</v>
      </c>
      <c r="C44" s="1842" t="s">
        <v>35</v>
      </c>
      <c r="D44" s="1886">
        <v>163864.0055</v>
      </c>
      <c r="E44" s="1887">
        <v>8246119.2061999999</v>
      </c>
      <c r="F44" s="1838">
        <v>21.1</v>
      </c>
      <c r="G44" s="1841">
        <v>1710</v>
      </c>
      <c r="H44" s="1840">
        <v>0.12</v>
      </c>
      <c r="I44" s="1839">
        <v>11</v>
      </c>
      <c r="J44" s="1838">
        <v>41.57</v>
      </c>
      <c r="K44" s="1836">
        <v>7.61</v>
      </c>
      <c r="L44" s="1836">
        <v>9.76</v>
      </c>
      <c r="M44" s="1836">
        <v>41.06</v>
      </c>
      <c r="N44" s="1837">
        <v>58.43</v>
      </c>
      <c r="O44" s="1837">
        <v>50.83</v>
      </c>
      <c r="P44" s="1837">
        <v>41.06</v>
      </c>
      <c r="Q44" s="1836">
        <v>34.299999999999997</v>
      </c>
      <c r="R44" s="1836">
        <v>20</v>
      </c>
      <c r="S44" s="1836">
        <v>14.3</v>
      </c>
      <c r="T44" s="1835">
        <v>2.332580000000001</v>
      </c>
      <c r="U44" s="1835" t="s">
        <v>3900</v>
      </c>
      <c r="V44" s="1834" t="s">
        <v>3887</v>
      </c>
      <c r="W44" s="1833" t="s">
        <v>1222</v>
      </c>
      <c r="X44" s="1785">
        <v>6.0600000000000023</v>
      </c>
      <c r="Y44" s="1786" t="s">
        <v>1229</v>
      </c>
      <c r="Z44" s="1785">
        <v>26.060000000000002</v>
      </c>
      <c r="AA44" s="1786" t="s">
        <v>1236</v>
      </c>
      <c r="AB44" s="1785">
        <v>0</v>
      </c>
      <c r="AC44" s="1786" t="s">
        <v>3870</v>
      </c>
      <c r="AD44" s="1785">
        <v>4.3000000000000007</v>
      </c>
      <c r="AE44" s="1784" t="s">
        <v>3869</v>
      </c>
      <c r="AF44" s="1832">
        <v>2.332580000000001</v>
      </c>
    </row>
    <row r="45" spans="1:34" x14ac:dyDescent="0.25">
      <c r="A45" s="1844">
        <v>44</v>
      </c>
      <c r="B45" s="1843" t="s">
        <v>3926</v>
      </c>
      <c r="C45" s="1842" t="s">
        <v>35</v>
      </c>
      <c r="D45" s="1886">
        <v>163906.2922</v>
      </c>
      <c r="E45" s="1887">
        <v>8246228.6628</v>
      </c>
      <c r="F45" s="1838">
        <v>20</v>
      </c>
      <c r="G45" s="1841">
        <v>1650</v>
      </c>
      <c r="H45" s="1840">
        <v>0.03</v>
      </c>
      <c r="I45" s="1839">
        <v>13</v>
      </c>
      <c r="J45" s="1838">
        <v>34.4</v>
      </c>
      <c r="K45" s="1836">
        <v>4.82</v>
      </c>
      <c r="L45" s="1836">
        <v>6.18</v>
      </c>
      <c r="M45" s="1836">
        <v>54.6</v>
      </c>
      <c r="N45" s="1837">
        <v>65.599999999999994</v>
      </c>
      <c r="O45" s="1837">
        <v>60.78</v>
      </c>
      <c r="P45" s="1837">
        <v>54.6</v>
      </c>
      <c r="Q45" s="1836">
        <v>40.299999999999997</v>
      </c>
      <c r="R45" s="1836">
        <v>27.7</v>
      </c>
      <c r="S45" s="1836">
        <v>12.7</v>
      </c>
      <c r="T45" s="1835">
        <v>5.0186000000000002</v>
      </c>
      <c r="U45" s="1835" t="s">
        <v>3900</v>
      </c>
      <c r="V45" s="1834" t="s">
        <v>3887</v>
      </c>
      <c r="W45" s="1833" t="s">
        <v>1222</v>
      </c>
      <c r="X45" s="1785">
        <v>19.600000000000001</v>
      </c>
      <c r="Y45" s="1786" t="s">
        <v>1229</v>
      </c>
      <c r="Z45" s="1785">
        <v>39.6</v>
      </c>
      <c r="AA45" s="1786" t="s">
        <v>1236</v>
      </c>
      <c r="AB45" s="1785">
        <v>0.29999999999999716</v>
      </c>
      <c r="AC45" s="1786" t="s">
        <v>3870</v>
      </c>
      <c r="AD45" s="1785">
        <v>2.6999999999999993</v>
      </c>
      <c r="AE45" s="1784" t="s">
        <v>3869</v>
      </c>
      <c r="AF45" s="1832">
        <v>5.0186000000000002</v>
      </c>
    </row>
    <row r="46" spans="1:34" x14ac:dyDescent="0.25">
      <c r="A46" s="1844">
        <v>45</v>
      </c>
      <c r="B46" s="1843" t="s">
        <v>3925</v>
      </c>
      <c r="C46" s="1842" t="s">
        <v>35</v>
      </c>
      <c r="D46" s="1886">
        <v>163992.10999999999</v>
      </c>
      <c r="E46" s="1887">
        <v>8246279.8729999997</v>
      </c>
      <c r="F46" s="1838">
        <v>17.3</v>
      </c>
      <c r="G46" s="1841">
        <v>1349</v>
      </c>
      <c r="H46" s="1840">
        <v>0.3</v>
      </c>
      <c r="I46" s="1839">
        <v>7.9</v>
      </c>
      <c r="J46" s="1838">
        <v>45.06</v>
      </c>
      <c r="K46" s="1836">
        <v>11.75</v>
      </c>
      <c r="L46" s="1836">
        <v>14.55</v>
      </c>
      <c r="M46" s="1836">
        <v>28.63</v>
      </c>
      <c r="N46" s="1837">
        <v>54.94</v>
      </c>
      <c r="O46" s="1837">
        <v>43.19</v>
      </c>
      <c r="P46" s="1837">
        <v>28.63</v>
      </c>
      <c r="Q46" s="1836" t="s">
        <v>3924</v>
      </c>
      <c r="R46" s="1836" t="s">
        <v>15</v>
      </c>
      <c r="S46" s="1836" t="s">
        <v>3923</v>
      </c>
      <c r="T46" s="1835">
        <v>2.726</v>
      </c>
      <c r="U46" s="1835" t="s">
        <v>3922</v>
      </c>
      <c r="V46" s="1834" t="s">
        <v>3921</v>
      </c>
      <c r="W46" s="1833" t="s">
        <v>1222</v>
      </c>
      <c r="X46" s="1785">
        <v>0</v>
      </c>
      <c r="Y46" s="1786" t="s">
        <v>1229</v>
      </c>
      <c r="Z46" s="1785">
        <v>13.629999999999999</v>
      </c>
      <c r="AA46" s="1786" t="s">
        <v>1236</v>
      </c>
      <c r="AB46" s="1785">
        <v>20</v>
      </c>
      <c r="AC46" s="1786" t="s">
        <v>3870</v>
      </c>
      <c r="AD46" s="1785">
        <v>20</v>
      </c>
      <c r="AE46" s="1784" t="s">
        <v>3869</v>
      </c>
      <c r="AF46" s="1832">
        <v>2.726</v>
      </c>
    </row>
    <row r="47" spans="1:34" x14ac:dyDescent="0.25">
      <c r="A47" s="1844">
        <v>46</v>
      </c>
      <c r="B47" s="1843" t="s">
        <v>3920</v>
      </c>
      <c r="C47" s="1842" t="s">
        <v>35</v>
      </c>
      <c r="D47" s="1886">
        <v>164071.36610000001</v>
      </c>
      <c r="E47" s="1887">
        <v>8246344.6431999998</v>
      </c>
      <c r="F47" s="1838">
        <v>23</v>
      </c>
      <c r="G47" s="1841">
        <v>1338</v>
      </c>
      <c r="H47" s="1840">
        <v>0.04</v>
      </c>
      <c r="I47" s="1839">
        <v>13.2</v>
      </c>
      <c r="J47" s="1838">
        <v>36.54</v>
      </c>
      <c r="K47" s="1836">
        <v>7.8</v>
      </c>
      <c r="L47" s="1836">
        <v>6.21</v>
      </c>
      <c r="M47" s="1836">
        <v>49.45</v>
      </c>
      <c r="N47" s="1837">
        <v>63.46</v>
      </c>
      <c r="O47" s="1837">
        <v>55.66</v>
      </c>
      <c r="P47" s="1837">
        <v>49.45</v>
      </c>
      <c r="Q47" s="1836">
        <v>42.7</v>
      </c>
      <c r="R47" s="1836">
        <v>28.9</v>
      </c>
      <c r="S47" s="1836">
        <v>13.8</v>
      </c>
      <c r="T47" s="1835">
        <v>4.3941750000000006</v>
      </c>
      <c r="U47" s="1835" t="s">
        <v>3888</v>
      </c>
      <c r="V47" s="1834" t="s">
        <v>3906</v>
      </c>
      <c r="W47" s="1833" t="s">
        <v>1222</v>
      </c>
      <c r="X47" s="1785">
        <v>14.450000000000003</v>
      </c>
      <c r="Y47" s="1786" t="s">
        <v>1229</v>
      </c>
      <c r="Z47" s="1785">
        <v>34.450000000000003</v>
      </c>
      <c r="AA47" s="1786" t="s">
        <v>1236</v>
      </c>
      <c r="AB47" s="1785">
        <v>2.7000000000000028</v>
      </c>
      <c r="AC47" s="1786" t="s">
        <v>3870</v>
      </c>
      <c r="AD47" s="1785">
        <v>3.8000000000000007</v>
      </c>
      <c r="AE47" s="1784" t="s">
        <v>3869</v>
      </c>
      <c r="AF47" s="1832">
        <v>4.3941750000000006</v>
      </c>
    </row>
    <row r="48" spans="1:34" x14ac:dyDescent="0.25">
      <c r="A48" s="1844">
        <v>47</v>
      </c>
      <c r="B48" s="1843" t="s">
        <v>3919</v>
      </c>
      <c r="C48" s="1842" t="s">
        <v>35</v>
      </c>
      <c r="D48" s="1782">
        <v>164170.72020000001</v>
      </c>
      <c r="E48" s="1887">
        <v>8246385.0846999995</v>
      </c>
      <c r="F48" s="1838">
        <v>30.5</v>
      </c>
      <c r="G48" s="1841">
        <v>1326</v>
      </c>
      <c r="H48" s="1840">
        <v>0.1</v>
      </c>
      <c r="I48" s="1839">
        <v>6.5</v>
      </c>
      <c r="J48" s="1838">
        <v>4.51</v>
      </c>
      <c r="K48" s="1836">
        <v>6.2</v>
      </c>
      <c r="L48" s="1836">
        <v>10.52</v>
      </c>
      <c r="M48" s="1836">
        <v>78.77</v>
      </c>
      <c r="N48" s="1837">
        <v>95.49</v>
      </c>
      <c r="O48" s="1837">
        <v>89.29</v>
      </c>
      <c r="P48" s="1837">
        <v>78.77</v>
      </c>
      <c r="Q48" s="1836">
        <v>47.6</v>
      </c>
      <c r="R48" s="1836">
        <v>31.4</v>
      </c>
      <c r="S48" s="1836">
        <v>16.2</v>
      </c>
      <c r="T48" s="1835">
        <v>12</v>
      </c>
      <c r="U48" s="1835" t="s">
        <v>3891</v>
      </c>
      <c r="V48" s="1834" t="s">
        <v>3890</v>
      </c>
      <c r="W48" s="1833" t="s">
        <v>1222</v>
      </c>
      <c r="X48" s="1785">
        <v>40</v>
      </c>
      <c r="Y48" s="1786" t="s">
        <v>1229</v>
      </c>
      <c r="Z48" s="1785">
        <v>40</v>
      </c>
      <c r="AA48" s="1786" t="s">
        <v>1236</v>
      </c>
      <c r="AB48" s="1785">
        <v>7.6000000000000014</v>
      </c>
      <c r="AC48" s="1786" t="s">
        <v>3870</v>
      </c>
      <c r="AD48" s="1785">
        <v>6.1999999999999993</v>
      </c>
      <c r="AE48" s="1784" t="s">
        <v>3869</v>
      </c>
      <c r="AF48" s="1832">
        <v>12</v>
      </c>
    </row>
    <row r="49" spans="1:32" x14ac:dyDescent="0.25">
      <c r="A49" s="1844">
        <v>48</v>
      </c>
      <c r="B49" s="1843" t="s">
        <v>3918</v>
      </c>
      <c r="C49" s="1842" t="s">
        <v>35</v>
      </c>
      <c r="D49" s="1886">
        <v>163912.4688</v>
      </c>
      <c r="E49" s="1887">
        <v>8245993.5354000004</v>
      </c>
      <c r="F49" s="1838">
        <v>23</v>
      </c>
      <c r="G49" s="1841">
        <v>152</v>
      </c>
      <c r="H49" s="1840">
        <v>0.06</v>
      </c>
      <c r="I49" s="1839">
        <v>11.1</v>
      </c>
      <c r="J49" s="1838">
        <v>30.07</v>
      </c>
      <c r="K49" s="1836">
        <v>6.56</v>
      </c>
      <c r="L49" s="1836">
        <v>9.69</v>
      </c>
      <c r="M49" s="1836">
        <v>53.68</v>
      </c>
      <c r="N49" s="1837">
        <v>69.930000000000007</v>
      </c>
      <c r="O49" s="1837">
        <v>63.37</v>
      </c>
      <c r="P49" s="1837">
        <v>53.68</v>
      </c>
      <c r="Q49" s="1836">
        <v>40.299999999999997</v>
      </c>
      <c r="R49" s="1836">
        <v>28.6</v>
      </c>
      <c r="S49" s="1836">
        <v>11.7</v>
      </c>
      <c r="T49" s="1835">
        <v>4.4215799999999996</v>
      </c>
      <c r="U49" s="1835" t="s">
        <v>3900</v>
      </c>
      <c r="V49" s="1834" t="s">
        <v>3887</v>
      </c>
      <c r="W49" s="1833" t="s">
        <v>1222</v>
      </c>
      <c r="X49" s="1785">
        <v>18.68</v>
      </c>
      <c r="Y49" s="1786" t="s">
        <v>1229</v>
      </c>
      <c r="Z49" s="1785">
        <v>38.68</v>
      </c>
      <c r="AA49" s="1786" t="s">
        <v>1236</v>
      </c>
      <c r="AB49" s="1785">
        <v>0.29999999999999716</v>
      </c>
      <c r="AC49" s="1786" t="s">
        <v>3870</v>
      </c>
      <c r="AD49" s="1785">
        <v>1.6999999999999993</v>
      </c>
      <c r="AE49" s="1784" t="s">
        <v>3869</v>
      </c>
      <c r="AF49" s="1832">
        <v>4.4215799999999996</v>
      </c>
    </row>
    <row r="50" spans="1:32" x14ac:dyDescent="0.25">
      <c r="A50" s="1844">
        <v>49</v>
      </c>
      <c r="B50" s="1843" t="s">
        <v>3917</v>
      </c>
      <c r="C50" s="1842" t="s">
        <v>35</v>
      </c>
      <c r="D50" s="1886">
        <v>164198.24859999999</v>
      </c>
      <c r="E50" s="1887">
        <v>8246157.5623000003</v>
      </c>
      <c r="F50" s="1838">
        <v>28.5</v>
      </c>
      <c r="G50" s="1841">
        <v>1408</v>
      </c>
      <c r="H50" s="1840">
        <v>0.09</v>
      </c>
      <c r="I50" s="1839">
        <v>8</v>
      </c>
      <c r="J50" s="1838">
        <v>4.6100000000000003</v>
      </c>
      <c r="K50" s="1836">
        <v>5.71</v>
      </c>
      <c r="L50" s="1836">
        <v>18.87</v>
      </c>
      <c r="M50" s="1836">
        <v>70.8</v>
      </c>
      <c r="N50" s="1837">
        <v>95.39</v>
      </c>
      <c r="O50" s="1837">
        <v>89.68</v>
      </c>
      <c r="P50" s="1837">
        <v>70.8</v>
      </c>
      <c r="Q50" s="1836">
        <v>39.6</v>
      </c>
      <c r="R50" s="1836">
        <v>23.2</v>
      </c>
      <c r="S50" s="1836">
        <v>16.399999999999999</v>
      </c>
      <c r="T50" s="1835">
        <v>9.7199999999999989</v>
      </c>
      <c r="U50" s="1835" t="s">
        <v>3900</v>
      </c>
      <c r="V50" s="1834" t="s">
        <v>3887</v>
      </c>
      <c r="W50" s="1833" t="s">
        <v>1222</v>
      </c>
      <c r="X50" s="1785">
        <v>35.799999999999997</v>
      </c>
      <c r="Y50" s="1786" t="s">
        <v>1229</v>
      </c>
      <c r="Z50" s="1785">
        <v>40</v>
      </c>
      <c r="AA50" s="1786" t="s">
        <v>1236</v>
      </c>
      <c r="AB50" s="1785">
        <v>0</v>
      </c>
      <c r="AC50" s="1786" t="s">
        <v>3870</v>
      </c>
      <c r="AD50" s="1785">
        <v>6.3999999999999986</v>
      </c>
      <c r="AE50" s="1784" t="s">
        <v>3869</v>
      </c>
      <c r="AF50" s="1832">
        <v>9.7199999999999989</v>
      </c>
    </row>
    <row r="51" spans="1:32" x14ac:dyDescent="0.25">
      <c r="A51" s="1844">
        <v>50</v>
      </c>
      <c r="B51" s="1843" t="s">
        <v>3916</v>
      </c>
      <c r="C51" s="1842" t="s">
        <v>35</v>
      </c>
      <c r="D51" s="1886">
        <v>164340.1685</v>
      </c>
      <c r="E51" s="1887">
        <v>8246129.7925000004</v>
      </c>
      <c r="F51" s="1838">
        <v>28.4</v>
      </c>
      <c r="G51" s="1841">
        <v>1340</v>
      </c>
      <c r="H51" s="1840">
        <v>0.23</v>
      </c>
      <c r="I51" s="1839">
        <v>6.7</v>
      </c>
      <c r="J51" s="1838">
        <v>1.02</v>
      </c>
      <c r="K51" s="1836">
        <v>3.41</v>
      </c>
      <c r="L51" s="1836">
        <v>16.53</v>
      </c>
      <c r="M51" s="1836">
        <v>79.040000000000006</v>
      </c>
      <c r="N51" s="1837">
        <v>98.98</v>
      </c>
      <c r="O51" s="1837">
        <v>95.57</v>
      </c>
      <c r="P51" s="1837">
        <v>79.040000000000006</v>
      </c>
      <c r="Q51" s="1836">
        <v>34.6</v>
      </c>
      <c r="R51" s="1836">
        <v>22.2</v>
      </c>
      <c r="S51" s="1836">
        <v>12.4</v>
      </c>
      <c r="T51" s="1835">
        <v>8.9600000000000009</v>
      </c>
      <c r="U51" s="1835" t="s">
        <v>3900</v>
      </c>
      <c r="V51" s="1834" t="s">
        <v>3887</v>
      </c>
      <c r="W51" s="1833" t="s">
        <v>1222</v>
      </c>
      <c r="X51" s="1785">
        <v>40</v>
      </c>
      <c r="Y51" s="1786" t="s">
        <v>1229</v>
      </c>
      <c r="Z51" s="1785">
        <v>40</v>
      </c>
      <c r="AA51" s="1786" t="s">
        <v>1236</v>
      </c>
      <c r="AB51" s="1785">
        <v>0</v>
      </c>
      <c r="AC51" s="1786" t="s">
        <v>3870</v>
      </c>
      <c r="AD51" s="1785">
        <v>2.4000000000000004</v>
      </c>
      <c r="AE51" s="1784" t="s">
        <v>3869</v>
      </c>
      <c r="AF51" s="1832">
        <v>8.9600000000000009</v>
      </c>
    </row>
    <row r="52" spans="1:32" x14ac:dyDescent="0.25">
      <c r="A52" s="1844">
        <v>51</v>
      </c>
      <c r="B52" s="1843" t="s">
        <v>3915</v>
      </c>
      <c r="C52" s="1842" t="s">
        <v>35</v>
      </c>
      <c r="D52" s="1886">
        <v>164578.73620000001</v>
      </c>
      <c r="E52" s="1887">
        <v>8246122.1902000001</v>
      </c>
      <c r="F52" s="1838">
        <v>29.5</v>
      </c>
      <c r="G52" s="1841">
        <v>1327</v>
      </c>
      <c r="H52" s="1840">
        <v>0.21</v>
      </c>
      <c r="I52" s="1839">
        <v>6.9</v>
      </c>
      <c r="J52" s="1838">
        <v>0.42</v>
      </c>
      <c r="K52" s="1836">
        <v>3.2</v>
      </c>
      <c r="L52" s="1836">
        <v>15.89</v>
      </c>
      <c r="M52" s="1836">
        <v>80.489999999999995</v>
      </c>
      <c r="N52" s="1837">
        <v>99.58</v>
      </c>
      <c r="O52" s="1837">
        <v>96.38</v>
      </c>
      <c r="P52" s="1837">
        <v>80.489999999999995</v>
      </c>
      <c r="Q52" s="1836">
        <v>42.4</v>
      </c>
      <c r="R52" s="1836">
        <v>27</v>
      </c>
      <c r="S52" s="1836">
        <v>15.4</v>
      </c>
      <c r="T52" s="1835">
        <v>10.64</v>
      </c>
      <c r="U52" s="1835" t="s">
        <v>3888</v>
      </c>
      <c r="V52" s="1834" t="s">
        <v>3906</v>
      </c>
      <c r="W52" s="1833" t="s">
        <v>1222</v>
      </c>
      <c r="X52" s="1785">
        <v>40</v>
      </c>
      <c r="Y52" s="1786" t="s">
        <v>1229</v>
      </c>
      <c r="Z52" s="1785">
        <v>40</v>
      </c>
      <c r="AA52" s="1786" t="s">
        <v>1236</v>
      </c>
      <c r="AB52" s="1785">
        <v>2.3999999999999986</v>
      </c>
      <c r="AC52" s="1786" t="s">
        <v>3870</v>
      </c>
      <c r="AD52" s="1785">
        <v>5.4</v>
      </c>
      <c r="AE52" s="1784" t="s">
        <v>3869</v>
      </c>
      <c r="AF52" s="1832">
        <v>10.64</v>
      </c>
    </row>
    <row r="53" spans="1:32" x14ac:dyDescent="0.25">
      <c r="A53" s="1844">
        <v>52</v>
      </c>
      <c r="B53" s="1843" t="s">
        <v>3914</v>
      </c>
      <c r="C53" s="1842" t="s">
        <v>35</v>
      </c>
      <c r="D53" s="1886">
        <v>164597.86489999999</v>
      </c>
      <c r="E53" s="1887">
        <v>8246231.8322000001</v>
      </c>
      <c r="F53" s="1838">
        <v>31.2</v>
      </c>
      <c r="G53" s="1841">
        <v>1332</v>
      </c>
      <c r="H53" s="1840">
        <v>0.28000000000000003</v>
      </c>
      <c r="I53" s="1839">
        <v>6.9</v>
      </c>
      <c r="J53" s="1838">
        <v>2.87</v>
      </c>
      <c r="K53" s="1836">
        <v>6.16</v>
      </c>
      <c r="L53" s="1836">
        <v>8.27</v>
      </c>
      <c r="M53" s="1836">
        <v>82.7</v>
      </c>
      <c r="N53" s="1837">
        <v>97.13</v>
      </c>
      <c r="O53" s="1837">
        <v>90.97</v>
      </c>
      <c r="P53" s="1837">
        <v>82.7</v>
      </c>
      <c r="Q53" s="1836">
        <v>44.1</v>
      </c>
      <c r="R53" s="1836">
        <v>30.1</v>
      </c>
      <c r="S53" s="1836">
        <v>17</v>
      </c>
      <c r="T53" s="1835">
        <v>11.620000000000001</v>
      </c>
      <c r="U53" s="1835" t="s">
        <v>3888</v>
      </c>
      <c r="V53" s="1834" t="s">
        <v>3906</v>
      </c>
      <c r="W53" s="1833" t="s">
        <v>1222</v>
      </c>
      <c r="X53" s="1785">
        <v>40</v>
      </c>
      <c r="Y53" s="1786" t="s">
        <v>1229</v>
      </c>
      <c r="Z53" s="1785">
        <v>40</v>
      </c>
      <c r="AA53" s="1786" t="s">
        <v>1236</v>
      </c>
      <c r="AB53" s="1785">
        <v>4.1000000000000014</v>
      </c>
      <c r="AC53" s="1786" t="s">
        <v>3870</v>
      </c>
      <c r="AD53" s="1785">
        <v>7</v>
      </c>
      <c r="AE53" s="1784" t="s">
        <v>3869</v>
      </c>
      <c r="AF53" s="1832">
        <v>11.620000000000001</v>
      </c>
    </row>
    <row r="54" spans="1:32" x14ac:dyDescent="0.25">
      <c r="A54" s="1844">
        <v>53</v>
      </c>
      <c r="B54" s="1843" t="s">
        <v>3913</v>
      </c>
      <c r="C54" s="1842" t="s">
        <v>35</v>
      </c>
      <c r="D54" s="1886">
        <v>164694.09580000001</v>
      </c>
      <c r="E54" s="1887">
        <v>8246185.2642999999</v>
      </c>
      <c r="F54" s="1838">
        <v>30.8</v>
      </c>
      <c r="G54" s="1841">
        <v>1348</v>
      </c>
      <c r="H54" s="1840">
        <v>0.25</v>
      </c>
      <c r="I54" s="1839">
        <v>8</v>
      </c>
      <c r="J54" s="1838">
        <v>1.41</v>
      </c>
      <c r="K54" s="1836">
        <v>5.5</v>
      </c>
      <c r="L54" s="1836">
        <v>17.59</v>
      </c>
      <c r="M54" s="1836">
        <v>75.5</v>
      </c>
      <c r="N54" s="1837">
        <v>98.59</v>
      </c>
      <c r="O54" s="1837">
        <v>93.1</v>
      </c>
      <c r="P54" s="1837">
        <v>75.5</v>
      </c>
      <c r="Q54" s="1836">
        <v>39.1</v>
      </c>
      <c r="R54" s="1836">
        <v>24.9</v>
      </c>
      <c r="S54" s="1836">
        <v>14.2</v>
      </c>
      <c r="T54" s="1835">
        <v>9.68</v>
      </c>
      <c r="U54" s="1835" t="s">
        <v>3900</v>
      </c>
      <c r="V54" s="1834" t="s">
        <v>3887</v>
      </c>
      <c r="W54" s="1833" t="s">
        <v>1222</v>
      </c>
      <c r="X54" s="1785">
        <v>40</v>
      </c>
      <c r="Y54" s="1786" t="s">
        <v>1229</v>
      </c>
      <c r="Z54" s="1785">
        <v>40</v>
      </c>
      <c r="AA54" s="1786" t="s">
        <v>1236</v>
      </c>
      <c r="AB54" s="1785">
        <v>0</v>
      </c>
      <c r="AC54" s="1786" t="s">
        <v>3870</v>
      </c>
      <c r="AD54" s="1785">
        <v>4.1999999999999993</v>
      </c>
      <c r="AE54" s="1784" t="s">
        <v>3869</v>
      </c>
      <c r="AF54" s="1832">
        <v>9.68</v>
      </c>
    </row>
    <row r="55" spans="1:32" x14ac:dyDescent="0.25">
      <c r="A55" s="1844">
        <v>54</v>
      </c>
      <c r="B55" s="1843" t="s">
        <v>3912</v>
      </c>
      <c r="C55" s="1842" t="s">
        <v>35</v>
      </c>
      <c r="D55" s="1886">
        <v>164839.05530000001</v>
      </c>
      <c r="E55" s="1887">
        <v>8246439.2725999998</v>
      </c>
      <c r="F55" s="1838">
        <v>34</v>
      </c>
      <c r="G55" s="1841">
        <v>1320</v>
      </c>
      <c r="H55" s="1840">
        <v>0.12</v>
      </c>
      <c r="I55" s="1839">
        <v>6.5</v>
      </c>
      <c r="J55" s="1838">
        <v>0.21</v>
      </c>
      <c r="K55" s="1836">
        <v>5.46</v>
      </c>
      <c r="L55" s="1836">
        <v>9.3000000000000007</v>
      </c>
      <c r="M55" s="1836">
        <v>85.02</v>
      </c>
      <c r="N55" s="1837">
        <v>99.79</v>
      </c>
      <c r="O55" s="1837">
        <v>94.33</v>
      </c>
      <c r="P55" s="1837">
        <v>85.02</v>
      </c>
      <c r="Q55" s="1836">
        <v>47.7</v>
      </c>
      <c r="R55" s="1836">
        <v>31.2</v>
      </c>
      <c r="S55" s="1836">
        <v>16.5</v>
      </c>
      <c r="T55" s="1835">
        <v>12.14</v>
      </c>
      <c r="U55" s="1835" t="s">
        <v>3891</v>
      </c>
      <c r="V55" s="1834" t="s">
        <v>3890</v>
      </c>
      <c r="W55" s="1833" t="s">
        <v>1222</v>
      </c>
      <c r="X55" s="1785">
        <v>40</v>
      </c>
      <c r="Y55" s="1786" t="s">
        <v>1229</v>
      </c>
      <c r="Z55" s="1785">
        <v>40</v>
      </c>
      <c r="AA55" s="1786" t="s">
        <v>1236</v>
      </c>
      <c r="AB55" s="1785">
        <v>7.7000000000000028</v>
      </c>
      <c r="AC55" s="1786" t="s">
        <v>3870</v>
      </c>
      <c r="AD55" s="1785">
        <v>6.5</v>
      </c>
      <c r="AE55" s="1784" t="s">
        <v>3869</v>
      </c>
      <c r="AF55" s="1832">
        <v>12.14</v>
      </c>
    </row>
    <row r="56" spans="1:32" x14ac:dyDescent="0.25">
      <c r="A56" s="1844">
        <v>55</v>
      </c>
      <c r="B56" s="1843" t="s">
        <v>3911</v>
      </c>
      <c r="C56" s="1842" t="s">
        <v>35</v>
      </c>
      <c r="D56" s="1886">
        <v>164992.166</v>
      </c>
      <c r="E56" s="1887">
        <v>8246469.2670999998</v>
      </c>
      <c r="F56" s="1838">
        <v>34</v>
      </c>
      <c r="G56" s="1841">
        <v>1262</v>
      </c>
      <c r="H56" s="1840">
        <v>0.49</v>
      </c>
      <c r="I56" s="1839">
        <v>3.5</v>
      </c>
      <c r="J56" s="1838">
        <v>0.97</v>
      </c>
      <c r="K56" s="1836">
        <v>3.76</v>
      </c>
      <c r="L56" s="1836">
        <v>10.029999999999999</v>
      </c>
      <c r="M56" s="1836">
        <v>85.25</v>
      </c>
      <c r="N56" s="1837">
        <v>99.03</v>
      </c>
      <c r="O56" s="1837">
        <v>95.28</v>
      </c>
      <c r="P56" s="1837">
        <v>85.25</v>
      </c>
      <c r="Q56" s="1836">
        <v>55.2</v>
      </c>
      <c r="R56" s="1836">
        <v>37.700000000000003</v>
      </c>
      <c r="S56" s="1836">
        <v>17.5</v>
      </c>
      <c r="T56" s="1835">
        <v>14.040000000000001</v>
      </c>
      <c r="U56" s="1835" t="s">
        <v>3891</v>
      </c>
      <c r="V56" s="1834" t="s">
        <v>3890</v>
      </c>
      <c r="W56" s="1833" t="s">
        <v>1222</v>
      </c>
      <c r="X56" s="1785">
        <v>40</v>
      </c>
      <c r="Y56" s="1786" t="s">
        <v>1229</v>
      </c>
      <c r="Z56" s="1785">
        <v>40</v>
      </c>
      <c r="AA56" s="1786" t="s">
        <v>1236</v>
      </c>
      <c r="AB56" s="1785">
        <v>15.200000000000003</v>
      </c>
      <c r="AC56" s="1786" t="s">
        <v>3870</v>
      </c>
      <c r="AD56" s="1785">
        <v>7.5</v>
      </c>
      <c r="AE56" s="1784" t="s">
        <v>3869</v>
      </c>
      <c r="AF56" s="1832">
        <v>14.040000000000001</v>
      </c>
    </row>
    <row r="57" spans="1:32" x14ac:dyDescent="0.25">
      <c r="A57" s="1844">
        <v>56</v>
      </c>
      <c r="B57" s="1843" t="s">
        <v>3910</v>
      </c>
      <c r="C57" s="1842" t="s">
        <v>35</v>
      </c>
      <c r="D57" s="1886">
        <v>165021.68659999999</v>
      </c>
      <c r="E57" s="1887">
        <v>8246658.6679999996</v>
      </c>
      <c r="F57" s="1838">
        <v>41</v>
      </c>
      <c r="G57" s="1841">
        <v>1033</v>
      </c>
      <c r="H57" s="1840">
        <v>0.25</v>
      </c>
      <c r="I57" s="1839">
        <v>3.7</v>
      </c>
      <c r="J57" s="1838">
        <v>0.5</v>
      </c>
      <c r="K57" s="1836">
        <v>5.54</v>
      </c>
      <c r="L57" s="1836">
        <v>10.76</v>
      </c>
      <c r="M57" s="1836">
        <v>83.19</v>
      </c>
      <c r="N57" s="1837">
        <v>99.5</v>
      </c>
      <c r="O57" s="1837">
        <v>93.96</v>
      </c>
      <c r="P57" s="1837">
        <v>83.19</v>
      </c>
      <c r="Q57" s="1836">
        <v>64.099999999999994</v>
      </c>
      <c r="R57" s="1836">
        <v>40.200000000000003</v>
      </c>
      <c r="S57" s="1836">
        <v>23.8</v>
      </c>
      <c r="T57" s="1835">
        <v>17.52</v>
      </c>
      <c r="U57" s="1835" t="s">
        <v>3891</v>
      </c>
      <c r="V57" s="1834" t="s">
        <v>3890</v>
      </c>
      <c r="W57" s="1833" t="s">
        <v>1222</v>
      </c>
      <c r="X57" s="1785">
        <v>40</v>
      </c>
      <c r="Y57" s="1786" t="s">
        <v>1229</v>
      </c>
      <c r="Z57" s="1785">
        <v>40</v>
      </c>
      <c r="AA57" s="1786" t="s">
        <v>1236</v>
      </c>
      <c r="AB57" s="1785">
        <v>20</v>
      </c>
      <c r="AC57" s="1786" t="s">
        <v>3870</v>
      </c>
      <c r="AD57" s="1785">
        <v>13.8</v>
      </c>
      <c r="AE57" s="1784" t="s">
        <v>3869</v>
      </c>
      <c r="AF57" s="1832">
        <v>17.52</v>
      </c>
    </row>
    <row r="58" spans="1:32" x14ac:dyDescent="0.25">
      <c r="A58" s="1844">
        <v>57</v>
      </c>
      <c r="B58" s="1843" t="s">
        <v>3909</v>
      </c>
      <c r="C58" s="1842" t="s">
        <v>35</v>
      </c>
      <c r="D58" s="1886">
        <v>165202.8443</v>
      </c>
      <c r="E58" s="1887">
        <v>8246581.8771000002</v>
      </c>
      <c r="F58" s="1838">
        <v>38</v>
      </c>
      <c r="G58" s="1841">
        <v>1248</v>
      </c>
      <c r="H58" s="1840">
        <v>0.34</v>
      </c>
      <c r="I58" s="1839">
        <v>5.8</v>
      </c>
      <c r="J58" s="1838">
        <v>2.35</v>
      </c>
      <c r="K58" s="1836">
        <v>4.5999999999999996</v>
      </c>
      <c r="L58" s="1836">
        <v>8.86</v>
      </c>
      <c r="M58" s="1836">
        <v>84.19</v>
      </c>
      <c r="N58" s="1837">
        <v>97.65</v>
      </c>
      <c r="O58" s="1837">
        <v>93.05</v>
      </c>
      <c r="P58" s="1837">
        <v>84.19</v>
      </c>
      <c r="Q58" s="1836">
        <v>58.3</v>
      </c>
      <c r="R58" s="1836">
        <v>39.299999999999997</v>
      </c>
      <c r="S58" s="1836">
        <v>18.899999999999999</v>
      </c>
      <c r="T58" s="1835">
        <v>15.219999999999999</v>
      </c>
      <c r="U58" s="1835" t="s">
        <v>3891</v>
      </c>
      <c r="V58" s="1834" t="s">
        <v>3890</v>
      </c>
      <c r="W58" s="1833" t="s">
        <v>1222</v>
      </c>
      <c r="X58" s="1785">
        <v>40</v>
      </c>
      <c r="Y58" s="1786" t="s">
        <v>1229</v>
      </c>
      <c r="Z58" s="1785">
        <v>40</v>
      </c>
      <c r="AA58" s="1786" t="s">
        <v>1236</v>
      </c>
      <c r="AB58" s="1785">
        <v>18.299999999999997</v>
      </c>
      <c r="AC58" s="1786" t="s">
        <v>3870</v>
      </c>
      <c r="AD58" s="1785">
        <v>8.8999999999999986</v>
      </c>
      <c r="AE58" s="1784" t="s">
        <v>3869</v>
      </c>
      <c r="AF58" s="1832">
        <v>15.219999999999999</v>
      </c>
    </row>
    <row r="59" spans="1:32" x14ac:dyDescent="0.25">
      <c r="A59" s="1844">
        <v>58</v>
      </c>
      <c r="B59" s="1843" t="s">
        <v>3908</v>
      </c>
      <c r="C59" s="1842" t="s">
        <v>35</v>
      </c>
      <c r="D59" s="1886">
        <v>165281.11670000001</v>
      </c>
      <c r="E59" s="1887">
        <v>8246866.3274999997</v>
      </c>
      <c r="F59" s="1838">
        <v>33.5</v>
      </c>
      <c r="G59" s="1841">
        <v>1217</v>
      </c>
      <c r="H59" s="1840">
        <v>0.49</v>
      </c>
      <c r="I59" s="1839">
        <v>3.4</v>
      </c>
      <c r="J59" s="1838">
        <v>1.32</v>
      </c>
      <c r="K59" s="1836">
        <v>2.5499999999999998</v>
      </c>
      <c r="L59" s="1836">
        <v>11.91</v>
      </c>
      <c r="M59" s="1836">
        <v>84.22</v>
      </c>
      <c r="N59" s="1837">
        <v>98.68</v>
      </c>
      <c r="O59" s="1837">
        <v>96.13</v>
      </c>
      <c r="P59" s="1837">
        <v>84.22</v>
      </c>
      <c r="Q59" s="1836">
        <v>53.7</v>
      </c>
      <c r="R59" s="1836">
        <v>34.700000000000003</v>
      </c>
      <c r="S59" s="1836">
        <v>19</v>
      </c>
      <c r="T59" s="1835">
        <v>14.34</v>
      </c>
      <c r="U59" s="1835" t="s">
        <v>3891</v>
      </c>
      <c r="V59" s="1834" t="s">
        <v>3890</v>
      </c>
      <c r="W59" s="1833" t="s">
        <v>1222</v>
      </c>
      <c r="X59" s="1785">
        <v>40</v>
      </c>
      <c r="Y59" s="1786" t="s">
        <v>1229</v>
      </c>
      <c r="Z59" s="1785">
        <v>40</v>
      </c>
      <c r="AA59" s="1786" t="s">
        <v>1236</v>
      </c>
      <c r="AB59" s="1785">
        <v>13.700000000000003</v>
      </c>
      <c r="AC59" s="1786" t="s">
        <v>3870</v>
      </c>
      <c r="AD59" s="1785">
        <v>9</v>
      </c>
      <c r="AE59" s="1784" t="s">
        <v>3869</v>
      </c>
      <c r="AF59" s="1832">
        <v>14.34</v>
      </c>
    </row>
    <row r="60" spans="1:32" x14ac:dyDescent="0.25">
      <c r="A60" s="1844">
        <v>59</v>
      </c>
      <c r="B60" s="1843" t="s">
        <v>3907</v>
      </c>
      <c r="C60" s="1842" t="s">
        <v>35</v>
      </c>
      <c r="D60" s="1886">
        <v>165425.359</v>
      </c>
      <c r="E60" s="1887">
        <v>8246963.4419</v>
      </c>
      <c r="F60" s="1838">
        <v>61</v>
      </c>
      <c r="G60" s="1841">
        <v>850</v>
      </c>
      <c r="H60" s="1840">
        <v>0.64</v>
      </c>
      <c r="I60" s="1839">
        <v>2.9</v>
      </c>
      <c r="J60" s="1838">
        <v>0.68</v>
      </c>
      <c r="K60" s="1836">
        <v>5.85</v>
      </c>
      <c r="L60" s="1836">
        <v>5.4</v>
      </c>
      <c r="M60" s="1836">
        <v>88.07</v>
      </c>
      <c r="N60" s="1837">
        <v>99.32</v>
      </c>
      <c r="O60" s="1837">
        <v>93.47</v>
      </c>
      <c r="P60" s="1837">
        <v>88.07</v>
      </c>
      <c r="Q60" s="1836">
        <v>68.900000000000006</v>
      </c>
      <c r="R60" s="1836" t="s">
        <v>15</v>
      </c>
      <c r="S60" s="1836" t="s">
        <v>15</v>
      </c>
      <c r="T60" s="1835">
        <v>20</v>
      </c>
      <c r="U60" s="1835" t="s">
        <v>3888</v>
      </c>
      <c r="V60" s="1834" t="s">
        <v>3906</v>
      </c>
      <c r="W60" s="1833" t="s">
        <v>1222</v>
      </c>
      <c r="X60" s="1785">
        <v>40</v>
      </c>
      <c r="Y60" s="1786" t="s">
        <v>1229</v>
      </c>
      <c r="Z60" s="1785">
        <v>40</v>
      </c>
      <c r="AA60" s="1786" t="s">
        <v>1236</v>
      </c>
      <c r="AB60" s="1785">
        <v>20</v>
      </c>
      <c r="AC60" s="1786" t="s">
        <v>3870</v>
      </c>
      <c r="AD60" s="1785">
        <v>20</v>
      </c>
      <c r="AE60" s="1784" t="s">
        <v>3869</v>
      </c>
      <c r="AF60" s="1832">
        <v>20</v>
      </c>
    </row>
    <row r="61" spans="1:32" x14ac:dyDescent="0.25">
      <c r="A61" s="1844">
        <v>60</v>
      </c>
      <c r="B61" s="1843" t="s">
        <v>3905</v>
      </c>
      <c r="C61" s="1842" t="s">
        <v>35</v>
      </c>
      <c r="D61" s="1886">
        <v>165366.29579999999</v>
      </c>
      <c r="E61" s="1887">
        <v>8247091.5927999998</v>
      </c>
      <c r="F61" s="1838">
        <v>28.8</v>
      </c>
      <c r="G61" s="1841">
        <v>1414</v>
      </c>
      <c r="H61" s="1840">
        <v>0.28000000000000003</v>
      </c>
      <c r="I61" s="1839">
        <v>8.1999999999999993</v>
      </c>
      <c r="J61" s="1838">
        <v>4.4400000000000004</v>
      </c>
      <c r="K61" s="1836">
        <v>6.57</v>
      </c>
      <c r="L61" s="1836">
        <v>17.39</v>
      </c>
      <c r="M61" s="1836">
        <v>71.59</v>
      </c>
      <c r="N61" s="1837">
        <v>95.56</v>
      </c>
      <c r="O61" s="1837">
        <v>88.98</v>
      </c>
      <c r="P61" s="1837">
        <v>71.59</v>
      </c>
      <c r="Q61" s="1836">
        <v>40.4</v>
      </c>
      <c r="R61" s="1836">
        <v>26.5</v>
      </c>
      <c r="S61" s="1836">
        <v>13.9</v>
      </c>
      <c r="T61" s="1835">
        <v>8.9511800000000008</v>
      </c>
      <c r="U61" s="1835" t="s">
        <v>3900</v>
      </c>
      <c r="V61" s="1834" t="s">
        <v>3887</v>
      </c>
      <c r="W61" s="1833" t="s">
        <v>1222</v>
      </c>
      <c r="X61" s="1785">
        <v>36.590000000000003</v>
      </c>
      <c r="Y61" s="1786" t="s">
        <v>1229</v>
      </c>
      <c r="Z61" s="1785">
        <v>40</v>
      </c>
      <c r="AA61" s="1786" t="s">
        <v>1236</v>
      </c>
      <c r="AB61" s="1785">
        <v>0.39999999999999858</v>
      </c>
      <c r="AC61" s="1786" t="s">
        <v>3870</v>
      </c>
      <c r="AD61" s="1785">
        <v>3.9000000000000004</v>
      </c>
      <c r="AE61" s="1784" t="s">
        <v>3869</v>
      </c>
      <c r="AF61" s="1832">
        <v>8.9511800000000008</v>
      </c>
    </row>
    <row r="62" spans="1:32" x14ac:dyDescent="0.25">
      <c r="A62" s="1844">
        <v>61</v>
      </c>
      <c r="B62" s="1843" t="s">
        <v>3904</v>
      </c>
      <c r="C62" s="1842" t="s">
        <v>35</v>
      </c>
      <c r="D62" s="1886">
        <v>165487.16639999999</v>
      </c>
      <c r="E62" s="1887">
        <v>8247075.6102999998</v>
      </c>
      <c r="F62" s="1838">
        <v>22</v>
      </c>
      <c r="G62" s="1841">
        <v>1544</v>
      </c>
      <c r="H62" s="1840">
        <v>0.08</v>
      </c>
      <c r="I62" s="1839">
        <v>9</v>
      </c>
      <c r="J62" s="1838">
        <v>16.07</v>
      </c>
      <c r="K62" s="1836">
        <v>9.49</v>
      </c>
      <c r="L62" s="1836">
        <v>13.33</v>
      </c>
      <c r="M62" s="1836">
        <v>61.12</v>
      </c>
      <c r="N62" s="1837">
        <v>83.93</v>
      </c>
      <c r="O62" s="1837">
        <v>74.44</v>
      </c>
      <c r="P62" s="1837">
        <v>61.12</v>
      </c>
      <c r="Q62" s="1836">
        <v>37.9</v>
      </c>
      <c r="R62" s="1836">
        <v>25.6</v>
      </c>
      <c r="S62" s="1836">
        <v>12.3</v>
      </c>
      <c r="T62" s="1835">
        <v>6.1440000000000001</v>
      </c>
      <c r="U62" s="1835" t="s">
        <v>3900</v>
      </c>
      <c r="V62" s="1834" t="s">
        <v>3887</v>
      </c>
      <c r="W62" s="1833" t="s">
        <v>1222</v>
      </c>
      <c r="X62" s="1785">
        <v>26.119999999999997</v>
      </c>
      <c r="Y62" s="1786" t="s">
        <v>1229</v>
      </c>
      <c r="Z62" s="1785">
        <v>40</v>
      </c>
      <c r="AA62" s="1786" t="s">
        <v>1236</v>
      </c>
      <c r="AB62" s="1785">
        <v>0</v>
      </c>
      <c r="AC62" s="1786" t="s">
        <v>3870</v>
      </c>
      <c r="AD62" s="1785">
        <v>2.3000000000000007</v>
      </c>
      <c r="AE62" s="1784" t="s">
        <v>3869</v>
      </c>
      <c r="AF62" s="1832">
        <v>6.1440000000000001</v>
      </c>
    </row>
    <row r="63" spans="1:32" x14ac:dyDescent="0.25">
      <c r="A63" s="1844">
        <v>62</v>
      </c>
      <c r="B63" s="1843" t="s">
        <v>3903</v>
      </c>
      <c r="C63" s="1842" t="s">
        <v>35</v>
      </c>
      <c r="D63" s="1886">
        <v>165608.59099999999</v>
      </c>
      <c r="E63" s="1887">
        <v>8247027.3711999999</v>
      </c>
      <c r="F63" s="1838">
        <v>68.8</v>
      </c>
      <c r="G63" s="1841">
        <v>842</v>
      </c>
      <c r="H63" s="1840">
        <v>0.23</v>
      </c>
      <c r="I63" s="1839">
        <v>3.8</v>
      </c>
      <c r="J63" s="1838">
        <v>0.9</v>
      </c>
      <c r="K63" s="1836">
        <v>4.28</v>
      </c>
      <c r="L63" s="1836">
        <v>6.34</v>
      </c>
      <c r="M63" s="1836">
        <v>88.48</v>
      </c>
      <c r="N63" s="1837">
        <v>99.1</v>
      </c>
      <c r="O63" s="1837">
        <v>94.82</v>
      </c>
      <c r="P63" s="1837">
        <v>88.48</v>
      </c>
      <c r="Q63" s="1836">
        <v>71.8</v>
      </c>
      <c r="R63" s="1836">
        <v>50.8</v>
      </c>
      <c r="S63" s="1836">
        <v>21.1</v>
      </c>
      <c r="T63" s="1835">
        <v>16.440000000000001</v>
      </c>
      <c r="U63" s="1835" t="s">
        <v>3891</v>
      </c>
      <c r="V63" s="1834" t="s">
        <v>3890</v>
      </c>
      <c r="W63" s="1833" t="s">
        <v>1222</v>
      </c>
      <c r="X63" s="1785">
        <v>40</v>
      </c>
      <c r="Y63" s="1786" t="s">
        <v>1229</v>
      </c>
      <c r="Z63" s="1785">
        <v>40</v>
      </c>
      <c r="AA63" s="1786" t="s">
        <v>1236</v>
      </c>
      <c r="AB63" s="1785">
        <v>20</v>
      </c>
      <c r="AC63" s="1786" t="s">
        <v>3870</v>
      </c>
      <c r="AD63" s="1785">
        <v>11.100000000000001</v>
      </c>
      <c r="AE63" s="1784" t="s">
        <v>3869</v>
      </c>
      <c r="AF63" s="1832">
        <v>16.440000000000001</v>
      </c>
    </row>
    <row r="64" spans="1:32" x14ac:dyDescent="0.25">
      <c r="A64" s="1844">
        <v>63</v>
      </c>
      <c r="B64" s="1843" t="s">
        <v>3902</v>
      </c>
      <c r="C64" s="1842" t="s">
        <v>35</v>
      </c>
      <c r="D64" s="1888">
        <v>165649.9944</v>
      </c>
      <c r="E64" s="1887">
        <v>8247136.5970000001</v>
      </c>
      <c r="F64" s="1838">
        <v>29.5</v>
      </c>
      <c r="G64" s="1841">
        <v>1317</v>
      </c>
      <c r="H64" s="1840">
        <v>0.18</v>
      </c>
      <c r="I64" s="1839">
        <v>3.9</v>
      </c>
      <c r="J64" s="1838">
        <v>1</v>
      </c>
      <c r="K64" s="1836">
        <v>2.75</v>
      </c>
      <c r="L64" s="1836">
        <v>12.47</v>
      </c>
      <c r="M64" s="1836">
        <v>83.79</v>
      </c>
      <c r="N64" s="1837">
        <v>99</v>
      </c>
      <c r="O64" s="1837">
        <v>96.25</v>
      </c>
      <c r="P64" s="1837">
        <v>83.79</v>
      </c>
      <c r="Q64" s="1836">
        <v>41</v>
      </c>
      <c r="R64" s="1836">
        <v>25.7</v>
      </c>
      <c r="S64" s="1836">
        <v>15.2</v>
      </c>
      <c r="T64" s="1835">
        <v>10.28</v>
      </c>
      <c r="U64" s="1835" t="s">
        <v>3888</v>
      </c>
      <c r="V64" s="1834" t="s">
        <v>3887</v>
      </c>
      <c r="W64" s="1833" t="s">
        <v>1222</v>
      </c>
      <c r="X64" s="1785">
        <v>40</v>
      </c>
      <c r="Y64" s="1786" t="s">
        <v>1229</v>
      </c>
      <c r="Z64" s="1785">
        <v>40</v>
      </c>
      <c r="AA64" s="1786" t="s">
        <v>1236</v>
      </c>
      <c r="AB64" s="1785">
        <v>1</v>
      </c>
      <c r="AC64" s="1786" t="s">
        <v>3870</v>
      </c>
      <c r="AD64" s="1785">
        <v>5.1999999999999993</v>
      </c>
      <c r="AE64" s="1784" t="s">
        <v>3869</v>
      </c>
      <c r="AF64" s="1832">
        <v>10.28</v>
      </c>
    </row>
    <row r="65" spans="1:32" x14ac:dyDescent="0.25">
      <c r="A65" s="1844">
        <v>64</v>
      </c>
      <c r="B65" s="1843" t="s">
        <v>3901</v>
      </c>
      <c r="C65" s="1842" t="s">
        <v>35</v>
      </c>
      <c r="D65" s="1888">
        <v>165758.92809999999</v>
      </c>
      <c r="E65" s="1889">
        <v>8247171.9270000001</v>
      </c>
      <c r="F65" s="1838">
        <v>31</v>
      </c>
      <c r="G65" s="1841">
        <v>1300</v>
      </c>
      <c r="H65" s="1840">
        <v>0.32</v>
      </c>
      <c r="I65" s="1839">
        <v>4</v>
      </c>
      <c r="J65" s="1838">
        <v>0.73</v>
      </c>
      <c r="K65" s="1836">
        <v>5.22</v>
      </c>
      <c r="L65" s="1836">
        <v>11.94</v>
      </c>
      <c r="M65" s="1836">
        <v>82.11</v>
      </c>
      <c r="N65" s="1837">
        <v>99.27</v>
      </c>
      <c r="O65" s="1837">
        <v>94.05</v>
      </c>
      <c r="P65" s="1837">
        <v>82.11</v>
      </c>
      <c r="Q65" s="1836">
        <v>40.6</v>
      </c>
      <c r="R65" s="1836">
        <v>23.6</v>
      </c>
      <c r="S65" s="1836">
        <v>17</v>
      </c>
      <c r="T65" s="1835">
        <v>10.920000000000002</v>
      </c>
      <c r="U65" s="1835" t="s">
        <v>3900</v>
      </c>
      <c r="V65" s="1834" t="s">
        <v>3887</v>
      </c>
      <c r="W65" s="1833" t="s">
        <v>1222</v>
      </c>
      <c r="X65" s="1785">
        <v>40</v>
      </c>
      <c r="Y65" s="1786" t="s">
        <v>1229</v>
      </c>
      <c r="Z65" s="1785">
        <v>40</v>
      </c>
      <c r="AA65" s="1786" t="s">
        <v>1236</v>
      </c>
      <c r="AB65" s="1785">
        <v>0.60000000000000142</v>
      </c>
      <c r="AC65" s="1786" t="s">
        <v>3870</v>
      </c>
      <c r="AD65" s="1785">
        <v>7</v>
      </c>
      <c r="AE65" s="1784" t="s">
        <v>3869</v>
      </c>
      <c r="AF65" s="1832">
        <v>10.920000000000002</v>
      </c>
    </row>
    <row r="66" spans="1:32" x14ac:dyDescent="0.25">
      <c r="A66" s="1844">
        <v>65</v>
      </c>
      <c r="B66" s="1843" t="s">
        <v>3899</v>
      </c>
      <c r="C66" s="1842" t="s">
        <v>35</v>
      </c>
      <c r="D66" s="1888">
        <v>165943.6796</v>
      </c>
      <c r="E66" s="1889">
        <v>8247285.8713999996</v>
      </c>
      <c r="F66" s="1838">
        <v>20.8</v>
      </c>
      <c r="G66" s="1841">
        <v>1731</v>
      </c>
      <c r="H66" s="1840">
        <v>0.03</v>
      </c>
      <c r="I66" s="1839">
        <v>10.8</v>
      </c>
      <c r="J66" s="1838">
        <v>36.869999999999997</v>
      </c>
      <c r="K66" s="1836">
        <v>9.35</v>
      </c>
      <c r="L66" s="1836">
        <v>10.19</v>
      </c>
      <c r="M66" s="1836">
        <v>43.59</v>
      </c>
      <c r="N66" s="1837">
        <v>63.13</v>
      </c>
      <c r="O66" s="1837">
        <v>53.78</v>
      </c>
      <c r="P66" s="1837">
        <v>43.59</v>
      </c>
      <c r="Q66" s="1836">
        <v>30</v>
      </c>
      <c r="R66" s="1836">
        <v>19.5</v>
      </c>
      <c r="S66" s="1836">
        <v>10.6</v>
      </c>
      <c r="T66" s="1835">
        <v>1.8895400000000007</v>
      </c>
      <c r="U66" s="1835" t="s">
        <v>3898</v>
      </c>
      <c r="V66" s="1834" t="s">
        <v>3897</v>
      </c>
      <c r="W66" s="1833" t="s">
        <v>1222</v>
      </c>
      <c r="X66" s="1785">
        <v>8.5900000000000034</v>
      </c>
      <c r="Y66" s="1786" t="s">
        <v>1229</v>
      </c>
      <c r="Z66" s="1785">
        <v>28.590000000000003</v>
      </c>
      <c r="AA66" s="1786" t="s">
        <v>1236</v>
      </c>
      <c r="AB66" s="1785">
        <v>0</v>
      </c>
      <c r="AC66" s="1786" t="s">
        <v>3870</v>
      </c>
      <c r="AD66" s="1785">
        <v>0.59999999999999964</v>
      </c>
      <c r="AE66" s="1784" t="s">
        <v>3869</v>
      </c>
      <c r="AF66" s="1832">
        <v>1.8895400000000007</v>
      </c>
    </row>
    <row r="67" spans="1:32" x14ac:dyDescent="0.25">
      <c r="A67" s="1844">
        <v>66</v>
      </c>
      <c r="B67" s="1843" t="s">
        <v>3896</v>
      </c>
      <c r="C67" s="1842" t="s">
        <v>35</v>
      </c>
      <c r="D67" s="1886">
        <v>166131.80480000001</v>
      </c>
      <c r="E67" s="1887">
        <v>8247218.2322000004</v>
      </c>
      <c r="F67" s="1838">
        <v>31.4</v>
      </c>
      <c r="G67" s="1841">
        <v>1280</v>
      </c>
      <c r="H67" s="1840">
        <v>0.16</v>
      </c>
      <c r="I67" s="1839">
        <v>3</v>
      </c>
      <c r="J67" s="1838">
        <v>1.56</v>
      </c>
      <c r="K67" s="1836">
        <v>4.34</v>
      </c>
      <c r="L67" s="1836">
        <v>7.46</v>
      </c>
      <c r="M67" s="1836">
        <v>86.64</v>
      </c>
      <c r="N67" s="1837">
        <v>98.44</v>
      </c>
      <c r="O67" s="1837">
        <v>94.11</v>
      </c>
      <c r="P67" s="1837">
        <v>86.64</v>
      </c>
      <c r="Q67" s="1836">
        <v>45.3</v>
      </c>
      <c r="R67" s="1836">
        <v>29.7</v>
      </c>
      <c r="S67" s="1836">
        <v>15.6</v>
      </c>
      <c r="T67" s="1835">
        <v>11.299999999999999</v>
      </c>
      <c r="U67" s="1835" t="s">
        <v>3888</v>
      </c>
      <c r="V67" s="1834" t="s">
        <v>3887</v>
      </c>
      <c r="W67" s="1833" t="s">
        <v>1222</v>
      </c>
      <c r="X67" s="1785">
        <v>40</v>
      </c>
      <c r="Y67" s="1786" t="s">
        <v>1229</v>
      </c>
      <c r="Z67" s="1785">
        <v>40</v>
      </c>
      <c r="AA67" s="1786" t="s">
        <v>1236</v>
      </c>
      <c r="AB67" s="1785">
        <v>5.2999999999999972</v>
      </c>
      <c r="AC67" s="1786" t="s">
        <v>3870</v>
      </c>
      <c r="AD67" s="1785">
        <v>5.6</v>
      </c>
      <c r="AE67" s="1784" t="s">
        <v>3869</v>
      </c>
      <c r="AF67" s="1832">
        <v>11.299999999999999</v>
      </c>
    </row>
    <row r="68" spans="1:32" x14ac:dyDescent="0.25">
      <c r="A68" s="1844">
        <v>67</v>
      </c>
      <c r="B68" s="1843" t="s">
        <v>3895</v>
      </c>
      <c r="C68" s="1842" t="s">
        <v>35</v>
      </c>
      <c r="D68" s="1888">
        <v>166128.18119999999</v>
      </c>
      <c r="E68" s="1889">
        <v>8247077.8202</v>
      </c>
      <c r="F68" s="1838">
        <v>32</v>
      </c>
      <c r="G68" s="1841">
        <v>1292</v>
      </c>
      <c r="H68" s="1840">
        <v>0.15</v>
      </c>
      <c r="I68" s="1839">
        <v>8.1999999999999993</v>
      </c>
      <c r="J68" s="1838">
        <v>1.1499999999999999</v>
      </c>
      <c r="K68" s="1836">
        <v>5.1100000000000003</v>
      </c>
      <c r="L68" s="1836">
        <v>8.26</v>
      </c>
      <c r="M68" s="1836">
        <v>85.48</v>
      </c>
      <c r="N68" s="1837">
        <v>98.85</v>
      </c>
      <c r="O68" s="1837">
        <v>93.74</v>
      </c>
      <c r="P68" s="1837">
        <v>85.48</v>
      </c>
      <c r="Q68" s="1836">
        <v>50.2</v>
      </c>
      <c r="R68" s="1836">
        <v>34.9</v>
      </c>
      <c r="S68" s="1836">
        <v>15.3</v>
      </c>
      <c r="T68" s="1835">
        <v>12.160000000000002</v>
      </c>
      <c r="U68" s="1835" t="s">
        <v>3891</v>
      </c>
      <c r="V68" s="1834" t="s">
        <v>3890</v>
      </c>
      <c r="W68" s="1833" t="s">
        <v>1222</v>
      </c>
      <c r="X68" s="1785">
        <v>40</v>
      </c>
      <c r="Y68" s="1786" t="s">
        <v>1229</v>
      </c>
      <c r="Z68" s="1785">
        <v>40</v>
      </c>
      <c r="AA68" s="1786" t="s">
        <v>1236</v>
      </c>
      <c r="AB68" s="1785">
        <v>10.200000000000003</v>
      </c>
      <c r="AC68" s="1786" t="s">
        <v>3870</v>
      </c>
      <c r="AD68" s="1785">
        <v>5.3000000000000007</v>
      </c>
      <c r="AE68" s="1784" t="s">
        <v>3869</v>
      </c>
      <c r="AF68" s="1832">
        <v>12.160000000000002</v>
      </c>
    </row>
    <row r="69" spans="1:32" x14ac:dyDescent="0.25">
      <c r="A69" s="1844">
        <v>68</v>
      </c>
      <c r="B69" s="1843" t="s">
        <v>3894</v>
      </c>
      <c r="C69" s="1842" t="s">
        <v>35</v>
      </c>
      <c r="D69" s="1888">
        <v>165502.39610000001</v>
      </c>
      <c r="E69" s="1889">
        <v>8246870.4464999996</v>
      </c>
      <c r="F69" s="1838">
        <v>31</v>
      </c>
      <c r="G69" s="1841">
        <v>1303</v>
      </c>
      <c r="H69" s="1840">
        <v>0.15</v>
      </c>
      <c r="I69" s="1839">
        <v>4.0999999999999996</v>
      </c>
      <c r="J69" s="1838">
        <v>1.06</v>
      </c>
      <c r="K69" s="1836">
        <v>1.46</v>
      </c>
      <c r="L69" s="1836">
        <v>9.11</v>
      </c>
      <c r="M69" s="1836">
        <v>88.36</v>
      </c>
      <c r="N69" s="1837">
        <v>98.94</v>
      </c>
      <c r="O69" s="1837">
        <v>97.48</v>
      </c>
      <c r="P69" s="1837">
        <v>88.36</v>
      </c>
      <c r="Q69" s="1836">
        <v>50.2</v>
      </c>
      <c r="R69" s="1836">
        <v>33.700000000000003</v>
      </c>
      <c r="S69" s="1836">
        <v>16.399999999999999</v>
      </c>
      <c r="T69" s="1835">
        <v>12.600000000000001</v>
      </c>
      <c r="U69" s="1835" t="s">
        <v>3891</v>
      </c>
      <c r="V69" s="1834" t="s">
        <v>3890</v>
      </c>
      <c r="W69" s="1833" t="s">
        <v>1222</v>
      </c>
      <c r="X69" s="1785">
        <v>40</v>
      </c>
      <c r="Y69" s="1786" t="s">
        <v>1229</v>
      </c>
      <c r="Z69" s="1785">
        <v>40</v>
      </c>
      <c r="AA69" s="1786" t="s">
        <v>1236</v>
      </c>
      <c r="AB69" s="1785">
        <v>10.200000000000003</v>
      </c>
      <c r="AC69" s="1786" t="s">
        <v>3870</v>
      </c>
      <c r="AD69" s="1785">
        <v>6.3999999999999986</v>
      </c>
      <c r="AE69" s="1784" t="s">
        <v>3869</v>
      </c>
      <c r="AF69" s="1832">
        <v>12.600000000000001</v>
      </c>
    </row>
    <row r="70" spans="1:32" x14ac:dyDescent="0.25">
      <c r="A70" s="1844">
        <v>69</v>
      </c>
      <c r="B70" s="1843" t="s">
        <v>3893</v>
      </c>
      <c r="C70" s="1842" t="s">
        <v>35</v>
      </c>
      <c r="D70" s="1888">
        <v>165601.52050000001</v>
      </c>
      <c r="E70" s="1889">
        <v>8246890.6644000001</v>
      </c>
      <c r="F70" s="1838">
        <v>65</v>
      </c>
      <c r="G70" s="1841">
        <v>865</v>
      </c>
      <c r="H70" s="1840">
        <v>0.71</v>
      </c>
      <c r="I70" s="1839">
        <v>2.9</v>
      </c>
      <c r="J70" s="1838">
        <v>0</v>
      </c>
      <c r="K70" s="1836">
        <v>2.15</v>
      </c>
      <c r="L70" s="1836">
        <v>5.14</v>
      </c>
      <c r="M70" s="1836">
        <v>92.7</v>
      </c>
      <c r="N70" s="1837">
        <v>100</v>
      </c>
      <c r="O70" s="1837">
        <v>97.85</v>
      </c>
      <c r="P70" s="1837">
        <v>92.7</v>
      </c>
      <c r="Q70" s="1836">
        <v>69.2</v>
      </c>
      <c r="R70" s="1836" t="s">
        <v>15</v>
      </c>
      <c r="S70" s="1836" t="s">
        <v>15</v>
      </c>
      <c r="T70" s="1835">
        <v>20</v>
      </c>
      <c r="U70" s="1835" t="s">
        <v>3888</v>
      </c>
      <c r="V70" s="1834" t="s">
        <v>3887</v>
      </c>
      <c r="W70" s="1833" t="s">
        <v>1222</v>
      </c>
      <c r="X70" s="1785">
        <v>40</v>
      </c>
      <c r="Y70" s="1786" t="s">
        <v>1229</v>
      </c>
      <c r="Z70" s="1785">
        <v>40</v>
      </c>
      <c r="AA70" s="1786" t="s">
        <v>1236</v>
      </c>
      <c r="AB70" s="1785">
        <v>20</v>
      </c>
      <c r="AC70" s="1786" t="s">
        <v>3870</v>
      </c>
      <c r="AD70" s="1785">
        <v>20</v>
      </c>
      <c r="AE70" s="1784" t="s">
        <v>3869</v>
      </c>
      <c r="AF70" s="1832">
        <v>20</v>
      </c>
    </row>
    <row r="71" spans="1:32" x14ac:dyDescent="0.25">
      <c r="A71" s="1844">
        <v>70</v>
      </c>
      <c r="B71" s="1843" t="s">
        <v>3892</v>
      </c>
      <c r="C71" s="1842" t="s">
        <v>35</v>
      </c>
      <c r="D71" s="1888">
        <v>165533.5129</v>
      </c>
      <c r="E71" s="1887">
        <v>8246742.8014000002</v>
      </c>
      <c r="F71" s="1838">
        <v>29.3</v>
      </c>
      <c r="G71" s="1841">
        <v>1328</v>
      </c>
      <c r="H71" s="1840">
        <v>0.17</v>
      </c>
      <c r="I71" s="1839">
        <v>6</v>
      </c>
      <c r="J71" s="1838">
        <v>2.89</v>
      </c>
      <c r="K71" s="1836">
        <v>6.59</v>
      </c>
      <c r="L71" s="1836">
        <v>12.26</v>
      </c>
      <c r="M71" s="1836">
        <v>78.260000000000005</v>
      </c>
      <c r="N71" s="1837">
        <v>97.11</v>
      </c>
      <c r="O71" s="1837">
        <v>90.52</v>
      </c>
      <c r="P71" s="1837">
        <v>82.48</v>
      </c>
      <c r="Q71" s="1836">
        <v>45.8</v>
      </c>
      <c r="R71" s="1836">
        <v>31.5</v>
      </c>
      <c r="S71" s="1836">
        <v>14.3</v>
      </c>
      <c r="T71" s="1835">
        <v>10.88</v>
      </c>
      <c r="U71" s="1835" t="s">
        <v>3891</v>
      </c>
      <c r="V71" s="1834" t="s">
        <v>3890</v>
      </c>
      <c r="W71" s="1833" t="s">
        <v>1222</v>
      </c>
      <c r="X71" s="1785">
        <v>40</v>
      </c>
      <c r="Y71" s="1786" t="s">
        <v>1229</v>
      </c>
      <c r="Z71" s="1785">
        <v>40</v>
      </c>
      <c r="AA71" s="1786" t="s">
        <v>1236</v>
      </c>
      <c r="AB71" s="1785">
        <v>5.7999999999999972</v>
      </c>
      <c r="AC71" s="1786" t="s">
        <v>3870</v>
      </c>
      <c r="AD71" s="1785">
        <v>4.3000000000000007</v>
      </c>
      <c r="AE71" s="1784" t="s">
        <v>3869</v>
      </c>
      <c r="AF71" s="1832">
        <v>10.88</v>
      </c>
    </row>
    <row r="72" spans="1:32" x14ac:dyDescent="0.25">
      <c r="A72" s="1844">
        <v>71</v>
      </c>
      <c r="B72" s="1843" t="s">
        <v>3889</v>
      </c>
      <c r="C72" s="1842" t="s">
        <v>35</v>
      </c>
      <c r="D72" s="1888">
        <v>164079.329</v>
      </c>
      <c r="E72" s="1889">
        <v>8247073.1608999996</v>
      </c>
      <c r="F72" s="1838">
        <v>33.799999999999997</v>
      </c>
      <c r="G72" s="1841">
        <v>1320</v>
      </c>
      <c r="H72" s="1840">
        <v>7.0000000000000007E-2</v>
      </c>
      <c r="I72" s="1839">
        <v>4.2</v>
      </c>
      <c r="J72" s="1838">
        <v>1.78</v>
      </c>
      <c r="K72" s="1836">
        <v>5.31</v>
      </c>
      <c r="L72" s="1836">
        <v>7.59</v>
      </c>
      <c r="M72" s="1836">
        <v>85.32</v>
      </c>
      <c r="N72" s="1837">
        <v>98.22</v>
      </c>
      <c r="O72" s="1837">
        <v>92.92</v>
      </c>
      <c r="P72" s="1837">
        <v>85.32</v>
      </c>
      <c r="Q72" s="1836">
        <v>47.7</v>
      </c>
      <c r="R72" s="1836">
        <v>29.2</v>
      </c>
      <c r="S72" s="1836">
        <v>18.5</v>
      </c>
      <c r="T72" s="1835">
        <v>12.940000000000001</v>
      </c>
      <c r="U72" s="1835" t="s">
        <v>3888</v>
      </c>
      <c r="V72" s="1834" t="s">
        <v>3887</v>
      </c>
      <c r="W72" s="1833" t="s">
        <v>1222</v>
      </c>
      <c r="X72" s="1785">
        <v>40</v>
      </c>
      <c r="Y72" s="1786" t="s">
        <v>1229</v>
      </c>
      <c r="Z72" s="1785">
        <v>40</v>
      </c>
      <c r="AA72" s="1786" t="s">
        <v>1236</v>
      </c>
      <c r="AB72" s="1785">
        <v>7.7000000000000028</v>
      </c>
      <c r="AC72" s="1786" t="s">
        <v>3870</v>
      </c>
      <c r="AD72" s="1785">
        <v>8.5</v>
      </c>
      <c r="AE72" s="1784" t="s">
        <v>3869</v>
      </c>
      <c r="AF72" s="1832">
        <v>12.940000000000001</v>
      </c>
    </row>
    <row r="73" spans="1:32" x14ac:dyDescent="0.25">
      <c r="A73" s="1844">
        <v>72</v>
      </c>
      <c r="B73" s="1843" t="s">
        <v>3886</v>
      </c>
      <c r="C73" s="1842" t="s">
        <v>35</v>
      </c>
      <c r="D73" s="1888">
        <v>163202.4184</v>
      </c>
      <c r="E73" s="1889">
        <v>8245905.9138000002</v>
      </c>
      <c r="F73" s="1838">
        <v>19.399999999999999</v>
      </c>
      <c r="G73" s="1841">
        <v>1784</v>
      </c>
      <c r="H73" s="1840">
        <v>0.02</v>
      </c>
      <c r="I73" s="1839">
        <v>15.8</v>
      </c>
      <c r="J73" s="1838">
        <v>45.31</v>
      </c>
      <c r="K73" s="1836">
        <v>6.65</v>
      </c>
      <c r="L73" s="1836">
        <v>14.64</v>
      </c>
      <c r="M73" s="1836">
        <v>33.39</v>
      </c>
      <c r="N73" s="1837">
        <v>54.69</v>
      </c>
      <c r="O73" s="1837">
        <v>48.03</v>
      </c>
      <c r="P73" s="1837">
        <v>33.39</v>
      </c>
      <c r="Q73" s="1836">
        <v>24.3</v>
      </c>
      <c r="R73" s="1836">
        <v>18.100000000000001</v>
      </c>
      <c r="S73" s="1836">
        <v>6.2</v>
      </c>
      <c r="T73" s="1835">
        <v>0</v>
      </c>
      <c r="U73" s="1835" t="s">
        <v>3885</v>
      </c>
      <c r="V73" s="1834" t="s">
        <v>3884</v>
      </c>
      <c r="W73" s="1833" t="s">
        <v>1222</v>
      </c>
      <c r="X73" s="1785">
        <v>0</v>
      </c>
      <c r="Y73" s="1786" t="s">
        <v>1229</v>
      </c>
      <c r="Z73" s="1785">
        <v>18.39</v>
      </c>
      <c r="AA73" s="1786" t="s">
        <v>1236</v>
      </c>
      <c r="AB73" s="1785">
        <v>0</v>
      </c>
      <c r="AC73" s="1786" t="s">
        <v>3870</v>
      </c>
      <c r="AD73" s="1785">
        <v>0</v>
      </c>
      <c r="AE73" s="1784" t="s">
        <v>3869</v>
      </c>
      <c r="AF73" s="1832">
        <v>0</v>
      </c>
    </row>
    <row r="74" spans="1:32" x14ac:dyDescent="0.25">
      <c r="A74" s="1844">
        <v>73</v>
      </c>
      <c r="B74" s="1843" t="s">
        <v>3883</v>
      </c>
      <c r="C74" s="1842" t="s">
        <v>35</v>
      </c>
      <c r="D74" s="1888">
        <v>164966</v>
      </c>
      <c r="E74" s="1889">
        <v>8246365</v>
      </c>
      <c r="F74" s="1838">
        <v>33.299999999999997</v>
      </c>
      <c r="G74" s="1841">
        <v>1316</v>
      </c>
      <c r="H74" s="1840">
        <v>0.09</v>
      </c>
      <c r="I74" s="1839">
        <v>6.5</v>
      </c>
      <c r="J74" s="1838">
        <v>0.97</v>
      </c>
      <c r="K74" s="1836">
        <v>4.83</v>
      </c>
      <c r="L74" s="1836">
        <v>9.6199999999999992</v>
      </c>
      <c r="M74" s="1836">
        <v>84.59</v>
      </c>
      <c r="N74" s="1837">
        <v>99.03</v>
      </c>
      <c r="O74" s="1837">
        <v>94.2</v>
      </c>
      <c r="P74" s="1837">
        <v>84.59</v>
      </c>
      <c r="Q74" s="1836">
        <v>46.8</v>
      </c>
      <c r="R74" s="1836">
        <v>31.5</v>
      </c>
      <c r="S74" s="1836">
        <v>15.3</v>
      </c>
      <c r="T74" s="1835">
        <v>11.48</v>
      </c>
      <c r="U74" s="1835" t="s">
        <v>3891</v>
      </c>
      <c r="V74" s="1834" t="s">
        <v>3890</v>
      </c>
      <c r="W74" s="1833" t="s">
        <v>1222</v>
      </c>
      <c r="X74" s="1785">
        <v>40</v>
      </c>
      <c r="Y74" s="1786" t="s">
        <v>1229</v>
      </c>
      <c r="Z74" s="1785">
        <v>40</v>
      </c>
      <c r="AA74" s="1786" t="s">
        <v>1236</v>
      </c>
      <c r="AB74" s="1785">
        <v>6.7999999999999972</v>
      </c>
      <c r="AC74" s="1786" t="s">
        <v>3870</v>
      </c>
      <c r="AD74" s="1785">
        <v>5.3000000000000007</v>
      </c>
      <c r="AE74" s="1784" t="s">
        <v>3869</v>
      </c>
      <c r="AF74" s="1832">
        <v>11.48</v>
      </c>
    </row>
    <row r="75" spans="1:32" x14ac:dyDescent="0.25">
      <c r="A75" s="1844">
        <v>74</v>
      </c>
      <c r="B75" s="1843" t="s">
        <v>3882</v>
      </c>
      <c r="C75" s="1842" t="s">
        <v>35</v>
      </c>
      <c r="D75" s="1890">
        <v>164906</v>
      </c>
      <c r="E75" s="1889">
        <v>8246454</v>
      </c>
      <c r="F75" s="1838">
        <v>28.9</v>
      </c>
      <c r="G75" s="1841">
        <v>1352</v>
      </c>
      <c r="H75" s="1840">
        <v>0.15</v>
      </c>
      <c r="I75" s="1839">
        <v>7.2</v>
      </c>
      <c r="J75" s="1838">
        <v>12.53</v>
      </c>
      <c r="K75" s="1836">
        <v>5.93</v>
      </c>
      <c r="L75" s="1836">
        <v>9.07</v>
      </c>
      <c r="M75" s="1836">
        <v>72.47</v>
      </c>
      <c r="N75" s="1837">
        <v>87.47</v>
      </c>
      <c r="O75" s="1837">
        <v>81.540000000000006</v>
      </c>
      <c r="P75" s="1837">
        <v>72.47</v>
      </c>
      <c r="Q75" s="1836">
        <v>41.1</v>
      </c>
      <c r="R75" s="1836">
        <v>24.8</v>
      </c>
      <c r="S75" s="1836">
        <v>16.3</v>
      </c>
      <c r="T75" s="1835">
        <v>10.220085000000001</v>
      </c>
      <c r="U75" s="1835" t="s">
        <v>3888</v>
      </c>
      <c r="V75" s="1834" t="s">
        <v>3887</v>
      </c>
      <c r="W75" s="1833" t="s">
        <v>1222</v>
      </c>
      <c r="X75" s="1785">
        <v>37.47</v>
      </c>
      <c r="Y75" s="1786" t="s">
        <v>1229</v>
      </c>
      <c r="Z75" s="1785">
        <v>40</v>
      </c>
      <c r="AA75" s="1786" t="s">
        <v>1236</v>
      </c>
      <c r="AB75" s="1785">
        <v>1.1000000000000014</v>
      </c>
      <c r="AC75" s="1786" t="s">
        <v>3870</v>
      </c>
      <c r="AD75" s="1785">
        <v>6.3000000000000007</v>
      </c>
      <c r="AE75" s="1784" t="s">
        <v>3869</v>
      </c>
      <c r="AF75" s="1832">
        <v>10.220085000000001</v>
      </c>
    </row>
    <row r="76" spans="1:32" x14ac:dyDescent="0.25">
      <c r="A76" s="1844">
        <v>75</v>
      </c>
      <c r="B76" s="1843" t="s">
        <v>3881</v>
      </c>
      <c r="C76" s="1842" t="s">
        <v>35</v>
      </c>
      <c r="D76" s="1890">
        <v>164852</v>
      </c>
      <c r="E76" s="1889">
        <v>8246549</v>
      </c>
      <c r="F76" s="1838">
        <v>31.1</v>
      </c>
      <c r="G76" s="1841">
        <v>1298</v>
      </c>
      <c r="H76" s="1840">
        <v>0.18</v>
      </c>
      <c r="I76" s="1839">
        <v>7</v>
      </c>
      <c r="J76" s="1838">
        <v>1.93</v>
      </c>
      <c r="K76" s="1836">
        <v>1.75</v>
      </c>
      <c r="L76" s="1836">
        <v>6.99</v>
      </c>
      <c r="M76" s="1836">
        <v>89.33</v>
      </c>
      <c r="N76" s="1837">
        <v>98.07</v>
      </c>
      <c r="O76" s="1837">
        <v>96.32</v>
      </c>
      <c r="P76" s="1837">
        <v>89.33</v>
      </c>
      <c r="Q76" s="1836">
        <v>39.299999999999997</v>
      </c>
      <c r="R76" s="1836">
        <v>24.5</v>
      </c>
      <c r="S76" s="1836">
        <v>17.7</v>
      </c>
      <c r="T76" s="1835">
        <v>11.08</v>
      </c>
      <c r="U76" s="1835" t="s">
        <v>3900</v>
      </c>
      <c r="V76" s="1834" t="s">
        <v>3887</v>
      </c>
      <c r="W76" s="1833" t="s">
        <v>1222</v>
      </c>
      <c r="X76" s="1785">
        <v>40</v>
      </c>
      <c r="Y76" s="1786" t="s">
        <v>1229</v>
      </c>
      <c r="Z76" s="1785">
        <v>40</v>
      </c>
      <c r="AA76" s="1786" t="s">
        <v>1236</v>
      </c>
      <c r="AB76" s="1785">
        <v>0</v>
      </c>
      <c r="AC76" s="1786" t="s">
        <v>3870</v>
      </c>
      <c r="AD76" s="1785">
        <v>7.6999999999999993</v>
      </c>
      <c r="AE76" s="1784" t="s">
        <v>3869</v>
      </c>
      <c r="AF76" s="1832">
        <v>11.08</v>
      </c>
    </row>
    <row r="77" spans="1:32" x14ac:dyDescent="0.25">
      <c r="A77" s="1844">
        <v>76</v>
      </c>
      <c r="B77" s="1843" t="s">
        <v>3880</v>
      </c>
      <c r="C77" s="1842" t="s">
        <v>35</v>
      </c>
      <c r="D77" s="1890">
        <v>164796</v>
      </c>
      <c r="E77" s="1889">
        <v>8246637</v>
      </c>
      <c r="F77" s="1838">
        <v>38</v>
      </c>
      <c r="G77" s="1841">
        <v>1224</v>
      </c>
      <c r="H77" s="1840">
        <v>0.08</v>
      </c>
      <c r="I77" s="1839">
        <v>6.9</v>
      </c>
      <c r="J77" s="1838">
        <v>2.15</v>
      </c>
      <c r="K77" s="1836">
        <v>4.3099999999999996</v>
      </c>
      <c r="L77" s="1836">
        <v>10.53</v>
      </c>
      <c r="M77" s="1836">
        <v>83.02</v>
      </c>
      <c r="N77" s="1837">
        <v>97.85</v>
      </c>
      <c r="O77" s="1837">
        <v>93.55</v>
      </c>
      <c r="P77" s="1837">
        <v>83.02</v>
      </c>
      <c r="Q77" s="1836">
        <v>39.1</v>
      </c>
      <c r="R77" s="1836">
        <v>23.4</v>
      </c>
      <c r="S77" s="1836">
        <v>15.6</v>
      </c>
      <c r="T77" s="1835">
        <v>10.24</v>
      </c>
      <c r="U77" s="1835" t="s">
        <v>3900</v>
      </c>
      <c r="V77" s="1834" t="s">
        <v>3887</v>
      </c>
      <c r="W77" s="1833" t="s">
        <v>1222</v>
      </c>
      <c r="X77" s="1785">
        <v>40</v>
      </c>
      <c r="Y77" s="1786" t="s">
        <v>1229</v>
      </c>
      <c r="Z77" s="1785">
        <v>40</v>
      </c>
      <c r="AA77" s="1786" t="s">
        <v>1236</v>
      </c>
      <c r="AB77" s="1785">
        <v>0</v>
      </c>
      <c r="AC77" s="1786" t="s">
        <v>3870</v>
      </c>
      <c r="AD77" s="1785">
        <v>5.6</v>
      </c>
      <c r="AE77" s="1784" t="s">
        <v>3869</v>
      </c>
      <c r="AF77" s="1832">
        <v>10.24</v>
      </c>
    </row>
    <row r="78" spans="1:32" x14ac:dyDescent="0.25">
      <c r="A78" s="1844">
        <v>77</v>
      </c>
      <c r="B78" s="1843" t="s">
        <v>3879</v>
      </c>
      <c r="C78" s="1842" t="s">
        <v>35</v>
      </c>
      <c r="D78" s="1890">
        <v>164740</v>
      </c>
      <c r="E78" s="1889">
        <v>8246736.4607999995</v>
      </c>
      <c r="F78" s="1838">
        <v>29.2</v>
      </c>
      <c r="G78" s="1841">
        <v>1335</v>
      </c>
      <c r="H78" s="1840">
        <v>0.1</v>
      </c>
      <c r="I78" s="1839">
        <v>7.5</v>
      </c>
      <c r="J78" s="1838">
        <v>0.57999999999999996</v>
      </c>
      <c r="K78" s="1836">
        <v>7.55</v>
      </c>
      <c r="L78" s="1836">
        <v>9.3800000000000008</v>
      </c>
      <c r="M78" s="1836">
        <v>82.49</v>
      </c>
      <c r="N78" s="1837">
        <v>99.42</v>
      </c>
      <c r="O78" s="1837">
        <v>91.87</v>
      </c>
      <c r="P78" s="1837">
        <v>82.49</v>
      </c>
      <c r="Q78" s="1836">
        <v>46.8</v>
      </c>
      <c r="R78" s="1836">
        <v>29.2</v>
      </c>
      <c r="S78" s="1836">
        <v>17.600000000000001</v>
      </c>
      <c r="T78" s="1835">
        <v>12.4</v>
      </c>
      <c r="U78" s="1835" t="s">
        <v>3888</v>
      </c>
      <c r="V78" s="1834" t="s">
        <v>3887</v>
      </c>
      <c r="W78" s="1833" t="s">
        <v>1222</v>
      </c>
      <c r="X78" s="1785">
        <v>40</v>
      </c>
      <c r="Y78" s="1786" t="s">
        <v>1229</v>
      </c>
      <c r="Z78" s="1785">
        <v>40</v>
      </c>
      <c r="AA78" s="1786" t="s">
        <v>1236</v>
      </c>
      <c r="AB78" s="1785">
        <v>6.7999999999999972</v>
      </c>
      <c r="AC78" s="1786" t="s">
        <v>3870</v>
      </c>
      <c r="AD78" s="1785">
        <v>7.6000000000000014</v>
      </c>
      <c r="AE78" s="1784" t="s">
        <v>3869</v>
      </c>
      <c r="AF78" s="1832">
        <v>12.4</v>
      </c>
    </row>
    <row r="79" spans="1:32" x14ac:dyDescent="0.25">
      <c r="A79" s="1844">
        <v>78</v>
      </c>
      <c r="B79" s="1843" t="s">
        <v>3878</v>
      </c>
      <c r="C79" s="1842" t="s">
        <v>35</v>
      </c>
      <c r="D79" s="1888">
        <v>164673</v>
      </c>
      <c r="E79" s="1889">
        <v>8246828</v>
      </c>
      <c r="F79" s="1838">
        <v>29.2</v>
      </c>
      <c r="G79" s="1841">
        <v>1352</v>
      </c>
      <c r="H79" s="1840">
        <v>0.11</v>
      </c>
      <c r="I79" s="1839">
        <v>7.8</v>
      </c>
      <c r="J79" s="1838">
        <v>2.8</v>
      </c>
      <c r="K79" s="1836">
        <v>4.95</v>
      </c>
      <c r="L79" s="1836">
        <v>9.99</v>
      </c>
      <c r="M79" s="1836">
        <v>82.38</v>
      </c>
      <c r="N79" s="1837">
        <v>97.32</v>
      </c>
      <c r="O79" s="1837">
        <v>92.37</v>
      </c>
      <c r="P79" s="1837">
        <v>82.38</v>
      </c>
      <c r="Q79" s="1836">
        <v>40.700000000000003</v>
      </c>
      <c r="R79" s="1836">
        <v>23.3</v>
      </c>
      <c r="S79" s="1836">
        <v>17.399999999999999</v>
      </c>
      <c r="T79" s="1835">
        <v>11.1</v>
      </c>
      <c r="U79" s="1835" t="s">
        <v>3900</v>
      </c>
      <c r="V79" s="1834" t="s">
        <v>3887</v>
      </c>
      <c r="W79" s="1833" t="s">
        <v>1222</v>
      </c>
      <c r="X79" s="1785">
        <v>40</v>
      </c>
      <c r="Y79" s="1786" t="s">
        <v>1229</v>
      </c>
      <c r="Z79" s="1785">
        <v>40</v>
      </c>
      <c r="AA79" s="1786" t="s">
        <v>1236</v>
      </c>
      <c r="AB79" s="1785">
        <v>0.70000000000000284</v>
      </c>
      <c r="AC79" s="1786" t="s">
        <v>3870</v>
      </c>
      <c r="AD79" s="1785">
        <v>7.3999999999999986</v>
      </c>
      <c r="AE79" s="1784" t="s">
        <v>3869</v>
      </c>
      <c r="AF79" s="1832">
        <v>11.1</v>
      </c>
    </row>
    <row r="80" spans="1:32" x14ac:dyDescent="0.25">
      <c r="A80" s="1844">
        <v>79</v>
      </c>
      <c r="B80" s="1843" t="s">
        <v>3877</v>
      </c>
      <c r="C80" s="1842" t="s">
        <v>35</v>
      </c>
      <c r="D80" s="1888">
        <v>164616</v>
      </c>
      <c r="E80" s="1889">
        <v>8246913</v>
      </c>
      <c r="F80" s="1838">
        <v>31.9</v>
      </c>
      <c r="G80" s="1841">
        <v>1321</v>
      </c>
      <c r="H80" s="1840">
        <v>0.12</v>
      </c>
      <c r="I80" s="1839">
        <v>6.9</v>
      </c>
      <c r="J80" s="1838">
        <v>2.61</v>
      </c>
      <c r="K80" s="1836">
        <v>9.4</v>
      </c>
      <c r="L80" s="1836">
        <v>16.75</v>
      </c>
      <c r="M80" s="1836">
        <v>71.239999999999995</v>
      </c>
      <c r="N80" s="1837">
        <v>97.39</v>
      </c>
      <c r="O80" s="1837">
        <v>87.99</v>
      </c>
      <c r="P80" s="1837">
        <v>71.239999999999995</v>
      </c>
      <c r="Q80" s="1836">
        <v>47.4</v>
      </c>
      <c r="R80" s="1836">
        <v>29.7</v>
      </c>
      <c r="S80" s="1836">
        <v>17.7</v>
      </c>
      <c r="T80" s="1835">
        <v>11.66888</v>
      </c>
      <c r="U80" s="1835" t="s">
        <v>3888</v>
      </c>
      <c r="V80" s="1834" t="s">
        <v>3887</v>
      </c>
      <c r="W80" s="1833" t="s">
        <v>1222</v>
      </c>
      <c r="X80" s="1785">
        <v>36.239999999999995</v>
      </c>
      <c r="Y80" s="1786" t="s">
        <v>1229</v>
      </c>
      <c r="Z80" s="1785">
        <v>40</v>
      </c>
      <c r="AA80" s="1786" t="s">
        <v>1236</v>
      </c>
      <c r="AB80" s="1785">
        <v>7.3999999999999986</v>
      </c>
      <c r="AC80" s="1786" t="s">
        <v>3870</v>
      </c>
      <c r="AD80" s="1785">
        <v>7.6999999999999993</v>
      </c>
      <c r="AE80" s="1784" t="s">
        <v>3869</v>
      </c>
      <c r="AF80" s="1832">
        <v>11.66888</v>
      </c>
    </row>
    <row r="81" spans="1:34" x14ac:dyDescent="0.25">
      <c r="A81" s="1844">
        <v>80</v>
      </c>
      <c r="B81" s="1843" t="s">
        <v>3876</v>
      </c>
      <c r="C81" s="1842" t="s">
        <v>35</v>
      </c>
      <c r="D81" s="1888">
        <v>164555</v>
      </c>
      <c r="E81" s="1887">
        <v>8247004</v>
      </c>
      <c r="F81" s="1838">
        <v>29.3</v>
      </c>
      <c r="G81" s="1841">
        <v>1325</v>
      </c>
      <c r="H81" s="1840">
        <v>0.13</v>
      </c>
      <c r="I81" s="1839">
        <v>7</v>
      </c>
      <c r="J81" s="1838">
        <v>1.41</v>
      </c>
      <c r="K81" s="1836">
        <v>7.08</v>
      </c>
      <c r="L81" s="1836">
        <v>11.63</v>
      </c>
      <c r="M81" s="1836">
        <v>79.88</v>
      </c>
      <c r="N81" s="1837">
        <v>98.59</v>
      </c>
      <c r="O81" s="1837">
        <v>91.51</v>
      </c>
      <c r="P81" s="1837">
        <v>79.88</v>
      </c>
      <c r="Q81" s="1836">
        <v>41</v>
      </c>
      <c r="R81" s="1836">
        <v>24.3</v>
      </c>
      <c r="S81" s="1836">
        <v>16.7</v>
      </c>
      <c r="T81" s="1835">
        <v>10.879999999999999</v>
      </c>
      <c r="U81" s="1835" t="s">
        <v>3888</v>
      </c>
      <c r="V81" s="1834" t="s">
        <v>3887</v>
      </c>
      <c r="W81" s="1833" t="s">
        <v>1222</v>
      </c>
      <c r="X81" s="1785">
        <v>40</v>
      </c>
      <c r="Y81" s="1786" t="s">
        <v>1229</v>
      </c>
      <c r="Z81" s="1785">
        <v>40</v>
      </c>
      <c r="AA81" s="1786" t="s">
        <v>1236</v>
      </c>
      <c r="AB81" s="1785">
        <v>1</v>
      </c>
      <c r="AC81" s="1786" t="s">
        <v>3870</v>
      </c>
      <c r="AD81" s="1785">
        <v>6.6999999999999993</v>
      </c>
      <c r="AE81" s="1784" t="s">
        <v>3869</v>
      </c>
      <c r="AF81" s="1832">
        <v>10.879999999999999</v>
      </c>
    </row>
    <row r="82" spans="1:34" x14ac:dyDescent="0.25">
      <c r="A82" s="1844">
        <v>81</v>
      </c>
      <c r="B82" s="1843" t="s">
        <v>3875</v>
      </c>
      <c r="C82" s="1842" t="s">
        <v>35</v>
      </c>
      <c r="D82" s="1888">
        <v>165100</v>
      </c>
      <c r="E82" s="1889">
        <v>8246457.7981000002</v>
      </c>
      <c r="F82" s="1838">
        <v>36.5</v>
      </c>
      <c r="G82" s="1841">
        <v>1200</v>
      </c>
      <c r="H82" s="1840">
        <v>0.39</v>
      </c>
      <c r="I82" s="1839">
        <v>4</v>
      </c>
      <c r="J82" s="1838">
        <v>2.62</v>
      </c>
      <c r="K82" s="1836">
        <v>3.33</v>
      </c>
      <c r="L82" s="1836">
        <v>9.98</v>
      </c>
      <c r="M82" s="1836">
        <v>84.08</v>
      </c>
      <c r="N82" s="1837">
        <v>97.38</v>
      </c>
      <c r="O82" s="1837">
        <v>94.06</v>
      </c>
      <c r="P82" s="1837">
        <v>84.08</v>
      </c>
      <c r="Q82" s="1836">
        <v>42.6</v>
      </c>
      <c r="R82" s="1836">
        <v>25.1</v>
      </c>
      <c r="S82" s="1836">
        <v>17.5</v>
      </c>
      <c r="T82" s="1835">
        <v>11.52</v>
      </c>
      <c r="U82" s="1835" t="s">
        <v>3888</v>
      </c>
      <c r="V82" s="1834" t="s">
        <v>3887</v>
      </c>
      <c r="W82" s="1833" t="s">
        <v>1222</v>
      </c>
      <c r="X82" s="1785">
        <v>40</v>
      </c>
      <c r="Y82" s="1786" t="s">
        <v>1229</v>
      </c>
      <c r="Z82" s="1785">
        <v>40</v>
      </c>
      <c r="AA82" s="1786" t="s">
        <v>1236</v>
      </c>
      <c r="AB82" s="1785">
        <v>2.6000000000000014</v>
      </c>
      <c r="AC82" s="1786" t="s">
        <v>3870</v>
      </c>
      <c r="AD82" s="1785">
        <v>7.5</v>
      </c>
      <c r="AE82" s="1784" t="s">
        <v>3869</v>
      </c>
      <c r="AF82" s="1832">
        <v>11.52</v>
      </c>
    </row>
    <row r="83" spans="1:34" x14ac:dyDescent="0.25">
      <c r="A83" s="1844">
        <v>82</v>
      </c>
      <c r="B83" s="1843" t="s">
        <v>3874</v>
      </c>
      <c r="C83" s="1842" t="s">
        <v>35</v>
      </c>
      <c r="D83" s="1888">
        <v>165045</v>
      </c>
      <c r="E83" s="1889">
        <v>8246525</v>
      </c>
      <c r="F83" s="1838">
        <v>36.9</v>
      </c>
      <c r="G83" s="1841">
        <v>1269</v>
      </c>
      <c r="H83" s="1840">
        <v>0.4</v>
      </c>
      <c r="I83" s="1839">
        <v>3.8</v>
      </c>
      <c r="J83" s="1838">
        <v>3.12</v>
      </c>
      <c r="K83" s="1836">
        <v>4.8600000000000003</v>
      </c>
      <c r="L83" s="1836">
        <v>12.39</v>
      </c>
      <c r="M83" s="1836">
        <v>79.63</v>
      </c>
      <c r="N83" s="1837">
        <v>96.88</v>
      </c>
      <c r="O83" s="1837">
        <v>92.02</v>
      </c>
      <c r="P83" s="1837">
        <v>79.63</v>
      </c>
      <c r="Q83" s="1836">
        <v>41.4</v>
      </c>
      <c r="R83" s="1836">
        <v>26.3</v>
      </c>
      <c r="S83" s="1836">
        <v>15.2</v>
      </c>
      <c r="T83" s="1835">
        <v>10.36</v>
      </c>
      <c r="U83" s="1835" t="s">
        <v>3888</v>
      </c>
      <c r="V83" s="1834" t="s">
        <v>3887</v>
      </c>
      <c r="W83" s="1833" t="s">
        <v>1222</v>
      </c>
      <c r="X83" s="1785">
        <v>40</v>
      </c>
      <c r="Y83" s="1786" t="s">
        <v>1229</v>
      </c>
      <c r="Z83" s="1785">
        <v>40</v>
      </c>
      <c r="AA83" s="1786" t="s">
        <v>1236</v>
      </c>
      <c r="AB83" s="1785">
        <v>1.3999999999999986</v>
      </c>
      <c r="AC83" s="1786" t="s">
        <v>3870</v>
      </c>
      <c r="AD83" s="1785">
        <v>5.1999999999999993</v>
      </c>
      <c r="AE83" s="1784" t="s">
        <v>3869</v>
      </c>
      <c r="AF83" s="1832">
        <v>10.36</v>
      </c>
    </row>
    <row r="84" spans="1:34" x14ac:dyDescent="0.25">
      <c r="A84" s="1844">
        <v>83</v>
      </c>
      <c r="B84" s="1843" t="s">
        <v>3873</v>
      </c>
      <c r="C84" s="1842" t="s">
        <v>35</v>
      </c>
      <c r="D84" s="1888">
        <v>165751</v>
      </c>
      <c r="E84" s="1889">
        <v>8246944</v>
      </c>
      <c r="F84" s="1838">
        <v>29</v>
      </c>
      <c r="G84" s="1841">
        <v>1311</v>
      </c>
      <c r="H84" s="1840">
        <v>7.0000000000000007E-2</v>
      </c>
      <c r="I84" s="1839">
        <v>7.3</v>
      </c>
      <c r="J84" s="1838">
        <v>0.99</v>
      </c>
      <c r="K84" s="1836">
        <v>6.19</v>
      </c>
      <c r="L84" s="1836">
        <v>13.62</v>
      </c>
      <c r="M84" s="1836">
        <v>79.2</v>
      </c>
      <c r="N84" s="1837">
        <v>99.01</v>
      </c>
      <c r="O84" s="1837">
        <v>92.82</v>
      </c>
      <c r="P84" s="1837">
        <v>79.2</v>
      </c>
      <c r="Q84" s="1836">
        <v>42.4</v>
      </c>
      <c r="R84" s="1836">
        <v>27.1</v>
      </c>
      <c r="S84" s="1836">
        <v>15.3</v>
      </c>
      <c r="T84" s="1835">
        <v>10.600000000000001</v>
      </c>
      <c r="U84" s="1835" t="s">
        <v>3888</v>
      </c>
      <c r="V84" s="1834" t="s">
        <v>3887</v>
      </c>
      <c r="W84" s="1833" t="s">
        <v>1222</v>
      </c>
      <c r="X84" s="1785">
        <v>40</v>
      </c>
      <c r="Y84" s="1786" t="s">
        <v>1229</v>
      </c>
      <c r="Z84" s="1785">
        <v>40</v>
      </c>
      <c r="AA84" s="1786" t="s">
        <v>1236</v>
      </c>
      <c r="AB84" s="1785">
        <v>2.3999999999999986</v>
      </c>
      <c r="AC84" s="1786" t="s">
        <v>3870</v>
      </c>
      <c r="AD84" s="1785">
        <v>5.3000000000000007</v>
      </c>
      <c r="AE84" s="1784" t="s">
        <v>3869</v>
      </c>
      <c r="AF84" s="1832">
        <v>10.600000000000001</v>
      </c>
    </row>
    <row r="85" spans="1:34" x14ac:dyDescent="0.25">
      <c r="A85" s="1844">
        <v>84</v>
      </c>
      <c r="B85" s="1843" t="s">
        <v>3872</v>
      </c>
      <c r="C85" s="1842" t="s">
        <v>35</v>
      </c>
      <c r="D85" s="1890">
        <v>163388</v>
      </c>
      <c r="E85" s="1889">
        <v>8246061</v>
      </c>
      <c r="F85" s="1838">
        <v>22</v>
      </c>
      <c r="G85" s="1841">
        <v>1568</v>
      </c>
      <c r="H85" s="1840">
        <v>0.06</v>
      </c>
      <c r="I85" s="1839">
        <v>8.6</v>
      </c>
      <c r="J85" s="1838">
        <v>11.15</v>
      </c>
      <c r="K85" s="1836">
        <v>6.72</v>
      </c>
      <c r="L85" s="1836">
        <v>17.329999999999998</v>
      </c>
      <c r="M85" s="1836">
        <v>64.790000000000006</v>
      </c>
      <c r="N85" s="1837">
        <v>88.85</v>
      </c>
      <c r="O85" s="1837">
        <v>82.12</v>
      </c>
      <c r="P85" s="1837">
        <v>64.790000000000006</v>
      </c>
      <c r="Q85" s="1836">
        <v>34.799999999999997</v>
      </c>
      <c r="R85" s="1836">
        <v>23.3</v>
      </c>
      <c r="S85" s="1836">
        <v>11.5</v>
      </c>
      <c r="T85" s="1835">
        <v>6.5580000000000016</v>
      </c>
      <c r="U85" s="1835" t="s">
        <v>3900</v>
      </c>
      <c r="V85" s="1834" t="s">
        <v>3887</v>
      </c>
      <c r="W85" s="1833" t="s">
        <v>1222</v>
      </c>
      <c r="X85" s="1785">
        <v>29.790000000000006</v>
      </c>
      <c r="Y85" s="1786" t="s">
        <v>1229</v>
      </c>
      <c r="Z85" s="1785">
        <v>40</v>
      </c>
      <c r="AA85" s="1786" t="s">
        <v>1236</v>
      </c>
      <c r="AB85" s="1785">
        <v>0</v>
      </c>
      <c r="AC85" s="1786" t="s">
        <v>3870</v>
      </c>
      <c r="AD85" s="1785">
        <v>1.5</v>
      </c>
      <c r="AE85" s="1784" t="s">
        <v>3869</v>
      </c>
      <c r="AF85" s="1832">
        <v>6.5580000000000016</v>
      </c>
    </row>
    <row r="86" spans="1:34" ht="15.75" thickBot="1" x14ac:dyDescent="0.3">
      <c r="A86" s="1831">
        <v>85</v>
      </c>
      <c r="B86" s="1830" t="s">
        <v>3871</v>
      </c>
      <c r="C86" s="1829" t="s">
        <v>35</v>
      </c>
      <c r="D86" s="1891">
        <v>163388</v>
      </c>
      <c r="E86" s="1892">
        <v>8246061</v>
      </c>
      <c r="F86" s="1825">
        <v>21.2</v>
      </c>
      <c r="G86" s="1828">
        <v>1675</v>
      </c>
      <c r="H86" s="1827">
        <v>0.1</v>
      </c>
      <c r="I86" s="1826">
        <v>8.1999999999999993</v>
      </c>
      <c r="J86" s="1825">
        <v>10.59</v>
      </c>
      <c r="K86" s="1823">
        <v>6.95</v>
      </c>
      <c r="L86" s="1823">
        <v>17.059999999999999</v>
      </c>
      <c r="M86" s="1823">
        <v>65.400000000000006</v>
      </c>
      <c r="N86" s="1824">
        <v>89.41</v>
      </c>
      <c r="O86" s="1824">
        <v>82.46</v>
      </c>
      <c r="P86" s="1824">
        <v>65.400000000000006</v>
      </c>
      <c r="Q86" s="1823">
        <v>30.5</v>
      </c>
      <c r="R86" s="1823">
        <v>19.600000000000001</v>
      </c>
      <c r="S86" s="1823">
        <v>10.9</v>
      </c>
      <c r="T86" s="1822">
        <v>6.4400000000000022</v>
      </c>
      <c r="U86" s="1822" t="s">
        <v>3898</v>
      </c>
      <c r="V86" s="1821" t="s">
        <v>3897</v>
      </c>
      <c r="W86" s="1833" t="s">
        <v>1222</v>
      </c>
      <c r="X86" s="1785">
        <v>30.400000000000006</v>
      </c>
      <c r="Y86" s="1786" t="s">
        <v>1229</v>
      </c>
      <c r="Z86" s="1785">
        <v>40</v>
      </c>
      <c r="AA86" s="1786" t="s">
        <v>1236</v>
      </c>
      <c r="AB86" s="1785">
        <v>0</v>
      </c>
      <c r="AC86" s="1786" t="s">
        <v>3870</v>
      </c>
      <c r="AD86" s="1785">
        <v>0.90000000000000036</v>
      </c>
      <c r="AE86" s="1784" t="s">
        <v>3869</v>
      </c>
      <c r="AF86" s="1832">
        <v>6.4400000000000022</v>
      </c>
    </row>
    <row r="87" spans="1:34" hidden="1" x14ac:dyDescent="0.25">
      <c r="A87" s="1792"/>
      <c r="B87" s="1791"/>
      <c r="C87" s="1790"/>
      <c r="D87" s="1793"/>
      <c r="E87" s="1793"/>
      <c r="F87" s="1789"/>
      <c r="G87" s="1788"/>
      <c r="H87" s="1789"/>
      <c r="I87" s="1790"/>
      <c r="J87" s="1789"/>
      <c r="K87" s="1789"/>
      <c r="L87" s="1789"/>
      <c r="M87" s="1789"/>
      <c r="N87" s="1787"/>
      <c r="O87" s="1787"/>
      <c r="P87" s="1789"/>
      <c r="Q87" s="1789"/>
      <c r="R87" s="1789"/>
      <c r="S87" s="1789"/>
      <c r="T87" s="1788"/>
      <c r="U87" s="1788"/>
      <c r="V87" s="1787"/>
      <c r="W87" s="1786"/>
      <c r="X87" s="1785"/>
      <c r="Y87" s="1786"/>
      <c r="Z87" s="1785"/>
      <c r="AA87" s="1786"/>
      <c r="AB87" s="1785"/>
      <c r="AC87" s="1786"/>
      <c r="AD87" s="1785"/>
      <c r="AE87" s="1784"/>
      <c r="AF87" s="1783"/>
    </row>
    <row r="88" spans="1:34" hidden="1" x14ac:dyDescent="0.25">
      <c r="A88" s="1792"/>
      <c r="B88" s="1791"/>
      <c r="C88" s="1790"/>
      <c r="D88" s="1793"/>
      <c r="E88" s="1793"/>
      <c r="F88" s="1789"/>
      <c r="G88" s="1788"/>
      <c r="H88" s="1789"/>
      <c r="I88" s="1790"/>
      <c r="J88" s="1789"/>
      <c r="K88" s="1789"/>
      <c r="L88" s="1789"/>
      <c r="M88" s="1789"/>
      <c r="N88" s="1787"/>
      <c r="O88" s="1787"/>
      <c r="P88" s="1789"/>
      <c r="Q88" s="1789"/>
      <c r="R88" s="1789"/>
      <c r="S88" s="1789"/>
      <c r="T88" s="1788"/>
      <c r="U88" s="1788"/>
      <c r="V88" s="1787"/>
      <c r="W88" s="1786"/>
      <c r="X88" s="1785"/>
      <c r="Y88" s="1786"/>
      <c r="Z88" s="1785"/>
      <c r="AA88" s="1786"/>
      <c r="AB88" s="1785"/>
      <c r="AC88" s="1786"/>
      <c r="AD88" s="1785"/>
      <c r="AE88" s="1784"/>
      <c r="AF88" s="1783"/>
    </row>
    <row r="89" spans="1:34" ht="15.75" thickBot="1" x14ac:dyDescent="0.3">
      <c r="A89" s="1792"/>
      <c r="B89" s="1791"/>
      <c r="C89" s="1790"/>
      <c r="D89" s="1793"/>
      <c r="E89" s="1793"/>
      <c r="F89" s="1789"/>
      <c r="G89" s="1788"/>
      <c r="H89" s="1789"/>
      <c r="I89" s="1790"/>
      <c r="J89" s="1789"/>
      <c r="K89" s="1789"/>
      <c r="L89" s="1789"/>
      <c r="M89" s="1789"/>
      <c r="N89" s="1787"/>
      <c r="O89" s="1787"/>
      <c r="P89" s="1789"/>
      <c r="Q89" s="1789"/>
      <c r="R89" s="1789"/>
      <c r="S89" s="1789"/>
      <c r="T89" s="1788"/>
      <c r="U89" s="1788"/>
      <c r="V89" s="1787"/>
      <c r="W89" s="1786"/>
      <c r="X89" s="1785"/>
      <c r="Y89" s="1786"/>
      <c r="Z89" s="1785"/>
      <c r="AA89" s="1786"/>
      <c r="AB89" s="1785"/>
      <c r="AC89" s="1786"/>
      <c r="AD89" s="1785"/>
      <c r="AE89" s="1784"/>
      <c r="AF89" s="1783"/>
    </row>
    <row r="90" spans="1:34" ht="41.25" customHeight="1" thickBot="1" x14ac:dyDescent="0.3">
      <c r="A90" s="1792"/>
      <c r="B90" s="1791"/>
      <c r="C90" s="1790"/>
      <c r="D90" s="1793"/>
      <c r="F90" s="1820" t="s">
        <v>3986</v>
      </c>
      <c r="G90" s="1819" t="s">
        <v>3985</v>
      </c>
      <c r="H90" s="1816" t="s">
        <v>3984</v>
      </c>
      <c r="I90" s="1790"/>
      <c r="J90" s="1789"/>
      <c r="K90" s="1789"/>
      <c r="L90" s="1789"/>
      <c r="N90" s="1787"/>
      <c r="O90" s="1787"/>
      <c r="P90" s="1789"/>
      <c r="Q90" s="1818" t="s">
        <v>3868</v>
      </c>
      <c r="R90" s="1817" t="s">
        <v>3867</v>
      </c>
      <c r="S90" s="1816" t="s">
        <v>3866</v>
      </c>
      <c r="T90" s="1788"/>
      <c r="U90" s="1788"/>
      <c r="V90" s="1787"/>
      <c r="W90" s="1786"/>
      <c r="X90" s="1785"/>
      <c r="Y90" s="1786"/>
      <c r="Z90" s="1785"/>
      <c r="AA90" s="1786"/>
      <c r="AB90" s="1785"/>
      <c r="AC90" s="1786"/>
      <c r="AD90" s="1785"/>
      <c r="AE90" s="1784"/>
      <c r="AF90" s="1783"/>
    </row>
    <row r="91" spans="1:34" ht="15.75" thickBot="1" x14ac:dyDescent="0.3">
      <c r="A91" s="1792"/>
      <c r="B91" s="1791"/>
      <c r="C91" s="1790"/>
      <c r="D91" s="1793"/>
      <c r="E91" s="1793"/>
      <c r="F91" s="1789"/>
      <c r="G91" s="1788"/>
      <c r="H91" s="1789"/>
      <c r="I91" s="1790"/>
      <c r="J91" s="1789"/>
      <c r="K91" s="1789"/>
      <c r="L91" s="1789"/>
      <c r="M91" s="1789"/>
      <c r="N91" s="1787"/>
      <c r="O91" s="1787"/>
      <c r="P91" s="1789"/>
      <c r="Q91" s="1789"/>
      <c r="R91" s="1789"/>
      <c r="S91" s="1789"/>
      <c r="T91" s="1788"/>
      <c r="U91" s="1788"/>
      <c r="V91" s="1787"/>
      <c r="W91" s="1786"/>
      <c r="X91" s="1785"/>
      <c r="Y91" s="1786"/>
      <c r="Z91" s="1785"/>
      <c r="AA91" s="1786"/>
      <c r="AB91" s="1785"/>
      <c r="AC91" s="1786"/>
      <c r="AD91" s="1785"/>
      <c r="AE91" s="1784"/>
      <c r="AF91" s="1783"/>
    </row>
    <row r="92" spans="1:34" x14ac:dyDescent="0.25">
      <c r="A92" s="1792"/>
      <c r="B92" s="1791"/>
      <c r="C92" s="1790"/>
      <c r="E92" s="1815" t="s">
        <v>3859</v>
      </c>
      <c r="F92" s="1813">
        <v>15.8</v>
      </c>
      <c r="G92" s="1861">
        <v>152</v>
      </c>
      <c r="H92" s="1813">
        <v>0.01</v>
      </c>
      <c r="J92" s="1814"/>
      <c r="K92" s="1789"/>
      <c r="L92" s="1789"/>
      <c r="N92" s="1787"/>
      <c r="O92" s="1787"/>
      <c r="P92" s="1777" t="s">
        <v>3859</v>
      </c>
      <c r="Q92" s="1813">
        <v>20.7</v>
      </c>
      <c r="R92" s="1813">
        <v>17.3</v>
      </c>
      <c r="S92" s="1812">
        <v>3.3</v>
      </c>
      <c r="T92" s="1788"/>
      <c r="U92" s="1788"/>
      <c r="V92" s="1787"/>
      <c r="W92" s="1786"/>
      <c r="X92" s="1785"/>
      <c r="Y92" s="1786"/>
      <c r="Z92" s="1785"/>
      <c r="AA92" s="1786"/>
      <c r="AB92" s="1785"/>
      <c r="AC92" s="1786"/>
      <c r="AD92" s="1785"/>
      <c r="AE92" s="1784"/>
      <c r="AF92" s="1783"/>
    </row>
    <row r="93" spans="1:34" x14ac:dyDescent="0.25">
      <c r="A93" s="1792"/>
      <c r="B93" s="1791"/>
      <c r="C93" s="1790"/>
      <c r="E93" s="1811" t="s">
        <v>3860</v>
      </c>
      <c r="F93" s="1809">
        <v>32.799999999999997</v>
      </c>
      <c r="G93" s="1862">
        <v>1784</v>
      </c>
      <c r="H93" s="1809">
        <v>0.36</v>
      </c>
      <c r="J93" s="1789"/>
      <c r="K93" s="1789"/>
      <c r="L93" s="1789"/>
      <c r="N93" s="1787"/>
      <c r="O93" s="1787"/>
      <c r="P93" s="1810" t="s">
        <v>3860</v>
      </c>
      <c r="Q93" s="1809">
        <v>71.8</v>
      </c>
      <c r="R93" s="1809">
        <v>50.8</v>
      </c>
      <c r="S93" s="1808">
        <v>23.8</v>
      </c>
      <c r="T93" s="1788"/>
      <c r="U93" s="1788"/>
      <c r="V93" s="1787"/>
      <c r="W93" s="1786"/>
      <c r="X93" s="1785"/>
      <c r="Y93" s="1786"/>
      <c r="Z93" s="1785"/>
      <c r="AA93" s="1786"/>
      <c r="AB93" s="1785"/>
      <c r="AC93" s="1786"/>
      <c r="AD93" s="1785"/>
      <c r="AE93" s="1784"/>
      <c r="AF93" s="1783"/>
    </row>
    <row r="94" spans="1:34" ht="15.75" thickBot="1" x14ac:dyDescent="0.3">
      <c r="A94" s="1792"/>
      <c r="B94" s="1791"/>
      <c r="C94" s="1790"/>
      <c r="E94" s="1807" t="s">
        <v>3865</v>
      </c>
      <c r="F94" s="1805">
        <v>27.071052631578947</v>
      </c>
      <c r="G94" s="1863">
        <v>1359.8470588235293</v>
      </c>
      <c r="H94" s="1805">
        <v>0.1436842105263158</v>
      </c>
      <c r="J94" s="1789"/>
      <c r="K94" s="1789"/>
      <c r="L94" s="1789"/>
      <c r="N94" s="1787"/>
      <c r="O94" s="1787"/>
      <c r="P94" s="1806" t="s">
        <v>3865</v>
      </c>
      <c r="Q94" s="1805">
        <v>41.414285714285725</v>
      </c>
      <c r="R94" s="1805">
        <v>26.35243902439025</v>
      </c>
      <c r="S94" s="1804">
        <v>14.445121951219512</v>
      </c>
      <c r="T94" s="1788"/>
      <c r="U94" s="1788"/>
      <c r="V94" s="1787"/>
      <c r="W94" s="1786"/>
      <c r="X94" s="1785"/>
      <c r="Y94" s="1786"/>
      <c r="Z94" s="1785"/>
      <c r="AA94" s="1786"/>
      <c r="AB94" s="1785"/>
      <c r="AC94" s="1786"/>
      <c r="AD94" s="1785"/>
      <c r="AE94" s="1784"/>
      <c r="AF94" s="1783"/>
      <c r="AH94">
        <v>1372.5675675675675</v>
      </c>
    </row>
    <row r="95" spans="1:34" ht="15.75" thickBot="1" x14ac:dyDescent="0.3">
      <c r="A95" s="1792"/>
      <c r="B95" s="1791"/>
      <c r="C95" s="1790"/>
      <c r="J95" s="1789"/>
      <c r="K95" s="1789"/>
      <c r="L95" s="1789"/>
      <c r="N95" s="1789"/>
      <c r="O95" s="1787"/>
      <c r="P95" s="1789"/>
      <c r="S95" s="1782"/>
      <c r="T95" s="1788"/>
      <c r="U95" s="1788"/>
      <c r="V95" s="1787"/>
      <c r="W95" s="1786"/>
      <c r="X95" s="1785"/>
      <c r="Y95" s="1786"/>
      <c r="Z95" s="1785"/>
      <c r="AA95" s="1786"/>
      <c r="AB95" s="1785"/>
      <c r="AC95" s="1786"/>
      <c r="AD95" s="1785"/>
      <c r="AE95" s="1784"/>
      <c r="AF95" s="1783"/>
    </row>
    <row r="96" spans="1:34" ht="15.75" thickBot="1" x14ac:dyDescent="0.3">
      <c r="A96" s="1792"/>
      <c r="B96" s="1791"/>
      <c r="C96" s="1790"/>
      <c r="H96" s="1799" t="s">
        <v>3864</v>
      </c>
      <c r="I96" s="1803">
        <v>7.5164705882352925</v>
      </c>
      <c r="J96" s="1789"/>
      <c r="K96" s="1789"/>
      <c r="L96" s="1789"/>
      <c r="M96" s="1789"/>
      <c r="N96" s="1787"/>
      <c r="O96" s="1787"/>
      <c r="P96" s="1789"/>
      <c r="Q96" s="1789"/>
      <c r="R96" s="1789"/>
      <c r="S96" s="1789"/>
      <c r="T96" s="1788"/>
      <c r="U96" s="1788"/>
      <c r="V96" s="1787"/>
      <c r="W96" s="1786"/>
      <c r="X96" s="1785"/>
      <c r="Y96" s="1786"/>
      <c r="Z96" s="1785"/>
      <c r="AA96" s="1786"/>
      <c r="AB96" s="1785"/>
      <c r="AC96" s="1786"/>
      <c r="AD96" s="1785"/>
      <c r="AE96" s="1784"/>
      <c r="AF96" s="1783"/>
    </row>
    <row r="97" spans="1:32" ht="16.5" thickTop="1" thickBot="1" x14ac:dyDescent="0.3">
      <c r="A97" s="1792"/>
      <c r="B97" s="1791"/>
      <c r="C97" s="1790"/>
      <c r="H97" s="1802" t="s">
        <v>3863</v>
      </c>
      <c r="I97" s="1801">
        <v>3.3098155673112504</v>
      </c>
      <c r="J97" s="1789"/>
      <c r="K97" s="1789"/>
      <c r="L97" s="1789"/>
      <c r="M97" s="1789"/>
      <c r="N97" s="1787"/>
      <c r="O97" s="1787"/>
      <c r="P97" s="1789"/>
      <c r="Q97" s="1789"/>
      <c r="R97" s="1789"/>
      <c r="S97" s="1789"/>
      <c r="T97" s="1788"/>
      <c r="U97" s="1788"/>
      <c r="V97" s="1787"/>
      <c r="W97" s="1786"/>
      <c r="X97" s="1785"/>
      <c r="Y97" s="1786"/>
      <c r="Z97" s="1785"/>
      <c r="AA97" s="1786"/>
      <c r="AB97" s="1785"/>
      <c r="AC97" s="1786"/>
      <c r="AD97" s="1785"/>
      <c r="AE97" s="1784"/>
      <c r="AF97" s="1783"/>
    </row>
    <row r="98" spans="1:32" ht="16.5" thickTop="1" thickBot="1" x14ac:dyDescent="0.3">
      <c r="A98" s="1792"/>
      <c r="B98" s="1791"/>
      <c r="C98" s="1790"/>
      <c r="H98" s="1802" t="s">
        <v>3862</v>
      </c>
      <c r="I98" s="1801">
        <v>1.2889999999999999</v>
      </c>
      <c r="J98" s="1789"/>
      <c r="K98" s="1789"/>
      <c r="L98" s="1789"/>
      <c r="M98" s="1789"/>
      <c r="N98" s="1787"/>
      <c r="O98" s="1787"/>
      <c r="P98" s="1789"/>
      <c r="Q98" s="1789"/>
      <c r="R98" s="1789"/>
      <c r="S98" s="1789"/>
      <c r="T98" s="1788"/>
      <c r="U98" s="1788"/>
      <c r="V98" s="1787"/>
      <c r="W98" s="1786"/>
      <c r="X98" s="1785"/>
      <c r="Y98" s="1786"/>
      <c r="Z98" s="1785"/>
      <c r="AA98" s="1786"/>
      <c r="AB98" s="1785"/>
      <c r="AC98" s="1786"/>
      <c r="AD98" s="1785"/>
      <c r="AE98" s="1784"/>
      <c r="AF98" s="1783"/>
    </row>
    <row r="99" spans="1:32" ht="17.25" thickTop="1" thickBot="1" x14ac:dyDescent="0.3">
      <c r="A99" s="1792"/>
      <c r="B99" s="1791"/>
      <c r="C99" s="1790"/>
      <c r="H99" s="1797" t="s">
        <v>3861</v>
      </c>
      <c r="I99" s="1800">
        <v>7.0537197130671156</v>
      </c>
      <c r="J99" s="1789"/>
      <c r="K99" s="1789"/>
      <c r="L99" s="1789"/>
      <c r="N99" s="1787"/>
      <c r="O99" s="1787"/>
      <c r="P99" s="1789"/>
      <c r="T99" s="1788"/>
      <c r="U99" s="1788"/>
      <c r="V99" s="1787"/>
      <c r="W99" s="1786"/>
      <c r="X99" s="1785"/>
      <c r="Y99" s="1786"/>
      <c r="Z99" s="1785"/>
      <c r="AA99" s="1786"/>
      <c r="AB99" s="1785"/>
      <c r="AC99" s="1786"/>
      <c r="AD99" s="1785"/>
      <c r="AE99" s="1784"/>
      <c r="AF99" s="1783"/>
    </row>
    <row r="100" spans="1:32" ht="15.75" thickBot="1" x14ac:dyDescent="0.3">
      <c r="A100" s="1792"/>
      <c r="B100" s="1791"/>
      <c r="C100" s="1790"/>
      <c r="J100" s="1789"/>
      <c r="K100" s="1789"/>
      <c r="N100" s="1787"/>
      <c r="O100" s="1787"/>
      <c r="P100" s="1789"/>
      <c r="T100" s="1788"/>
      <c r="U100" s="1788"/>
      <c r="V100" s="1787"/>
      <c r="W100" s="1786"/>
      <c r="X100" s="1785"/>
      <c r="Y100" s="1786"/>
      <c r="Z100" s="1785"/>
      <c r="AA100" s="1786"/>
      <c r="AB100" s="1785"/>
      <c r="AC100" s="1786"/>
      <c r="AD100" s="1785"/>
      <c r="AE100" s="1784"/>
      <c r="AF100" s="1783"/>
    </row>
    <row r="101" spans="1:32" x14ac:dyDescent="0.25">
      <c r="A101" s="1792"/>
      <c r="B101" s="1791"/>
      <c r="C101" s="1790"/>
      <c r="D101" s="1795"/>
      <c r="E101" s="1795"/>
      <c r="F101" s="1794"/>
      <c r="H101" s="1799" t="s">
        <v>3860</v>
      </c>
      <c r="I101" s="1798">
        <v>10.230255049078277</v>
      </c>
      <c r="J101" s="1789"/>
      <c r="K101" s="1789"/>
      <c r="N101" s="1787"/>
      <c r="O101" s="1787"/>
      <c r="P101" s="1789"/>
      <c r="T101" s="1788"/>
      <c r="U101" s="1788"/>
      <c r="V101" s="1787"/>
      <c r="W101" s="1786"/>
      <c r="X101" s="1785"/>
      <c r="Y101" s="1786"/>
      <c r="Z101" s="1785"/>
      <c r="AA101" s="1786"/>
      <c r="AB101" s="1785"/>
      <c r="AC101" s="1786"/>
      <c r="AD101" s="1785"/>
      <c r="AE101" s="1784"/>
      <c r="AF101" s="1783"/>
    </row>
    <row r="102" spans="1:32" ht="15.75" thickBot="1" x14ac:dyDescent="0.3">
      <c r="A102" s="1792"/>
      <c r="B102" s="1791"/>
      <c r="C102" s="1790"/>
      <c r="D102" s="1795"/>
      <c r="E102" s="1795"/>
      <c r="F102" s="1794"/>
      <c r="H102" s="1797" t="s">
        <v>3859</v>
      </c>
      <c r="I102" s="1796">
        <v>4.8026861273923078</v>
      </c>
      <c r="J102" s="1789"/>
      <c r="K102" s="1789"/>
      <c r="N102" s="1787"/>
      <c r="O102" s="1787"/>
      <c r="P102" s="1789"/>
      <c r="T102" s="1788"/>
      <c r="U102" s="1788"/>
      <c r="V102" s="1787"/>
      <c r="W102" s="1786"/>
      <c r="X102" s="1785"/>
      <c r="Y102" s="1786"/>
      <c r="Z102" s="1785"/>
      <c r="AA102" s="1786"/>
      <c r="AB102" s="1785"/>
      <c r="AC102" s="1786"/>
      <c r="AD102" s="1785"/>
      <c r="AE102" s="1784"/>
      <c r="AF102" s="1783"/>
    </row>
    <row r="103" spans="1:32" x14ac:dyDescent="0.25">
      <c r="A103" s="1792"/>
      <c r="B103" s="1791"/>
      <c r="C103" s="1790"/>
      <c r="D103" s="1795"/>
      <c r="E103" s="1795"/>
      <c r="F103" s="1794"/>
      <c r="J103" s="1789"/>
      <c r="K103" s="1789"/>
      <c r="N103" s="1787"/>
      <c r="O103" s="1787"/>
      <c r="P103" s="1789"/>
      <c r="T103" s="1788"/>
      <c r="U103" s="1788"/>
      <c r="V103" s="1787"/>
      <c r="W103" s="1786"/>
      <c r="X103" s="1785"/>
      <c r="Y103" s="1786"/>
      <c r="Z103" s="1785"/>
      <c r="AA103" s="1786"/>
      <c r="AB103" s="1785"/>
      <c r="AC103" s="1786"/>
      <c r="AD103" s="1785"/>
      <c r="AE103" s="1784"/>
      <c r="AF103" s="1783"/>
    </row>
    <row r="104" spans="1:32" x14ac:dyDescent="0.25">
      <c r="A104" s="1792"/>
      <c r="B104" s="1791"/>
      <c r="C104" s="1790"/>
      <c r="J104" s="1789"/>
      <c r="K104" s="1789"/>
      <c r="L104" s="1789"/>
      <c r="M104" s="1789"/>
      <c r="N104" s="1787"/>
      <c r="O104" s="1787"/>
      <c r="P104" s="1789"/>
      <c r="Q104" s="1789"/>
      <c r="R104" s="1789"/>
      <c r="S104" s="1789"/>
      <c r="T104" s="1788"/>
      <c r="U104" s="1788"/>
      <c r="V104" s="1787"/>
      <c r="W104" s="1786"/>
      <c r="X104" s="1785"/>
      <c r="Y104" s="1786"/>
      <c r="Z104" s="1785"/>
      <c r="AA104" s="1786"/>
      <c r="AB104" s="1785"/>
      <c r="AC104" s="1786"/>
      <c r="AD104" s="1785"/>
      <c r="AE104" s="1784"/>
      <c r="AF104" s="1783"/>
    </row>
    <row r="105" spans="1:32" x14ac:dyDescent="0.25">
      <c r="A105" s="1792"/>
      <c r="B105" s="1791"/>
      <c r="C105" s="1790"/>
      <c r="K105" s="1789"/>
      <c r="L105" s="1789"/>
      <c r="M105" s="1789"/>
      <c r="N105" s="1787"/>
      <c r="O105" s="1787"/>
      <c r="P105" s="1789"/>
      <c r="Q105" s="1789"/>
      <c r="R105" s="1789"/>
      <c r="S105" s="1789"/>
      <c r="T105" s="1788"/>
      <c r="U105" s="1788"/>
      <c r="V105" s="1787"/>
      <c r="W105" s="1786"/>
      <c r="X105" s="1785"/>
      <c r="Y105" s="1786"/>
      <c r="Z105" s="1785"/>
      <c r="AA105" s="1786"/>
      <c r="AB105" s="1785"/>
      <c r="AC105" s="1786"/>
      <c r="AD105" s="1785"/>
      <c r="AE105" s="1784"/>
      <c r="AF105" s="1783"/>
    </row>
    <row r="106" spans="1:32" x14ac:dyDescent="0.25">
      <c r="A106" s="1792"/>
      <c r="B106" s="1791"/>
      <c r="C106" s="1790"/>
      <c r="J106" s="1789"/>
      <c r="K106" s="1789"/>
      <c r="L106" s="1789"/>
      <c r="M106" s="1789"/>
      <c r="N106" s="1787"/>
      <c r="O106" s="1787"/>
      <c r="P106" s="1789"/>
      <c r="Q106" s="1789"/>
      <c r="R106" s="1789"/>
      <c r="S106" s="1789"/>
      <c r="T106" s="1788"/>
      <c r="U106" s="1788"/>
      <c r="V106" s="1787"/>
      <c r="W106" s="1786"/>
      <c r="X106" s="1785"/>
      <c r="Y106" s="1786"/>
      <c r="Z106" s="1785"/>
      <c r="AA106" s="1786"/>
      <c r="AB106" s="1785"/>
      <c r="AC106" s="1786"/>
      <c r="AD106" s="1785"/>
      <c r="AE106" s="1784"/>
      <c r="AF106" s="1783"/>
    </row>
    <row r="107" spans="1:32" x14ac:dyDescent="0.25">
      <c r="A107" s="1792"/>
      <c r="B107" s="1791"/>
      <c r="C107" s="1790"/>
      <c r="D107" s="1793"/>
      <c r="E107" s="1793"/>
      <c r="F107" s="1789"/>
      <c r="G107" s="1788"/>
      <c r="H107" s="1789"/>
      <c r="I107" s="1790"/>
      <c r="J107" s="1789"/>
      <c r="K107" s="1789"/>
      <c r="L107" s="1789"/>
      <c r="M107" s="1789"/>
      <c r="N107" s="1787"/>
      <c r="O107" s="1787"/>
      <c r="P107" s="1789"/>
      <c r="Q107" s="1789"/>
      <c r="R107" s="1789"/>
      <c r="S107" s="1789"/>
      <c r="T107" s="1788"/>
      <c r="U107" s="1788"/>
      <c r="V107" s="1787"/>
      <c r="W107" s="1786"/>
      <c r="X107" s="1785"/>
      <c r="Y107" s="1786"/>
      <c r="Z107" s="1785"/>
      <c r="AA107" s="1786"/>
      <c r="AB107" s="1785"/>
      <c r="AC107" s="1786"/>
      <c r="AD107" s="1785"/>
      <c r="AE107" s="1784"/>
      <c r="AF107" s="1783"/>
    </row>
    <row r="108" spans="1:32" x14ac:dyDescent="0.25">
      <c r="A108" s="1792"/>
      <c r="B108" s="1791"/>
      <c r="C108" s="1790"/>
      <c r="D108" s="1793"/>
      <c r="E108" s="1793"/>
      <c r="F108" s="1789"/>
      <c r="G108" s="1788"/>
      <c r="H108" s="1789"/>
      <c r="I108" s="1790"/>
      <c r="J108" s="1789"/>
      <c r="K108" s="1789"/>
      <c r="L108" s="1789"/>
      <c r="M108" s="1789"/>
      <c r="N108" s="1787"/>
      <c r="O108" s="1787"/>
      <c r="P108" s="1789"/>
      <c r="Q108" s="1789"/>
      <c r="R108" s="1789"/>
      <c r="S108" s="1789"/>
      <c r="T108" s="1788"/>
      <c r="U108" s="1788"/>
      <c r="V108" s="1787"/>
      <c r="W108" s="1786"/>
      <c r="X108" s="1785"/>
      <c r="Y108" s="1786"/>
      <c r="Z108" s="1785"/>
      <c r="AA108" s="1786"/>
      <c r="AB108" s="1785"/>
      <c r="AC108" s="1786"/>
      <c r="AD108" s="1785"/>
      <c r="AE108" s="1784"/>
      <c r="AF108" s="1783"/>
    </row>
    <row r="109" spans="1:32" x14ac:dyDescent="0.25">
      <c r="A109" s="1792"/>
      <c r="B109" s="1791"/>
      <c r="C109" s="1790"/>
      <c r="D109" s="1793"/>
      <c r="E109" s="1793"/>
      <c r="F109" s="1789"/>
      <c r="G109" s="1788"/>
      <c r="H109" s="1789"/>
      <c r="I109" s="1790"/>
      <c r="J109" s="1789"/>
      <c r="K109" s="1789"/>
      <c r="L109" s="1789"/>
      <c r="M109" s="1789"/>
      <c r="N109" s="1787"/>
      <c r="O109" s="1787"/>
      <c r="P109" s="1789"/>
      <c r="Q109" s="1789"/>
      <c r="R109" s="1789"/>
      <c r="S109" s="1789"/>
      <c r="T109" s="1788"/>
      <c r="U109" s="1788"/>
      <c r="V109" s="1787"/>
      <c r="W109" s="1786"/>
      <c r="X109" s="1785"/>
      <c r="Y109" s="1786"/>
      <c r="Z109" s="1785"/>
      <c r="AA109" s="1786"/>
      <c r="AB109" s="1785"/>
      <c r="AC109" s="1786"/>
      <c r="AD109" s="1785"/>
      <c r="AE109" s="1784"/>
      <c r="AF109" s="1783"/>
    </row>
    <row r="110" spans="1:32" x14ac:dyDescent="0.25">
      <c r="A110" s="1792"/>
      <c r="B110" s="1791"/>
      <c r="C110" s="1790"/>
      <c r="D110" s="1793"/>
      <c r="E110" s="1793"/>
      <c r="F110" s="1789"/>
      <c r="G110" s="1788"/>
      <c r="H110" s="1789"/>
      <c r="I110" s="1790"/>
      <c r="J110" s="1789"/>
      <c r="K110" s="1789"/>
      <c r="L110" s="1789"/>
      <c r="M110" s="1789"/>
      <c r="N110" s="1787"/>
      <c r="O110" s="1787"/>
      <c r="P110" s="1789"/>
      <c r="Q110" s="1789"/>
      <c r="R110" s="1789"/>
      <c r="S110" s="1789"/>
      <c r="T110" s="1788"/>
      <c r="U110" s="1788"/>
      <c r="V110" s="1787"/>
      <c r="W110" s="1786"/>
      <c r="X110" s="1785"/>
      <c r="Y110" s="1786"/>
      <c r="Z110" s="1785"/>
      <c r="AA110" s="1786"/>
      <c r="AB110" s="1785"/>
      <c r="AC110" s="1786"/>
      <c r="AD110" s="1785"/>
      <c r="AE110" s="1784"/>
      <c r="AF110" s="1783"/>
    </row>
    <row r="111" spans="1:32" x14ac:dyDescent="0.25">
      <c r="A111" s="1792"/>
      <c r="B111" s="1791"/>
      <c r="C111" s="1790"/>
      <c r="D111" s="1793"/>
      <c r="E111" s="1793"/>
      <c r="F111" s="1789"/>
      <c r="G111" s="1788"/>
      <c r="H111" s="1789"/>
      <c r="I111" s="1790"/>
      <c r="J111" s="1789"/>
      <c r="K111" s="1789"/>
      <c r="L111" s="1789"/>
      <c r="M111" s="1789"/>
      <c r="N111" s="1787"/>
      <c r="O111" s="1787"/>
      <c r="P111" s="1789"/>
      <c r="Q111" s="1789"/>
      <c r="R111" s="1789"/>
      <c r="S111" s="1789"/>
      <c r="T111" s="1788"/>
      <c r="U111" s="1788"/>
      <c r="V111" s="1787"/>
      <c r="W111" s="1786"/>
      <c r="X111" s="1785"/>
      <c r="Y111" s="1786"/>
      <c r="Z111" s="1785"/>
      <c r="AA111" s="1786"/>
      <c r="AB111" s="1785"/>
      <c r="AC111" s="1786"/>
      <c r="AD111" s="1785"/>
      <c r="AE111" s="1784"/>
      <c r="AF111" s="1783"/>
    </row>
    <row r="112" spans="1:32" x14ac:dyDescent="0.25">
      <c r="A112" s="1792"/>
      <c r="B112" s="1791"/>
      <c r="C112" s="1790"/>
      <c r="D112" s="1793"/>
      <c r="E112" s="1793"/>
      <c r="F112" s="1789"/>
      <c r="G112" s="1788"/>
      <c r="H112" s="1789"/>
      <c r="I112" s="1790"/>
      <c r="J112" s="1789"/>
      <c r="K112" s="1789"/>
      <c r="L112" s="1789"/>
      <c r="M112" s="1789"/>
      <c r="N112" s="1787"/>
      <c r="O112" s="1787"/>
      <c r="P112" s="1789"/>
      <c r="Q112" s="1789"/>
      <c r="R112" s="1789"/>
      <c r="S112" s="1789"/>
      <c r="T112" s="1788"/>
      <c r="U112" s="1788"/>
      <c r="V112" s="1787"/>
      <c r="W112" s="1786"/>
      <c r="X112" s="1785"/>
      <c r="Y112" s="1786"/>
      <c r="Z112" s="1785"/>
      <c r="AA112" s="1786"/>
      <c r="AB112" s="1785"/>
      <c r="AC112" s="1786"/>
      <c r="AD112" s="1785"/>
      <c r="AE112" s="1784"/>
      <c r="AF112" s="1783"/>
    </row>
    <row r="113" spans="1:32" x14ac:dyDescent="0.25">
      <c r="A113" s="1792"/>
      <c r="B113" s="1791"/>
      <c r="C113" s="1790"/>
      <c r="D113" s="1793"/>
      <c r="E113" s="1793"/>
      <c r="F113" s="1789"/>
      <c r="G113" s="1788"/>
      <c r="H113" s="1789"/>
      <c r="I113" s="1790"/>
      <c r="J113" s="1789"/>
      <c r="K113" s="1789"/>
      <c r="L113" s="1789"/>
      <c r="M113" s="1789"/>
      <c r="N113" s="1787"/>
      <c r="O113" s="1787"/>
      <c r="P113" s="1789"/>
      <c r="Q113" s="1789"/>
      <c r="R113" s="1789"/>
      <c r="S113" s="1789"/>
      <c r="T113" s="1788"/>
      <c r="U113" s="1788"/>
      <c r="V113" s="1787"/>
      <c r="W113" s="1786"/>
      <c r="X113" s="1785"/>
      <c r="Y113" s="1786"/>
      <c r="Z113" s="1785"/>
      <c r="AA113" s="1786"/>
      <c r="AB113" s="1785"/>
      <c r="AC113" s="1786"/>
      <c r="AD113" s="1785"/>
      <c r="AE113" s="1784"/>
      <c r="AF113" s="1783"/>
    </row>
    <row r="114" spans="1:32" x14ac:dyDescent="0.25">
      <c r="A114" s="1792"/>
      <c r="B114" s="1791"/>
      <c r="C114" s="1790"/>
      <c r="D114" s="1793"/>
      <c r="E114" s="1793"/>
      <c r="F114" s="1789"/>
      <c r="G114" s="1788"/>
      <c r="H114" s="1789"/>
      <c r="I114" s="1790"/>
      <c r="J114" s="1789"/>
      <c r="K114" s="1789"/>
      <c r="L114" s="1789"/>
      <c r="M114" s="1789"/>
      <c r="N114" s="1787"/>
      <c r="O114" s="1787"/>
      <c r="P114" s="1789"/>
      <c r="Q114" s="1789"/>
      <c r="R114" s="1789"/>
      <c r="S114" s="1789"/>
      <c r="T114" s="1788"/>
      <c r="U114" s="1788"/>
      <c r="V114" s="1787"/>
      <c r="W114" s="1786"/>
      <c r="X114" s="1785"/>
      <c r="Y114" s="1786"/>
      <c r="Z114" s="1785"/>
      <c r="AA114" s="1786"/>
      <c r="AB114" s="1785"/>
      <c r="AC114" s="1786"/>
      <c r="AD114" s="1785"/>
      <c r="AE114" s="1784"/>
      <c r="AF114" s="1783"/>
    </row>
    <row r="115" spans="1:32" x14ac:dyDescent="0.25">
      <c r="A115" s="1792"/>
      <c r="B115" s="1791"/>
      <c r="C115" s="1790"/>
      <c r="D115" s="1793"/>
      <c r="E115" s="1793"/>
      <c r="F115" s="1789"/>
      <c r="G115" s="1788"/>
      <c r="H115" s="1789"/>
      <c r="I115" s="1790"/>
      <c r="J115" s="1789"/>
      <c r="K115" s="1789"/>
      <c r="L115" s="1789"/>
      <c r="M115" s="1789"/>
      <c r="N115" s="1787"/>
      <c r="O115" s="1787"/>
      <c r="P115" s="1789"/>
      <c r="Q115" s="1789"/>
      <c r="R115" s="1789"/>
      <c r="S115" s="1789"/>
      <c r="T115" s="1788"/>
      <c r="U115" s="1788"/>
      <c r="V115" s="1787"/>
      <c r="W115" s="1786"/>
      <c r="X115" s="1785"/>
      <c r="Y115" s="1786"/>
      <c r="Z115" s="1785"/>
      <c r="AA115" s="1786"/>
      <c r="AB115" s="1785"/>
      <c r="AC115" s="1786"/>
      <c r="AD115" s="1785"/>
      <c r="AE115" s="1784"/>
      <c r="AF115" s="1783"/>
    </row>
    <row r="116" spans="1:32" x14ac:dyDescent="0.25">
      <c r="A116" s="1792"/>
      <c r="B116" s="1791"/>
      <c r="C116" s="1790"/>
      <c r="D116" s="1793"/>
      <c r="E116" s="1793"/>
      <c r="F116" s="1789"/>
      <c r="G116" s="1788"/>
      <c r="H116" s="1789"/>
      <c r="I116" s="1790"/>
      <c r="J116" s="1789"/>
      <c r="K116" s="1789"/>
      <c r="L116" s="1789"/>
      <c r="M116" s="1789"/>
      <c r="N116" s="1787"/>
      <c r="O116" s="1787"/>
      <c r="P116" s="1789"/>
      <c r="Q116" s="1789"/>
      <c r="R116" s="1789"/>
      <c r="S116" s="1789"/>
      <c r="T116" s="1788"/>
      <c r="U116" s="1788"/>
      <c r="V116" s="1787"/>
      <c r="W116" s="1786"/>
      <c r="X116" s="1785"/>
      <c r="Y116" s="1786"/>
      <c r="Z116" s="1785"/>
      <c r="AA116" s="1786"/>
      <c r="AB116" s="1785"/>
      <c r="AC116" s="1786"/>
      <c r="AD116" s="1785"/>
      <c r="AE116" s="1784"/>
      <c r="AF116" s="1783"/>
    </row>
    <row r="117" spans="1:32" x14ac:dyDescent="0.25">
      <c r="A117" s="1792"/>
      <c r="B117" s="1791"/>
      <c r="C117" s="1790"/>
      <c r="J117" s="1789"/>
      <c r="K117" s="1789"/>
      <c r="L117" s="1789"/>
      <c r="M117" s="1789"/>
      <c r="N117" s="1787"/>
      <c r="O117" s="1787"/>
      <c r="P117" s="1789"/>
      <c r="Q117" s="1789"/>
      <c r="R117" s="1789"/>
      <c r="S117" s="1789"/>
      <c r="T117" s="1788"/>
      <c r="U117" s="1788"/>
      <c r="V117" s="1787"/>
      <c r="W117" s="1786"/>
      <c r="X117" s="1785"/>
      <c r="Y117" s="1786"/>
      <c r="Z117" s="1785"/>
      <c r="AA117" s="1786"/>
      <c r="AB117" s="1785"/>
      <c r="AC117" s="1786"/>
      <c r="AD117" s="1785"/>
      <c r="AE117" s="1784"/>
      <c r="AF117" s="1783"/>
    </row>
  </sheetData>
  <mergeCells count="1">
    <mergeCell ref="W1:AF1"/>
  </mergeCells>
  <printOptions horizontalCentered="1"/>
  <pageMargins left="0.59055118110236227" right="0.59055118110236227" top="0.78740157480314965" bottom="0.78740157480314965" header="0.59055118110236227" footer="0.59055118110236227"/>
  <pageSetup paperSize="9" scale="62" fitToHeight="0"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877AF-C618-4E67-A6E7-D1BD3567BC37}">
  <sheetPr>
    <tabColor theme="2" tint="-0.749992370372631"/>
    <pageSetUpPr fitToPage="1"/>
  </sheetPr>
  <dimension ref="A1:V54"/>
  <sheetViews>
    <sheetView workbookViewId="0">
      <selection sqref="A1:XFD1048576"/>
    </sheetView>
  </sheetViews>
  <sheetFormatPr defaultRowHeight="15" x14ac:dyDescent="0.25"/>
  <cols>
    <col min="4" max="4" width="9.5703125" bestFit="1" customWidth="1"/>
    <col min="5" max="5" width="10.5703125" bestFit="1" customWidth="1"/>
  </cols>
  <sheetData>
    <row r="1" spans="1:22" ht="48.75" thickBot="1" x14ac:dyDescent="0.3">
      <c r="A1" s="1860" t="s">
        <v>3991</v>
      </c>
      <c r="B1" s="1859" t="s">
        <v>3990</v>
      </c>
      <c r="C1" s="1859" t="s">
        <v>3989</v>
      </c>
      <c r="D1" s="1859" t="s">
        <v>3988</v>
      </c>
      <c r="E1" s="1859" t="s">
        <v>3987</v>
      </c>
      <c r="F1" s="1859" t="s">
        <v>3986</v>
      </c>
      <c r="G1" s="1859" t="s">
        <v>3985</v>
      </c>
      <c r="H1" s="1859" t="s">
        <v>3984</v>
      </c>
      <c r="I1" s="1859" t="s">
        <v>3983</v>
      </c>
      <c r="J1" s="1859" t="s">
        <v>3982</v>
      </c>
      <c r="K1" s="1859" t="s">
        <v>3981</v>
      </c>
      <c r="L1" s="1859" t="s">
        <v>3980</v>
      </c>
      <c r="M1" s="1859" t="s">
        <v>3979</v>
      </c>
      <c r="N1" s="1859" t="s">
        <v>3978</v>
      </c>
      <c r="O1" s="1859" t="s">
        <v>3977</v>
      </c>
      <c r="P1" s="1859" t="s">
        <v>3976</v>
      </c>
      <c r="Q1" s="1859" t="s">
        <v>3868</v>
      </c>
      <c r="R1" s="1859" t="s">
        <v>3867</v>
      </c>
      <c r="S1" s="1859" t="s">
        <v>3866</v>
      </c>
      <c r="T1" s="1859" t="s">
        <v>3869</v>
      </c>
      <c r="U1" s="1859" t="s">
        <v>3975</v>
      </c>
      <c r="V1" s="1859" t="s">
        <v>3974</v>
      </c>
    </row>
    <row r="2" spans="1:22" x14ac:dyDescent="0.25">
      <c r="A2" s="1858">
        <v>1</v>
      </c>
      <c r="B2" s="1857" t="s">
        <v>3972</v>
      </c>
      <c r="C2" s="1856" t="s">
        <v>35</v>
      </c>
      <c r="D2" s="1884">
        <v>163856.02650000001</v>
      </c>
      <c r="E2" s="1885">
        <v>8249092.7746000001</v>
      </c>
      <c r="F2" s="1853">
        <v>32</v>
      </c>
      <c r="G2" s="1851">
        <v>1342</v>
      </c>
      <c r="H2" s="1855">
        <v>0.14000000000000001</v>
      </c>
      <c r="I2" s="1854">
        <v>6.2</v>
      </c>
      <c r="J2" s="1853">
        <v>0.73</v>
      </c>
      <c r="K2" s="1852">
        <v>2.5099999999999998</v>
      </c>
      <c r="L2" s="1852">
        <v>21.48</v>
      </c>
      <c r="M2" s="1852">
        <v>75.28</v>
      </c>
      <c r="N2" s="1852">
        <v>99.27</v>
      </c>
      <c r="O2" s="1852">
        <v>96.76</v>
      </c>
      <c r="P2" s="1852">
        <v>75.28</v>
      </c>
      <c r="Q2" s="1852">
        <v>36.9</v>
      </c>
      <c r="R2" s="1852">
        <v>25.3</v>
      </c>
      <c r="S2" s="1852">
        <v>11.6</v>
      </c>
      <c r="T2" s="1851">
        <v>0</v>
      </c>
      <c r="U2" s="1851" t="s">
        <v>3900</v>
      </c>
      <c r="V2" s="1850" t="s">
        <v>3887</v>
      </c>
    </row>
    <row r="3" spans="1:22" x14ac:dyDescent="0.25">
      <c r="A3" s="1844">
        <v>2</v>
      </c>
      <c r="B3" s="1843" t="s">
        <v>3971</v>
      </c>
      <c r="C3" s="1842" t="s">
        <v>35</v>
      </c>
      <c r="D3" s="1886">
        <v>164111.671</v>
      </c>
      <c r="E3" s="1887">
        <v>8249100.8552000001</v>
      </c>
      <c r="F3" s="1838">
        <v>29</v>
      </c>
      <c r="G3" s="1841">
        <v>1363</v>
      </c>
      <c r="H3" s="1840">
        <v>7.0000000000000007E-2</v>
      </c>
      <c r="I3" s="1839">
        <v>7</v>
      </c>
      <c r="J3" s="1838">
        <v>0.39</v>
      </c>
      <c r="K3" s="1836">
        <v>6.72</v>
      </c>
      <c r="L3" s="1836">
        <v>12.38</v>
      </c>
      <c r="M3" s="1836">
        <v>80.52</v>
      </c>
      <c r="N3" s="1837">
        <v>99.61</v>
      </c>
      <c r="O3" s="1837">
        <v>92.8</v>
      </c>
      <c r="P3" s="1837">
        <v>80.52</v>
      </c>
      <c r="Q3" s="1836">
        <v>44.6</v>
      </c>
      <c r="R3" s="1836">
        <v>34</v>
      </c>
      <c r="S3" s="1836">
        <v>10.6</v>
      </c>
      <c r="T3" s="1835">
        <v>0</v>
      </c>
      <c r="U3" s="1835" t="s">
        <v>4015</v>
      </c>
      <c r="V3" s="1834" t="s">
        <v>3897</v>
      </c>
    </row>
    <row r="4" spans="1:22" x14ac:dyDescent="0.25">
      <c r="A4" s="1844">
        <v>3</v>
      </c>
      <c r="B4" s="1843" t="s">
        <v>3970</v>
      </c>
      <c r="C4" s="1842" t="s">
        <v>35</v>
      </c>
      <c r="D4" s="1886">
        <v>164037.04</v>
      </c>
      <c r="E4" s="1887">
        <v>8249020.0871000001</v>
      </c>
      <c r="F4" s="1838">
        <v>24.9</v>
      </c>
      <c r="G4" s="1841">
        <v>1525</v>
      </c>
      <c r="H4" s="1840">
        <v>7.0000000000000007E-2</v>
      </c>
      <c r="I4" s="1839">
        <v>8.1</v>
      </c>
      <c r="J4" s="1838">
        <v>4.17</v>
      </c>
      <c r="K4" s="1836">
        <v>4.67</v>
      </c>
      <c r="L4" s="1836">
        <v>27.41</v>
      </c>
      <c r="M4" s="1836">
        <v>63.75</v>
      </c>
      <c r="N4" s="1837">
        <v>95.83</v>
      </c>
      <c r="O4" s="1837">
        <v>91.16</v>
      </c>
      <c r="P4" s="1837">
        <v>63.75</v>
      </c>
      <c r="Q4" s="1836">
        <v>35</v>
      </c>
      <c r="R4" s="1836">
        <v>20.100000000000001</v>
      </c>
      <c r="S4" s="1836">
        <v>14.9</v>
      </c>
      <c r="T4" s="1835">
        <v>0</v>
      </c>
      <c r="U4" s="1835" t="s">
        <v>3900</v>
      </c>
      <c r="V4" s="1834" t="s">
        <v>3887</v>
      </c>
    </row>
    <row r="5" spans="1:22" x14ac:dyDescent="0.25">
      <c r="A5" s="1844">
        <v>4</v>
      </c>
      <c r="B5" s="1843" t="s">
        <v>3969</v>
      </c>
      <c r="C5" s="1842" t="s">
        <v>35</v>
      </c>
      <c r="D5" s="1886">
        <v>163978.32</v>
      </c>
      <c r="E5" s="1887">
        <v>8248929.2860000003</v>
      </c>
      <c r="F5" s="1838">
        <v>29.5</v>
      </c>
      <c r="G5" s="1841">
        <v>1369</v>
      </c>
      <c r="H5" s="1840">
        <v>0.11</v>
      </c>
      <c r="I5" s="1839">
        <v>6.3</v>
      </c>
      <c r="J5" s="1838">
        <v>5.01</v>
      </c>
      <c r="K5" s="1836">
        <v>8.49</v>
      </c>
      <c r="L5" s="1836">
        <v>20.96</v>
      </c>
      <c r="M5" s="1836">
        <v>65.540000000000006</v>
      </c>
      <c r="N5" s="1837">
        <v>94.99</v>
      </c>
      <c r="O5" s="1837">
        <v>86.5</v>
      </c>
      <c r="P5" s="1837">
        <v>65.540000000000006</v>
      </c>
      <c r="Q5" s="1836">
        <v>35.700000000000003</v>
      </c>
      <c r="R5" s="1836">
        <v>25.1</v>
      </c>
      <c r="S5" s="1836">
        <v>10.5</v>
      </c>
      <c r="T5" s="1835">
        <v>0</v>
      </c>
      <c r="U5" s="1835" t="s">
        <v>3898</v>
      </c>
      <c r="V5" s="1834" t="s">
        <v>3897</v>
      </c>
    </row>
    <row r="6" spans="1:22" x14ac:dyDescent="0.25">
      <c r="A6" s="1844">
        <v>5</v>
      </c>
      <c r="B6" s="1843" t="s">
        <v>3967</v>
      </c>
      <c r="C6" s="1842" t="s">
        <v>35</v>
      </c>
      <c r="D6" s="1886">
        <v>164173.30900000001</v>
      </c>
      <c r="E6" s="1887">
        <v>8248933.9923999999</v>
      </c>
      <c r="F6" s="1838">
        <v>31</v>
      </c>
      <c r="G6" s="1841">
        <v>1334</v>
      </c>
      <c r="H6" s="1840">
        <v>0.2</v>
      </c>
      <c r="I6" s="1839">
        <v>5.6</v>
      </c>
      <c r="J6" s="1838">
        <v>0.11</v>
      </c>
      <c r="K6" s="1836">
        <v>2.56</v>
      </c>
      <c r="L6" s="1836">
        <v>6.79</v>
      </c>
      <c r="M6" s="1836">
        <v>90.54</v>
      </c>
      <c r="N6" s="1837">
        <v>99.89</v>
      </c>
      <c r="O6" s="1837">
        <v>97.33</v>
      </c>
      <c r="P6" s="1837">
        <v>90.54</v>
      </c>
      <c r="Q6" s="1836">
        <v>45.8</v>
      </c>
      <c r="R6" s="1836">
        <v>31.8</v>
      </c>
      <c r="S6" s="1836">
        <v>14</v>
      </c>
      <c r="T6" s="1835">
        <v>0</v>
      </c>
      <c r="U6" s="1835" t="s">
        <v>3891</v>
      </c>
      <c r="V6" s="1834" t="s">
        <v>3890</v>
      </c>
    </row>
    <row r="7" spans="1:22" x14ac:dyDescent="0.25">
      <c r="A7" s="1844">
        <v>6</v>
      </c>
      <c r="B7" s="1843" t="s">
        <v>3966</v>
      </c>
      <c r="C7" s="1842" t="s">
        <v>35</v>
      </c>
      <c r="D7" s="1886">
        <v>164267.10449999999</v>
      </c>
      <c r="E7" s="1887">
        <v>8248936.7537000002</v>
      </c>
      <c r="F7" s="1838">
        <v>30.7</v>
      </c>
      <c r="G7" s="1841">
        <v>1308</v>
      </c>
      <c r="H7" s="1840">
        <v>0.22</v>
      </c>
      <c r="I7" s="1839">
        <v>7</v>
      </c>
      <c r="J7" s="1838">
        <v>1.94</v>
      </c>
      <c r="K7" s="1836">
        <v>6.1</v>
      </c>
      <c r="L7" s="1836">
        <v>12.71</v>
      </c>
      <c r="M7" s="1836">
        <v>79.25</v>
      </c>
      <c r="N7" s="1837">
        <v>98.06</v>
      </c>
      <c r="O7" s="1837">
        <v>91.96</v>
      </c>
      <c r="P7" s="1837">
        <v>79.25</v>
      </c>
      <c r="Q7" s="1836">
        <v>48.4</v>
      </c>
      <c r="R7" s="1836">
        <v>30.4</v>
      </c>
      <c r="S7" s="1836">
        <v>18</v>
      </c>
      <c r="T7" s="1835">
        <v>0</v>
      </c>
      <c r="U7" s="1835" t="s">
        <v>3891</v>
      </c>
      <c r="V7" s="1834" t="s">
        <v>3890</v>
      </c>
    </row>
    <row r="8" spans="1:22" x14ac:dyDescent="0.25">
      <c r="A8" s="1844">
        <v>7</v>
      </c>
      <c r="B8" s="1843" t="s">
        <v>3965</v>
      </c>
      <c r="C8" s="1842" t="s">
        <v>35</v>
      </c>
      <c r="D8" s="1886">
        <v>164386.75760000001</v>
      </c>
      <c r="E8" s="1887">
        <v>8248895.6171000004</v>
      </c>
      <c r="F8" s="1838">
        <v>21.9</v>
      </c>
      <c r="G8" s="1841">
        <v>1581</v>
      </c>
      <c r="H8" s="1840">
        <v>0.05</v>
      </c>
      <c r="I8" s="1839">
        <v>8.6999999999999993</v>
      </c>
      <c r="J8" s="1838">
        <v>7.37</v>
      </c>
      <c r="K8" s="1836">
        <v>3.67</v>
      </c>
      <c r="L8" s="1836">
        <v>24.64</v>
      </c>
      <c r="M8" s="1836">
        <v>64.319999999999993</v>
      </c>
      <c r="N8" s="1837">
        <v>92.63</v>
      </c>
      <c r="O8" s="1837">
        <v>88.95</v>
      </c>
      <c r="P8" s="1837">
        <v>64.319999999999993</v>
      </c>
      <c r="Q8" s="1836">
        <v>34.200000000000003</v>
      </c>
      <c r="R8" s="1836">
        <v>20.5</v>
      </c>
      <c r="S8" s="1836">
        <v>13.7</v>
      </c>
      <c r="T8" s="1835">
        <v>0</v>
      </c>
      <c r="U8" s="1835" t="s">
        <v>3900</v>
      </c>
      <c r="V8" s="1834" t="s">
        <v>3887</v>
      </c>
    </row>
    <row r="9" spans="1:22" x14ac:dyDescent="0.25">
      <c r="A9" s="1844">
        <v>8</v>
      </c>
      <c r="B9" s="1843" t="s">
        <v>3964</v>
      </c>
      <c r="C9" s="1842" t="s">
        <v>35</v>
      </c>
      <c r="D9" s="1886">
        <v>163956.33499999999</v>
      </c>
      <c r="E9" s="1887">
        <v>8248815.6769000003</v>
      </c>
      <c r="F9" s="1838">
        <v>30.4</v>
      </c>
      <c r="G9" s="1841">
        <v>1293</v>
      </c>
      <c r="H9" s="1840">
        <v>0.1</v>
      </c>
      <c r="I9" s="1839">
        <v>4.2</v>
      </c>
      <c r="J9" s="1838">
        <v>0.72</v>
      </c>
      <c r="K9" s="1836">
        <v>5.54</v>
      </c>
      <c r="L9" s="1836">
        <v>10.16</v>
      </c>
      <c r="M9" s="1836">
        <v>83.58</v>
      </c>
      <c r="N9" s="1837">
        <v>99.28</v>
      </c>
      <c r="O9" s="1837">
        <v>93.74</v>
      </c>
      <c r="P9" s="1837">
        <v>83.58</v>
      </c>
      <c r="Q9" s="1836">
        <v>41.2</v>
      </c>
      <c r="R9" s="1836">
        <v>27</v>
      </c>
      <c r="S9" s="1836">
        <v>14.2</v>
      </c>
      <c r="T9" s="1835">
        <v>0</v>
      </c>
      <c r="U9" s="1835" t="s">
        <v>3888</v>
      </c>
      <c r="V9" s="1834" t="s">
        <v>3887</v>
      </c>
    </row>
    <row r="10" spans="1:22" x14ac:dyDescent="0.25">
      <c r="A10" s="1844">
        <v>9</v>
      </c>
      <c r="B10" s="1843" t="s">
        <v>3963</v>
      </c>
      <c r="C10" s="1842" t="s">
        <v>35</v>
      </c>
      <c r="D10" s="1782">
        <v>164059.6698</v>
      </c>
      <c r="E10" s="1887">
        <v>8248846.6217999998</v>
      </c>
      <c r="F10" s="1838">
        <v>31.8</v>
      </c>
      <c r="G10" s="1841">
        <v>1339</v>
      </c>
      <c r="H10" s="1840">
        <v>0.12</v>
      </c>
      <c r="I10" s="1839">
        <v>6.2</v>
      </c>
      <c r="J10" s="1838">
        <v>0.43</v>
      </c>
      <c r="K10" s="1836">
        <v>4.8899999999999997</v>
      </c>
      <c r="L10" s="1836">
        <v>12.79</v>
      </c>
      <c r="M10" s="1836">
        <v>81.92</v>
      </c>
      <c r="N10" s="1837">
        <v>99.57</v>
      </c>
      <c r="O10" s="1837">
        <v>94.68</v>
      </c>
      <c r="P10" s="1837">
        <v>81.92</v>
      </c>
      <c r="Q10" s="1836">
        <v>47.7</v>
      </c>
      <c r="R10" s="1836">
        <v>30.8</v>
      </c>
      <c r="S10" s="1836">
        <v>16.899999999999999</v>
      </c>
      <c r="T10" s="1835">
        <v>0</v>
      </c>
      <c r="U10" s="1835" t="s">
        <v>3891</v>
      </c>
      <c r="V10" s="1834" t="s">
        <v>3890</v>
      </c>
    </row>
    <row r="11" spans="1:22" x14ac:dyDescent="0.25">
      <c r="A11" s="1844">
        <v>10</v>
      </c>
      <c r="B11" s="1843" t="s">
        <v>3962</v>
      </c>
      <c r="C11" s="1842" t="s">
        <v>35</v>
      </c>
      <c r="D11" s="1886">
        <v>164115.30970000001</v>
      </c>
      <c r="E11" s="1887">
        <v>8248808.1845000004</v>
      </c>
      <c r="F11" s="1838">
        <v>28.8</v>
      </c>
      <c r="G11" s="1841">
        <v>1342</v>
      </c>
      <c r="H11" s="1840">
        <v>0.08</v>
      </c>
      <c r="I11" s="1839">
        <v>5.2</v>
      </c>
      <c r="J11" s="1838">
        <v>2.17</v>
      </c>
      <c r="K11" s="1836">
        <v>6.42</v>
      </c>
      <c r="L11" s="1836">
        <v>9.9499999999999993</v>
      </c>
      <c r="M11" s="1836">
        <v>81.459999999999994</v>
      </c>
      <c r="N11" s="1837">
        <v>97.83</v>
      </c>
      <c r="O11" s="1837">
        <v>91.41</v>
      </c>
      <c r="P11" s="1837">
        <v>81.459999999999994</v>
      </c>
      <c r="Q11" s="1836">
        <v>42.2</v>
      </c>
      <c r="R11" s="1836">
        <v>30.4</v>
      </c>
      <c r="S11" s="1836">
        <v>11.8</v>
      </c>
      <c r="T11" s="1835">
        <v>0</v>
      </c>
      <c r="U11" s="1835" t="s">
        <v>3891</v>
      </c>
      <c r="V11" s="1834" t="s">
        <v>3890</v>
      </c>
    </row>
    <row r="12" spans="1:22" x14ac:dyDescent="0.25">
      <c r="A12" s="1844">
        <v>11</v>
      </c>
      <c r="B12" s="1843" t="s">
        <v>3961</v>
      </c>
      <c r="C12" s="1842" t="s">
        <v>35</v>
      </c>
      <c r="D12" s="1886">
        <v>164249.742</v>
      </c>
      <c r="E12" s="1887">
        <v>8248809.0307999998</v>
      </c>
      <c r="F12" s="1838">
        <v>27.9</v>
      </c>
      <c r="G12" s="1841">
        <v>1431</v>
      </c>
      <c r="H12" s="1840">
        <v>0.18</v>
      </c>
      <c r="I12" s="1839">
        <v>6.6</v>
      </c>
      <c r="J12" s="1838">
        <v>2.04</v>
      </c>
      <c r="K12" s="1836">
        <v>8.58</v>
      </c>
      <c r="L12" s="1836">
        <v>19.62</v>
      </c>
      <c r="M12" s="1836">
        <v>69.75</v>
      </c>
      <c r="N12" s="1837">
        <v>97.96</v>
      </c>
      <c r="O12" s="1837">
        <v>89.38</v>
      </c>
      <c r="P12" s="1837">
        <v>69.75</v>
      </c>
      <c r="Q12" s="1836">
        <v>40.700000000000003</v>
      </c>
      <c r="R12" s="1836">
        <v>24.7</v>
      </c>
      <c r="S12" s="1836">
        <v>16</v>
      </c>
      <c r="T12" s="1835">
        <v>0</v>
      </c>
      <c r="U12" s="1835" t="s">
        <v>3900</v>
      </c>
      <c r="V12" s="1834" t="s">
        <v>3887</v>
      </c>
    </row>
    <row r="13" spans="1:22" x14ac:dyDescent="0.25">
      <c r="A13" s="1844">
        <v>12</v>
      </c>
      <c r="B13" s="1843" t="s">
        <v>3960</v>
      </c>
      <c r="C13" s="1842" t="s">
        <v>35</v>
      </c>
      <c r="D13" s="1886">
        <v>164386.6684</v>
      </c>
      <c r="E13" s="1887">
        <v>8248806.3315000003</v>
      </c>
      <c r="F13" s="1838">
        <v>29.3</v>
      </c>
      <c r="G13" s="1841">
        <v>1327</v>
      </c>
      <c r="H13" s="1840">
        <v>0.43</v>
      </c>
      <c r="I13" s="1839">
        <v>4.0999999999999996</v>
      </c>
      <c r="J13" s="1838">
        <v>2.34</v>
      </c>
      <c r="K13" s="1836">
        <v>1.06</v>
      </c>
      <c r="L13" s="1836">
        <v>5.76</v>
      </c>
      <c r="M13" s="1836">
        <v>90.84</v>
      </c>
      <c r="N13" s="1837">
        <v>97.66</v>
      </c>
      <c r="O13" s="1837">
        <v>96.6</v>
      </c>
      <c r="P13" s="1837">
        <v>90.84</v>
      </c>
      <c r="Q13" s="1836">
        <v>44.5</v>
      </c>
      <c r="R13" s="1836">
        <v>30.2</v>
      </c>
      <c r="S13" s="1836">
        <v>14.4</v>
      </c>
      <c r="T13" s="1835">
        <v>0</v>
      </c>
      <c r="U13" s="1835" t="s">
        <v>3891</v>
      </c>
      <c r="V13" s="1834" t="s">
        <v>3890</v>
      </c>
    </row>
    <row r="14" spans="1:22" x14ac:dyDescent="0.25">
      <c r="A14" s="1844">
        <v>13</v>
      </c>
      <c r="B14" s="1843" t="s">
        <v>3959</v>
      </c>
      <c r="C14" s="1842" t="s">
        <v>35</v>
      </c>
      <c r="D14" s="1886">
        <v>164208.5613</v>
      </c>
      <c r="E14" s="1887">
        <v>8248756.9955000002</v>
      </c>
      <c r="F14" s="1838">
        <v>31</v>
      </c>
      <c r="G14" s="1841">
        <v>1310</v>
      </c>
      <c r="H14" s="1840">
        <v>0.11</v>
      </c>
      <c r="I14" s="1839">
        <v>4.0999999999999996</v>
      </c>
      <c r="J14" s="1838">
        <v>1.34</v>
      </c>
      <c r="K14" s="1836">
        <v>4.71</v>
      </c>
      <c r="L14" s="1836">
        <v>6.55</v>
      </c>
      <c r="M14" s="1836">
        <v>87.39</v>
      </c>
      <c r="N14" s="1837">
        <v>98.66</v>
      </c>
      <c r="O14" s="1837">
        <v>93.95</v>
      </c>
      <c r="P14" s="1837">
        <v>87.39</v>
      </c>
      <c r="Q14" s="1836">
        <v>45.9</v>
      </c>
      <c r="R14" s="1836">
        <v>29.4</v>
      </c>
      <c r="S14" s="1836">
        <v>16.399999999999999</v>
      </c>
      <c r="T14" s="1835">
        <v>0</v>
      </c>
      <c r="U14" s="1835" t="s">
        <v>3888</v>
      </c>
      <c r="V14" s="1834" t="s">
        <v>3887</v>
      </c>
    </row>
    <row r="15" spans="1:22" x14ac:dyDescent="0.25">
      <c r="A15" s="1844">
        <v>14</v>
      </c>
      <c r="B15" s="1843" t="s">
        <v>3958</v>
      </c>
      <c r="C15" s="1842" t="s">
        <v>35</v>
      </c>
      <c r="D15" s="1886">
        <v>164332.91440000001</v>
      </c>
      <c r="E15" s="1887">
        <v>8248744.4444000004</v>
      </c>
      <c r="F15" s="1838">
        <v>30</v>
      </c>
      <c r="G15" s="1841">
        <v>1295</v>
      </c>
      <c r="H15" s="1840">
        <v>0.08</v>
      </c>
      <c r="I15" s="1839">
        <v>4.5</v>
      </c>
      <c r="J15" s="1838">
        <v>0.77</v>
      </c>
      <c r="K15" s="1836">
        <v>4.3600000000000003</v>
      </c>
      <c r="L15" s="1836">
        <v>11.66</v>
      </c>
      <c r="M15" s="1836">
        <v>83.21</v>
      </c>
      <c r="N15" s="1837">
        <v>99.23</v>
      </c>
      <c r="O15" s="1837">
        <v>94.87</v>
      </c>
      <c r="P15" s="1837">
        <v>83.21</v>
      </c>
      <c r="Q15" s="1836">
        <v>46</v>
      </c>
      <c r="R15" s="1836">
        <v>30.2</v>
      </c>
      <c r="S15" s="1836">
        <v>15.8</v>
      </c>
      <c r="T15" s="1835">
        <v>0</v>
      </c>
      <c r="U15" s="1835" t="s">
        <v>3891</v>
      </c>
      <c r="V15" s="1834" t="s">
        <v>3890</v>
      </c>
    </row>
    <row r="16" spans="1:22" x14ac:dyDescent="0.25">
      <c r="A16" s="1844">
        <v>15</v>
      </c>
      <c r="B16" s="1843" t="s">
        <v>3957</v>
      </c>
      <c r="C16" s="1842" t="s">
        <v>35</v>
      </c>
      <c r="D16" s="1886">
        <v>164522.2585</v>
      </c>
      <c r="E16" s="1887">
        <v>8248761.9441999998</v>
      </c>
      <c r="F16" s="1838">
        <v>30</v>
      </c>
      <c r="G16" s="1841">
        <v>1305</v>
      </c>
      <c r="H16" s="1840">
        <v>0.1</v>
      </c>
      <c r="I16" s="1839">
        <v>6.5</v>
      </c>
      <c r="J16" s="1838">
        <v>2.74</v>
      </c>
      <c r="K16" s="1836">
        <v>6.35</v>
      </c>
      <c r="L16" s="1836">
        <v>11.44</v>
      </c>
      <c r="M16" s="1836">
        <v>79.47</v>
      </c>
      <c r="N16" s="1837">
        <v>97.26</v>
      </c>
      <c r="O16" s="1837">
        <v>90.92</v>
      </c>
      <c r="P16" s="1837">
        <v>79.47</v>
      </c>
      <c r="Q16" s="1836">
        <v>44.1</v>
      </c>
      <c r="R16" s="1836">
        <v>30</v>
      </c>
      <c r="S16" s="1836">
        <v>14</v>
      </c>
      <c r="T16" s="1835">
        <v>0</v>
      </c>
      <c r="U16" s="1835" t="s">
        <v>3891</v>
      </c>
      <c r="V16" s="1834" t="s">
        <v>3890</v>
      </c>
    </row>
    <row r="17" spans="1:22" x14ac:dyDescent="0.25">
      <c r="A17" s="1844">
        <v>16</v>
      </c>
      <c r="B17" s="1843" t="s">
        <v>3956</v>
      </c>
      <c r="C17" s="1842" t="s">
        <v>35</v>
      </c>
      <c r="D17" s="1886">
        <v>163967.60250000001</v>
      </c>
      <c r="E17" s="1887">
        <v>8248737.8195000002</v>
      </c>
      <c r="F17" s="1838">
        <v>30.1</v>
      </c>
      <c r="G17" s="1841">
        <v>1302</v>
      </c>
      <c r="H17" s="1840">
        <v>0.12</v>
      </c>
      <c r="I17" s="1839">
        <v>5.8</v>
      </c>
      <c r="J17" s="1838">
        <v>2.83</v>
      </c>
      <c r="K17" s="1836">
        <v>9.2100000000000009</v>
      </c>
      <c r="L17" s="1836">
        <v>12.75</v>
      </c>
      <c r="M17" s="1836">
        <v>75.2</v>
      </c>
      <c r="N17" s="1837">
        <v>97.17</v>
      </c>
      <c r="O17" s="1837">
        <v>87.96</v>
      </c>
      <c r="P17" s="1837">
        <v>75.2</v>
      </c>
      <c r="Q17" s="1836">
        <v>43.8</v>
      </c>
      <c r="R17" s="1836">
        <v>29.3</v>
      </c>
      <c r="S17" s="1836">
        <v>14.4</v>
      </c>
      <c r="T17" s="1835">
        <v>0</v>
      </c>
      <c r="U17" s="1835" t="s">
        <v>3888</v>
      </c>
      <c r="V17" s="1834" t="s">
        <v>3887</v>
      </c>
    </row>
    <row r="18" spans="1:22" x14ac:dyDescent="0.25">
      <c r="A18" s="1844">
        <v>17</v>
      </c>
      <c r="B18" s="1843" t="s">
        <v>3955</v>
      </c>
      <c r="C18" s="1842" t="s">
        <v>35</v>
      </c>
      <c r="D18" s="1886">
        <v>164054.3413</v>
      </c>
      <c r="E18" s="1887">
        <v>8248710.5323000001</v>
      </c>
      <c r="F18" s="1838">
        <v>31.6</v>
      </c>
      <c r="G18" s="1841">
        <v>1293</v>
      </c>
      <c r="H18" s="1840">
        <v>0.24</v>
      </c>
      <c r="I18" s="1839">
        <v>5.5</v>
      </c>
      <c r="J18" s="1838">
        <v>0.23</v>
      </c>
      <c r="K18" s="1836">
        <v>3.57</v>
      </c>
      <c r="L18" s="1836">
        <v>6.36</v>
      </c>
      <c r="M18" s="1836">
        <v>89.84</v>
      </c>
      <c r="N18" s="1837">
        <v>99.77</v>
      </c>
      <c r="O18" s="1837">
        <v>96.2</v>
      </c>
      <c r="P18" s="1837">
        <v>89.84</v>
      </c>
      <c r="Q18" s="1836">
        <v>45.6</v>
      </c>
      <c r="R18" s="1836">
        <v>28.8</v>
      </c>
      <c r="S18" s="1836">
        <v>16.8</v>
      </c>
      <c r="T18" s="1835">
        <v>0</v>
      </c>
      <c r="U18" s="1835" t="s">
        <v>3888</v>
      </c>
      <c r="V18" s="1834" t="s">
        <v>3887</v>
      </c>
    </row>
    <row r="19" spans="1:22" x14ac:dyDescent="0.25">
      <c r="A19" s="1844">
        <v>18</v>
      </c>
      <c r="B19" s="1843" t="s">
        <v>3954</v>
      </c>
      <c r="C19" s="1842" t="s">
        <v>35</v>
      </c>
      <c r="D19" s="1886">
        <v>164137.25409999999</v>
      </c>
      <c r="E19" s="1887">
        <v>8248663.2050999999</v>
      </c>
      <c r="F19" s="1838">
        <v>29.8</v>
      </c>
      <c r="G19" s="1841">
        <v>1322</v>
      </c>
      <c r="H19" s="1840">
        <v>0.14000000000000001</v>
      </c>
      <c r="I19" s="1839">
        <v>4.8</v>
      </c>
      <c r="J19" s="1838">
        <v>0.28000000000000003</v>
      </c>
      <c r="K19" s="1836">
        <v>3.87</v>
      </c>
      <c r="L19" s="1836">
        <v>11.66</v>
      </c>
      <c r="M19" s="1836">
        <v>84.18</v>
      </c>
      <c r="N19" s="1837">
        <v>99.72</v>
      </c>
      <c r="O19" s="1837">
        <v>95.85</v>
      </c>
      <c r="P19" s="1837">
        <v>84.18</v>
      </c>
      <c r="Q19" s="1836">
        <v>44.3</v>
      </c>
      <c r="R19" s="1836">
        <v>28.6</v>
      </c>
      <c r="S19" s="1836">
        <v>15.7</v>
      </c>
      <c r="T19" s="1835">
        <v>0</v>
      </c>
      <c r="U19" s="1835" t="s">
        <v>3888</v>
      </c>
      <c r="V19" s="1834" t="s">
        <v>3887</v>
      </c>
    </row>
    <row r="20" spans="1:22" x14ac:dyDescent="0.25">
      <c r="A20" s="1844">
        <v>19</v>
      </c>
      <c r="B20" s="1843" t="s">
        <v>3953</v>
      </c>
      <c r="C20" s="1842" t="s">
        <v>35</v>
      </c>
      <c r="D20" s="1886">
        <v>163892.929</v>
      </c>
      <c r="E20" s="1887">
        <v>8248674.6503999997</v>
      </c>
      <c r="F20" s="1838">
        <v>28.3</v>
      </c>
      <c r="G20" s="1841">
        <v>1371</v>
      </c>
      <c r="H20" s="1840">
        <v>0.12</v>
      </c>
      <c r="I20" s="1839">
        <v>7.1</v>
      </c>
      <c r="J20" s="1838">
        <v>3.36</v>
      </c>
      <c r="K20" s="1836">
        <v>7.4</v>
      </c>
      <c r="L20" s="1836">
        <v>14.23</v>
      </c>
      <c r="M20" s="1836">
        <v>75.02</v>
      </c>
      <c r="N20" s="1837">
        <v>96.64</v>
      </c>
      <c r="O20" s="1837">
        <v>89.24</v>
      </c>
      <c r="P20" s="1837">
        <v>75.02</v>
      </c>
      <c r="Q20" s="1836">
        <v>40.700000000000003</v>
      </c>
      <c r="R20" s="1836">
        <v>26.8</v>
      </c>
      <c r="S20" s="1836">
        <v>13.9</v>
      </c>
      <c r="T20" s="1835">
        <v>0</v>
      </c>
      <c r="U20" s="1835" t="s">
        <v>3900</v>
      </c>
      <c r="V20" s="1834" t="s">
        <v>3887</v>
      </c>
    </row>
    <row r="21" spans="1:22" x14ac:dyDescent="0.25">
      <c r="A21" s="1844">
        <v>20</v>
      </c>
      <c r="B21" s="1843" t="s">
        <v>3952</v>
      </c>
      <c r="C21" s="1842" t="s">
        <v>35</v>
      </c>
      <c r="D21" s="1886">
        <v>163983.5226</v>
      </c>
      <c r="E21" s="1887">
        <v>8248643.3179000001</v>
      </c>
      <c r="F21" s="1838">
        <v>29.7</v>
      </c>
      <c r="G21" s="1841">
        <v>1340</v>
      </c>
      <c r="H21" s="1840">
        <v>0.11</v>
      </c>
      <c r="I21" s="1839">
        <v>5.7</v>
      </c>
      <c r="J21" s="1838">
        <v>1.03</v>
      </c>
      <c r="K21" s="1836">
        <v>3.94</v>
      </c>
      <c r="L21" s="1836">
        <v>14.73</v>
      </c>
      <c r="M21" s="1836">
        <v>80.290000000000006</v>
      </c>
      <c r="N21" s="1837">
        <v>98.97</v>
      </c>
      <c r="O21" s="1837">
        <v>95.03</v>
      </c>
      <c r="P21" s="1837">
        <v>80.290000000000006</v>
      </c>
      <c r="Q21" s="1836">
        <v>43.03</v>
      </c>
      <c r="R21" s="1836">
        <v>27.7</v>
      </c>
      <c r="S21" s="1836">
        <v>15.6</v>
      </c>
      <c r="T21" s="1835">
        <v>0</v>
      </c>
      <c r="U21" s="1835" t="s">
        <v>3888</v>
      </c>
      <c r="V21" s="1834" t="s">
        <v>3887</v>
      </c>
    </row>
    <row r="22" spans="1:22" x14ac:dyDescent="0.25">
      <c r="A22" s="1844">
        <v>21</v>
      </c>
      <c r="B22" s="1843" t="s">
        <v>3951</v>
      </c>
      <c r="C22" s="1842" t="s">
        <v>35</v>
      </c>
      <c r="D22" s="1886">
        <v>164070.9454</v>
      </c>
      <c r="E22" s="1887">
        <v>8248587.5382000003</v>
      </c>
      <c r="F22" s="1838">
        <v>30.2</v>
      </c>
      <c r="G22" s="1841">
        <v>1365</v>
      </c>
      <c r="H22" s="1840">
        <v>0.13</v>
      </c>
      <c r="I22" s="1839">
        <v>5.8</v>
      </c>
      <c r="J22" s="1838">
        <v>0.41</v>
      </c>
      <c r="K22" s="1836">
        <v>7.24</v>
      </c>
      <c r="L22" s="1836">
        <v>12.83</v>
      </c>
      <c r="M22" s="1836">
        <v>79.52</v>
      </c>
      <c r="N22" s="1837">
        <v>99.59</v>
      </c>
      <c r="O22" s="1837">
        <v>92.35</v>
      </c>
      <c r="P22" s="1837">
        <v>79.52</v>
      </c>
      <c r="Q22" s="1836">
        <v>44.4</v>
      </c>
      <c r="R22" s="1836">
        <v>29.8</v>
      </c>
      <c r="S22" s="1836">
        <v>14.6</v>
      </c>
      <c r="T22" s="1835">
        <v>0</v>
      </c>
      <c r="U22" s="1835" t="s">
        <v>3888</v>
      </c>
      <c r="V22" s="1834" t="s">
        <v>3887</v>
      </c>
    </row>
    <row r="23" spans="1:22" x14ac:dyDescent="0.25">
      <c r="A23" s="1844">
        <v>22</v>
      </c>
      <c r="B23" s="1843" t="s">
        <v>3950</v>
      </c>
      <c r="C23" s="1842" t="s">
        <v>35</v>
      </c>
      <c r="D23" s="1886">
        <v>163880.24530000001</v>
      </c>
      <c r="E23" s="1887">
        <v>8248618.7040999997</v>
      </c>
      <c r="F23" s="1838">
        <v>28.3</v>
      </c>
      <c r="G23" s="1841">
        <v>1370</v>
      </c>
      <c r="H23" s="1840">
        <v>0.08</v>
      </c>
      <c r="I23" s="1839">
        <v>8.4</v>
      </c>
      <c r="J23" s="1838">
        <v>4.83</v>
      </c>
      <c r="K23" s="1836">
        <v>9.64</v>
      </c>
      <c r="L23" s="1836">
        <v>16.3</v>
      </c>
      <c r="M23" s="1836">
        <v>69.23</v>
      </c>
      <c r="N23" s="1837">
        <v>95.17</v>
      </c>
      <c r="O23" s="1837">
        <v>85.53</v>
      </c>
      <c r="P23" s="1837">
        <v>69.23</v>
      </c>
      <c r="Q23" s="1836">
        <v>41.2</v>
      </c>
      <c r="R23" s="1836">
        <v>27.7</v>
      </c>
      <c r="S23" s="1836">
        <v>13.5</v>
      </c>
      <c r="T23" s="1835">
        <v>0</v>
      </c>
      <c r="U23" s="1835" t="s">
        <v>3888</v>
      </c>
      <c r="V23" s="1834" t="s">
        <v>3887</v>
      </c>
    </row>
    <row r="24" spans="1:22" x14ac:dyDescent="0.25">
      <c r="A24" s="1844">
        <v>23</v>
      </c>
      <c r="B24" s="1843" t="s">
        <v>3949</v>
      </c>
      <c r="C24" s="1842" t="s">
        <v>35</v>
      </c>
      <c r="D24" s="1886">
        <v>163990.15460000001</v>
      </c>
      <c r="E24" s="1887">
        <v>8248557.0658999998</v>
      </c>
      <c r="F24" s="1838">
        <v>29.8</v>
      </c>
      <c r="G24" s="1841">
        <v>1424</v>
      </c>
      <c r="H24" s="1840">
        <v>7.0000000000000007E-2</v>
      </c>
      <c r="I24" s="1839">
        <v>7.8</v>
      </c>
      <c r="J24" s="1838">
        <v>3.08</v>
      </c>
      <c r="K24" s="1836">
        <v>10.46</v>
      </c>
      <c r="L24" s="1836">
        <v>9.14</v>
      </c>
      <c r="M24" s="1836">
        <v>77.31</v>
      </c>
      <c r="N24" s="1837">
        <v>96.92</v>
      </c>
      <c r="O24" s="1837">
        <v>86.46</v>
      </c>
      <c r="P24" s="1837">
        <v>77.099999999999994</v>
      </c>
      <c r="Q24" s="1836">
        <v>41.9</v>
      </c>
      <c r="R24" s="1836">
        <v>30.9</v>
      </c>
      <c r="S24" s="1836">
        <v>11</v>
      </c>
      <c r="T24" s="1835">
        <v>0</v>
      </c>
      <c r="U24" s="1835" t="s">
        <v>3891</v>
      </c>
      <c r="V24" s="1834" t="s">
        <v>3890</v>
      </c>
    </row>
    <row r="25" spans="1:22" x14ac:dyDescent="0.25">
      <c r="A25" s="1844">
        <v>24</v>
      </c>
      <c r="B25" s="1843" t="s">
        <v>3948</v>
      </c>
      <c r="C25" s="1842" t="s">
        <v>35</v>
      </c>
      <c r="D25" s="1886">
        <v>163790.03270000001</v>
      </c>
      <c r="E25" s="1887">
        <v>8248496.8885000004</v>
      </c>
      <c r="F25" s="1838">
        <v>27.3</v>
      </c>
      <c r="G25" s="1841">
        <v>1292</v>
      </c>
      <c r="H25" s="1840">
        <v>0.14000000000000001</v>
      </c>
      <c r="I25" s="1839">
        <v>6</v>
      </c>
      <c r="J25" s="1838">
        <v>2.06</v>
      </c>
      <c r="K25" s="1836">
        <v>2.4700000000000002</v>
      </c>
      <c r="L25" s="1836">
        <v>21.18</v>
      </c>
      <c r="M25" s="1836">
        <v>74.290000000000006</v>
      </c>
      <c r="N25" s="1837">
        <v>97.94</v>
      </c>
      <c r="O25" s="1837">
        <v>95.47</v>
      </c>
      <c r="P25" s="1837">
        <v>74.290000000000006</v>
      </c>
      <c r="Q25" s="1836">
        <v>40.6</v>
      </c>
      <c r="R25" s="1836">
        <v>29.2</v>
      </c>
      <c r="S25" s="1836">
        <v>11.4</v>
      </c>
      <c r="T25" s="1835">
        <v>0</v>
      </c>
      <c r="U25" s="1835" t="s">
        <v>3900</v>
      </c>
      <c r="V25" s="1834" t="s">
        <v>3887</v>
      </c>
    </row>
    <row r="26" spans="1:22" x14ac:dyDescent="0.25">
      <c r="A26" s="1844">
        <v>25</v>
      </c>
      <c r="B26" s="1843" t="s">
        <v>3947</v>
      </c>
      <c r="C26" s="1842" t="s">
        <v>35</v>
      </c>
      <c r="D26" s="1888">
        <v>163895.3077</v>
      </c>
      <c r="E26" s="1887">
        <v>8248503.0418999996</v>
      </c>
      <c r="F26" s="1838">
        <v>29.9</v>
      </c>
      <c r="G26" s="1841">
        <v>1315</v>
      </c>
      <c r="H26" s="1840">
        <v>0.11</v>
      </c>
      <c r="I26" s="1839">
        <v>5.0999999999999996</v>
      </c>
      <c r="J26" s="1838">
        <v>1.65</v>
      </c>
      <c r="K26" s="1836">
        <v>5.67</v>
      </c>
      <c r="L26" s="1836">
        <v>14.66</v>
      </c>
      <c r="M26" s="1836">
        <v>78.02</v>
      </c>
      <c r="N26" s="1837">
        <v>98.35</v>
      </c>
      <c r="O26" s="1837">
        <v>92.68</v>
      </c>
      <c r="P26" s="1837">
        <v>78.02</v>
      </c>
      <c r="Q26" s="1836">
        <v>41.2</v>
      </c>
      <c r="R26" s="1836">
        <v>27</v>
      </c>
      <c r="S26" s="1836">
        <v>14.2</v>
      </c>
      <c r="T26" s="1835">
        <v>0</v>
      </c>
      <c r="U26" s="1835" t="s">
        <v>3888</v>
      </c>
      <c r="V26" s="1834" t="s">
        <v>3887</v>
      </c>
    </row>
    <row r="27" spans="1:22" x14ac:dyDescent="0.25">
      <c r="A27" s="1844">
        <v>26</v>
      </c>
      <c r="B27" s="1843" t="s">
        <v>3946</v>
      </c>
      <c r="C27" s="1842" t="s">
        <v>35</v>
      </c>
      <c r="D27" s="1888">
        <v>163685.32370000001</v>
      </c>
      <c r="E27" s="1889">
        <v>8248432.7220999999</v>
      </c>
      <c r="F27" s="1838">
        <v>20.399999999999999</v>
      </c>
      <c r="G27" s="1841">
        <v>1577</v>
      </c>
      <c r="H27" s="1840">
        <v>0.02</v>
      </c>
      <c r="I27" s="1839">
        <v>10.7</v>
      </c>
      <c r="J27" s="1838">
        <v>26.98</v>
      </c>
      <c r="K27" s="1836">
        <v>9.49</v>
      </c>
      <c r="L27" s="1836">
        <v>16.82</v>
      </c>
      <c r="M27" s="1836">
        <v>46.71</v>
      </c>
      <c r="N27" s="1837">
        <v>73.02</v>
      </c>
      <c r="O27" s="1837">
        <v>63.53</v>
      </c>
      <c r="P27" s="1837">
        <v>46.71</v>
      </c>
      <c r="Q27" s="1836">
        <v>30.5</v>
      </c>
      <c r="R27" s="1836">
        <v>19.600000000000001</v>
      </c>
      <c r="S27" s="1836">
        <v>10.9</v>
      </c>
      <c r="T27" s="1835">
        <v>0</v>
      </c>
      <c r="U27" s="1835" t="s">
        <v>3898</v>
      </c>
      <c r="V27" s="1834" t="s">
        <v>3897</v>
      </c>
    </row>
    <row r="28" spans="1:22" x14ac:dyDescent="0.25">
      <c r="A28" s="1844">
        <v>27</v>
      </c>
      <c r="B28" s="1843" t="s">
        <v>3945</v>
      </c>
      <c r="C28" s="1842" t="s">
        <v>35</v>
      </c>
      <c r="D28" s="1888">
        <v>163791.10320000001</v>
      </c>
      <c r="E28" s="1889">
        <v>8248368.9308000002</v>
      </c>
      <c r="F28" s="1838">
        <v>21.7</v>
      </c>
      <c r="G28" s="1841">
        <v>1585</v>
      </c>
      <c r="H28" s="1840">
        <v>0.04</v>
      </c>
      <c r="I28" s="1839">
        <v>15</v>
      </c>
      <c r="J28" s="1838">
        <v>40.380000000000003</v>
      </c>
      <c r="K28" s="1836">
        <v>5.2</v>
      </c>
      <c r="L28" s="1836">
        <v>21.71</v>
      </c>
      <c r="M28" s="1836">
        <v>32.71</v>
      </c>
      <c r="N28" s="1837">
        <v>59.62</v>
      </c>
      <c r="O28" s="1837">
        <v>54.42</v>
      </c>
      <c r="P28" s="1837">
        <v>32.71</v>
      </c>
      <c r="Q28" s="1836">
        <v>30.5</v>
      </c>
      <c r="R28" s="1836">
        <v>21.1</v>
      </c>
      <c r="S28" s="1836">
        <v>9.4</v>
      </c>
      <c r="T28" s="1835">
        <v>0</v>
      </c>
      <c r="U28" s="1835" t="s">
        <v>3885</v>
      </c>
      <c r="V28" s="1834" t="s">
        <v>3884</v>
      </c>
    </row>
    <row r="29" spans="1:22" x14ac:dyDescent="0.25">
      <c r="A29" s="1844">
        <v>28</v>
      </c>
      <c r="B29" s="1843" t="s">
        <v>3944</v>
      </c>
      <c r="C29" s="1842" t="s">
        <v>35</v>
      </c>
      <c r="D29" s="1886">
        <v>163685.32370000001</v>
      </c>
      <c r="E29" s="1887">
        <v>8248432.7220999999</v>
      </c>
      <c r="F29" s="1838">
        <v>22.2</v>
      </c>
      <c r="G29" s="1841">
        <v>1572</v>
      </c>
      <c r="H29" s="1840">
        <v>0.09</v>
      </c>
      <c r="I29" s="1839">
        <v>10</v>
      </c>
      <c r="J29" s="1838">
        <v>25.75</v>
      </c>
      <c r="K29" s="1836">
        <v>9.02</v>
      </c>
      <c r="L29" s="1836">
        <v>21.21</v>
      </c>
      <c r="M29" s="1836">
        <v>44.02</v>
      </c>
      <c r="N29" s="1837">
        <v>74.25</v>
      </c>
      <c r="O29" s="1837">
        <v>65.22</v>
      </c>
      <c r="P29" s="1837">
        <v>44.02</v>
      </c>
      <c r="Q29" s="1836">
        <v>32</v>
      </c>
      <c r="R29" s="1836">
        <v>21</v>
      </c>
      <c r="S29" s="1836">
        <v>11</v>
      </c>
      <c r="T29" s="1835">
        <v>0</v>
      </c>
      <c r="U29" s="1835" t="s">
        <v>3900</v>
      </c>
      <c r="V29" s="1834" t="s">
        <v>3887</v>
      </c>
    </row>
    <row r="30" spans="1:22" x14ac:dyDescent="0.25">
      <c r="A30" s="1844">
        <v>29</v>
      </c>
      <c r="B30" s="1843" t="s">
        <v>3943</v>
      </c>
      <c r="C30" s="1842" t="s">
        <v>35</v>
      </c>
      <c r="D30" s="1888">
        <v>163989.9031</v>
      </c>
      <c r="E30" s="1889">
        <v>8249094.3088999996</v>
      </c>
      <c r="F30" s="1838">
        <v>28.2</v>
      </c>
      <c r="G30" s="1841">
        <v>1428</v>
      </c>
      <c r="H30" s="1840">
        <v>0.16</v>
      </c>
      <c r="I30" s="1839">
        <v>7.8</v>
      </c>
      <c r="J30" s="1838">
        <v>4.68</v>
      </c>
      <c r="K30" s="1836">
        <v>7.04</v>
      </c>
      <c r="L30" s="1836">
        <v>13.06</v>
      </c>
      <c r="M30" s="1836">
        <v>75.23</v>
      </c>
      <c r="N30" s="1837">
        <v>95.32</v>
      </c>
      <c r="O30" s="1837">
        <v>88.28</v>
      </c>
      <c r="P30" s="1837">
        <v>75.23</v>
      </c>
      <c r="Q30" s="1836">
        <v>42.7</v>
      </c>
      <c r="R30" s="1836">
        <v>26.8</v>
      </c>
      <c r="S30" s="1836">
        <v>15.9</v>
      </c>
      <c r="T30" s="1835">
        <v>0</v>
      </c>
      <c r="U30" s="1835" t="s">
        <v>3888</v>
      </c>
      <c r="V30" s="1834" t="s">
        <v>3887</v>
      </c>
    </row>
    <row r="31" spans="1:22" x14ac:dyDescent="0.25">
      <c r="A31" s="1844">
        <v>30</v>
      </c>
      <c r="B31" s="1843" t="s">
        <v>3942</v>
      </c>
      <c r="C31" s="1842" t="s">
        <v>35</v>
      </c>
      <c r="D31" s="1888">
        <v>163997.25539999999</v>
      </c>
      <c r="E31" s="1889">
        <v>8248993.5645000003</v>
      </c>
      <c r="F31" s="1838">
        <v>27</v>
      </c>
      <c r="G31" s="1841">
        <v>1398</v>
      </c>
      <c r="H31" s="1840">
        <v>0.1</v>
      </c>
      <c r="I31" s="1839">
        <v>6</v>
      </c>
      <c r="J31" s="1838">
        <v>2.48</v>
      </c>
      <c r="K31" s="1836">
        <v>8.06</v>
      </c>
      <c r="L31" s="1836">
        <v>5.39</v>
      </c>
      <c r="M31" s="1836">
        <v>84.07</v>
      </c>
      <c r="N31" s="1837">
        <v>97.52</v>
      </c>
      <c r="O31" s="1837">
        <v>89.46</v>
      </c>
      <c r="P31" s="1837">
        <v>84.07</v>
      </c>
      <c r="Q31" s="1836">
        <v>46.9</v>
      </c>
      <c r="R31" s="1836">
        <v>31.7</v>
      </c>
      <c r="S31" s="1836">
        <v>15.2</v>
      </c>
      <c r="T31" s="1835">
        <v>0</v>
      </c>
      <c r="U31" s="1835" t="s">
        <v>3891</v>
      </c>
      <c r="V31" s="1834" t="s">
        <v>3890</v>
      </c>
    </row>
    <row r="32" spans="1:22" x14ac:dyDescent="0.25">
      <c r="A32" s="1844">
        <v>31</v>
      </c>
      <c r="B32" s="1843" t="s">
        <v>3940</v>
      </c>
      <c r="C32" s="1842" t="s">
        <v>35</v>
      </c>
      <c r="D32" s="1888">
        <v>164033.5534</v>
      </c>
      <c r="E32" s="1889">
        <v>8248859.2237</v>
      </c>
      <c r="F32" s="1838">
        <v>26.7</v>
      </c>
      <c r="G32" s="1841">
        <v>1414</v>
      </c>
      <c r="H32" s="1840">
        <v>0.12</v>
      </c>
      <c r="I32" s="1839">
        <v>7</v>
      </c>
      <c r="J32" s="1838">
        <v>6.16</v>
      </c>
      <c r="K32" s="1836">
        <v>7.12</v>
      </c>
      <c r="L32" s="1836">
        <v>8.02</v>
      </c>
      <c r="M32" s="1836">
        <v>78.7</v>
      </c>
      <c r="N32" s="1837">
        <v>93.84</v>
      </c>
      <c r="O32" s="1837">
        <v>86.72</v>
      </c>
      <c r="P32" s="1837">
        <v>78.7</v>
      </c>
      <c r="Q32" s="1836">
        <v>43.2</v>
      </c>
      <c r="R32" s="1836">
        <v>30.7</v>
      </c>
      <c r="S32" s="1836">
        <v>12.5</v>
      </c>
      <c r="T32" s="1835">
        <v>0</v>
      </c>
      <c r="U32" s="1835" t="s">
        <v>3891</v>
      </c>
      <c r="V32" s="1834" t="s">
        <v>3890</v>
      </c>
    </row>
    <row r="33" spans="1:22" x14ac:dyDescent="0.25">
      <c r="A33" s="1844">
        <v>32</v>
      </c>
      <c r="B33" s="1843" t="s">
        <v>3939</v>
      </c>
      <c r="C33" s="1842" t="s">
        <v>35</v>
      </c>
      <c r="D33" s="1888">
        <v>164170.63140000001</v>
      </c>
      <c r="E33" s="1887">
        <v>8248823.0902000004</v>
      </c>
      <c r="F33" s="1838">
        <v>27.5</v>
      </c>
      <c r="G33" s="1841">
        <v>1400</v>
      </c>
      <c r="H33" s="1840">
        <v>0.08</v>
      </c>
      <c r="I33" s="1839">
        <v>7.7</v>
      </c>
      <c r="J33" s="1838">
        <v>6.64</v>
      </c>
      <c r="K33" s="1836">
        <v>11.16</v>
      </c>
      <c r="L33" s="1836">
        <v>13.38</v>
      </c>
      <c r="M33" s="1836">
        <v>70.819999999999993</v>
      </c>
      <c r="N33" s="1837">
        <v>95.36</v>
      </c>
      <c r="O33" s="1837">
        <v>84.16</v>
      </c>
      <c r="P33" s="1837">
        <v>70.819999999999993</v>
      </c>
      <c r="Q33" s="1836">
        <v>43.3</v>
      </c>
      <c r="R33" s="1836">
        <v>30.1</v>
      </c>
      <c r="S33" s="1836">
        <v>13.2</v>
      </c>
      <c r="T33" s="1835">
        <v>0</v>
      </c>
      <c r="U33" s="1835" t="s">
        <v>3891</v>
      </c>
      <c r="V33" s="1834" t="s">
        <v>3890</v>
      </c>
    </row>
    <row r="34" spans="1:22" x14ac:dyDescent="0.25">
      <c r="A34" s="1844">
        <v>33</v>
      </c>
      <c r="B34" s="1843" t="s">
        <v>3938</v>
      </c>
      <c r="C34" s="1842" t="s">
        <v>35</v>
      </c>
      <c r="D34" s="1888">
        <v>164214.51879999999</v>
      </c>
      <c r="E34" s="1889">
        <v>8248905.6810999997</v>
      </c>
      <c r="F34" s="1838">
        <v>31</v>
      </c>
      <c r="G34" s="1841">
        <v>1330</v>
      </c>
      <c r="H34" s="1840">
        <v>7.0000000000000007E-2</v>
      </c>
      <c r="I34" s="1839">
        <v>6</v>
      </c>
      <c r="J34" s="1838">
        <v>0.47</v>
      </c>
      <c r="K34" s="1836">
        <v>8.5399999999999991</v>
      </c>
      <c r="L34" s="1836">
        <v>8.2200000000000006</v>
      </c>
      <c r="M34" s="1836">
        <v>82.77</v>
      </c>
      <c r="N34" s="1837">
        <v>99.53</v>
      </c>
      <c r="O34" s="1837">
        <v>90.99</v>
      </c>
      <c r="P34" s="1837">
        <v>82.77</v>
      </c>
      <c r="Q34" s="1836">
        <v>46.3</v>
      </c>
      <c r="R34" s="1836">
        <v>33</v>
      </c>
      <c r="S34" s="1836">
        <v>13.3</v>
      </c>
      <c r="T34" s="1835">
        <v>0</v>
      </c>
      <c r="U34" s="1835" t="s">
        <v>3891</v>
      </c>
      <c r="V34" s="1834" t="s">
        <v>3890</v>
      </c>
    </row>
    <row r="35" spans="1:22" x14ac:dyDescent="0.25">
      <c r="A35" s="1895">
        <v>34</v>
      </c>
      <c r="B35" s="1894" t="s">
        <v>3937</v>
      </c>
      <c r="C35" s="1893" t="s">
        <v>35</v>
      </c>
      <c r="D35" s="1888">
        <v>164316.33749999999</v>
      </c>
      <c r="E35" s="1889">
        <v>8248824.6552999998</v>
      </c>
      <c r="F35" s="1838">
        <v>27</v>
      </c>
      <c r="G35" s="1841">
        <v>1276</v>
      </c>
      <c r="H35" s="1840">
        <v>0.28999999999999998</v>
      </c>
      <c r="I35" s="1839">
        <v>5</v>
      </c>
      <c r="J35" s="1838">
        <v>2.77</v>
      </c>
      <c r="K35" s="1836">
        <v>4.74</v>
      </c>
      <c r="L35" s="1836">
        <v>7.89</v>
      </c>
      <c r="M35" s="1836">
        <v>84.6</v>
      </c>
      <c r="N35" s="1837">
        <v>97.23</v>
      </c>
      <c r="O35" s="1837">
        <v>92.49</v>
      </c>
      <c r="P35" s="1837">
        <v>84.6</v>
      </c>
      <c r="Q35" s="1836">
        <v>39.799999999999997</v>
      </c>
      <c r="R35" s="1836">
        <v>27.2</v>
      </c>
      <c r="S35" s="1836">
        <v>12.6</v>
      </c>
      <c r="T35" s="1835">
        <v>0</v>
      </c>
      <c r="U35" s="1835" t="s">
        <v>3900</v>
      </c>
      <c r="V35" s="1834" t="s">
        <v>3887</v>
      </c>
    </row>
    <row r="36" spans="1:22" x14ac:dyDescent="0.25">
      <c r="A36" s="1844">
        <v>35</v>
      </c>
      <c r="B36" s="1843" t="s">
        <v>3936</v>
      </c>
      <c r="C36" s="1893" t="s">
        <v>35</v>
      </c>
      <c r="D36" s="1888">
        <v>164430.4859</v>
      </c>
      <c r="E36" s="1889">
        <v>8248762.6222000001</v>
      </c>
      <c r="F36" s="1838">
        <v>33.1</v>
      </c>
      <c r="G36" s="1841">
        <v>1318</v>
      </c>
      <c r="H36" s="1840">
        <v>0.18</v>
      </c>
      <c r="I36" s="1839">
        <v>3.3</v>
      </c>
      <c r="J36" s="1838">
        <v>0</v>
      </c>
      <c r="K36" s="1836">
        <v>2.38</v>
      </c>
      <c r="L36" s="1836">
        <v>6.93</v>
      </c>
      <c r="M36" s="1836">
        <v>90.69</v>
      </c>
      <c r="N36" s="1837">
        <v>100</v>
      </c>
      <c r="O36" s="1837">
        <v>97.62</v>
      </c>
      <c r="P36" s="1837">
        <v>90.69</v>
      </c>
      <c r="Q36" s="1836">
        <v>40.799999999999997</v>
      </c>
      <c r="R36" s="1836">
        <v>27.3</v>
      </c>
      <c r="S36" s="1836">
        <v>13.5</v>
      </c>
      <c r="T36" s="1835">
        <v>0</v>
      </c>
      <c r="U36" s="1835" t="s">
        <v>3900</v>
      </c>
      <c r="V36" s="1834" t="s">
        <v>3887</v>
      </c>
    </row>
    <row r="37" spans="1:22" x14ac:dyDescent="0.25">
      <c r="A37" s="1844">
        <v>36</v>
      </c>
      <c r="B37" s="1843" t="s">
        <v>3935</v>
      </c>
      <c r="C37" s="1893" t="s">
        <v>35</v>
      </c>
      <c r="D37" s="1890">
        <v>163870.46090000001</v>
      </c>
      <c r="E37" s="1889">
        <v>8248550.1031999998</v>
      </c>
      <c r="F37" s="1838">
        <v>29.3</v>
      </c>
      <c r="G37" s="1841">
        <v>1302</v>
      </c>
      <c r="H37" s="1840">
        <v>0.21</v>
      </c>
      <c r="I37" s="1839">
        <v>5.7</v>
      </c>
      <c r="J37" s="1838">
        <v>1.38</v>
      </c>
      <c r="K37" s="1836">
        <v>7.56</v>
      </c>
      <c r="L37" s="1836">
        <v>7.9</v>
      </c>
      <c r="M37" s="1836">
        <v>83.17</v>
      </c>
      <c r="N37" s="1837">
        <v>98.62</v>
      </c>
      <c r="O37" s="1837">
        <v>91.06</v>
      </c>
      <c r="P37" s="1837">
        <v>83.17</v>
      </c>
      <c r="Q37" s="1836">
        <v>47.3</v>
      </c>
      <c r="R37" s="1836">
        <v>28.4</v>
      </c>
      <c r="S37" s="1836">
        <v>18.8</v>
      </c>
      <c r="T37" s="1835">
        <v>0</v>
      </c>
      <c r="U37" s="1835" t="s">
        <v>3888</v>
      </c>
      <c r="V37" s="1834" t="s">
        <v>3906</v>
      </c>
    </row>
    <row r="38" spans="1:22" x14ac:dyDescent="0.25">
      <c r="A38" s="1844">
        <v>37</v>
      </c>
      <c r="B38" s="1843" t="s">
        <v>3934</v>
      </c>
      <c r="C38" s="1893" t="s">
        <v>35</v>
      </c>
      <c r="D38" s="1890">
        <v>164106.9509</v>
      </c>
      <c r="E38" s="1889">
        <v>8248619.0085000005</v>
      </c>
      <c r="F38" s="1838">
        <v>28.5</v>
      </c>
      <c r="G38" s="1841">
        <v>1330</v>
      </c>
      <c r="H38" s="1840">
        <v>0.2</v>
      </c>
      <c r="I38" s="1839">
        <v>4.5</v>
      </c>
      <c r="J38" s="1838">
        <v>8.18</v>
      </c>
      <c r="K38" s="1836">
        <v>4.4400000000000004</v>
      </c>
      <c r="L38" s="1836">
        <v>7.43</v>
      </c>
      <c r="M38" s="1836">
        <v>79.95</v>
      </c>
      <c r="N38" s="1837">
        <v>91.82</v>
      </c>
      <c r="O38" s="1837">
        <v>87.38</v>
      </c>
      <c r="P38" s="1837">
        <v>79.95</v>
      </c>
      <c r="Q38" s="1836">
        <v>38.700000000000003</v>
      </c>
      <c r="R38" s="1836">
        <v>27.7</v>
      </c>
      <c r="S38" s="1836">
        <v>11</v>
      </c>
      <c r="T38" s="1835">
        <v>0</v>
      </c>
      <c r="U38" s="1835" t="s">
        <v>3900</v>
      </c>
      <c r="V38" s="1834" t="s">
        <v>3887</v>
      </c>
    </row>
    <row r="39" spans="1:22" ht="15.75" thickBot="1" x14ac:dyDescent="0.3">
      <c r="A39" s="1831">
        <v>38</v>
      </c>
      <c r="B39" s="1830" t="s">
        <v>3933</v>
      </c>
      <c r="C39" s="1829" t="s">
        <v>35</v>
      </c>
      <c r="D39" s="1891">
        <v>164096.01579999999</v>
      </c>
      <c r="E39" s="1892">
        <v>8248993.8912000004</v>
      </c>
      <c r="F39" s="1825">
        <v>29.6</v>
      </c>
      <c r="G39" s="1828">
        <v>1307</v>
      </c>
      <c r="H39" s="1827">
        <v>0.14000000000000001</v>
      </c>
      <c r="I39" s="1826">
        <v>7.5</v>
      </c>
      <c r="J39" s="1825">
        <v>0.79</v>
      </c>
      <c r="K39" s="1823">
        <v>6.45</v>
      </c>
      <c r="L39" s="1823">
        <v>16.690000000000001</v>
      </c>
      <c r="M39" s="1823">
        <v>76.069999999999993</v>
      </c>
      <c r="N39" s="1824">
        <v>99.21</v>
      </c>
      <c r="O39" s="1824">
        <v>92.76</v>
      </c>
      <c r="P39" s="1824">
        <v>76.069999999999993</v>
      </c>
      <c r="Q39" s="1823">
        <v>40.700000000000003</v>
      </c>
      <c r="R39" s="1823">
        <v>27.6</v>
      </c>
      <c r="S39" s="1823">
        <v>13.1</v>
      </c>
      <c r="T39" s="1822">
        <v>0</v>
      </c>
      <c r="U39" s="1822" t="s">
        <v>3900</v>
      </c>
      <c r="V39" s="1821" t="s">
        <v>3887</v>
      </c>
    </row>
    <row r="40" spans="1:22" x14ac:dyDescent="0.25">
      <c r="A40" s="1792"/>
      <c r="B40" s="1791"/>
      <c r="C40" s="1790"/>
      <c r="D40" s="1793"/>
      <c r="E40" s="1793"/>
      <c r="F40" s="1789"/>
      <c r="G40" s="1788"/>
      <c r="H40" s="1789"/>
      <c r="I40" s="1790"/>
      <c r="J40" s="1789"/>
      <c r="K40" s="1789"/>
      <c r="L40" s="1789"/>
      <c r="M40" s="1789"/>
      <c r="N40" s="1787"/>
      <c r="O40" s="1787"/>
      <c r="P40" s="1789"/>
      <c r="Q40" s="1789"/>
      <c r="R40" s="1789"/>
      <c r="S40" s="1789"/>
      <c r="T40" s="1788"/>
      <c r="U40" s="1788"/>
      <c r="V40" s="1787"/>
    </row>
    <row r="41" spans="1:22" ht="15.75" thickBot="1" x14ac:dyDescent="0.3">
      <c r="A41" s="1792"/>
      <c r="B41" s="1791"/>
      <c r="C41" s="1790"/>
      <c r="D41" s="1793"/>
      <c r="E41" s="1793"/>
      <c r="F41" s="1789"/>
      <c r="G41" s="1788"/>
      <c r="H41" s="1789"/>
      <c r="I41" s="1790"/>
      <c r="J41" s="1789"/>
      <c r="K41" s="1789"/>
      <c r="L41" s="1789"/>
      <c r="M41" s="1789"/>
      <c r="N41" s="1787"/>
      <c r="O41" s="1787"/>
      <c r="P41" s="1789"/>
      <c r="Q41" s="1789"/>
      <c r="R41" s="1789"/>
      <c r="S41" s="1789"/>
      <c r="T41" s="1788"/>
      <c r="U41" s="1788"/>
      <c r="V41" s="1787"/>
    </row>
    <row r="42" spans="1:22" ht="48.75" thickBot="1" x14ac:dyDescent="0.3">
      <c r="A42" s="1792"/>
      <c r="B42" s="1791"/>
      <c r="C42" s="1790"/>
      <c r="D42" s="1793"/>
      <c r="E42" s="1782"/>
      <c r="F42" s="1820" t="s">
        <v>3986</v>
      </c>
      <c r="G42" s="1819" t="s">
        <v>3985</v>
      </c>
      <c r="H42" s="1816" t="s">
        <v>3984</v>
      </c>
      <c r="I42" s="1790"/>
      <c r="J42" s="1789"/>
      <c r="K42" s="1789"/>
      <c r="L42" s="1789"/>
      <c r="N42" s="1787"/>
      <c r="O42" s="1787"/>
      <c r="P42" s="1789"/>
      <c r="Q42" s="1818" t="s">
        <v>3868</v>
      </c>
      <c r="R42" s="1817" t="s">
        <v>3867</v>
      </c>
      <c r="S42" s="1816" t="s">
        <v>3866</v>
      </c>
      <c r="T42" s="1788"/>
      <c r="U42" s="1788"/>
      <c r="V42" s="1787"/>
    </row>
    <row r="43" spans="1:22" ht="15.75" thickBot="1" x14ac:dyDescent="0.3">
      <c r="A43" s="1792"/>
      <c r="B43" s="1791"/>
      <c r="C43" s="1790"/>
      <c r="D43" s="1793"/>
      <c r="E43" s="1793"/>
      <c r="F43" s="1789"/>
      <c r="G43" s="1788"/>
      <c r="H43" s="1789"/>
      <c r="I43" s="1790"/>
      <c r="J43" s="1789"/>
      <c r="K43" s="1789"/>
      <c r="L43" s="1789"/>
      <c r="M43" s="1789"/>
      <c r="N43" s="1787"/>
      <c r="O43" s="1787"/>
      <c r="P43" s="1789"/>
      <c r="Q43" s="1789"/>
      <c r="R43" s="1789"/>
      <c r="S43" s="1789"/>
      <c r="T43" s="1788"/>
      <c r="U43" s="1788"/>
      <c r="V43" s="1787"/>
    </row>
    <row r="44" spans="1:22" x14ac:dyDescent="0.25">
      <c r="A44" s="1792"/>
      <c r="B44" s="1791"/>
      <c r="C44" s="1790"/>
      <c r="D44" s="1782"/>
      <c r="E44" s="1815" t="s">
        <v>3859</v>
      </c>
      <c r="F44" s="1813">
        <v>20.399999999999999</v>
      </c>
      <c r="G44" s="1813">
        <v>1276</v>
      </c>
      <c r="H44" s="1813">
        <v>0.02</v>
      </c>
      <c r="J44" s="1814"/>
      <c r="K44" s="1789"/>
      <c r="L44" s="1789"/>
      <c r="N44" s="1787"/>
      <c r="O44" s="1787"/>
      <c r="P44" s="1777" t="s">
        <v>3859</v>
      </c>
      <c r="Q44" s="1813">
        <v>30.5</v>
      </c>
      <c r="R44" s="1813">
        <v>19.600000000000001</v>
      </c>
      <c r="S44" s="1812">
        <v>9.4</v>
      </c>
      <c r="T44" s="1788"/>
      <c r="U44" s="1788"/>
      <c r="V44" s="1787"/>
    </row>
    <row r="45" spans="1:22" x14ac:dyDescent="0.25">
      <c r="A45" s="1792"/>
      <c r="B45" s="1791"/>
      <c r="C45" s="1790"/>
      <c r="D45" s="1782"/>
      <c r="E45" s="1811" t="s">
        <v>3860</v>
      </c>
      <c r="F45" s="1809">
        <v>33.1</v>
      </c>
      <c r="G45" s="1809">
        <v>1585</v>
      </c>
      <c r="H45" s="1809">
        <v>0.43</v>
      </c>
      <c r="J45" s="1789"/>
      <c r="K45" s="1789"/>
      <c r="L45" s="1789"/>
      <c r="N45" s="1787"/>
      <c r="O45" s="1787"/>
      <c r="P45" s="1810" t="s">
        <v>3860</v>
      </c>
      <c r="Q45" s="1809">
        <v>48.4</v>
      </c>
      <c r="R45" s="1809">
        <v>34</v>
      </c>
      <c r="S45" s="1808">
        <v>18.8</v>
      </c>
      <c r="T45" s="1788"/>
      <c r="U45" s="1788"/>
      <c r="V45" s="1787"/>
    </row>
    <row r="46" spans="1:22" ht="15.75" thickBot="1" x14ac:dyDescent="0.3">
      <c r="A46" s="1792"/>
      <c r="B46" s="1791"/>
      <c r="C46" s="1790"/>
      <c r="D46" s="1782"/>
      <c r="E46" s="1807" t="s">
        <v>3865</v>
      </c>
      <c r="F46" s="1805">
        <v>28.563157894736843</v>
      </c>
      <c r="G46" s="1805">
        <v>1370.921052631579</v>
      </c>
      <c r="H46" s="1805">
        <v>0.13210526315789473</v>
      </c>
      <c r="J46" s="1789"/>
      <c r="K46" s="1789"/>
      <c r="L46" s="1789"/>
      <c r="N46" s="1787"/>
      <c r="O46" s="1787"/>
      <c r="P46" s="1806" t="s">
        <v>3865</v>
      </c>
      <c r="Q46" s="1805">
        <v>41.640263157894736</v>
      </c>
      <c r="R46" s="1805">
        <v>27.839473684210528</v>
      </c>
      <c r="S46" s="1804">
        <v>13.79736842105263</v>
      </c>
      <c r="T46" s="1788"/>
      <c r="U46" s="1788"/>
      <c r="V46" s="1787"/>
    </row>
    <row r="47" spans="1:22" ht="15.75" thickBot="1" x14ac:dyDescent="0.3">
      <c r="A47" s="1792"/>
      <c r="B47" s="1791"/>
      <c r="C47" s="1790"/>
      <c r="D47" s="1782"/>
      <c r="E47" s="1782"/>
      <c r="G47" s="1781"/>
      <c r="J47" s="1789"/>
      <c r="K47" s="1789"/>
      <c r="L47" s="1789"/>
      <c r="N47" s="1789"/>
      <c r="O47" s="1787"/>
      <c r="P47" s="1789"/>
      <c r="S47" s="1782"/>
      <c r="T47" s="1788"/>
      <c r="U47" s="1788"/>
      <c r="V47" s="1787"/>
    </row>
    <row r="48" spans="1:22" ht="15.75" thickBot="1" x14ac:dyDescent="0.3">
      <c r="A48" s="1792"/>
      <c r="B48" s="1791"/>
      <c r="C48" s="1790"/>
      <c r="D48" s="1782"/>
      <c r="E48" s="1782"/>
      <c r="G48" s="1781"/>
      <c r="H48" s="1799" t="s">
        <v>3864</v>
      </c>
      <c r="I48" s="1803">
        <v>6.5394736842105257</v>
      </c>
      <c r="J48" s="1789"/>
      <c r="K48" s="1789"/>
      <c r="L48" s="1789"/>
      <c r="M48" s="1789"/>
      <c r="N48" s="1787"/>
      <c r="O48" s="1787"/>
      <c r="P48" s="1789"/>
      <c r="Q48" s="1789"/>
      <c r="R48" s="1789"/>
      <c r="S48" s="1789"/>
      <c r="T48" s="1788"/>
      <c r="U48" s="1788"/>
      <c r="V48" s="1787"/>
    </row>
    <row r="49" spans="1:22" ht="16.5" thickTop="1" thickBot="1" x14ac:dyDescent="0.3">
      <c r="A49" s="1792"/>
      <c r="B49" s="1791"/>
      <c r="C49" s="1790"/>
      <c r="D49" s="1782"/>
      <c r="E49" s="1782"/>
      <c r="G49" s="1781"/>
      <c r="H49" s="1802" t="s">
        <v>3863</v>
      </c>
      <c r="I49" s="1801">
        <v>2.1366226789636351</v>
      </c>
      <c r="J49" s="1789"/>
      <c r="K49" s="1789"/>
      <c r="L49" s="1789"/>
      <c r="M49" s="1789"/>
      <c r="N49" s="1787"/>
      <c r="O49" s="1787"/>
      <c r="P49" s="1789"/>
      <c r="Q49" s="1789"/>
      <c r="R49" s="1789"/>
      <c r="S49" s="1789"/>
      <c r="T49" s="1788"/>
      <c r="U49" s="1788"/>
      <c r="V49" s="1787"/>
    </row>
    <row r="50" spans="1:22" ht="16.5" thickTop="1" thickBot="1" x14ac:dyDescent="0.3">
      <c r="A50" s="1792"/>
      <c r="B50" s="1791"/>
      <c r="C50" s="1790"/>
      <c r="D50" s="1782"/>
      <c r="E50" s="1782"/>
      <c r="G50" s="1781"/>
      <c r="H50" s="1802" t="s">
        <v>3862</v>
      </c>
      <c r="I50" s="1801">
        <v>1.3029999999999999</v>
      </c>
      <c r="J50" s="1789"/>
      <c r="K50" s="1789"/>
      <c r="L50" s="1789"/>
      <c r="M50" s="1789"/>
      <c r="N50" s="1787"/>
      <c r="O50" s="1787"/>
      <c r="P50" s="1789"/>
      <c r="Q50" s="1789"/>
      <c r="R50" s="1789"/>
      <c r="S50" s="1789"/>
      <c r="T50" s="1788"/>
      <c r="U50" s="1788"/>
      <c r="V50" s="1787"/>
    </row>
    <row r="51" spans="1:22" ht="17.25" thickTop="1" thickBot="1" x14ac:dyDescent="0.3">
      <c r="A51" s="1792"/>
      <c r="B51" s="1791"/>
      <c r="C51" s="1790"/>
      <c r="D51" s="1782"/>
      <c r="E51" s="1782"/>
      <c r="G51" s="1781"/>
      <c r="H51" s="1797" t="s">
        <v>3861</v>
      </c>
      <c r="I51" s="1800">
        <v>6.0878461086861133</v>
      </c>
      <c r="J51" s="1789"/>
      <c r="K51" s="1789"/>
      <c r="L51" s="1789"/>
      <c r="N51" s="1787"/>
      <c r="O51" s="1787"/>
      <c r="P51" s="1789"/>
      <c r="T51" s="1788"/>
      <c r="U51" s="1788"/>
      <c r="V51" s="1787"/>
    </row>
    <row r="52" spans="1:22" ht="15.75" thickBot="1" x14ac:dyDescent="0.3">
      <c r="A52" s="1792"/>
      <c r="B52" s="1791"/>
      <c r="C52" s="1790"/>
      <c r="D52" s="1782"/>
      <c r="E52" s="1782"/>
      <c r="G52" s="1781"/>
      <c r="J52" s="1789"/>
      <c r="K52" s="1789"/>
      <c r="N52" s="1787"/>
      <c r="O52" s="1787"/>
      <c r="P52" s="1789"/>
      <c r="T52" s="1788"/>
      <c r="U52" s="1788"/>
      <c r="V52" s="1787"/>
    </row>
    <row r="53" spans="1:22" x14ac:dyDescent="0.25">
      <c r="A53" s="1792"/>
      <c r="B53" s="1791"/>
      <c r="C53" s="1790"/>
      <c r="D53" s="1795"/>
      <c r="E53" s="1795"/>
      <c r="F53" s="1794"/>
      <c r="G53" s="1781"/>
      <c r="H53" s="1799" t="s">
        <v>3860</v>
      </c>
      <c r="I53" s="1798">
        <v>8.4394988038539882</v>
      </c>
      <c r="J53" s="1789"/>
      <c r="K53" s="1789"/>
      <c r="N53" s="1787"/>
      <c r="O53" s="1787"/>
      <c r="P53" s="1789"/>
      <c r="T53" s="1788"/>
      <c r="U53" s="1788"/>
      <c r="V53" s="1787"/>
    </row>
    <row r="54" spans="1:22" ht="15.75" thickBot="1" x14ac:dyDescent="0.3">
      <c r="A54" s="1792"/>
      <c r="B54" s="1791"/>
      <c r="C54" s="1790"/>
      <c r="D54" s="1795"/>
      <c r="E54" s="1795"/>
      <c r="F54" s="1794"/>
      <c r="G54" s="1781"/>
      <c r="H54" s="1797" t="s">
        <v>3859</v>
      </c>
      <c r="I54" s="1796">
        <v>4.6394485645670631</v>
      </c>
      <c r="J54" s="1789"/>
      <c r="K54" s="1789"/>
      <c r="N54" s="1787"/>
      <c r="O54" s="1787"/>
      <c r="P54" s="1789"/>
      <c r="T54" s="1788"/>
      <c r="U54" s="1788"/>
      <c r="V54" s="1787"/>
    </row>
  </sheetData>
  <pageMargins left="0.59055118110236227" right="0.59055118110236227" top="0.78740157480314965" bottom="0.78740157480314965" header="0.59055118110236227" footer="0.59055118110236227"/>
  <pageSetup paperSize="9" scale="53"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869DB-8289-4699-8B2F-00AE4B5C0C19}">
  <sheetPr>
    <tabColor theme="1"/>
    <pageSetUpPr fitToPage="1"/>
  </sheetPr>
  <dimension ref="A2:K70"/>
  <sheetViews>
    <sheetView workbookViewId="0">
      <selection sqref="A1:XFD1048576"/>
    </sheetView>
  </sheetViews>
  <sheetFormatPr defaultColWidth="9.140625" defaultRowHeight="12" x14ac:dyDescent="0.25"/>
  <cols>
    <col min="1" max="1" width="10.7109375" style="1223" customWidth="1"/>
    <col min="2" max="2" width="50.7109375" style="1206" customWidth="1"/>
    <col min="3" max="3" width="8.7109375" style="1223" customWidth="1"/>
    <col min="4" max="4" width="15.7109375" style="1238" customWidth="1"/>
    <col min="5" max="5" width="15.7109375" style="1235" customWidth="1"/>
    <col min="6" max="6" width="15.7109375" style="1236" customWidth="1"/>
    <col min="7" max="7" width="15.7109375" style="1237" customWidth="1"/>
    <col min="8" max="9" width="15.7109375" style="1207" customWidth="1"/>
    <col min="10" max="10" width="16.42578125" style="1373" bestFit="1" customWidth="1"/>
    <col min="11" max="11" width="9.140625" style="1373"/>
    <col min="12" max="16384" width="9.140625" style="1206"/>
  </cols>
  <sheetData>
    <row r="2" spans="1:11" x14ac:dyDescent="0.25">
      <c r="A2" s="1205" t="s">
        <v>3313</v>
      </c>
      <c r="C2" s="1206"/>
      <c r="H2" s="1406" t="s">
        <v>3344</v>
      </c>
      <c r="I2" s="1407">
        <v>44403</v>
      </c>
    </row>
    <row r="3" spans="1:11" x14ac:dyDescent="0.25">
      <c r="A3" s="1234" t="s">
        <v>153</v>
      </c>
      <c r="B3" s="1205" t="s">
        <v>3501</v>
      </c>
      <c r="C3" s="1206"/>
      <c r="H3" s="1406" t="s">
        <v>3345</v>
      </c>
      <c r="I3" s="1406" t="s">
        <v>3500</v>
      </c>
    </row>
    <row r="4" spans="1:11" x14ac:dyDescent="0.25">
      <c r="A4" s="1234" t="s">
        <v>154</v>
      </c>
      <c r="B4" s="1205" t="s">
        <v>1527</v>
      </c>
      <c r="C4" s="1206"/>
    </row>
    <row r="5" spans="1:11" x14ac:dyDescent="0.25">
      <c r="A5" s="1234" t="s">
        <v>155</v>
      </c>
      <c r="B5" s="1205" t="s">
        <v>1528</v>
      </c>
      <c r="C5" s="1206"/>
    </row>
    <row r="6" spans="1:11" ht="18.75" x14ac:dyDescent="0.25">
      <c r="A6" s="94" t="s">
        <v>1717</v>
      </c>
      <c r="B6" s="94"/>
      <c r="C6" s="94"/>
      <c r="D6" s="1409"/>
      <c r="E6" s="1410"/>
      <c r="F6" s="1411"/>
      <c r="G6" s="95"/>
      <c r="H6" s="95"/>
      <c r="I6" s="95"/>
    </row>
    <row r="7" spans="1:11" x14ac:dyDescent="0.25">
      <c r="A7" s="1359" t="s">
        <v>0</v>
      </c>
      <c r="B7" s="1360" t="s">
        <v>144</v>
      </c>
      <c r="C7" s="1360" t="s">
        <v>1</v>
      </c>
      <c r="D7" s="1361" t="s">
        <v>3317</v>
      </c>
      <c r="E7" s="1362" t="s">
        <v>2447</v>
      </c>
      <c r="F7" s="1363" t="s">
        <v>288</v>
      </c>
      <c r="G7" s="1364" t="s">
        <v>449</v>
      </c>
      <c r="H7" s="1364" t="s">
        <v>3315</v>
      </c>
      <c r="I7" s="1365" t="s">
        <v>84</v>
      </c>
    </row>
    <row r="8" spans="1:11" s="1240" customFormat="1" ht="18.75" x14ac:dyDescent="0.25">
      <c r="A8" s="1392"/>
      <c r="B8" s="1392" t="s">
        <v>3319</v>
      </c>
      <c r="C8" s="1392" t="s">
        <v>21</v>
      </c>
      <c r="D8" s="1393"/>
      <c r="E8" s="1394"/>
      <c r="F8" s="1395"/>
      <c r="G8" s="1396"/>
      <c r="H8" s="1397" t="s">
        <v>3342</v>
      </c>
      <c r="I8" s="1398">
        <v>3</v>
      </c>
      <c r="J8" s="1374">
        <v>47.434451334186718</v>
      </c>
      <c r="K8" s="1374"/>
    </row>
    <row r="9" spans="1:11" s="1239" customFormat="1" x14ac:dyDescent="0.25">
      <c r="A9" s="1249"/>
      <c r="B9" s="1239" t="s">
        <v>21</v>
      </c>
      <c r="C9" s="1249" t="s">
        <v>21</v>
      </c>
      <c r="D9" s="1250"/>
      <c r="E9" s="1251"/>
      <c r="F9" s="1252"/>
      <c r="G9" s="1253"/>
      <c r="H9" s="1254" t="s">
        <v>21</v>
      </c>
      <c r="I9" s="1254" t="s">
        <v>21</v>
      </c>
      <c r="J9" s="1375"/>
      <c r="K9" s="1375"/>
    </row>
    <row r="10" spans="1:11" s="1241" customFormat="1" ht="15.75" x14ac:dyDescent="0.25">
      <c r="A10" s="1381"/>
      <c r="B10" s="1255" t="s">
        <v>3314</v>
      </c>
      <c r="C10" s="1255"/>
      <c r="D10" s="1256"/>
      <c r="E10" s="1257"/>
      <c r="F10" s="1258"/>
      <c r="G10" s="1259"/>
      <c r="H10" s="1260"/>
      <c r="I10" s="1261">
        <v>78.572284198328148</v>
      </c>
      <c r="J10" s="1383">
        <v>78.572284198328148</v>
      </c>
      <c r="K10" s="1376">
        <v>1</v>
      </c>
    </row>
    <row r="11" spans="1:11" s="1248" customFormat="1" x14ac:dyDescent="0.25">
      <c r="A11" s="1269"/>
      <c r="B11" s="1270" t="s">
        <v>3316</v>
      </c>
      <c r="C11" s="1269" t="s">
        <v>21</v>
      </c>
      <c r="D11" s="1271"/>
      <c r="E11" s="1272"/>
      <c r="F11" s="1273"/>
      <c r="G11" s="1274"/>
      <c r="H11" s="1275" t="s">
        <v>21</v>
      </c>
      <c r="I11" s="1275" t="s">
        <v>21</v>
      </c>
      <c r="J11" s="1377"/>
      <c r="K11" s="1377"/>
    </row>
    <row r="12" spans="1:11" s="1239" customFormat="1" ht="24" x14ac:dyDescent="0.25">
      <c r="A12" s="1276">
        <v>92405</v>
      </c>
      <c r="B12" s="1277" t="s">
        <v>574</v>
      </c>
      <c r="C12" s="1276" t="s">
        <v>51</v>
      </c>
      <c r="D12" s="1278">
        <v>0.08</v>
      </c>
      <c r="E12" s="1279"/>
      <c r="F12" s="1280"/>
      <c r="G12" s="1281">
        <v>1</v>
      </c>
      <c r="H12" s="1282">
        <v>75.849999999999994</v>
      </c>
      <c r="I12" s="1282">
        <v>75.849999999999994</v>
      </c>
      <c r="J12" s="1375"/>
      <c r="K12" s="1375"/>
    </row>
    <row r="13" spans="1:11" s="1248" customFormat="1" x14ac:dyDescent="0.25">
      <c r="A13" s="1269"/>
      <c r="B13" s="1270" t="s">
        <v>963</v>
      </c>
      <c r="C13" s="1269" t="s">
        <v>21</v>
      </c>
      <c r="D13" s="1271"/>
      <c r="E13" s="1272"/>
      <c r="F13" s="1273"/>
      <c r="G13" s="1274"/>
      <c r="H13" s="1275" t="s">
        <v>21</v>
      </c>
      <c r="I13" s="1275" t="s">
        <v>21</v>
      </c>
      <c r="J13" s="1377"/>
      <c r="K13" s="1377"/>
    </row>
    <row r="14" spans="1:11" s="1239" customFormat="1" ht="48" x14ac:dyDescent="0.25">
      <c r="A14" s="1276">
        <v>96388</v>
      </c>
      <c r="B14" s="1277" t="s">
        <v>580</v>
      </c>
      <c r="C14" s="1276" t="s">
        <v>44</v>
      </c>
      <c r="D14" s="1278">
        <v>0.12</v>
      </c>
      <c r="E14" s="1279"/>
      <c r="F14" s="1280"/>
      <c r="G14" s="1281">
        <v>0.12</v>
      </c>
      <c r="H14" s="1282">
        <v>7.79</v>
      </c>
      <c r="I14" s="1282">
        <v>0.93479999999999996</v>
      </c>
      <c r="J14" s="1375"/>
      <c r="K14" s="1375"/>
    </row>
    <row r="15" spans="1:11" s="1239" customFormat="1" ht="48" x14ac:dyDescent="0.25">
      <c r="A15" s="1276">
        <v>100995</v>
      </c>
      <c r="B15" s="1277" t="s">
        <v>773</v>
      </c>
      <c r="C15" s="1276" t="s">
        <v>55</v>
      </c>
      <c r="D15" s="1278"/>
      <c r="E15" s="1279">
        <v>1.3653840557275541</v>
      </c>
      <c r="F15" s="1280"/>
      <c r="G15" s="1281">
        <v>0.16384608668730649</v>
      </c>
      <c r="H15" s="1282">
        <v>3.11</v>
      </c>
      <c r="I15" s="1282">
        <v>0.5095613295975232</v>
      </c>
      <c r="J15" s="1375"/>
      <c r="K15" s="1375"/>
    </row>
    <row r="16" spans="1:11" s="1239" customFormat="1" ht="24" x14ac:dyDescent="0.25">
      <c r="A16" s="1276">
        <v>100943</v>
      </c>
      <c r="B16" s="1277" t="s">
        <v>786</v>
      </c>
      <c r="C16" s="1276" t="s">
        <v>42</v>
      </c>
      <c r="D16" s="1278"/>
      <c r="E16" s="1279"/>
      <c r="F16" s="1280">
        <v>1</v>
      </c>
      <c r="G16" s="1281">
        <v>0.16384608668730649</v>
      </c>
      <c r="H16" s="1282">
        <v>3.1</v>
      </c>
      <c r="I16" s="1282">
        <v>0.50792286873065018</v>
      </c>
      <c r="J16" s="1375"/>
      <c r="K16" s="1375"/>
    </row>
    <row r="17" spans="1:11" s="1248" customFormat="1" x14ac:dyDescent="0.25">
      <c r="A17" s="1269"/>
      <c r="B17" s="1270" t="s">
        <v>1813</v>
      </c>
      <c r="C17" s="1269" t="s">
        <v>21</v>
      </c>
      <c r="D17" s="1271"/>
      <c r="E17" s="1272"/>
      <c r="F17" s="1273"/>
      <c r="G17" s="1274"/>
      <c r="H17" s="1275" t="s">
        <v>21</v>
      </c>
      <c r="I17" s="1275" t="s">
        <v>21</v>
      </c>
      <c r="J17" s="1377"/>
      <c r="K17" s="1377"/>
    </row>
    <row r="18" spans="1:11" s="1239" customFormat="1" ht="24" x14ac:dyDescent="0.25">
      <c r="A18" s="1276">
        <v>100577</v>
      </c>
      <c r="B18" s="1277" t="s">
        <v>635</v>
      </c>
      <c r="C18" s="1276" t="s">
        <v>51</v>
      </c>
      <c r="D18" s="1278"/>
      <c r="E18" s="1279"/>
      <c r="F18" s="1280"/>
      <c r="G18" s="1281">
        <v>1</v>
      </c>
      <c r="H18" s="1282">
        <v>0.77</v>
      </c>
      <c r="I18" s="1282">
        <v>0.77</v>
      </c>
      <c r="J18" s="1375"/>
      <c r="K18" s="1375"/>
    </row>
    <row r="19" spans="1:11" s="1239" customFormat="1" x14ac:dyDescent="0.25">
      <c r="A19" s="1262"/>
      <c r="B19" s="1263" t="s">
        <v>21</v>
      </c>
      <c r="C19" s="1262" t="s">
        <v>21</v>
      </c>
      <c r="D19" s="1264"/>
      <c r="E19" s="1265"/>
      <c r="F19" s="1266"/>
      <c r="G19" s="1267"/>
      <c r="H19" s="1268" t="s">
        <v>21</v>
      </c>
      <c r="I19" s="1268" t="s">
        <v>21</v>
      </c>
      <c r="J19" s="1375"/>
      <c r="K19" s="1375"/>
    </row>
    <row r="20" spans="1:11" s="1241" customFormat="1" ht="15.75" x14ac:dyDescent="0.25">
      <c r="A20" s="1382"/>
      <c r="B20" s="1241" t="s">
        <v>3318</v>
      </c>
      <c r="D20" s="1242"/>
      <c r="E20" s="1243"/>
      <c r="F20" s="1244"/>
      <c r="G20" s="1245"/>
      <c r="H20" s="1246"/>
      <c r="I20" s="1247">
        <v>114.70654744199997</v>
      </c>
      <c r="J20" s="1383">
        <v>114.70654744199997</v>
      </c>
      <c r="K20" s="1376">
        <v>2</v>
      </c>
    </row>
    <row r="21" spans="1:11" s="1248" customFormat="1" x14ac:dyDescent="0.25">
      <c r="A21" s="1283"/>
      <c r="B21" s="1284" t="s">
        <v>3316</v>
      </c>
      <c r="C21" s="1283" t="s">
        <v>21</v>
      </c>
      <c r="D21" s="1285"/>
      <c r="E21" s="1286"/>
      <c r="F21" s="1287"/>
      <c r="G21" s="1288"/>
      <c r="H21" s="1289" t="s">
        <v>21</v>
      </c>
      <c r="I21" s="1289" t="s">
        <v>21</v>
      </c>
      <c r="J21" s="1377"/>
      <c r="K21" s="1377"/>
    </row>
    <row r="22" spans="1:11" s="1239" customFormat="1" ht="24" x14ac:dyDescent="0.25">
      <c r="A22" s="1290">
        <v>92405</v>
      </c>
      <c r="B22" s="1291" t="s">
        <v>574</v>
      </c>
      <c r="C22" s="1290" t="s">
        <v>51</v>
      </c>
      <c r="D22" s="1292">
        <v>0.08</v>
      </c>
      <c r="E22" s="1293"/>
      <c r="F22" s="1294"/>
      <c r="G22" s="1295">
        <v>1</v>
      </c>
      <c r="H22" s="1296">
        <v>75.849999999999994</v>
      </c>
      <c r="I22" s="1296">
        <v>75.849999999999994</v>
      </c>
      <c r="J22" s="1375"/>
      <c r="K22" s="1375"/>
    </row>
    <row r="23" spans="1:11" s="1248" customFormat="1" x14ac:dyDescent="0.25">
      <c r="A23" s="1283"/>
      <c r="B23" s="1284" t="s">
        <v>963</v>
      </c>
      <c r="C23" s="1283" t="s">
        <v>21</v>
      </c>
      <c r="D23" s="1285"/>
      <c r="E23" s="1286"/>
      <c r="F23" s="1287"/>
      <c r="G23" s="1288"/>
      <c r="H23" s="1289" t="s">
        <v>21</v>
      </c>
      <c r="I23" s="1289" t="s">
        <v>21</v>
      </c>
      <c r="J23" s="1377"/>
      <c r="K23" s="1377"/>
    </row>
    <row r="24" spans="1:11" s="1239" customFormat="1" ht="36" x14ac:dyDescent="0.25">
      <c r="A24" s="1290">
        <v>96396</v>
      </c>
      <c r="B24" s="1291" t="s">
        <v>576</v>
      </c>
      <c r="C24" s="1290" t="s">
        <v>44</v>
      </c>
      <c r="D24" s="1292">
        <v>0.12</v>
      </c>
      <c r="E24" s="1293">
        <v>2.4200549999999996</v>
      </c>
      <c r="F24" s="1294"/>
      <c r="G24" s="1295">
        <v>0.12</v>
      </c>
      <c r="H24" s="1296">
        <v>207.59</v>
      </c>
      <c r="I24" s="1296">
        <v>24.910799999999998</v>
      </c>
      <c r="J24" s="1375"/>
      <c r="K24" s="1375"/>
    </row>
    <row r="25" spans="1:11" s="1239" customFormat="1" ht="36" x14ac:dyDescent="0.25">
      <c r="A25" s="1290">
        <v>95879</v>
      </c>
      <c r="B25" s="1291" t="s">
        <v>789</v>
      </c>
      <c r="C25" s="1290" t="s">
        <v>42</v>
      </c>
      <c r="D25" s="1292"/>
      <c r="E25" s="1293"/>
      <c r="F25" s="1294">
        <v>30</v>
      </c>
      <c r="G25" s="1295">
        <v>8.712197999999999</v>
      </c>
      <c r="H25" s="1296">
        <v>1.04</v>
      </c>
      <c r="I25" s="1296">
        <v>9.0606859199999992</v>
      </c>
      <c r="J25" s="1375"/>
      <c r="K25" s="1375"/>
    </row>
    <row r="26" spans="1:11" s="1239" customFormat="1" ht="36" x14ac:dyDescent="0.25">
      <c r="A26" s="1290">
        <v>93599</v>
      </c>
      <c r="B26" s="1291" t="s">
        <v>788</v>
      </c>
      <c r="C26" s="1290" t="s">
        <v>42</v>
      </c>
      <c r="D26" s="1292"/>
      <c r="E26" s="1293"/>
      <c r="F26" s="1294">
        <v>27</v>
      </c>
      <c r="G26" s="1295">
        <v>7.8409781999999986</v>
      </c>
      <c r="H26" s="1296">
        <v>0.41</v>
      </c>
      <c r="I26" s="1296">
        <v>3.2148010619999994</v>
      </c>
      <c r="J26" s="1375"/>
      <c r="K26" s="1375"/>
    </row>
    <row r="27" spans="1:11" s="1239" customFormat="1" ht="24" x14ac:dyDescent="0.25">
      <c r="A27" s="1290">
        <v>100943</v>
      </c>
      <c r="B27" s="1291" t="s">
        <v>786</v>
      </c>
      <c r="C27" s="1290" t="s">
        <v>42</v>
      </c>
      <c r="D27" s="1292"/>
      <c r="E27" s="1293"/>
      <c r="F27" s="1294">
        <v>1</v>
      </c>
      <c r="G27" s="1295">
        <v>0.29040659999999996</v>
      </c>
      <c r="H27" s="1296">
        <v>3.1</v>
      </c>
      <c r="I27" s="1296">
        <v>0.90026045999999993</v>
      </c>
      <c r="J27" s="1375"/>
      <c r="K27" s="1375"/>
    </row>
    <row r="28" spans="1:11" s="1248" customFormat="1" x14ac:dyDescent="0.25">
      <c r="A28" s="1283"/>
      <c r="B28" s="1284" t="s">
        <v>1813</v>
      </c>
      <c r="C28" s="1283" t="s">
        <v>21</v>
      </c>
      <c r="D28" s="1285"/>
      <c r="E28" s="1286"/>
      <c r="F28" s="1287"/>
      <c r="G28" s="1288"/>
      <c r="H28" s="1289" t="s">
        <v>21</v>
      </c>
      <c r="I28" s="1289" t="s">
        <v>21</v>
      </c>
      <c r="J28" s="1377"/>
      <c r="K28" s="1377"/>
    </row>
    <row r="29" spans="1:11" s="1239" customFormat="1" ht="24" x14ac:dyDescent="0.25">
      <c r="A29" s="1290">
        <v>100577</v>
      </c>
      <c r="B29" s="1291" t="s">
        <v>635</v>
      </c>
      <c r="C29" s="1290" t="s">
        <v>51</v>
      </c>
      <c r="D29" s="1292"/>
      <c r="E29" s="1293"/>
      <c r="F29" s="1294"/>
      <c r="G29" s="1295">
        <v>1</v>
      </c>
      <c r="H29" s="1296">
        <v>0.77</v>
      </c>
      <c r="I29" s="1296">
        <v>0.77</v>
      </c>
      <c r="J29" s="1375"/>
      <c r="K29" s="1375"/>
    </row>
    <row r="30" spans="1:11" s="1239" customFormat="1" x14ac:dyDescent="0.25">
      <c r="A30" s="1249"/>
      <c r="B30" s="1239" t="s">
        <v>21</v>
      </c>
      <c r="C30" s="1249" t="s">
        <v>21</v>
      </c>
      <c r="D30" s="1250"/>
      <c r="E30" s="1251"/>
      <c r="F30" s="1252"/>
      <c r="G30" s="1253"/>
      <c r="H30" s="1254" t="s">
        <v>21</v>
      </c>
      <c r="I30" s="1254" t="s">
        <v>21</v>
      </c>
      <c r="J30" s="1375"/>
      <c r="K30" s="1375"/>
    </row>
    <row r="31" spans="1:11" s="1241" customFormat="1" ht="15.75" x14ac:dyDescent="0.25">
      <c r="A31" s="1381"/>
      <c r="B31" s="1255" t="s">
        <v>3320</v>
      </c>
      <c r="C31" s="1255"/>
      <c r="D31" s="1256"/>
      <c r="E31" s="1257"/>
      <c r="F31" s="1258"/>
      <c r="G31" s="1259"/>
      <c r="H31" s="1260"/>
      <c r="I31" s="1261">
        <v>47.434451334186718</v>
      </c>
      <c r="J31" s="1383">
        <v>47.434451334186718</v>
      </c>
      <c r="K31" s="1376">
        <v>3</v>
      </c>
    </row>
    <row r="32" spans="1:11" s="1248" customFormat="1" x14ac:dyDescent="0.25">
      <c r="A32" s="1269"/>
      <c r="B32" s="1270" t="s">
        <v>3316</v>
      </c>
      <c r="C32" s="1269" t="s">
        <v>21</v>
      </c>
      <c r="D32" s="1271"/>
      <c r="E32" s="1272"/>
      <c r="F32" s="1273"/>
      <c r="G32" s="1274"/>
      <c r="H32" s="1275" t="s">
        <v>21</v>
      </c>
      <c r="I32" s="1275" t="s">
        <v>21</v>
      </c>
      <c r="J32" s="1377"/>
      <c r="K32" s="1377"/>
    </row>
    <row r="33" spans="1:11" s="1239" customFormat="1" ht="36" x14ac:dyDescent="0.25">
      <c r="A33" s="1276" t="s">
        <v>977</v>
      </c>
      <c r="B33" s="1277" t="s">
        <v>3339</v>
      </c>
      <c r="C33" s="1276" t="s">
        <v>44</v>
      </c>
      <c r="D33" s="1297">
        <v>3.5000000000000003E-2</v>
      </c>
      <c r="E33" s="1279">
        <v>2.5548000000000002</v>
      </c>
      <c r="F33" s="1280"/>
      <c r="G33" s="1298">
        <v>3.5000000000000003E-2</v>
      </c>
      <c r="H33" s="1282">
        <v>439.87080806479992</v>
      </c>
      <c r="I33" s="1282">
        <v>15.395478282267998</v>
      </c>
      <c r="J33" s="1375"/>
      <c r="K33" s="1375"/>
    </row>
    <row r="34" spans="1:11" s="1239" customFormat="1" ht="24" x14ac:dyDescent="0.25">
      <c r="A34" s="1276">
        <v>101003</v>
      </c>
      <c r="B34" s="1277" t="s">
        <v>768</v>
      </c>
      <c r="C34" s="1276" t="s">
        <v>55</v>
      </c>
      <c r="D34" s="1278"/>
      <c r="E34" s="1279"/>
      <c r="F34" s="1280"/>
      <c r="G34" s="1281">
        <v>8.9418000000000011E-2</v>
      </c>
      <c r="H34" s="1282">
        <v>4.91</v>
      </c>
      <c r="I34" s="1282">
        <v>0.43904238000000007</v>
      </c>
      <c r="J34" s="1375"/>
      <c r="K34" s="1375"/>
    </row>
    <row r="35" spans="1:11" s="1239" customFormat="1" ht="24" x14ac:dyDescent="0.25">
      <c r="A35" s="1276">
        <v>100943</v>
      </c>
      <c r="B35" s="1277" t="s">
        <v>786</v>
      </c>
      <c r="C35" s="1276" t="s">
        <v>42</v>
      </c>
      <c r="D35" s="1278"/>
      <c r="E35" s="1279"/>
      <c r="F35" s="1280">
        <v>1</v>
      </c>
      <c r="G35" s="1281">
        <v>8.9418000000000011E-2</v>
      </c>
      <c r="H35" s="1282">
        <v>3.1</v>
      </c>
      <c r="I35" s="1282">
        <v>0.27719580000000005</v>
      </c>
      <c r="J35" s="1375"/>
      <c r="K35" s="1375"/>
    </row>
    <row r="36" spans="1:11" s="1248" customFormat="1" ht="24" x14ac:dyDescent="0.25">
      <c r="A36" s="1269"/>
      <c r="B36" s="1270" t="s">
        <v>3321</v>
      </c>
      <c r="C36" s="1269" t="s">
        <v>21</v>
      </c>
      <c r="D36" s="1271"/>
      <c r="E36" s="1272"/>
      <c r="F36" s="1273"/>
      <c r="G36" s="1274"/>
      <c r="H36" s="1275" t="s">
        <v>21</v>
      </c>
      <c r="I36" s="1275" t="s">
        <v>21</v>
      </c>
      <c r="J36" s="1377"/>
      <c r="K36" s="1377"/>
    </row>
    <row r="37" spans="1:11" s="1239" customFormat="1" x14ac:dyDescent="0.25">
      <c r="A37" s="1276" t="s">
        <v>3333</v>
      </c>
      <c r="B37" s="1277" t="s">
        <v>3334</v>
      </c>
      <c r="C37" s="1276" t="s">
        <v>55</v>
      </c>
      <c r="D37" s="1278"/>
      <c r="E37" s="1279">
        <v>0.14460168000000001</v>
      </c>
      <c r="F37" s="1280"/>
      <c r="G37" s="1281">
        <v>5.0610588000000005E-3</v>
      </c>
      <c r="H37" s="1282">
        <v>4295.6099999999997</v>
      </c>
      <c r="I37" s="1282">
        <v>21.740334791868001</v>
      </c>
      <c r="J37" s="1375"/>
      <c r="K37" s="1375"/>
    </row>
    <row r="38" spans="1:11" s="1239" customFormat="1" ht="36" x14ac:dyDescent="0.25">
      <c r="A38" s="1276">
        <v>95879</v>
      </c>
      <c r="B38" s="1277" t="s">
        <v>789</v>
      </c>
      <c r="C38" s="1276" t="s">
        <v>42</v>
      </c>
      <c r="D38" s="1278"/>
      <c r="E38" s="1279">
        <v>1.113713964</v>
      </c>
      <c r="F38" s="1280">
        <v>30</v>
      </c>
      <c r="G38" s="1281">
        <v>3.8979988740000006E-2</v>
      </c>
      <c r="H38" s="1282">
        <v>1.04</v>
      </c>
      <c r="I38" s="1282">
        <v>4.0539188289600007E-2</v>
      </c>
      <c r="J38" s="1375"/>
      <c r="K38" s="1375"/>
    </row>
    <row r="39" spans="1:11" s="1239" customFormat="1" ht="36" x14ac:dyDescent="0.25">
      <c r="A39" s="1276">
        <v>93599</v>
      </c>
      <c r="B39" s="1277" t="s">
        <v>788</v>
      </c>
      <c r="C39" s="1276" t="s">
        <v>42</v>
      </c>
      <c r="D39" s="1278"/>
      <c r="E39" s="1279">
        <v>1.113713964</v>
      </c>
      <c r="F39" s="1280">
        <v>27</v>
      </c>
      <c r="G39" s="1281">
        <v>3.8979988740000006E-2</v>
      </c>
      <c r="H39" s="1282">
        <v>0.41</v>
      </c>
      <c r="I39" s="1282">
        <v>1.5981795383400003E-2</v>
      </c>
      <c r="J39" s="1375"/>
      <c r="K39" s="1375"/>
    </row>
    <row r="40" spans="1:11" s="1248" customFormat="1" x14ac:dyDescent="0.25">
      <c r="A40" s="1269"/>
      <c r="B40" s="1270" t="s">
        <v>1685</v>
      </c>
      <c r="C40" s="1269" t="s">
        <v>21</v>
      </c>
      <c r="D40" s="1271"/>
      <c r="E40" s="1272"/>
      <c r="F40" s="1273"/>
      <c r="G40" s="1274"/>
      <c r="H40" s="1275" t="s">
        <v>21</v>
      </c>
      <c r="I40" s="1275" t="s">
        <v>21</v>
      </c>
      <c r="J40" s="1377"/>
      <c r="K40" s="1377"/>
    </row>
    <row r="41" spans="1:11" s="1239" customFormat="1" ht="24" x14ac:dyDescent="0.25">
      <c r="A41" s="1276" t="s">
        <v>949</v>
      </c>
      <c r="B41" s="1277" t="s">
        <v>3346</v>
      </c>
      <c r="C41" s="1276" t="s">
        <v>51</v>
      </c>
      <c r="D41" s="1278"/>
      <c r="E41" s="1279"/>
      <c r="F41" s="1280"/>
      <c r="G41" s="1281">
        <v>1</v>
      </c>
      <c r="H41" s="1282">
        <v>0.95611000000000002</v>
      </c>
      <c r="I41" s="1282">
        <v>0.95611000000000002</v>
      </c>
      <c r="J41" s="1375"/>
      <c r="K41" s="1375"/>
    </row>
    <row r="42" spans="1:11" s="1239" customFormat="1" ht="36" x14ac:dyDescent="0.25">
      <c r="A42" s="1276" t="s">
        <v>3325</v>
      </c>
      <c r="B42" s="1277" t="s">
        <v>3326</v>
      </c>
      <c r="C42" s="1276" t="s">
        <v>55</v>
      </c>
      <c r="D42" s="1278"/>
      <c r="E42" s="1299">
        <v>1.1999999999999999E-3</v>
      </c>
      <c r="F42" s="1280"/>
      <c r="G42" s="1300">
        <v>1.1999999999999999E-3</v>
      </c>
      <c r="H42" s="1282">
        <v>2973.15</v>
      </c>
      <c r="I42" s="1282">
        <v>3.56778</v>
      </c>
      <c r="J42" s="1375"/>
      <c r="K42" s="1375"/>
    </row>
    <row r="43" spans="1:11" s="1239" customFormat="1" ht="36" x14ac:dyDescent="0.25">
      <c r="A43" s="1276">
        <v>100969</v>
      </c>
      <c r="B43" s="1277" t="s">
        <v>798</v>
      </c>
      <c r="C43" s="1276" t="s">
        <v>42</v>
      </c>
      <c r="D43" s="1278"/>
      <c r="E43" s="1279"/>
      <c r="F43" s="1280">
        <v>1</v>
      </c>
      <c r="G43" s="1300">
        <v>1.1999999999999999E-3</v>
      </c>
      <c r="H43" s="1282">
        <v>1.7</v>
      </c>
      <c r="I43" s="1282">
        <v>2.0399999999999997E-3</v>
      </c>
      <c r="J43" s="1375"/>
      <c r="K43" s="1375"/>
    </row>
    <row r="44" spans="1:11" s="1248" customFormat="1" x14ac:dyDescent="0.25">
      <c r="A44" s="1269"/>
      <c r="B44" s="1270" t="s">
        <v>963</v>
      </c>
      <c r="C44" s="1269" t="s">
        <v>21</v>
      </c>
      <c r="D44" s="1271"/>
      <c r="E44" s="1272"/>
      <c r="F44" s="1273"/>
      <c r="G44" s="1274"/>
      <c r="H44" s="1275" t="s">
        <v>21</v>
      </c>
      <c r="I44" s="1275" t="s">
        <v>21</v>
      </c>
      <c r="J44" s="1377"/>
      <c r="K44" s="1377"/>
    </row>
    <row r="45" spans="1:11" s="1239" customFormat="1" ht="48" x14ac:dyDescent="0.25">
      <c r="A45" s="1276">
        <v>96388</v>
      </c>
      <c r="B45" s="1277" t="s">
        <v>580</v>
      </c>
      <c r="C45" s="1276" t="s">
        <v>44</v>
      </c>
      <c r="D45" s="1278">
        <v>0.12</v>
      </c>
      <c r="E45" s="1279"/>
      <c r="F45" s="1280"/>
      <c r="G45" s="1281">
        <v>0.12</v>
      </c>
      <c r="H45" s="1282">
        <v>7.79</v>
      </c>
      <c r="I45" s="1282">
        <v>0.93479999999999996</v>
      </c>
      <c r="J45" s="1375"/>
      <c r="K45" s="1375"/>
    </row>
    <row r="46" spans="1:11" s="1239" customFormat="1" ht="48" x14ac:dyDescent="0.25">
      <c r="A46" s="1276">
        <v>100995</v>
      </c>
      <c r="B46" s="1277" t="s">
        <v>773</v>
      </c>
      <c r="C46" s="1276" t="s">
        <v>55</v>
      </c>
      <c r="D46" s="1278"/>
      <c r="E46" s="1279">
        <v>1.3653840557275541</v>
      </c>
      <c r="F46" s="1280"/>
      <c r="G46" s="1281">
        <v>0.16384608668730649</v>
      </c>
      <c r="H46" s="1282">
        <v>3.11</v>
      </c>
      <c r="I46" s="1282">
        <v>0.5095613295975232</v>
      </c>
      <c r="J46" s="1375"/>
      <c r="K46" s="1375"/>
    </row>
    <row r="47" spans="1:11" s="1239" customFormat="1" ht="24" x14ac:dyDescent="0.25">
      <c r="A47" s="1276">
        <v>100943</v>
      </c>
      <c r="B47" s="1277" t="s">
        <v>786</v>
      </c>
      <c r="C47" s="1276" t="s">
        <v>42</v>
      </c>
      <c r="D47" s="1278"/>
      <c r="E47" s="1279"/>
      <c r="F47" s="1280">
        <v>1</v>
      </c>
      <c r="G47" s="1281">
        <v>0.16384608668730649</v>
      </c>
      <c r="H47" s="1282">
        <v>3.1</v>
      </c>
      <c r="I47" s="1282">
        <v>0.50792286873065018</v>
      </c>
      <c r="J47" s="1375"/>
      <c r="K47" s="1375"/>
    </row>
    <row r="48" spans="1:11" s="1248" customFormat="1" x14ac:dyDescent="0.25">
      <c r="A48" s="1269"/>
      <c r="B48" s="1270" t="s">
        <v>1679</v>
      </c>
      <c r="C48" s="1269" t="s">
        <v>21</v>
      </c>
      <c r="D48" s="1271"/>
      <c r="E48" s="1272"/>
      <c r="F48" s="1273"/>
      <c r="G48" s="1274"/>
      <c r="H48" s="1275" t="s">
        <v>21</v>
      </c>
      <c r="I48" s="1275" t="s">
        <v>21</v>
      </c>
      <c r="J48" s="1377"/>
      <c r="K48" s="1377"/>
    </row>
    <row r="49" spans="1:11" s="1239" customFormat="1" ht="48" x14ac:dyDescent="0.25">
      <c r="A49" s="1276">
        <v>96388</v>
      </c>
      <c r="B49" s="1277" t="s">
        <v>580</v>
      </c>
      <c r="C49" s="1276" t="s">
        <v>44</v>
      </c>
      <c r="D49" s="1278">
        <v>0.14000000000000001</v>
      </c>
      <c r="E49" s="1279"/>
      <c r="F49" s="1280"/>
      <c r="G49" s="1281">
        <v>0.14000000000000001</v>
      </c>
      <c r="H49" s="1282">
        <v>7.79</v>
      </c>
      <c r="I49" s="1282">
        <v>1.0906</v>
      </c>
      <c r="J49" s="1375"/>
      <c r="K49" s="1375"/>
    </row>
    <row r="50" spans="1:11" s="1239" customFormat="1" ht="48" x14ac:dyDescent="0.25">
      <c r="A50" s="1276">
        <v>100995</v>
      </c>
      <c r="B50" s="1277" t="s">
        <v>773</v>
      </c>
      <c r="C50" s="1276" t="s">
        <v>55</v>
      </c>
      <c r="D50" s="1278"/>
      <c r="E50" s="1279">
        <v>1.3653840557275541</v>
      </c>
      <c r="F50" s="1280"/>
      <c r="G50" s="1281">
        <v>0.19115376780185758</v>
      </c>
      <c r="H50" s="1282">
        <v>3.11</v>
      </c>
      <c r="I50" s="1282">
        <v>0.59448821786377704</v>
      </c>
      <c r="J50" s="1375"/>
      <c r="K50" s="1375"/>
    </row>
    <row r="51" spans="1:11" s="1239" customFormat="1" ht="24" x14ac:dyDescent="0.25">
      <c r="A51" s="1276">
        <v>100943</v>
      </c>
      <c r="B51" s="1277" t="s">
        <v>786</v>
      </c>
      <c r="C51" s="1276" t="s">
        <v>42</v>
      </c>
      <c r="D51" s="1278"/>
      <c r="E51" s="1279"/>
      <c r="F51" s="1280">
        <v>1</v>
      </c>
      <c r="G51" s="1281">
        <v>0.19115376780185758</v>
      </c>
      <c r="H51" s="1282">
        <v>3.1</v>
      </c>
      <c r="I51" s="1282">
        <v>0.59257668018575849</v>
      </c>
      <c r="J51" s="1375"/>
      <c r="K51" s="1375"/>
    </row>
    <row r="52" spans="1:11" s="1248" customFormat="1" x14ac:dyDescent="0.25">
      <c r="A52" s="1269"/>
      <c r="B52" s="1270" t="s">
        <v>1813</v>
      </c>
      <c r="C52" s="1269" t="s">
        <v>21</v>
      </c>
      <c r="D52" s="1271"/>
      <c r="E52" s="1272"/>
      <c r="F52" s="1273"/>
      <c r="G52" s="1274"/>
      <c r="H52" s="1275" t="s">
        <v>21</v>
      </c>
      <c r="I52" s="1275" t="s">
        <v>21</v>
      </c>
      <c r="J52" s="1377"/>
      <c r="K52" s="1377"/>
    </row>
    <row r="53" spans="1:11" s="1239" customFormat="1" ht="24" x14ac:dyDescent="0.25">
      <c r="A53" s="1276">
        <v>100577</v>
      </c>
      <c r="B53" s="1277" t="s">
        <v>635</v>
      </c>
      <c r="C53" s="1276" t="s">
        <v>51</v>
      </c>
      <c r="D53" s="1278"/>
      <c r="E53" s="1279"/>
      <c r="F53" s="1280"/>
      <c r="G53" s="1281">
        <v>1</v>
      </c>
      <c r="H53" s="1282">
        <v>0.77</v>
      </c>
      <c r="I53" s="1282">
        <v>0.77</v>
      </c>
      <c r="J53" s="1375"/>
      <c r="K53" s="1375"/>
    </row>
    <row r="54" spans="1:11" s="1239" customFormat="1" x14ac:dyDescent="0.25">
      <c r="A54" s="1262"/>
      <c r="B54" s="1263" t="s">
        <v>21</v>
      </c>
      <c r="C54" s="1262" t="s">
        <v>21</v>
      </c>
      <c r="D54" s="1264"/>
      <c r="E54" s="1265"/>
      <c r="F54" s="1266"/>
      <c r="G54" s="1267"/>
      <c r="H54" s="1268" t="s">
        <v>21</v>
      </c>
      <c r="I54" s="1268" t="s">
        <v>21</v>
      </c>
      <c r="J54" s="1375"/>
      <c r="K54" s="1375"/>
    </row>
    <row r="55" spans="1:11" s="1241" customFormat="1" ht="15.75" x14ac:dyDescent="0.25">
      <c r="B55" s="1241" t="s">
        <v>3328</v>
      </c>
      <c r="D55" s="1242"/>
      <c r="E55" s="1243"/>
      <c r="F55" s="1244"/>
      <c r="G55" s="1245"/>
      <c r="H55" s="1246"/>
      <c r="I55" s="1247">
        <v>113.18708758996901</v>
      </c>
      <c r="J55" s="1383">
        <v>113.18708758996901</v>
      </c>
      <c r="K55" s="1376" t="s">
        <v>3343</v>
      </c>
    </row>
    <row r="56" spans="1:11" s="1248" customFormat="1" x14ac:dyDescent="0.25">
      <c r="A56" s="1283"/>
      <c r="B56" s="1284" t="s">
        <v>3316</v>
      </c>
      <c r="C56" s="1283" t="s">
        <v>21</v>
      </c>
      <c r="D56" s="1285"/>
      <c r="E56" s="1286"/>
      <c r="F56" s="1287"/>
      <c r="G56" s="1288"/>
      <c r="H56" s="1289" t="s">
        <v>21</v>
      </c>
      <c r="I56" s="1289" t="s">
        <v>21</v>
      </c>
      <c r="J56" s="1377"/>
      <c r="K56" s="1377"/>
    </row>
    <row r="57" spans="1:11" s="1239" customFormat="1" ht="24" x14ac:dyDescent="0.25">
      <c r="A57" s="1290">
        <v>92405</v>
      </c>
      <c r="B57" s="1291" t="s">
        <v>574</v>
      </c>
      <c r="C57" s="1290" t="s">
        <v>51</v>
      </c>
      <c r="D57" s="1292">
        <v>0.08</v>
      </c>
      <c r="E57" s="1293"/>
      <c r="F57" s="1294"/>
      <c r="G57" s="1295">
        <v>1</v>
      </c>
      <c r="H57" s="1296">
        <v>75.849999999999994</v>
      </c>
      <c r="I57" s="1296">
        <v>75.849999999999994</v>
      </c>
      <c r="J57" s="1375"/>
      <c r="K57" s="1375"/>
    </row>
    <row r="58" spans="1:11" s="1248" customFormat="1" x14ac:dyDescent="0.25">
      <c r="A58" s="1283"/>
      <c r="B58" s="1284" t="s">
        <v>963</v>
      </c>
      <c r="C58" s="1283" t="s">
        <v>21</v>
      </c>
      <c r="D58" s="1285"/>
      <c r="E58" s="1286"/>
      <c r="F58" s="1287"/>
      <c r="G58" s="1288"/>
      <c r="H58" s="1289" t="s">
        <v>21</v>
      </c>
      <c r="I58" s="1289" t="s">
        <v>21</v>
      </c>
      <c r="J58" s="1377"/>
      <c r="K58" s="1377"/>
    </row>
    <row r="59" spans="1:11" s="1239" customFormat="1" ht="48" x14ac:dyDescent="0.25">
      <c r="A59" s="1290">
        <v>96388</v>
      </c>
      <c r="B59" s="1291" t="s">
        <v>580</v>
      </c>
      <c r="C59" s="1290" t="s">
        <v>44</v>
      </c>
      <c r="D59" s="1292">
        <v>0.12</v>
      </c>
      <c r="E59" s="1293"/>
      <c r="F59" s="1294"/>
      <c r="G59" s="1295">
        <v>0.12</v>
      </c>
      <c r="H59" s="1296">
        <v>7.79</v>
      </c>
      <c r="I59" s="1296">
        <v>0.93479999999999996</v>
      </c>
      <c r="J59" s="1375"/>
      <c r="K59" s="1375"/>
    </row>
    <row r="60" spans="1:11" s="1239" customFormat="1" ht="48" x14ac:dyDescent="0.25">
      <c r="A60" s="1290">
        <v>100995</v>
      </c>
      <c r="B60" s="1291" t="s">
        <v>773</v>
      </c>
      <c r="C60" s="1290" t="s">
        <v>55</v>
      </c>
      <c r="D60" s="1292"/>
      <c r="E60" s="1293">
        <v>1.3653840557275541</v>
      </c>
      <c r="F60" s="1294"/>
      <c r="G60" s="1295">
        <v>0.16384608668730649</v>
      </c>
      <c r="H60" s="1296">
        <v>3.11</v>
      </c>
      <c r="I60" s="1296">
        <v>0.5095613295975232</v>
      </c>
      <c r="J60" s="1375"/>
      <c r="K60" s="1375"/>
    </row>
    <row r="61" spans="1:11" s="1239" customFormat="1" ht="24" x14ac:dyDescent="0.25">
      <c r="A61" s="1290">
        <v>100943</v>
      </c>
      <c r="B61" s="1291" t="s">
        <v>786</v>
      </c>
      <c r="C61" s="1290" t="s">
        <v>42</v>
      </c>
      <c r="D61" s="1292"/>
      <c r="E61" s="1293"/>
      <c r="F61" s="1294">
        <v>1</v>
      </c>
      <c r="G61" s="1295">
        <v>0.16384608668730649</v>
      </c>
      <c r="H61" s="1296">
        <v>3.1</v>
      </c>
      <c r="I61" s="1296">
        <v>0.50792286873065018</v>
      </c>
      <c r="J61" s="1375"/>
      <c r="K61" s="1375"/>
    </row>
    <row r="62" spans="1:11" s="1248" customFormat="1" x14ac:dyDescent="0.25">
      <c r="A62" s="1283"/>
      <c r="B62" s="1284" t="s">
        <v>3331</v>
      </c>
      <c r="C62" s="1283" t="s">
        <v>21</v>
      </c>
      <c r="D62" s="1285"/>
      <c r="E62" s="1286"/>
      <c r="F62" s="1287"/>
      <c r="G62" s="1288"/>
      <c r="H62" s="1289" t="s">
        <v>21</v>
      </c>
      <c r="I62" s="1289" t="s">
        <v>21</v>
      </c>
      <c r="J62" s="1377"/>
      <c r="K62" s="1377"/>
    </row>
    <row r="63" spans="1:11" s="1239" customFormat="1" ht="48" x14ac:dyDescent="0.25">
      <c r="A63" s="1290" t="s">
        <v>2156</v>
      </c>
      <c r="B63" s="1291" t="s">
        <v>3329</v>
      </c>
      <c r="C63" s="1290" t="s">
        <v>44</v>
      </c>
      <c r="D63" s="1292">
        <v>0.6</v>
      </c>
      <c r="E63" s="1293"/>
      <c r="F63" s="1294"/>
      <c r="G63" s="1295">
        <v>0.6</v>
      </c>
      <c r="H63" s="1296">
        <v>49.212304000000003</v>
      </c>
      <c r="I63" s="1296">
        <v>29.5273824</v>
      </c>
      <c r="J63" s="1375"/>
      <c r="K63" s="1375"/>
    </row>
    <row r="64" spans="1:11" s="1239" customFormat="1" ht="48" x14ac:dyDescent="0.25">
      <c r="A64" s="1290">
        <v>100995</v>
      </c>
      <c r="B64" s="1291" t="s">
        <v>773</v>
      </c>
      <c r="C64" s="1290" t="s">
        <v>55</v>
      </c>
      <c r="D64" s="1292"/>
      <c r="E64" s="1293">
        <v>1.3653840557275541</v>
      </c>
      <c r="F64" s="1294"/>
      <c r="G64" s="1295">
        <v>0.81923043343653246</v>
      </c>
      <c r="H64" s="1296">
        <v>3.11</v>
      </c>
      <c r="I64" s="1296">
        <v>2.547806647987616</v>
      </c>
      <c r="J64" s="1375"/>
      <c r="K64" s="1375"/>
    </row>
    <row r="65" spans="1:11" s="1239" customFormat="1" ht="24" x14ac:dyDescent="0.25">
      <c r="A65" s="1290">
        <v>100943</v>
      </c>
      <c r="B65" s="1291" t="s">
        <v>786</v>
      </c>
      <c r="C65" s="1290" t="s">
        <v>42</v>
      </c>
      <c r="D65" s="1292"/>
      <c r="E65" s="1293"/>
      <c r="F65" s="1294">
        <v>1</v>
      </c>
      <c r="G65" s="1295">
        <v>0.81923043343653246</v>
      </c>
      <c r="H65" s="1296">
        <v>3.1</v>
      </c>
      <c r="I65" s="1296">
        <v>2.5396143436532506</v>
      </c>
      <c r="J65" s="1375"/>
      <c r="K65" s="1375"/>
    </row>
    <row r="66" spans="1:11" s="1248" customFormat="1" x14ac:dyDescent="0.25">
      <c r="A66" s="1283"/>
      <c r="B66" s="1284" t="s">
        <v>1813</v>
      </c>
      <c r="C66" s="1283" t="s">
        <v>21</v>
      </c>
      <c r="D66" s="1285"/>
      <c r="E66" s="1286"/>
      <c r="F66" s="1287"/>
      <c r="G66" s="1288"/>
      <c r="H66" s="1289" t="s">
        <v>21</v>
      </c>
      <c r="I66" s="1289" t="s">
        <v>21</v>
      </c>
      <c r="J66" s="1377"/>
      <c r="K66" s="1377"/>
    </row>
    <row r="67" spans="1:11" s="1239" customFormat="1" ht="24" x14ac:dyDescent="0.25">
      <c r="A67" s="1290">
        <v>100577</v>
      </c>
      <c r="B67" s="1291" t="s">
        <v>635</v>
      </c>
      <c r="C67" s="1290" t="s">
        <v>51</v>
      </c>
      <c r="D67" s="1292"/>
      <c r="E67" s="1293"/>
      <c r="F67" s="1294"/>
      <c r="G67" s="1295">
        <v>1</v>
      </c>
      <c r="H67" s="1296">
        <v>0.77</v>
      </c>
      <c r="I67" s="1296">
        <v>0.77</v>
      </c>
      <c r="J67" s="1375"/>
      <c r="K67" s="1375"/>
    </row>
    <row r="68" spans="1:11" s="1239" customFormat="1" x14ac:dyDescent="0.25">
      <c r="A68" s="1249"/>
      <c r="B68" s="1239" t="s">
        <v>21</v>
      </c>
      <c r="C68" s="1249" t="s">
        <v>21</v>
      </c>
      <c r="D68" s="1250"/>
      <c r="E68" s="1251"/>
      <c r="F68" s="1252"/>
      <c r="G68" s="1253"/>
      <c r="H68" s="1254" t="s">
        <v>21</v>
      </c>
      <c r="I68" s="1254" t="s">
        <v>21</v>
      </c>
      <c r="J68" s="1375"/>
      <c r="K68" s="1375"/>
    </row>
    <row r="69" spans="1:11" x14ac:dyDescent="0.25">
      <c r="B69" s="1206" t="s">
        <v>21</v>
      </c>
      <c r="C69" s="1223" t="s">
        <v>21</v>
      </c>
    </row>
    <row r="70" spans="1:11" x14ac:dyDescent="0.25">
      <c r="B70" s="1206" t="s">
        <v>21</v>
      </c>
      <c r="C70" s="1223" t="s">
        <v>21</v>
      </c>
    </row>
  </sheetData>
  <printOptions horizontalCentered="1"/>
  <pageMargins left="0.78740157480314965" right="0.59055118110236227" top="0.78740157480314965" bottom="0.78740157480314965" header="0.59055118110236227" footer="0.59055118110236227"/>
  <pageSetup paperSize="9" scale="53" fitToHeight="0" orientation="portrait" r:id="rId1"/>
  <rowBreaks count="1" manualBreakCount="1">
    <brk id="54" max="8"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DB5B0-3E2C-4BC2-834E-5C8C5B6833E2}">
  <sheetPr>
    <tabColor theme="1"/>
    <pageSetUpPr fitToPage="1"/>
  </sheetPr>
  <dimension ref="A2:K85"/>
  <sheetViews>
    <sheetView workbookViewId="0">
      <selection sqref="A1:XFD1048576"/>
    </sheetView>
  </sheetViews>
  <sheetFormatPr defaultColWidth="9.140625" defaultRowHeight="12" x14ac:dyDescent="0.25"/>
  <cols>
    <col min="1" max="1" width="10.7109375" style="1223" customWidth="1"/>
    <col min="2" max="2" width="50.7109375" style="1206" customWidth="1"/>
    <col min="3" max="3" width="8.7109375" style="1223" customWidth="1"/>
    <col min="4" max="4" width="15.7109375" style="1238" customWidth="1"/>
    <col min="5" max="5" width="15.7109375" style="1235" customWidth="1"/>
    <col min="6" max="6" width="15.7109375" style="1236" customWidth="1"/>
    <col min="7" max="7" width="15.7109375" style="1237" customWidth="1"/>
    <col min="8" max="9" width="15.7109375" style="1207" customWidth="1"/>
    <col min="10" max="10" width="16.42578125" style="1373" bestFit="1" customWidth="1"/>
    <col min="11" max="11" width="9.140625" style="1373"/>
    <col min="12" max="16384" width="9.140625" style="1206"/>
  </cols>
  <sheetData>
    <row r="2" spans="1:11" x14ac:dyDescent="0.25">
      <c r="A2" s="1205" t="s">
        <v>3313</v>
      </c>
      <c r="C2" s="1206"/>
      <c r="H2" s="1406" t="s">
        <v>3344</v>
      </c>
      <c r="I2" s="1407">
        <v>44403</v>
      </c>
    </row>
    <row r="3" spans="1:11" x14ac:dyDescent="0.25">
      <c r="A3" s="1234" t="s">
        <v>153</v>
      </c>
      <c r="B3" s="1205" t="s">
        <v>3501</v>
      </c>
      <c r="C3" s="1206"/>
      <c r="H3" s="1406" t="s">
        <v>3345</v>
      </c>
      <c r="I3" s="1406" t="s">
        <v>3500</v>
      </c>
    </row>
    <row r="4" spans="1:11" x14ac:dyDescent="0.25">
      <c r="A4" s="1234" t="s">
        <v>154</v>
      </c>
      <c r="B4" s="1205" t="s">
        <v>1527</v>
      </c>
      <c r="C4" s="1206"/>
    </row>
    <row r="5" spans="1:11" x14ac:dyDescent="0.25">
      <c r="A5" s="1234" t="s">
        <v>155</v>
      </c>
      <c r="B5" s="1205" t="s">
        <v>1528</v>
      </c>
      <c r="C5" s="1206"/>
    </row>
    <row r="6" spans="1:11" ht="18.75" x14ac:dyDescent="0.25">
      <c r="A6" s="94" t="s">
        <v>1717</v>
      </c>
      <c r="B6" s="94"/>
      <c r="C6" s="94"/>
      <c r="D6" s="1409"/>
      <c r="E6" s="1410"/>
      <c r="F6" s="1411"/>
      <c r="G6" s="95"/>
      <c r="H6" s="95"/>
      <c r="I6" s="95"/>
    </row>
    <row r="7" spans="1:11" x14ac:dyDescent="0.25">
      <c r="A7" s="1359" t="s">
        <v>0</v>
      </c>
      <c r="B7" s="1360" t="s">
        <v>144</v>
      </c>
      <c r="C7" s="1360" t="s">
        <v>1</v>
      </c>
      <c r="D7" s="1361" t="s">
        <v>3317</v>
      </c>
      <c r="E7" s="1362" t="s">
        <v>2447</v>
      </c>
      <c r="F7" s="1363" t="s">
        <v>288</v>
      </c>
      <c r="G7" s="1364" t="s">
        <v>449</v>
      </c>
      <c r="H7" s="1364" t="s">
        <v>3315</v>
      </c>
      <c r="I7" s="1365" t="s">
        <v>84</v>
      </c>
    </row>
    <row r="8" spans="1:11" s="1240" customFormat="1" ht="18.75" x14ac:dyDescent="0.25">
      <c r="A8" s="1385"/>
      <c r="B8" s="1385" t="s">
        <v>3332</v>
      </c>
      <c r="C8" s="1385" t="s">
        <v>21</v>
      </c>
      <c r="D8" s="1386"/>
      <c r="E8" s="1387"/>
      <c r="F8" s="1388"/>
      <c r="G8" s="1389"/>
      <c r="H8" s="1390" t="s">
        <v>3342</v>
      </c>
      <c r="I8" s="1391">
        <v>1</v>
      </c>
      <c r="J8" s="1374">
        <v>76.432576811262877</v>
      </c>
      <c r="K8" s="1374"/>
    </row>
    <row r="9" spans="1:11" s="1239" customFormat="1" x14ac:dyDescent="0.25">
      <c r="A9" s="1249"/>
      <c r="B9" s="1239" t="s">
        <v>21</v>
      </c>
      <c r="C9" s="1249" t="s">
        <v>21</v>
      </c>
      <c r="D9" s="1250"/>
      <c r="E9" s="1251"/>
      <c r="F9" s="1252"/>
      <c r="G9" s="1253"/>
      <c r="H9" s="1254" t="s">
        <v>21</v>
      </c>
      <c r="I9" s="1254" t="s">
        <v>21</v>
      </c>
      <c r="J9" s="1375"/>
      <c r="K9" s="1375"/>
    </row>
    <row r="10" spans="1:11" s="1326" customFormat="1" ht="15.75" x14ac:dyDescent="0.25">
      <c r="B10" s="1326" t="s">
        <v>3314</v>
      </c>
      <c r="C10" s="1326" t="s">
        <v>21</v>
      </c>
      <c r="D10" s="1327"/>
      <c r="E10" s="1328"/>
      <c r="F10" s="1329"/>
      <c r="G10" s="1330"/>
      <c r="H10" s="1331"/>
      <c r="I10" s="1332">
        <v>76.432576811262877</v>
      </c>
      <c r="J10" s="1384">
        <v>76.432576811262877</v>
      </c>
      <c r="K10" s="1378">
        <v>1</v>
      </c>
    </row>
    <row r="11" spans="1:11" s="1340" customFormat="1" x14ac:dyDescent="0.25">
      <c r="A11" s="1333"/>
      <c r="B11" s="1334" t="s">
        <v>3316</v>
      </c>
      <c r="C11" s="1333" t="s">
        <v>21</v>
      </c>
      <c r="D11" s="1335"/>
      <c r="E11" s="1336"/>
      <c r="F11" s="1337"/>
      <c r="G11" s="1338"/>
      <c r="H11" s="1339" t="s">
        <v>21</v>
      </c>
      <c r="I11" s="1339" t="s">
        <v>21</v>
      </c>
      <c r="J11" s="1379"/>
      <c r="K11" s="1379"/>
    </row>
    <row r="12" spans="1:11" s="1420" customFormat="1" ht="22.5" x14ac:dyDescent="0.25">
      <c r="A12" s="1412" t="s">
        <v>977</v>
      </c>
      <c r="B12" s="1413" t="s">
        <v>3339</v>
      </c>
      <c r="C12" s="1412" t="s">
        <v>44</v>
      </c>
      <c r="D12" s="1414">
        <v>5.5E-2</v>
      </c>
      <c r="E12" s="1415">
        <v>2.5548000000000002</v>
      </c>
      <c r="F12" s="1416"/>
      <c r="G12" s="1417">
        <v>5.5E-2</v>
      </c>
      <c r="H12" s="1418">
        <v>439.87080806479992</v>
      </c>
      <c r="I12" s="1418">
        <v>24.192894443563997</v>
      </c>
      <c r="J12" s="1419"/>
      <c r="K12" s="1419"/>
    </row>
    <row r="13" spans="1:11" s="1420" customFormat="1" ht="22.5" x14ac:dyDescent="0.25">
      <c r="A13" s="1412">
        <v>101003</v>
      </c>
      <c r="B13" s="1413" t="s">
        <v>768</v>
      </c>
      <c r="C13" s="1412" t="s">
        <v>55</v>
      </c>
      <c r="D13" s="1421"/>
      <c r="E13" s="1415"/>
      <c r="F13" s="1416"/>
      <c r="G13" s="1422">
        <v>0.140514</v>
      </c>
      <c r="H13" s="1418">
        <v>4.91</v>
      </c>
      <c r="I13" s="1418">
        <v>0.68992374000000001</v>
      </c>
      <c r="J13" s="1419"/>
      <c r="K13" s="1419"/>
    </row>
    <row r="14" spans="1:11" s="1420" customFormat="1" ht="22.5" x14ac:dyDescent="0.25">
      <c r="A14" s="1412">
        <v>100943</v>
      </c>
      <c r="B14" s="1413" t="s">
        <v>786</v>
      </c>
      <c r="C14" s="1412" t="s">
        <v>42</v>
      </c>
      <c r="D14" s="1421"/>
      <c r="E14" s="1415"/>
      <c r="F14" s="1416">
        <v>1</v>
      </c>
      <c r="G14" s="1422">
        <v>0.140514</v>
      </c>
      <c r="H14" s="1418">
        <v>3.1</v>
      </c>
      <c r="I14" s="1418">
        <v>0.43559340000000002</v>
      </c>
      <c r="J14" s="1419"/>
      <c r="K14" s="1419"/>
    </row>
    <row r="15" spans="1:11" s="1431" customFormat="1" ht="11.25" x14ac:dyDescent="0.25">
      <c r="A15" s="1423"/>
      <c r="B15" s="1424" t="s">
        <v>3321</v>
      </c>
      <c r="C15" s="1423" t="s">
        <v>21</v>
      </c>
      <c r="D15" s="1425"/>
      <c r="E15" s="1426"/>
      <c r="F15" s="1427"/>
      <c r="G15" s="1428"/>
      <c r="H15" s="1429" t="s">
        <v>21</v>
      </c>
      <c r="I15" s="1429" t="s">
        <v>21</v>
      </c>
      <c r="J15" s="1430"/>
      <c r="K15" s="1430"/>
    </row>
    <row r="16" spans="1:11" s="1420" customFormat="1" ht="11.25" x14ac:dyDescent="0.25">
      <c r="A16" s="1412" t="s">
        <v>3333</v>
      </c>
      <c r="B16" s="1413" t="s">
        <v>3334</v>
      </c>
      <c r="C16" s="1412" t="s">
        <v>55</v>
      </c>
      <c r="D16" s="1421"/>
      <c r="E16" s="1415">
        <v>0.14460168000000001</v>
      </c>
      <c r="F16" s="1416"/>
      <c r="G16" s="1422">
        <v>7.9530924000000003E-3</v>
      </c>
      <c r="H16" s="1418">
        <v>4295.6099999999997</v>
      </c>
      <c r="I16" s="1418">
        <v>34.163383244363999</v>
      </c>
      <c r="J16" s="1419"/>
      <c r="K16" s="1419"/>
    </row>
    <row r="17" spans="1:11" s="1420" customFormat="1" ht="22.5" x14ac:dyDescent="0.25">
      <c r="A17" s="1412">
        <v>95879</v>
      </c>
      <c r="B17" s="1413" t="s">
        <v>789</v>
      </c>
      <c r="C17" s="1412" t="s">
        <v>42</v>
      </c>
      <c r="D17" s="1421"/>
      <c r="E17" s="1415">
        <v>1.113713964</v>
      </c>
      <c r="F17" s="1416">
        <v>30</v>
      </c>
      <c r="G17" s="1422">
        <v>6.1254268020000002E-2</v>
      </c>
      <c r="H17" s="1418">
        <v>1.04</v>
      </c>
      <c r="I17" s="1418">
        <v>6.3704438740800007E-2</v>
      </c>
      <c r="J17" s="1419"/>
      <c r="K17" s="1419"/>
    </row>
    <row r="18" spans="1:11" s="1420" customFormat="1" ht="33.75" x14ac:dyDescent="0.25">
      <c r="A18" s="1412">
        <v>93599</v>
      </c>
      <c r="B18" s="1413" t="s">
        <v>788</v>
      </c>
      <c r="C18" s="1412" t="s">
        <v>42</v>
      </c>
      <c r="D18" s="1421"/>
      <c r="E18" s="1415">
        <v>1.113713964</v>
      </c>
      <c r="F18" s="1416">
        <v>27</v>
      </c>
      <c r="G18" s="1422">
        <v>6.1254268020000002E-2</v>
      </c>
      <c r="H18" s="1418">
        <v>0.41</v>
      </c>
      <c r="I18" s="1418">
        <v>2.5114249888199998E-2</v>
      </c>
      <c r="J18" s="1419"/>
      <c r="K18" s="1419"/>
    </row>
    <row r="19" spans="1:11" s="1431" customFormat="1" ht="11.25" x14ac:dyDescent="0.25">
      <c r="A19" s="1423"/>
      <c r="B19" s="1424" t="s">
        <v>1685</v>
      </c>
      <c r="C19" s="1423" t="s">
        <v>21</v>
      </c>
      <c r="D19" s="1425"/>
      <c r="E19" s="1426"/>
      <c r="F19" s="1427"/>
      <c r="G19" s="1428"/>
      <c r="H19" s="1429" t="s">
        <v>21</v>
      </c>
      <c r="I19" s="1429" t="s">
        <v>21</v>
      </c>
      <c r="J19" s="1430"/>
      <c r="K19" s="1430"/>
    </row>
    <row r="20" spans="1:11" s="1420" customFormat="1" ht="11.25" x14ac:dyDescent="0.25">
      <c r="A20" s="1412" t="s">
        <v>949</v>
      </c>
      <c r="B20" s="1413" t="s">
        <v>3346</v>
      </c>
      <c r="C20" s="1412" t="s">
        <v>51</v>
      </c>
      <c r="D20" s="1421"/>
      <c r="E20" s="1415"/>
      <c r="F20" s="1416"/>
      <c r="G20" s="1422">
        <v>1</v>
      </c>
      <c r="H20" s="1418">
        <v>0.95611000000000002</v>
      </c>
      <c r="I20" s="1418">
        <v>0.95611000000000002</v>
      </c>
      <c r="J20" s="1419"/>
      <c r="K20" s="1419"/>
    </row>
    <row r="21" spans="1:11" s="1420" customFormat="1" ht="22.5" x14ac:dyDescent="0.25">
      <c r="A21" s="1412" t="s">
        <v>3325</v>
      </c>
      <c r="B21" s="1413" t="s">
        <v>3326</v>
      </c>
      <c r="C21" s="1412" t="s">
        <v>55</v>
      </c>
      <c r="D21" s="1421"/>
      <c r="E21" s="1432">
        <v>1.1999999999999999E-3</v>
      </c>
      <c r="F21" s="1416"/>
      <c r="G21" s="1433">
        <v>1.1999999999999999E-3</v>
      </c>
      <c r="H21" s="1418">
        <v>2973.15</v>
      </c>
      <c r="I21" s="1418">
        <v>3.56778</v>
      </c>
      <c r="J21" s="1419"/>
      <c r="K21" s="1419"/>
    </row>
    <row r="22" spans="1:11" s="1420" customFormat="1" ht="33.75" x14ac:dyDescent="0.25">
      <c r="A22" s="1412">
        <v>100969</v>
      </c>
      <c r="B22" s="1413" t="s">
        <v>798</v>
      </c>
      <c r="C22" s="1412" t="s">
        <v>42</v>
      </c>
      <c r="D22" s="1421"/>
      <c r="E22" s="1415"/>
      <c r="F22" s="1416">
        <v>1</v>
      </c>
      <c r="G22" s="1433">
        <v>1.1999999999999999E-3</v>
      </c>
      <c r="H22" s="1418">
        <v>1.7</v>
      </c>
      <c r="I22" s="1418">
        <v>2.0399999999999997E-3</v>
      </c>
      <c r="J22" s="1419"/>
      <c r="K22" s="1419"/>
    </row>
    <row r="23" spans="1:11" s="1431" customFormat="1" ht="11.25" x14ac:dyDescent="0.25">
      <c r="A23" s="1423"/>
      <c r="B23" s="1424" t="s">
        <v>963</v>
      </c>
      <c r="C23" s="1423" t="s">
        <v>21</v>
      </c>
      <c r="D23" s="1425"/>
      <c r="E23" s="1426"/>
      <c r="F23" s="1427"/>
      <c r="G23" s="1428"/>
      <c r="H23" s="1429" t="s">
        <v>21</v>
      </c>
      <c r="I23" s="1429" t="s">
        <v>21</v>
      </c>
      <c r="J23" s="1430"/>
      <c r="K23" s="1430"/>
    </row>
    <row r="24" spans="1:11" s="1420" customFormat="1" ht="33.75" x14ac:dyDescent="0.25">
      <c r="A24" s="1412">
        <v>96389</v>
      </c>
      <c r="B24" s="1413" t="s">
        <v>578</v>
      </c>
      <c r="C24" s="1412" t="s">
        <v>44</v>
      </c>
      <c r="D24" s="1421">
        <v>0.18</v>
      </c>
      <c r="E24" s="1415"/>
      <c r="F24" s="1416"/>
      <c r="G24" s="1422">
        <v>0.18</v>
      </c>
      <c r="H24" s="1418">
        <v>37.700000000000003</v>
      </c>
      <c r="I24" s="1418">
        <v>6.7860000000000005</v>
      </c>
      <c r="J24" s="1419"/>
      <c r="K24" s="1419"/>
    </row>
    <row r="25" spans="1:11" s="1420" customFormat="1" ht="45" x14ac:dyDescent="0.25">
      <c r="A25" s="1412">
        <v>100995</v>
      </c>
      <c r="B25" s="1413" t="s">
        <v>773</v>
      </c>
      <c r="C25" s="1412" t="s">
        <v>55</v>
      </c>
      <c r="D25" s="1421"/>
      <c r="E25" s="1415">
        <v>1.3653840557275541</v>
      </c>
      <c r="F25" s="1416"/>
      <c r="G25" s="1422">
        <v>0.24576913003095971</v>
      </c>
      <c r="H25" s="1418">
        <v>3.11</v>
      </c>
      <c r="I25" s="1418">
        <v>0.7643419943962847</v>
      </c>
      <c r="J25" s="1419"/>
      <c r="K25" s="1419"/>
    </row>
    <row r="26" spans="1:11" s="1420" customFormat="1" ht="22.5" x14ac:dyDescent="0.25">
      <c r="A26" s="1412">
        <v>100943</v>
      </c>
      <c r="B26" s="1413" t="s">
        <v>786</v>
      </c>
      <c r="C26" s="1412" t="s">
        <v>42</v>
      </c>
      <c r="D26" s="1421"/>
      <c r="E26" s="1415"/>
      <c r="F26" s="1416">
        <v>1</v>
      </c>
      <c r="G26" s="1422">
        <v>0.24576913003095971</v>
      </c>
      <c r="H26" s="1418">
        <v>3.1</v>
      </c>
      <c r="I26" s="1418">
        <v>0.7618843030959751</v>
      </c>
      <c r="J26" s="1419"/>
      <c r="K26" s="1419"/>
    </row>
    <row r="27" spans="1:11" s="1431" customFormat="1" ht="11.25" x14ac:dyDescent="0.25">
      <c r="A27" s="1423"/>
      <c r="B27" s="1424" t="s">
        <v>1679</v>
      </c>
      <c r="C27" s="1423" t="s">
        <v>21</v>
      </c>
      <c r="D27" s="1425"/>
      <c r="E27" s="1426"/>
      <c r="F27" s="1427"/>
      <c r="G27" s="1428"/>
      <c r="H27" s="1429" t="s">
        <v>21</v>
      </c>
      <c r="I27" s="1429" t="s">
        <v>21</v>
      </c>
      <c r="J27" s="1430"/>
      <c r="K27" s="1430"/>
    </row>
    <row r="28" spans="1:11" s="1420" customFormat="1" ht="33.75" x14ac:dyDescent="0.25">
      <c r="A28" s="1412">
        <v>96388</v>
      </c>
      <c r="B28" s="1413" t="s">
        <v>580</v>
      </c>
      <c r="C28" s="1412" t="s">
        <v>44</v>
      </c>
      <c r="D28" s="1421">
        <v>0.2</v>
      </c>
      <c r="E28" s="1415"/>
      <c r="F28" s="1416"/>
      <c r="G28" s="1422">
        <v>0.2</v>
      </c>
      <c r="H28" s="1418">
        <v>7.79</v>
      </c>
      <c r="I28" s="1418">
        <v>1.5580000000000001</v>
      </c>
      <c r="J28" s="1419"/>
      <c r="K28" s="1419"/>
    </row>
    <row r="29" spans="1:11" s="1420" customFormat="1" ht="45" x14ac:dyDescent="0.25">
      <c r="A29" s="1412">
        <v>100995</v>
      </c>
      <c r="B29" s="1413" t="s">
        <v>773</v>
      </c>
      <c r="C29" s="1412" t="s">
        <v>55</v>
      </c>
      <c r="D29" s="1421"/>
      <c r="E29" s="1415">
        <v>1.3653840557275541</v>
      </c>
      <c r="F29" s="1416"/>
      <c r="G29" s="1422">
        <v>0.2730768111455108</v>
      </c>
      <c r="H29" s="1418">
        <v>3.11</v>
      </c>
      <c r="I29" s="1418">
        <v>0.84926888266253853</v>
      </c>
      <c r="J29" s="1419"/>
      <c r="K29" s="1419"/>
    </row>
    <row r="30" spans="1:11" s="1420" customFormat="1" ht="22.5" x14ac:dyDescent="0.25">
      <c r="A30" s="1412">
        <v>100943</v>
      </c>
      <c r="B30" s="1413" t="s">
        <v>786</v>
      </c>
      <c r="C30" s="1412" t="s">
        <v>42</v>
      </c>
      <c r="D30" s="1421"/>
      <c r="E30" s="1415"/>
      <c r="F30" s="1416">
        <v>1</v>
      </c>
      <c r="G30" s="1422">
        <v>0.2730768111455108</v>
      </c>
      <c r="H30" s="1418">
        <v>3.1</v>
      </c>
      <c r="I30" s="1418">
        <v>0.84653811455108352</v>
      </c>
      <c r="J30" s="1419"/>
      <c r="K30" s="1419"/>
    </row>
    <row r="31" spans="1:11" s="1431" customFormat="1" ht="11.25" x14ac:dyDescent="0.25">
      <c r="A31" s="1423"/>
      <c r="B31" s="1424" t="s">
        <v>1813</v>
      </c>
      <c r="C31" s="1423" t="s">
        <v>21</v>
      </c>
      <c r="D31" s="1425"/>
      <c r="E31" s="1426"/>
      <c r="F31" s="1427"/>
      <c r="G31" s="1428"/>
      <c r="H31" s="1429" t="s">
        <v>21</v>
      </c>
      <c r="I31" s="1429" t="s">
        <v>21</v>
      </c>
      <c r="J31" s="1430"/>
      <c r="K31" s="1430"/>
    </row>
    <row r="32" spans="1:11" s="1420" customFormat="1" ht="22.5" x14ac:dyDescent="0.25">
      <c r="A32" s="1412">
        <v>100577</v>
      </c>
      <c r="B32" s="1413" t="s">
        <v>635</v>
      </c>
      <c r="C32" s="1412" t="s">
        <v>51</v>
      </c>
      <c r="D32" s="1421"/>
      <c r="E32" s="1415"/>
      <c r="F32" s="1416"/>
      <c r="G32" s="1422">
        <v>1</v>
      </c>
      <c r="H32" s="1418">
        <v>0.77</v>
      </c>
      <c r="I32" s="1418">
        <v>0.77</v>
      </c>
      <c r="J32" s="1419"/>
      <c r="K32" s="1419"/>
    </row>
    <row r="33" spans="1:11" s="1348" customFormat="1" x14ac:dyDescent="0.25">
      <c r="A33" s="1353"/>
      <c r="B33" s="1348" t="s">
        <v>21</v>
      </c>
      <c r="C33" s="1353" t="s">
        <v>21</v>
      </c>
      <c r="D33" s="1354"/>
      <c r="E33" s="1355"/>
      <c r="F33" s="1356"/>
      <c r="G33" s="1357"/>
      <c r="H33" s="1358" t="s">
        <v>21</v>
      </c>
      <c r="I33" s="1358" t="s">
        <v>21</v>
      </c>
      <c r="J33" s="1380"/>
      <c r="K33" s="1380"/>
    </row>
    <row r="34" spans="1:11" s="1326" customFormat="1" ht="15.75" x14ac:dyDescent="0.25">
      <c r="A34" s="1301"/>
      <c r="B34" s="1301" t="s">
        <v>3318</v>
      </c>
      <c r="C34" s="1301" t="s">
        <v>21</v>
      </c>
      <c r="D34" s="1302"/>
      <c r="E34" s="1303"/>
      <c r="F34" s="1304"/>
      <c r="G34" s="1305"/>
      <c r="H34" s="1306"/>
      <c r="I34" s="1307">
        <v>125.25017167677062</v>
      </c>
      <c r="J34" s="1384">
        <v>125.25017167677062</v>
      </c>
      <c r="K34" s="1378">
        <v>2</v>
      </c>
    </row>
    <row r="35" spans="1:11" s="1431" customFormat="1" ht="11.25" x14ac:dyDescent="0.25">
      <c r="A35" s="1434"/>
      <c r="B35" s="1435" t="s">
        <v>3316</v>
      </c>
      <c r="C35" s="1434" t="s">
        <v>21</v>
      </c>
      <c r="D35" s="1436"/>
      <c r="E35" s="1437"/>
      <c r="F35" s="1438"/>
      <c r="G35" s="1439"/>
      <c r="H35" s="1440" t="s">
        <v>21</v>
      </c>
      <c r="I35" s="1440" t="s">
        <v>21</v>
      </c>
      <c r="J35" s="1430"/>
      <c r="K35" s="1430"/>
    </row>
    <row r="36" spans="1:11" s="1420" customFormat="1" ht="22.5" x14ac:dyDescent="0.25">
      <c r="A36" s="1441" t="s">
        <v>977</v>
      </c>
      <c r="B36" s="1442" t="s">
        <v>3339</v>
      </c>
      <c r="C36" s="1441" t="s">
        <v>44</v>
      </c>
      <c r="D36" s="1443">
        <v>5.5E-2</v>
      </c>
      <c r="E36" s="1444">
        <v>2.5548000000000002</v>
      </c>
      <c r="F36" s="1445"/>
      <c r="G36" s="1446">
        <v>5.5E-2</v>
      </c>
      <c r="H36" s="1447">
        <v>439.87080806479992</v>
      </c>
      <c r="I36" s="1447">
        <v>24.192894443563997</v>
      </c>
      <c r="J36" s="1419"/>
      <c r="K36" s="1419"/>
    </row>
    <row r="37" spans="1:11" s="1420" customFormat="1" ht="22.5" x14ac:dyDescent="0.25">
      <c r="A37" s="1441">
        <v>101003</v>
      </c>
      <c r="B37" s="1442" t="s">
        <v>768</v>
      </c>
      <c r="C37" s="1441" t="s">
        <v>55</v>
      </c>
      <c r="D37" s="1448"/>
      <c r="E37" s="1444"/>
      <c r="F37" s="1445"/>
      <c r="G37" s="1449">
        <v>0.140514</v>
      </c>
      <c r="H37" s="1447">
        <v>4.91</v>
      </c>
      <c r="I37" s="1447">
        <v>0.68992374000000001</v>
      </c>
      <c r="J37" s="1419"/>
      <c r="K37" s="1419"/>
    </row>
    <row r="38" spans="1:11" s="1420" customFormat="1" ht="22.5" x14ac:dyDescent="0.25">
      <c r="A38" s="1441">
        <v>100943</v>
      </c>
      <c r="B38" s="1442" t="s">
        <v>786</v>
      </c>
      <c r="C38" s="1441" t="s">
        <v>42</v>
      </c>
      <c r="D38" s="1448"/>
      <c r="E38" s="1444"/>
      <c r="F38" s="1445">
        <v>1</v>
      </c>
      <c r="G38" s="1449">
        <v>0.140514</v>
      </c>
      <c r="H38" s="1447">
        <v>3.1</v>
      </c>
      <c r="I38" s="1447">
        <v>0.43559340000000002</v>
      </c>
      <c r="J38" s="1419"/>
      <c r="K38" s="1419"/>
    </row>
    <row r="39" spans="1:11" s="1431" customFormat="1" ht="11.25" x14ac:dyDescent="0.25">
      <c r="A39" s="1434"/>
      <c r="B39" s="1435" t="s">
        <v>3321</v>
      </c>
      <c r="C39" s="1434" t="s">
        <v>21</v>
      </c>
      <c r="D39" s="1436"/>
      <c r="E39" s="1437"/>
      <c r="F39" s="1438"/>
      <c r="G39" s="1439"/>
      <c r="H39" s="1440" t="s">
        <v>21</v>
      </c>
      <c r="I39" s="1440" t="s">
        <v>21</v>
      </c>
      <c r="J39" s="1430"/>
      <c r="K39" s="1430"/>
    </row>
    <row r="40" spans="1:11" s="1420" customFormat="1" ht="11.25" x14ac:dyDescent="0.25">
      <c r="A40" s="1441" t="s">
        <v>3333</v>
      </c>
      <c r="B40" s="1442" t="s">
        <v>3334</v>
      </c>
      <c r="C40" s="1441" t="s">
        <v>55</v>
      </c>
      <c r="D40" s="1448"/>
      <c r="E40" s="1444">
        <v>0.14460168000000001</v>
      </c>
      <c r="F40" s="1445"/>
      <c r="G40" s="1449">
        <v>7.9530924000000003E-3</v>
      </c>
      <c r="H40" s="1447">
        <v>4295.6099999999997</v>
      </c>
      <c r="I40" s="1447">
        <v>34.163383244363999</v>
      </c>
      <c r="J40" s="1419"/>
      <c r="K40" s="1419"/>
    </row>
    <row r="41" spans="1:11" s="1420" customFormat="1" ht="22.5" x14ac:dyDescent="0.25">
      <c r="A41" s="1441">
        <v>95879</v>
      </c>
      <c r="B41" s="1442" t="s">
        <v>789</v>
      </c>
      <c r="C41" s="1441" t="s">
        <v>42</v>
      </c>
      <c r="D41" s="1448"/>
      <c r="E41" s="1444">
        <v>1.113713964</v>
      </c>
      <c r="F41" s="1445">
        <v>30</v>
      </c>
      <c r="G41" s="1449">
        <v>6.1254268020000002E-2</v>
      </c>
      <c r="H41" s="1447">
        <v>1.04</v>
      </c>
      <c r="I41" s="1447">
        <v>6.3704438740800007E-2</v>
      </c>
      <c r="J41" s="1419"/>
      <c r="K41" s="1419"/>
    </row>
    <row r="42" spans="1:11" s="1420" customFormat="1" ht="33.75" x14ac:dyDescent="0.25">
      <c r="A42" s="1441">
        <v>93599</v>
      </c>
      <c r="B42" s="1442" t="s">
        <v>788</v>
      </c>
      <c r="C42" s="1441" t="s">
        <v>42</v>
      </c>
      <c r="D42" s="1448"/>
      <c r="E42" s="1444">
        <v>1.113713964</v>
      </c>
      <c r="F42" s="1445">
        <v>27</v>
      </c>
      <c r="G42" s="1449">
        <v>6.1254268020000002E-2</v>
      </c>
      <c r="H42" s="1447">
        <v>0.41</v>
      </c>
      <c r="I42" s="1447">
        <v>2.5114249888199998E-2</v>
      </c>
      <c r="J42" s="1419"/>
      <c r="K42" s="1419"/>
    </row>
    <row r="43" spans="1:11" s="1431" customFormat="1" ht="11.25" x14ac:dyDescent="0.25">
      <c r="A43" s="1434"/>
      <c r="B43" s="1435" t="s">
        <v>1685</v>
      </c>
      <c r="C43" s="1434" t="s">
        <v>21</v>
      </c>
      <c r="D43" s="1436"/>
      <c r="E43" s="1437"/>
      <c r="F43" s="1438"/>
      <c r="G43" s="1439"/>
      <c r="H43" s="1440" t="s">
        <v>21</v>
      </c>
      <c r="I43" s="1440" t="s">
        <v>21</v>
      </c>
      <c r="J43" s="1430"/>
      <c r="K43" s="1430"/>
    </row>
    <row r="44" spans="1:11" s="1420" customFormat="1" ht="11.25" x14ac:dyDescent="0.25">
      <c r="A44" s="1441" t="s">
        <v>949</v>
      </c>
      <c r="B44" s="1442" t="s">
        <v>3346</v>
      </c>
      <c r="C44" s="1441" t="s">
        <v>51</v>
      </c>
      <c r="D44" s="1448"/>
      <c r="E44" s="1444"/>
      <c r="F44" s="1445"/>
      <c r="G44" s="1449">
        <v>1</v>
      </c>
      <c r="H44" s="1447">
        <v>0.95611000000000002</v>
      </c>
      <c r="I44" s="1447">
        <v>0.95611000000000002</v>
      </c>
      <c r="J44" s="1419"/>
      <c r="K44" s="1419"/>
    </row>
    <row r="45" spans="1:11" s="1420" customFormat="1" ht="22.5" x14ac:dyDescent="0.25">
      <c r="A45" s="1441" t="s">
        <v>3325</v>
      </c>
      <c r="B45" s="1442" t="s">
        <v>3326</v>
      </c>
      <c r="C45" s="1441" t="s">
        <v>55</v>
      </c>
      <c r="D45" s="1448"/>
      <c r="E45" s="1450">
        <v>1.1999999999999999E-3</v>
      </c>
      <c r="F45" s="1445"/>
      <c r="G45" s="1451">
        <v>1.1999999999999999E-3</v>
      </c>
      <c r="H45" s="1447">
        <v>2973.15</v>
      </c>
      <c r="I45" s="1447">
        <v>3.56778</v>
      </c>
      <c r="J45" s="1419"/>
      <c r="K45" s="1419"/>
    </row>
    <row r="46" spans="1:11" s="1420" customFormat="1" ht="33.75" x14ac:dyDescent="0.25">
      <c r="A46" s="1441">
        <v>100969</v>
      </c>
      <c r="B46" s="1442" t="s">
        <v>798</v>
      </c>
      <c r="C46" s="1441" t="s">
        <v>42</v>
      </c>
      <c r="D46" s="1448"/>
      <c r="E46" s="1444"/>
      <c r="F46" s="1445">
        <v>1</v>
      </c>
      <c r="G46" s="1451">
        <v>1.1999999999999999E-3</v>
      </c>
      <c r="H46" s="1447">
        <v>1.7</v>
      </c>
      <c r="I46" s="1447">
        <v>2.0399999999999997E-3</v>
      </c>
      <c r="J46" s="1419"/>
      <c r="K46" s="1419"/>
    </row>
    <row r="47" spans="1:11" s="1431" customFormat="1" ht="11.25" x14ac:dyDescent="0.25">
      <c r="A47" s="1434"/>
      <c r="B47" s="1435" t="s">
        <v>963</v>
      </c>
      <c r="C47" s="1434" t="s">
        <v>21</v>
      </c>
      <c r="D47" s="1436"/>
      <c r="E47" s="1437"/>
      <c r="F47" s="1438"/>
      <c r="G47" s="1439"/>
      <c r="H47" s="1440" t="s">
        <v>21</v>
      </c>
      <c r="I47" s="1440" t="s">
        <v>21</v>
      </c>
      <c r="J47" s="1430"/>
      <c r="K47" s="1430"/>
    </row>
    <row r="48" spans="1:11" s="1420" customFormat="1" ht="33.75" x14ac:dyDescent="0.25">
      <c r="A48" s="1441">
        <v>96396</v>
      </c>
      <c r="B48" s="1442" t="s">
        <v>576</v>
      </c>
      <c r="C48" s="1441" t="s">
        <v>44</v>
      </c>
      <c r="D48" s="1448">
        <v>0.18</v>
      </c>
      <c r="E48" s="1444">
        <v>2.4200549999999996</v>
      </c>
      <c r="F48" s="1445"/>
      <c r="G48" s="1449">
        <v>0.18</v>
      </c>
      <c r="H48" s="1447">
        <v>207.59</v>
      </c>
      <c r="I48" s="1447">
        <v>37.366199999999999</v>
      </c>
      <c r="J48" s="1419"/>
      <c r="K48" s="1419"/>
    </row>
    <row r="49" spans="1:11" s="1420" customFormat="1" ht="22.5" x14ac:dyDescent="0.25">
      <c r="A49" s="1441">
        <v>95879</v>
      </c>
      <c r="B49" s="1442" t="s">
        <v>789</v>
      </c>
      <c r="C49" s="1441" t="s">
        <v>42</v>
      </c>
      <c r="D49" s="1448"/>
      <c r="E49" s="1444"/>
      <c r="F49" s="1445">
        <v>30</v>
      </c>
      <c r="G49" s="1449">
        <v>13.068296999999998</v>
      </c>
      <c r="H49" s="1447">
        <v>1.04</v>
      </c>
      <c r="I49" s="1447">
        <v>13.591028879999998</v>
      </c>
      <c r="J49" s="1419"/>
      <c r="K49" s="1419"/>
    </row>
    <row r="50" spans="1:11" s="1420" customFormat="1" ht="33.75" x14ac:dyDescent="0.25">
      <c r="A50" s="1441">
        <v>93599</v>
      </c>
      <c r="B50" s="1442" t="s">
        <v>788</v>
      </c>
      <c r="C50" s="1441" t="s">
        <v>42</v>
      </c>
      <c r="D50" s="1448"/>
      <c r="E50" s="1444"/>
      <c r="F50" s="1445">
        <v>27</v>
      </c>
      <c r="G50" s="1449">
        <v>11.761467299999998</v>
      </c>
      <c r="H50" s="1447">
        <v>0.41</v>
      </c>
      <c r="I50" s="1447">
        <v>4.8222015929999991</v>
      </c>
      <c r="J50" s="1419"/>
      <c r="K50" s="1419"/>
    </row>
    <row r="51" spans="1:11" s="1420" customFormat="1" ht="22.5" x14ac:dyDescent="0.25">
      <c r="A51" s="1441">
        <v>100943</v>
      </c>
      <c r="B51" s="1442" t="s">
        <v>786</v>
      </c>
      <c r="C51" s="1441" t="s">
        <v>42</v>
      </c>
      <c r="D51" s="1448"/>
      <c r="E51" s="1444"/>
      <c r="F51" s="1445">
        <v>1</v>
      </c>
      <c r="G51" s="1449">
        <v>0.43560989999999994</v>
      </c>
      <c r="H51" s="1447">
        <v>3.1</v>
      </c>
      <c r="I51" s="1447">
        <v>1.3503906899999998</v>
      </c>
      <c r="J51" s="1419"/>
      <c r="K51" s="1419"/>
    </row>
    <row r="52" spans="1:11" s="1431" customFormat="1" ht="11.25" x14ac:dyDescent="0.25">
      <c r="A52" s="1434"/>
      <c r="B52" s="1435" t="s">
        <v>1679</v>
      </c>
      <c r="C52" s="1434" t="s">
        <v>21</v>
      </c>
      <c r="D52" s="1436"/>
      <c r="E52" s="1437"/>
      <c r="F52" s="1438"/>
      <c r="G52" s="1439"/>
      <c r="H52" s="1440" t="s">
        <v>21</v>
      </c>
      <c r="I52" s="1440" t="s">
        <v>21</v>
      </c>
      <c r="J52" s="1430"/>
      <c r="K52" s="1430"/>
    </row>
    <row r="53" spans="1:11" s="1420" customFormat="1" ht="33.75" x14ac:dyDescent="0.25">
      <c r="A53" s="1441">
        <v>96388</v>
      </c>
      <c r="B53" s="1442" t="s">
        <v>580</v>
      </c>
      <c r="C53" s="1441" t="s">
        <v>44</v>
      </c>
      <c r="D53" s="1448">
        <v>0.2</v>
      </c>
      <c r="E53" s="1444"/>
      <c r="F53" s="1445"/>
      <c r="G53" s="1449">
        <v>0.2</v>
      </c>
      <c r="H53" s="1447">
        <v>7.79</v>
      </c>
      <c r="I53" s="1447">
        <v>1.5580000000000001</v>
      </c>
      <c r="J53" s="1419"/>
      <c r="K53" s="1419"/>
    </row>
    <row r="54" spans="1:11" s="1420" customFormat="1" ht="45" x14ac:dyDescent="0.25">
      <c r="A54" s="1441">
        <v>100995</v>
      </c>
      <c r="B54" s="1442" t="s">
        <v>773</v>
      </c>
      <c r="C54" s="1441" t="s">
        <v>55</v>
      </c>
      <c r="D54" s="1448"/>
      <c r="E54" s="1444">
        <v>1.3653840557275541</v>
      </c>
      <c r="F54" s="1445"/>
      <c r="G54" s="1449">
        <v>0.2730768111455108</v>
      </c>
      <c r="H54" s="1447">
        <v>3.11</v>
      </c>
      <c r="I54" s="1447">
        <v>0.84926888266253853</v>
      </c>
      <c r="J54" s="1419"/>
      <c r="K54" s="1419"/>
    </row>
    <row r="55" spans="1:11" s="1420" customFormat="1" ht="22.5" x14ac:dyDescent="0.25">
      <c r="A55" s="1441">
        <v>100943</v>
      </c>
      <c r="B55" s="1442" t="s">
        <v>786</v>
      </c>
      <c r="C55" s="1441" t="s">
        <v>42</v>
      </c>
      <c r="D55" s="1448"/>
      <c r="E55" s="1444"/>
      <c r="F55" s="1445">
        <v>1</v>
      </c>
      <c r="G55" s="1449">
        <v>0.2730768111455108</v>
      </c>
      <c r="H55" s="1447">
        <v>3.1</v>
      </c>
      <c r="I55" s="1447">
        <v>0.84653811455108352</v>
      </c>
      <c r="J55" s="1419"/>
      <c r="K55" s="1419"/>
    </row>
    <row r="56" spans="1:11" s="1431" customFormat="1" ht="11.25" x14ac:dyDescent="0.25">
      <c r="A56" s="1434"/>
      <c r="B56" s="1435" t="s">
        <v>1813</v>
      </c>
      <c r="C56" s="1434" t="s">
        <v>21</v>
      </c>
      <c r="D56" s="1436"/>
      <c r="E56" s="1437"/>
      <c r="F56" s="1438"/>
      <c r="G56" s="1439"/>
      <c r="H56" s="1440" t="s">
        <v>21</v>
      </c>
      <c r="I56" s="1440" t="s">
        <v>21</v>
      </c>
      <c r="J56" s="1430"/>
      <c r="K56" s="1430"/>
    </row>
    <row r="57" spans="1:11" s="1420" customFormat="1" ht="22.5" x14ac:dyDescent="0.25">
      <c r="A57" s="1441">
        <v>100577</v>
      </c>
      <c r="B57" s="1442" t="s">
        <v>635</v>
      </c>
      <c r="C57" s="1441" t="s">
        <v>51</v>
      </c>
      <c r="D57" s="1448"/>
      <c r="E57" s="1444"/>
      <c r="F57" s="1445"/>
      <c r="G57" s="1449">
        <v>1</v>
      </c>
      <c r="H57" s="1447">
        <v>0.77</v>
      </c>
      <c r="I57" s="1447">
        <v>0.77</v>
      </c>
      <c r="J57" s="1419"/>
      <c r="K57" s="1419"/>
    </row>
    <row r="58" spans="1:11" s="1348" customFormat="1" x14ac:dyDescent="0.25">
      <c r="A58" s="1353"/>
      <c r="B58" s="1348" t="s">
        <v>21</v>
      </c>
      <c r="C58" s="1353" t="s">
        <v>21</v>
      </c>
      <c r="D58" s="1354"/>
      <c r="E58" s="1355"/>
      <c r="F58" s="1356"/>
      <c r="G58" s="1357"/>
      <c r="H58" s="1358" t="s">
        <v>21</v>
      </c>
      <c r="I58" s="1358" t="s">
        <v>21</v>
      </c>
      <c r="J58" s="1380"/>
      <c r="K58" s="1380"/>
    </row>
    <row r="59" spans="1:11" s="1326" customFormat="1" ht="15.75" x14ac:dyDescent="0.25">
      <c r="B59" s="1326" t="s">
        <v>3320</v>
      </c>
      <c r="C59" s="1326" t="s">
        <v>21</v>
      </c>
      <c r="D59" s="1327"/>
      <c r="E59" s="1328"/>
      <c r="F59" s="1329"/>
      <c r="G59" s="1330"/>
      <c r="H59" s="1331"/>
      <c r="I59" s="1332">
        <v>185.47394374955701</v>
      </c>
      <c r="J59" s="1384">
        <v>185.47394374955701</v>
      </c>
      <c r="K59" s="1378">
        <v>3</v>
      </c>
    </row>
    <row r="60" spans="1:11" s="1431" customFormat="1" ht="11.25" x14ac:dyDescent="0.25">
      <c r="A60" s="1423"/>
      <c r="B60" s="1424" t="s">
        <v>3316</v>
      </c>
      <c r="C60" s="1423" t="s">
        <v>21</v>
      </c>
      <c r="D60" s="1425"/>
      <c r="E60" s="1426"/>
      <c r="F60" s="1427"/>
      <c r="G60" s="1428"/>
      <c r="H60" s="1429" t="s">
        <v>21</v>
      </c>
      <c r="I60" s="1429" t="s">
        <v>21</v>
      </c>
      <c r="J60" s="1430"/>
      <c r="K60" s="1430"/>
    </row>
    <row r="61" spans="1:11" s="1420" customFormat="1" ht="22.5" x14ac:dyDescent="0.25">
      <c r="A61" s="1412" t="s">
        <v>977</v>
      </c>
      <c r="B61" s="1413" t="s">
        <v>3339</v>
      </c>
      <c r="C61" s="1412" t="s">
        <v>44</v>
      </c>
      <c r="D61" s="1414">
        <v>5.5E-2</v>
      </c>
      <c r="E61" s="1415">
        <v>2.5548000000000002</v>
      </c>
      <c r="F61" s="1416"/>
      <c r="G61" s="1417">
        <v>5.5E-2</v>
      </c>
      <c r="H61" s="1418">
        <v>439.87080806479992</v>
      </c>
      <c r="I61" s="1418">
        <v>24.192894443563997</v>
      </c>
      <c r="J61" s="1419"/>
      <c r="K61" s="1419"/>
    </row>
    <row r="62" spans="1:11" s="1420" customFormat="1" ht="22.5" x14ac:dyDescent="0.25">
      <c r="A62" s="1412">
        <v>101003</v>
      </c>
      <c r="B62" s="1413" t="s">
        <v>768</v>
      </c>
      <c r="C62" s="1412" t="s">
        <v>55</v>
      </c>
      <c r="D62" s="1421"/>
      <c r="E62" s="1415"/>
      <c r="F62" s="1416"/>
      <c r="G62" s="1422">
        <v>0.140514</v>
      </c>
      <c r="H62" s="1418">
        <v>4.91</v>
      </c>
      <c r="I62" s="1418">
        <v>0.68992374000000001</v>
      </c>
      <c r="J62" s="1419"/>
      <c r="K62" s="1419"/>
    </row>
    <row r="63" spans="1:11" s="1420" customFormat="1" ht="22.5" x14ac:dyDescent="0.25">
      <c r="A63" s="1412">
        <v>100943</v>
      </c>
      <c r="B63" s="1413" t="s">
        <v>786</v>
      </c>
      <c r="C63" s="1412" t="s">
        <v>42</v>
      </c>
      <c r="D63" s="1421"/>
      <c r="E63" s="1415"/>
      <c r="F63" s="1416">
        <v>1</v>
      </c>
      <c r="G63" s="1422">
        <v>0.140514</v>
      </c>
      <c r="H63" s="1418">
        <v>3.1</v>
      </c>
      <c r="I63" s="1418">
        <v>0.43559340000000002</v>
      </c>
      <c r="J63" s="1419"/>
      <c r="K63" s="1419"/>
    </row>
    <row r="64" spans="1:11" s="1431" customFormat="1" ht="11.25" x14ac:dyDescent="0.25">
      <c r="A64" s="1423"/>
      <c r="B64" s="1424" t="s">
        <v>3321</v>
      </c>
      <c r="C64" s="1423" t="s">
        <v>21</v>
      </c>
      <c r="D64" s="1425"/>
      <c r="E64" s="1426"/>
      <c r="F64" s="1427"/>
      <c r="G64" s="1428"/>
      <c r="H64" s="1429" t="s">
        <v>21</v>
      </c>
      <c r="I64" s="1429" t="s">
        <v>21</v>
      </c>
      <c r="J64" s="1430"/>
      <c r="K64" s="1430"/>
    </row>
    <row r="65" spans="1:11" s="1420" customFormat="1" ht="11.25" x14ac:dyDescent="0.25">
      <c r="A65" s="1412" t="s">
        <v>3333</v>
      </c>
      <c r="B65" s="1413" t="s">
        <v>3334</v>
      </c>
      <c r="C65" s="1412" t="s">
        <v>55</v>
      </c>
      <c r="D65" s="1421"/>
      <c r="E65" s="1415">
        <v>0.14460168000000001</v>
      </c>
      <c r="F65" s="1416"/>
      <c r="G65" s="1422">
        <v>7.9530924000000003E-3</v>
      </c>
      <c r="H65" s="1418">
        <v>4295.6099999999997</v>
      </c>
      <c r="I65" s="1418">
        <v>34.163383244363999</v>
      </c>
      <c r="J65" s="1419"/>
      <c r="K65" s="1419"/>
    </row>
    <row r="66" spans="1:11" s="1420" customFormat="1" ht="22.5" x14ac:dyDescent="0.25">
      <c r="A66" s="1412">
        <v>95879</v>
      </c>
      <c r="B66" s="1413" t="s">
        <v>789</v>
      </c>
      <c r="C66" s="1412" t="s">
        <v>42</v>
      </c>
      <c r="D66" s="1421"/>
      <c r="E66" s="1415">
        <v>1.113713964</v>
      </c>
      <c r="F66" s="1416">
        <v>30</v>
      </c>
      <c r="G66" s="1422">
        <v>6.1254268020000002E-2</v>
      </c>
      <c r="H66" s="1418">
        <v>1.04</v>
      </c>
      <c r="I66" s="1418">
        <v>6.3704438740800007E-2</v>
      </c>
      <c r="J66" s="1419"/>
      <c r="K66" s="1419"/>
    </row>
    <row r="67" spans="1:11" s="1420" customFormat="1" ht="33.75" x14ac:dyDescent="0.25">
      <c r="A67" s="1412">
        <v>93599</v>
      </c>
      <c r="B67" s="1413" t="s">
        <v>788</v>
      </c>
      <c r="C67" s="1412" t="s">
        <v>42</v>
      </c>
      <c r="D67" s="1421"/>
      <c r="E67" s="1415">
        <v>1.113713964</v>
      </c>
      <c r="F67" s="1416">
        <v>27</v>
      </c>
      <c r="G67" s="1422">
        <v>6.1254268020000002E-2</v>
      </c>
      <c r="H67" s="1418">
        <v>0.41</v>
      </c>
      <c r="I67" s="1418">
        <v>2.5114249888199998E-2</v>
      </c>
      <c r="J67" s="1419"/>
      <c r="K67" s="1419"/>
    </row>
    <row r="68" spans="1:11" s="1431" customFormat="1" ht="11.25" x14ac:dyDescent="0.25">
      <c r="A68" s="1423"/>
      <c r="B68" s="1424" t="s">
        <v>1685</v>
      </c>
      <c r="C68" s="1423" t="s">
        <v>21</v>
      </c>
      <c r="D68" s="1425"/>
      <c r="E68" s="1426"/>
      <c r="F68" s="1427"/>
      <c r="G68" s="1428"/>
      <c r="H68" s="1429" t="s">
        <v>21</v>
      </c>
      <c r="I68" s="1429" t="s">
        <v>21</v>
      </c>
      <c r="J68" s="1430"/>
      <c r="K68" s="1430"/>
    </row>
    <row r="69" spans="1:11" s="1420" customFormat="1" ht="11.25" x14ac:dyDescent="0.25">
      <c r="A69" s="1412" t="s">
        <v>949</v>
      </c>
      <c r="B69" s="1413" t="s">
        <v>3346</v>
      </c>
      <c r="C69" s="1412" t="s">
        <v>51</v>
      </c>
      <c r="D69" s="1421"/>
      <c r="E69" s="1415"/>
      <c r="F69" s="1416"/>
      <c r="G69" s="1422">
        <v>1</v>
      </c>
      <c r="H69" s="1418">
        <v>0.95611000000000002</v>
      </c>
      <c r="I69" s="1418">
        <v>0.95611000000000002</v>
      </c>
      <c r="J69" s="1419"/>
      <c r="K69" s="1419"/>
    </row>
    <row r="70" spans="1:11" s="1420" customFormat="1" ht="22.5" x14ac:dyDescent="0.25">
      <c r="A70" s="1412" t="s">
        <v>3325</v>
      </c>
      <c r="B70" s="1413" t="s">
        <v>3326</v>
      </c>
      <c r="C70" s="1412" t="s">
        <v>55</v>
      </c>
      <c r="D70" s="1421"/>
      <c r="E70" s="1432">
        <v>1.1999999999999999E-3</v>
      </c>
      <c r="F70" s="1416"/>
      <c r="G70" s="1433">
        <v>1.1999999999999999E-3</v>
      </c>
      <c r="H70" s="1418">
        <v>2973.15</v>
      </c>
      <c r="I70" s="1418">
        <v>3.56778</v>
      </c>
      <c r="J70" s="1419"/>
      <c r="K70" s="1419"/>
    </row>
    <row r="71" spans="1:11" s="1420" customFormat="1" ht="33.75" x14ac:dyDescent="0.25">
      <c r="A71" s="1412">
        <v>100969</v>
      </c>
      <c r="B71" s="1413" t="s">
        <v>798</v>
      </c>
      <c r="C71" s="1412" t="s">
        <v>42</v>
      </c>
      <c r="D71" s="1421"/>
      <c r="E71" s="1415"/>
      <c r="F71" s="1416">
        <v>1</v>
      </c>
      <c r="G71" s="1433">
        <v>1.1999999999999999E-3</v>
      </c>
      <c r="H71" s="1418">
        <v>1.7</v>
      </c>
      <c r="I71" s="1418">
        <v>2.0399999999999997E-3</v>
      </c>
      <c r="J71" s="1419"/>
      <c r="K71" s="1419"/>
    </row>
    <row r="72" spans="1:11" s="1431" customFormat="1" ht="11.25" x14ac:dyDescent="0.25">
      <c r="A72" s="1423"/>
      <c r="B72" s="1424" t="s">
        <v>963</v>
      </c>
      <c r="C72" s="1423" t="s">
        <v>21</v>
      </c>
      <c r="D72" s="1425"/>
      <c r="E72" s="1426"/>
      <c r="F72" s="1427"/>
      <c r="G72" s="1428"/>
      <c r="H72" s="1429" t="s">
        <v>21</v>
      </c>
      <c r="I72" s="1429" t="s">
        <v>21</v>
      </c>
      <c r="J72" s="1430"/>
      <c r="K72" s="1430"/>
    </row>
    <row r="73" spans="1:11" s="1420" customFormat="1" ht="33.75" x14ac:dyDescent="0.25">
      <c r="A73" s="1412">
        <v>96396</v>
      </c>
      <c r="B73" s="1413" t="s">
        <v>576</v>
      </c>
      <c r="C73" s="1412" t="s">
        <v>44</v>
      </c>
      <c r="D73" s="1421">
        <v>0.18</v>
      </c>
      <c r="E73" s="1415">
        <v>2.4200549999999996</v>
      </c>
      <c r="F73" s="1416"/>
      <c r="G73" s="1422">
        <v>0.18</v>
      </c>
      <c r="H73" s="1418">
        <v>207.59</v>
      </c>
      <c r="I73" s="1418">
        <v>37.366199999999999</v>
      </c>
      <c r="J73" s="1419"/>
      <c r="K73" s="1419"/>
    </row>
    <row r="74" spans="1:11" s="1420" customFormat="1" ht="22.5" x14ac:dyDescent="0.25">
      <c r="A74" s="1412">
        <v>95879</v>
      </c>
      <c r="B74" s="1413" t="s">
        <v>789</v>
      </c>
      <c r="C74" s="1412" t="s">
        <v>42</v>
      </c>
      <c r="D74" s="1421"/>
      <c r="E74" s="1415"/>
      <c r="F74" s="1416">
        <v>30</v>
      </c>
      <c r="G74" s="1422">
        <v>13.068296999999998</v>
      </c>
      <c r="H74" s="1418">
        <v>1.04</v>
      </c>
      <c r="I74" s="1418">
        <v>13.591028879999998</v>
      </c>
      <c r="J74" s="1419"/>
      <c r="K74" s="1419"/>
    </row>
    <row r="75" spans="1:11" s="1420" customFormat="1" ht="33.75" x14ac:dyDescent="0.25">
      <c r="A75" s="1412">
        <v>93599</v>
      </c>
      <c r="B75" s="1413" t="s">
        <v>788</v>
      </c>
      <c r="C75" s="1412" t="s">
        <v>42</v>
      </c>
      <c r="D75" s="1421"/>
      <c r="E75" s="1415"/>
      <c r="F75" s="1416">
        <v>27</v>
      </c>
      <c r="G75" s="1422">
        <v>11.761467299999998</v>
      </c>
      <c r="H75" s="1418">
        <v>0.41</v>
      </c>
      <c r="I75" s="1418">
        <v>4.8222015929999991</v>
      </c>
      <c r="J75" s="1419"/>
      <c r="K75" s="1419"/>
    </row>
    <row r="76" spans="1:11" s="1420" customFormat="1" ht="22.5" x14ac:dyDescent="0.25">
      <c r="A76" s="1412">
        <v>100943</v>
      </c>
      <c r="B76" s="1413" t="s">
        <v>786</v>
      </c>
      <c r="C76" s="1412" t="s">
        <v>42</v>
      </c>
      <c r="D76" s="1421"/>
      <c r="E76" s="1415"/>
      <c r="F76" s="1416">
        <v>1</v>
      </c>
      <c r="G76" s="1422">
        <v>0.43560989999999994</v>
      </c>
      <c r="H76" s="1418">
        <v>3.1</v>
      </c>
      <c r="I76" s="1418">
        <v>1.3503906899999998</v>
      </c>
      <c r="J76" s="1419"/>
      <c r="K76" s="1419"/>
    </row>
    <row r="77" spans="1:11" s="1431" customFormat="1" ht="11.25" x14ac:dyDescent="0.25">
      <c r="A77" s="1423"/>
      <c r="B77" s="1424" t="s">
        <v>1679</v>
      </c>
      <c r="C77" s="1423" t="s">
        <v>21</v>
      </c>
      <c r="D77" s="1425"/>
      <c r="E77" s="1426"/>
      <c r="F77" s="1427"/>
      <c r="G77" s="1428"/>
      <c r="H77" s="1429" t="s">
        <v>21</v>
      </c>
      <c r="I77" s="1429" t="s">
        <v>21</v>
      </c>
      <c r="J77" s="1430"/>
      <c r="K77" s="1430"/>
    </row>
    <row r="78" spans="1:11" s="1420" customFormat="1" ht="33.75" x14ac:dyDescent="0.25">
      <c r="A78" s="1412">
        <v>96396</v>
      </c>
      <c r="B78" s="1413" t="s">
        <v>576</v>
      </c>
      <c r="C78" s="1412" t="s">
        <v>44</v>
      </c>
      <c r="D78" s="1421">
        <v>0.2</v>
      </c>
      <c r="E78" s="1415">
        <v>2.4200549999999996</v>
      </c>
      <c r="F78" s="1416"/>
      <c r="G78" s="1422">
        <v>0.2</v>
      </c>
      <c r="H78" s="1418">
        <v>207.59</v>
      </c>
      <c r="I78" s="1418">
        <v>41.518000000000001</v>
      </c>
      <c r="J78" s="1419"/>
      <c r="K78" s="1419"/>
    </row>
    <row r="79" spans="1:11" s="1420" customFormat="1" ht="22.5" x14ac:dyDescent="0.25">
      <c r="A79" s="1412">
        <v>95879</v>
      </c>
      <c r="B79" s="1413" t="s">
        <v>789</v>
      </c>
      <c r="C79" s="1412" t="s">
        <v>42</v>
      </c>
      <c r="D79" s="1421"/>
      <c r="E79" s="1415"/>
      <c r="F79" s="1416">
        <v>30</v>
      </c>
      <c r="G79" s="1422">
        <v>14.52033</v>
      </c>
      <c r="H79" s="1418">
        <v>1.04</v>
      </c>
      <c r="I79" s="1418">
        <v>15.101143199999999</v>
      </c>
      <c r="J79" s="1419"/>
      <c r="K79" s="1419"/>
    </row>
    <row r="80" spans="1:11" s="1420" customFormat="1" ht="33.75" x14ac:dyDescent="0.25">
      <c r="A80" s="1412">
        <v>93599</v>
      </c>
      <c r="B80" s="1413" t="s">
        <v>788</v>
      </c>
      <c r="C80" s="1412" t="s">
        <v>42</v>
      </c>
      <c r="D80" s="1421"/>
      <c r="E80" s="1415"/>
      <c r="F80" s="1416">
        <v>27</v>
      </c>
      <c r="G80" s="1422">
        <v>13.068296999999999</v>
      </c>
      <c r="H80" s="1418">
        <v>0.41</v>
      </c>
      <c r="I80" s="1418">
        <v>5.3580017699999996</v>
      </c>
      <c r="J80" s="1419"/>
      <c r="K80" s="1419"/>
    </row>
    <row r="81" spans="1:11" s="1420" customFormat="1" ht="22.5" x14ac:dyDescent="0.25">
      <c r="A81" s="1412">
        <v>100943</v>
      </c>
      <c r="B81" s="1413" t="s">
        <v>786</v>
      </c>
      <c r="C81" s="1412" t="s">
        <v>42</v>
      </c>
      <c r="D81" s="1421"/>
      <c r="E81" s="1415"/>
      <c r="F81" s="1416">
        <v>1</v>
      </c>
      <c r="G81" s="1422">
        <v>0.48401099999999997</v>
      </c>
      <c r="H81" s="1418">
        <v>3.1</v>
      </c>
      <c r="I81" s="1418">
        <v>1.5004340999999999</v>
      </c>
      <c r="J81" s="1419"/>
      <c r="K81" s="1419"/>
    </row>
    <row r="82" spans="1:11" s="1431" customFormat="1" ht="11.25" x14ac:dyDescent="0.25">
      <c r="A82" s="1423"/>
      <c r="B82" s="1424" t="s">
        <v>1813</v>
      </c>
      <c r="C82" s="1423" t="s">
        <v>21</v>
      </c>
      <c r="D82" s="1425"/>
      <c r="E82" s="1426"/>
      <c r="F82" s="1427"/>
      <c r="G82" s="1428"/>
      <c r="H82" s="1429" t="s">
        <v>21</v>
      </c>
      <c r="I82" s="1429" t="s">
        <v>21</v>
      </c>
      <c r="J82" s="1430"/>
      <c r="K82" s="1430"/>
    </row>
    <row r="83" spans="1:11" s="1420" customFormat="1" ht="22.5" x14ac:dyDescent="0.25">
      <c r="A83" s="1412">
        <v>100577</v>
      </c>
      <c r="B83" s="1413" t="s">
        <v>635</v>
      </c>
      <c r="C83" s="1412" t="s">
        <v>51</v>
      </c>
      <c r="D83" s="1421"/>
      <c r="E83" s="1415"/>
      <c r="F83" s="1416"/>
      <c r="G83" s="1422">
        <v>1</v>
      </c>
      <c r="H83" s="1418">
        <v>0.77</v>
      </c>
      <c r="I83" s="1418">
        <v>0.77</v>
      </c>
      <c r="J83" s="1419"/>
      <c r="K83" s="1419"/>
    </row>
    <row r="84" spans="1:11" x14ac:dyDescent="0.25">
      <c r="B84" s="1206" t="s">
        <v>21</v>
      </c>
      <c r="C84" s="1223" t="s">
        <v>21</v>
      </c>
    </row>
    <row r="85" spans="1:11" x14ac:dyDescent="0.25">
      <c r="B85" s="1206" t="s">
        <v>21</v>
      </c>
      <c r="C85" s="1223" t="s">
        <v>21</v>
      </c>
    </row>
  </sheetData>
  <printOptions horizontalCentered="1"/>
  <pageMargins left="0.78740157480314965" right="0.59055118110236227" top="0.78740157480314965" bottom="0.78740157480314965" header="0.59055118110236227" footer="0.59055118110236227"/>
  <pageSetup paperSize="9" scale="53" fitToHeight="0" orientation="portrait" r:id="rId1"/>
  <rowBreaks count="1" manualBreakCount="1">
    <brk id="58" max="8"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DDCC1-9C8D-4FBC-B004-86160C643069}">
  <sheetPr>
    <tabColor theme="1"/>
    <pageSetUpPr fitToPage="1"/>
  </sheetPr>
  <dimension ref="A2:K97"/>
  <sheetViews>
    <sheetView workbookViewId="0">
      <selection sqref="A1:XFD1048576"/>
    </sheetView>
  </sheetViews>
  <sheetFormatPr defaultColWidth="9.140625" defaultRowHeight="12" x14ac:dyDescent="0.25"/>
  <cols>
    <col min="1" max="1" width="10.7109375" style="1223" customWidth="1"/>
    <col min="2" max="2" width="50.7109375" style="1206" customWidth="1"/>
    <col min="3" max="3" width="8.7109375" style="1223" customWidth="1"/>
    <col min="4" max="4" width="15.7109375" style="1238" customWidth="1"/>
    <col min="5" max="5" width="15.7109375" style="1235" customWidth="1"/>
    <col min="6" max="6" width="15.7109375" style="1236" customWidth="1"/>
    <col min="7" max="7" width="15.7109375" style="1237" customWidth="1"/>
    <col min="8" max="9" width="15.7109375" style="1207" customWidth="1"/>
    <col min="10" max="10" width="15" style="1373" bestFit="1" customWidth="1"/>
    <col min="11" max="11" width="9.140625" style="1373"/>
    <col min="12" max="16384" width="9.140625" style="1206"/>
  </cols>
  <sheetData>
    <row r="2" spans="1:11" x14ac:dyDescent="0.25">
      <c r="A2" s="1205" t="s">
        <v>3313</v>
      </c>
      <c r="C2" s="1206"/>
      <c r="H2" s="1406" t="s">
        <v>3344</v>
      </c>
      <c r="I2" s="1407">
        <v>44403</v>
      </c>
    </row>
    <row r="3" spans="1:11" x14ac:dyDescent="0.25">
      <c r="A3" s="1234" t="s">
        <v>153</v>
      </c>
      <c r="B3" s="1205" t="s">
        <v>3501</v>
      </c>
      <c r="C3" s="1206"/>
      <c r="H3" s="1406" t="s">
        <v>3345</v>
      </c>
      <c r="I3" s="1406" t="s">
        <v>3500</v>
      </c>
    </row>
    <row r="4" spans="1:11" x14ac:dyDescent="0.25">
      <c r="A4" s="1234" t="s">
        <v>154</v>
      </c>
      <c r="B4" s="1205" t="s">
        <v>1527</v>
      </c>
      <c r="C4" s="1206"/>
    </row>
    <row r="5" spans="1:11" x14ac:dyDescent="0.25">
      <c r="A5" s="1234" t="s">
        <v>155</v>
      </c>
      <c r="B5" s="1205" t="s">
        <v>1528</v>
      </c>
      <c r="C5" s="1206"/>
    </row>
    <row r="6" spans="1:11" ht="18.75" x14ac:dyDescent="0.25">
      <c r="A6" s="94" t="s">
        <v>1717</v>
      </c>
      <c r="B6" s="94"/>
      <c r="C6" s="94"/>
      <c r="D6" s="1409"/>
      <c r="E6" s="1410"/>
      <c r="F6" s="1411"/>
      <c r="G6" s="95"/>
      <c r="H6" s="95"/>
      <c r="I6" s="95"/>
    </row>
    <row r="7" spans="1:11" x14ac:dyDescent="0.25">
      <c r="A7" s="1359" t="s">
        <v>0</v>
      </c>
      <c r="B7" s="1360" t="s">
        <v>144</v>
      </c>
      <c r="C7" s="1360" t="s">
        <v>1</v>
      </c>
      <c r="D7" s="1361" t="s">
        <v>3317</v>
      </c>
      <c r="E7" s="1362" t="s">
        <v>2447</v>
      </c>
      <c r="F7" s="1363" t="s">
        <v>288</v>
      </c>
      <c r="G7" s="1364" t="s">
        <v>449</v>
      </c>
      <c r="H7" s="1364" t="s">
        <v>3315</v>
      </c>
      <c r="I7" s="1365" t="s">
        <v>84</v>
      </c>
    </row>
    <row r="8" spans="1:11" s="1240" customFormat="1" ht="18.75" x14ac:dyDescent="0.25">
      <c r="A8" s="1399"/>
      <c r="B8" s="1399" t="s">
        <v>3337</v>
      </c>
      <c r="C8" s="1399" t="s">
        <v>21</v>
      </c>
      <c r="D8" s="1400"/>
      <c r="E8" s="1401"/>
      <c r="F8" s="1402"/>
      <c r="G8" s="1403"/>
      <c r="H8" s="1404" t="s">
        <v>3342</v>
      </c>
      <c r="I8" s="1405">
        <v>1</v>
      </c>
      <c r="J8" s="1374">
        <v>105.55893105983719</v>
      </c>
      <c r="K8" s="1374"/>
    </row>
    <row r="9" spans="1:11" s="1239" customFormat="1" x14ac:dyDescent="0.25">
      <c r="A9" s="1249"/>
      <c r="B9" s="1239" t="s">
        <v>21</v>
      </c>
      <c r="C9" s="1249" t="s">
        <v>21</v>
      </c>
      <c r="D9" s="1250"/>
      <c r="E9" s="1251"/>
      <c r="F9" s="1252"/>
      <c r="G9" s="1253"/>
      <c r="H9" s="1254" t="s">
        <v>21</v>
      </c>
      <c r="I9" s="1254" t="s">
        <v>21</v>
      </c>
      <c r="J9" s="1375"/>
      <c r="K9" s="1375"/>
    </row>
    <row r="10" spans="1:11" s="1326" customFormat="1" ht="15.75" x14ac:dyDescent="0.25">
      <c r="A10" s="1366"/>
      <c r="B10" s="1366" t="s">
        <v>3314</v>
      </c>
      <c r="C10" s="1366" t="s">
        <v>21</v>
      </c>
      <c r="D10" s="1367"/>
      <c r="E10" s="1368"/>
      <c r="F10" s="1369"/>
      <c r="G10" s="1370"/>
      <c r="H10" s="1371"/>
      <c r="I10" s="1372">
        <v>105.55893105983719</v>
      </c>
      <c r="J10" s="1384">
        <v>105.55893105983719</v>
      </c>
      <c r="K10" s="1378">
        <v>1</v>
      </c>
    </row>
    <row r="11" spans="1:11" s="1431" customFormat="1" ht="11.25" x14ac:dyDescent="0.25">
      <c r="A11" s="1452"/>
      <c r="B11" s="1453" t="s">
        <v>3316</v>
      </c>
      <c r="C11" s="1452" t="s">
        <v>21</v>
      </c>
      <c r="D11" s="1454"/>
      <c r="E11" s="1455"/>
      <c r="F11" s="1456"/>
      <c r="G11" s="1457"/>
      <c r="H11" s="1458" t="s">
        <v>21</v>
      </c>
      <c r="I11" s="1458" t="s">
        <v>21</v>
      </c>
      <c r="J11" s="1430"/>
      <c r="K11" s="1430"/>
    </row>
    <row r="12" spans="1:11" s="1420" customFormat="1" ht="22.5" x14ac:dyDescent="0.25">
      <c r="A12" s="1459" t="s">
        <v>977</v>
      </c>
      <c r="B12" s="1460" t="s">
        <v>3339</v>
      </c>
      <c r="C12" s="1459" t="s">
        <v>44</v>
      </c>
      <c r="D12" s="1461">
        <v>0.08</v>
      </c>
      <c r="E12" s="1462">
        <v>2.5548000000000002</v>
      </c>
      <c r="F12" s="1463"/>
      <c r="G12" s="1464">
        <v>0.08</v>
      </c>
      <c r="H12" s="1465">
        <v>439.87080806479992</v>
      </c>
      <c r="I12" s="1465">
        <v>35.189664645183996</v>
      </c>
      <c r="J12" s="1419"/>
      <c r="K12" s="1419"/>
    </row>
    <row r="13" spans="1:11" s="1420" customFormat="1" ht="22.5" x14ac:dyDescent="0.25">
      <c r="A13" s="1459">
        <v>101003</v>
      </c>
      <c r="B13" s="1460" t="s">
        <v>768</v>
      </c>
      <c r="C13" s="1459" t="s">
        <v>55</v>
      </c>
      <c r="D13" s="1466"/>
      <c r="E13" s="1462"/>
      <c r="F13" s="1463"/>
      <c r="G13" s="1467">
        <v>0.20438400000000001</v>
      </c>
      <c r="H13" s="1465">
        <v>4.91</v>
      </c>
      <c r="I13" s="1465">
        <v>1.00352544</v>
      </c>
      <c r="J13" s="1419"/>
      <c r="K13" s="1419"/>
    </row>
    <row r="14" spans="1:11" s="1420" customFormat="1" ht="22.5" x14ac:dyDescent="0.25">
      <c r="A14" s="1459">
        <v>100943</v>
      </c>
      <c r="B14" s="1460" t="s">
        <v>786</v>
      </c>
      <c r="C14" s="1459" t="s">
        <v>42</v>
      </c>
      <c r="D14" s="1466"/>
      <c r="E14" s="1462"/>
      <c r="F14" s="1463">
        <v>1</v>
      </c>
      <c r="G14" s="1467">
        <v>0.20438400000000001</v>
      </c>
      <c r="H14" s="1465">
        <v>3.1</v>
      </c>
      <c r="I14" s="1465">
        <v>0.6335904</v>
      </c>
      <c r="J14" s="1419"/>
      <c r="K14" s="1419"/>
    </row>
    <row r="15" spans="1:11" s="1431" customFormat="1" ht="11.25" x14ac:dyDescent="0.25">
      <c r="A15" s="1452"/>
      <c r="B15" s="1453" t="s">
        <v>3321</v>
      </c>
      <c r="C15" s="1452" t="s">
        <v>21</v>
      </c>
      <c r="D15" s="1454"/>
      <c r="E15" s="1455"/>
      <c r="F15" s="1456"/>
      <c r="G15" s="1457"/>
      <c r="H15" s="1458" t="s">
        <v>21</v>
      </c>
      <c r="I15" s="1458" t="s">
        <v>21</v>
      </c>
      <c r="J15" s="1430"/>
      <c r="K15" s="1430"/>
    </row>
    <row r="16" spans="1:11" s="1420" customFormat="1" ht="11.25" x14ac:dyDescent="0.25">
      <c r="A16" s="1459" t="s">
        <v>3333</v>
      </c>
      <c r="B16" s="1460" t="s">
        <v>3334</v>
      </c>
      <c r="C16" s="1459" t="s">
        <v>55</v>
      </c>
      <c r="D16" s="1466"/>
      <c r="E16" s="1462">
        <v>0.14460168000000001</v>
      </c>
      <c r="F16" s="1463"/>
      <c r="G16" s="1467">
        <v>1.1568134400000001E-2</v>
      </c>
      <c r="H16" s="1465">
        <v>4295.6099999999997</v>
      </c>
      <c r="I16" s="1465">
        <v>49.692193809983998</v>
      </c>
      <c r="J16" s="1419"/>
      <c r="K16" s="1419"/>
    </row>
    <row r="17" spans="1:11" s="1420" customFormat="1" ht="22.5" x14ac:dyDescent="0.25">
      <c r="A17" s="1459">
        <v>95879</v>
      </c>
      <c r="B17" s="1460" t="s">
        <v>789</v>
      </c>
      <c r="C17" s="1459" t="s">
        <v>42</v>
      </c>
      <c r="D17" s="1466"/>
      <c r="E17" s="1462">
        <v>1.113713964</v>
      </c>
      <c r="F17" s="1463">
        <v>30</v>
      </c>
      <c r="G17" s="1467">
        <v>8.909711712E-2</v>
      </c>
      <c r="H17" s="1465">
        <v>1.04</v>
      </c>
      <c r="I17" s="1465">
        <v>9.2661001804799997E-2</v>
      </c>
      <c r="J17" s="1419"/>
      <c r="K17" s="1419"/>
    </row>
    <row r="18" spans="1:11" s="1420" customFormat="1" ht="33.75" x14ac:dyDescent="0.25">
      <c r="A18" s="1459">
        <v>93599</v>
      </c>
      <c r="B18" s="1460" t="s">
        <v>788</v>
      </c>
      <c r="C18" s="1459" t="s">
        <v>42</v>
      </c>
      <c r="D18" s="1466"/>
      <c r="E18" s="1462">
        <v>1.113713964</v>
      </c>
      <c r="F18" s="1463">
        <v>27</v>
      </c>
      <c r="G18" s="1467">
        <v>8.909711712E-2</v>
      </c>
      <c r="H18" s="1465">
        <v>0.41</v>
      </c>
      <c r="I18" s="1465">
        <v>3.6529818019199994E-2</v>
      </c>
      <c r="J18" s="1419"/>
      <c r="K18" s="1419"/>
    </row>
    <row r="19" spans="1:11" s="1431" customFormat="1" ht="11.25" x14ac:dyDescent="0.25">
      <c r="A19" s="1452"/>
      <c r="B19" s="1453" t="s">
        <v>1823</v>
      </c>
      <c r="C19" s="1452" t="s">
        <v>21</v>
      </c>
      <c r="D19" s="1454"/>
      <c r="E19" s="1455"/>
      <c r="F19" s="1456"/>
      <c r="G19" s="1457"/>
      <c r="H19" s="1458" t="s">
        <v>21</v>
      </c>
      <c r="I19" s="1458" t="s">
        <v>21</v>
      </c>
      <c r="J19" s="1430"/>
      <c r="K19" s="1430"/>
    </row>
    <row r="20" spans="1:11" s="1420" customFormat="1" ht="22.5" x14ac:dyDescent="0.25">
      <c r="A20" s="1459" t="s">
        <v>978</v>
      </c>
      <c r="B20" s="1460" t="s">
        <v>981</v>
      </c>
      <c r="C20" s="1459" t="s">
        <v>51</v>
      </c>
      <c r="D20" s="1466"/>
      <c r="E20" s="1462"/>
      <c r="F20" s="1463"/>
      <c r="G20" s="1467">
        <v>1</v>
      </c>
      <c r="H20" s="1465">
        <v>0.75842500000000002</v>
      </c>
      <c r="I20" s="1465">
        <v>0.75842500000000002</v>
      </c>
      <c r="J20" s="1419"/>
      <c r="K20" s="1419"/>
    </row>
    <row r="21" spans="1:11" s="1420" customFormat="1" ht="22.5" x14ac:dyDescent="0.25">
      <c r="A21" s="1459" t="s">
        <v>167</v>
      </c>
      <c r="B21" s="1460" t="s">
        <v>973</v>
      </c>
      <c r="C21" s="1459" t="s">
        <v>55</v>
      </c>
      <c r="D21" s="1466"/>
      <c r="E21" s="1468">
        <v>5.9999999999999995E-4</v>
      </c>
      <c r="F21" s="1463"/>
      <c r="G21" s="1469">
        <v>5.9999999999999995E-4</v>
      </c>
      <c r="H21" s="1465">
        <v>2918.58</v>
      </c>
      <c r="I21" s="1465">
        <v>1.7511479999999997</v>
      </c>
      <c r="J21" s="1419"/>
      <c r="K21" s="1419"/>
    </row>
    <row r="22" spans="1:11" s="1420" customFormat="1" ht="33.75" x14ac:dyDescent="0.25">
      <c r="A22" s="1459">
        <v>100969</v>
      </c>
      <c r="B22" s="1460" t="s">
        <v>798</v>
      </c>
      <c r="C22" s="1459" t="s">
        <v>42</v>
      </c>
      <c r="D22" s="1466"/>
      <c r="E22" s="1462"/>
      <c r="F22" s="1463">
        <v>1</v>
      </c>
      <c r="G22" s="1469">
        <v>5.9999999999999995E-4</v>
      </c>
      <c r="H22" s="1465">
        <v>1.7</v>
      </c>
      <c r="I22" s="1465">
        <v>1.0199999999999999E-3</v>
      </c>
      <c r="J22" s="1419"/>
      <c r="K22" s="1419"/>
    </row>
    <row r="23" spans="1:11" s="1431" customFormat="1" ht="11.25" x14ac:dyDescent="0.25">
      <c r="A23" s="1452"/>
      <c r="B23" s="1453" t="s">
        <v>1685</v>
      </c>
      <c r="C23" s="1452" t="s">
        <v>21</v>
      </c>
      <c r="D23" s="1454"/>
      <c r="E23" s="1455"/>
      <c r="F23" s="1456"/>
      <c r="G23" s="1457"/>
      <c r="H23" s="1458" t="s">
        <v>21</v>
      </c>
      <c r="I23" s="1458" t="s">
        <v>21</v>
      </c>
      <c r="J23" s="1430"/>
      <c r="K23" s="1430"/>
    </row>
    <row r="24" spans="1:11" s="1420" customFormat="1" ht="11.25" x14ac:dyDescent="0.25">
      <c r="A24" s="1459" t="s">
        <v>949</v>
      </c>
      <c r="B24" s="1460" t="s">
        <v>3346</v>
      </c>
      <c r="C24" s="1459" t="s">
        <v>51</v>
      </c>
      <c r="D24" s="1466"/>
      <c r="E24" s="1462"/>
      <c r="F24" s="1463"/>
      <c r="G24" s="1467">
        <v>1</v>
      </c>
      <c r="H24" s="1465">
        <v>0.95611000000000002</v>
      </c>
      <c r="I24" s="1465">
        <v>0.95611000000000002</v>
      </c>
      <c r="J24" s="1419"/>
      <c r="K24" s="1419"/>
    </row>
    <row r="25" spans="1:11" s="1420" customFormat="1" ht="22.5" x14ac:dyDescent="0.25">
      <c r="A25" s="1459" t="s">
        <v>3325</v>
      </c>
      <c r="B25" s="1460" t="s">
        <v>3326</v>
      </c>
      <c r="C25" s="1459" t="s">
        <v>55</v>
      </c>
      <c r="D25" s="1466"/>
      <c r="E25" s="1468">
        <v>1.1999999999999999E-3</v>
      </c>
      <c r="F25" s="1463"/>
      <c r="G25" s="1469">
        <v>1.1999999999999999E-3</v>
      </c>
      <c r="H25" s="1465">
        <v>2973.15</v>
      </c>
      <c r="I25" s="1465">
        <v>3.56778</v>
      </c>
      <c r="J25" s="1419"/>
      <c r="K25" s="1419"/>
    </row>
    <row r="26" spans="1:11" s="1420" customFormat="1" ht="33.75" x14ac:dyDescent="0.25">
      <c r="A26" s="1459">
        <v>100969</v>
      </c>
      <c r="B26" s="1460" t="s">
        <v>798</v>
      </c>
      <c r="C26" s="1459" t="s">
        <v>42</v>
      </c>
      <c r="D26" s="1466"/>
      <c r="E26" s="1462"/>
      <c r="F26" s="1463">
        <v>1</v>
      </c>
      <c r="G26" s="1469">
        <v>1.1999999999999999E-3</v>
      </c>
      <c r="H26" s="1465">
        <v>1.7</v>
      </c>
      <c r="I26" s="1465">
        <v>2.0399999999999997E-3</v>
      </c>
      <c r="J26" s="1419"/>
      <c r="K26" s="1419"/>
    </row>
    <row r="27" spans="1:11" s="1431" customFormat="1" ht="11.25" x14ac:dyDescent="0.25">
      <c r="A27" s="1452"/>
      <c r="B27" s="1453" t="s">
        <v>963</v>
      </c>
      <c r="C27" s="1452" t="s">
        <v>21</v>
      </c>
      <c r="D27" s="1454"/>
      <c r="E27" s="1455"/>
      <c r="F27" s="1456"/>
      <c r="G27" s="1457"/>
      <c r="H27" s="1458" t="s">
        <v>21</v>
      </c>
      <c r="I27" s="1458" t="s">
        <v>21</v>
      </c>
      <c r="J27" s="1430"/>
      <c r="K27" s="1430"/>
    </row>
    <row r="28" spans="1:11" s="1420" customFormat="1" ht="33.75" x14ac:dyDescent="0.25">
      <c r="A28" s="1459">
        <v>96389</v>
      </c>
      <c r="B28" s="1460" t="s">
        <v>578</v>
      </c>
      <c r="C28" s="1459" t="s">
        <v>44</v>
      </c>
      <c r="D28" s="1466">
        <v>0.17</v>
      </c>
      <c r="E28" s="1462"/>
      <c r="F28" s="1463"/>
      <c r="G28" s="1467">
        <v>0.17</v>
      </c>
      <c r="H28" s="1465">
        <v>37.700000000000003</v>
      </c>
      <c r="I28" s="1465">
        <v>6.4090000000000007</v>
      </c>
      <c r="J28" s="1419"/>
      <c r="K28" s="1419"/>
    </row>
    <row r="29" spans="1:11" s="1420" customFormat="1" ht="45" x14ac:dyDescent="0.25">
      <c r="A29" s="1459">
        <v>100995</v>
      </c>
      <c r="B29" s="1460" t="s">
        <v>773</v>
      </c>
      <c r="C29" s="1459" t="s">
        <v>55</v>
      </c>
      <c r="D29" s="1466"/>
      <c r="E29" s="1462">
        <v>1.3653840557275541</v>
      </c>
      <c r="F29" s="1463"/>
      <c r="G29" s="1467">
        <v>0.23211528947368421</v>
      </c>
      <c r="H29" s="1465">
        <v>3.11</v>
      </c>
      <c r="I29" s="1465">
        <v>0.72187855026315784</v>
      </c>
      <c r="J29" s="1419"/>
      <c r="K29" s="1419"/>
    </row>
    <row r="30" spans="1:11" s="1420" customFormat="1" ht="22.5" x14ac:dyDescent="0.25">
      <c r="A30" s="1459">
        <v>100943</v>
      </c>
      <c r="B30" s="1460" t="s">
        <v>786</v>
      </c>
      <c r="C30" s="1459" t="s">
        <v>42</v>
      </c>
      <c r="D30" s="1466"/>
      <c r="E30" s="1462"/>
      <c r="F30" s="1463">
        <v>1</v>
      </c>
      <c r="G30" s="1467">
        <v>0.23211528947368421</v>
      </c>
      <c r="H30" s="1465">
        <v>3.1</v>
      </c>
      <c r="I30" s="1465">
        <v>0.71955739736842106</v>
      </c>
      <c r="J30" s="1419"/>
      <c r="K30" s="1419"/>
    </row>
    <row r="31" spans="1:11" s="1431" customFormat="1" ht="11.25" x14ac:dyDescent="0.25">
      <c r="A31" s="1452"/>
      <c r="B31" s="1453" t="s">
        <v>1679</v>
      </c>
      <c r="C31" s="1452" t="s">
        <v>21</v>
      </c>
      <c r="D31" s="1454"/>
      <c r="E31" s="1455"/>
      <c r="F31" s="1456"/>
      <c r="G31" s="1457"/>
      <c r="H31" s="1458" t="s">
        <v>21</v>
      </c>
      <c r="I31" s="1458" t="s">
        <v>21</v>
      </c>
      <c r="J31" s="1430"/>
      <c r="K31" s="1430"/>
    </row>
    <row r="32" spans="1:11" s="1420" customFormat="1" ht="33.75" x14ac:dyDescent="0.25">
      <c r="A32" s="1459">
        <v>96388</v>
      </c>
      <c r="B32" s="1460" t="s">
        <v>580</v>
      </c>
      <c r="C32" s="1459" t="s">
        <v>44</v>
      </c>
      <c r="D32" s="1466">
        <v>0.2</v>
      </c>
      <c r="E32" s="1462"/>
      <c r="F32" s="1463"/>
      <c r="G32" s="1467">
        <v>0.2</v>
      </c>
      <c r="H32" s="1465">
        <v>7.79</v>
      </c>
      <c r="I32" s="1465">
        <v>1.5580000000000001</v>
      </c>
      <c r="J32" s="1419"/>
      <c r="K32" s="1419"/>
    </row>
    <row r="33" spans="1:11" s="1420" customFormat="1" ht="45" x14ac:dyDescent="0.25">
      <c r="A33" s="1459">
        <v>100995</v>
      </c>
      <c r="B33" s="1460" t="s">
        <v>773</v>
      </c>
      <c r="C33" s="1459" t="s">
        <v>55</v>
      </c>
      <c r="D33" s="1466"/>
      <c r="E33" s="1462">
        <v>1.3653840557275541</v>
      </c>
      <c r="F33" s="1463"/>
      <c r="G33" s="1467">
        <v>0.2730768111455108</v>
      </c>
      <c r="H33" s="1465">
        <v>3.11</v>
      </c>
      <c r="I33" s="1465">
        <v>0.84926888266253853</v>
      </c>
      <c r="J33" s="1419"/>
      <c r="K33" s="1419"/>
    </row>
    <row r="34" spans="1:11" s="1420" customFormat="1" ht="22.5" x14ac:dyDescent="0.25">
      <c r="A34" s="1459">
        <v>100943</v>
      </c>
      <c r="B34" s="1460" t="s">
        <v>786</v>
      </c>
      <c r="C34" s="1459" t="s">
        <v>42</v>
      </c>
      <c r="D34" s="1466"/>
      <c r="E34" s="1462"/>
      <c r="F34" s="1463">
        <v>1</v>
      </c>
      <c r="G34" s="1467">
        <v>0.2730768111455108</v>
      </c>
      <c r="H34" s="1465">
        <v>3.1</v>
      </c>
      <c r="I34" s="1465">
        <v>0.84653811455108352</v>
      </c>
      <c r="J34" s="1419"/>
      <c r="K34" s="1419"/>
    </row>
    <row r="35" spans="1:11" s="1431" customFormat="1" ht="11.25" x14ac:dyDescent="0.25">
      <c r="A35" s="1452"/>
      <c r="B35" s="1453" t="s">
        <v>1813</v>
      </c>
      <c r="C35" s="1452" t="s">
        <v>21</v>
      </c>
      <c r="D35" s="1454"/>
      <c r="E35" s="1455"/>
      <c r="F35" s="1456"/>
      <c r="G35" s="1457"/>
      <c r="H35" s="1458" t="s">
        <v>21</v>
      </c>
      <c r="I35" s="1458" t="s">
        <v>21</v>
      </c>
      <c r="J35" s="1430"/>
      <c r="K35" s="1430"/>
    </row>
    <row r="36" spans="1:11" s="1420" customFormat="1" ht="22.5" x14ac:dyDescent="0.25">
      <c r="A36" s="1459">
        <v>100577</v>
      </c>
      <c r="B36" s="1460" t="s">
        <v>635</v>
      </c>
      <c r="C36" s="1459" t="s">
        <v>51</v>
      </c>
      <c r="D36" s="1466"/>
      <c r="E36" s="1462"/>
      <c r="F36" s="1463"/>
      <c r="G36" s="1467">
        <v>1</v>
      </c>
      <c r="H36" s="1465">
        <v>0.77</v>
      </c>
      <c r="I36" s="1465">
        <v>0.77</v>
      </c>
      <c r="J36" s="1419"/>
      <c r="K36" s="1419"/>
    </row>
    <row r="37" spans="1:11" s="1348" customFormat="1" x14ac:dyDescent="0.25">
      <c r="A37" s="1353"/>
      <c r="B37" s="1348" t="s">
        <v>21</v>
      </c>
      <c r="C37" s="1353" t="s">
        <v>21</v>
      </c>
      <c r="D37" s="1354"/>
      <c r="E37" s="1355"/>
      <c r="F37" s="1356"/>
      <c r="G37" s="1357"/>
      <c r="H37" s="1358" t="s">
        <v>21</v>
      </c>
      <c r="I37" s="1358" t="s">
        <v>21</v>
      </c>
      <c r="J37" s="1380"/>
      <c r="K37" s="1380"/>
    </row>
    <row r="38" spans="1:11" s="1326" customFormat="1" ht="15.75" x14ac:dyDescent="0.25">
      <c r="B38" s="1326" t="s">
        <v>3318</v>
      </c>
      <c r="C38" s="1326" t="s">
        <v>21</v>
      </c>
      <c r="D38" s="1327"/>
      <c r="E38" s="1328"/>
      <c r="F38" s="1329"/>
      <c r="G38" s="1330"/>
      <c r="H38" s="1331"/>
      <c r="I38" s="1332">
        <v>162.49545796107958</v>
      </c>
      <c r="J38" s="1384">
        <v>162.49545796107958</v>
      </c>
      <c r="K38" s="1378">
        <v>2</v>
      </c>
    </row>
    <row r="39" spans="1:11" s="1431" customFormat="1" ht="11.25" x14ac:dyDescent="0.25">
      <c r="A39" s="1423"/>
      <c r="B39" s="1424" t="s">
        <v>3316</v>
      </c>
      <c r="C39" s="1423" t="s">
        <v>21</v>
      </c>
      <c r="D39" s="1425"/>
      <c r="E39" s="1426"/>
      <c r="F39" s="1427"/>
      <c r="G39" s="1428"/>
      <c r="H39" s="1429" t="s">
        <v>21</v>
      </c>
      <c r="I39" s="1429" t="s">
        <v>21</v>
      </c>
      <c r="J39" s="1430"/>
      <c r="K39" s="1430"/>
    </row>
    <row r="40" spans="1:11" s="1420" customFormat="1" ht="22.5" x14ac:dyDescent="0.25">
      <c r="A40" s="1412" t="s">
        <v>977</v>
      </c>
      <c r="B40" s="1413" t="s">
        <v>3339</v>
      </c>
      <c r="C40" s="1412" t="s">
        <v>44</v>
      </c>
      <c r="D40" s="1414">
        <v>0.09</v>
      </c>
      <c r="E40" s="1415">
        <v>2.5548000000000002</v>
      </c>
      <c r="F40" s="1416"/>
      <c r="G40" s="1417">
        <v>0.09</v>
      </c>
      <c r="H40" s="1418">
        <v>439.87080806479992</v>
      </c>
      <c r="I40" s="1418">
        <v>39.588372725831988</v>
      </c>
      <c r="J40" s="1419"/>
      <c r="K40" s="1419"/>
    </row>
    <row r="41" spans="1:11" s="1420" customFormat="1" ht="22.5" x14ac:dyDescent="0.25">
      <c r="A41" s="1412">
        <v>101003</v>
      </c>
      <c r="B41" s="1413" t="s">
        <v>768</v>
      </c>
      <c r="C41" s="1412" t="s">
        <v>55</v>
      </c>
      <c r="D41" s="1421"/>
      <c r="E41" s="1415"/>
      <c r="F41" s="1416"/>
      <c r="G41" s="1422">
        <v>0.229932</v>
      </c>
      <c r="H41" s="1418">
        <v>4.91</v>
      </c>
      <c r="I41" s="1418">
        <v>1.1289661200000001</v>
      </c>
      <c r="J41" s="1419"/>
      <c r="K41" s="1419"/>
    </row>
    <row r="42" spans="1:11" s="1420" customFormat="1" ht="22.5" x14ac:dyDescent="0.25">
      <c r="A42" s="1412">
        <v>100943</v>
      </c>
      <c r="B42" s="1413" t="s">
        <v>786</v>
      </c>
      <c r="C42" s="1412" t="s">
        <v>42</v>
      </c>
      <c r="D42" s="1421"/>
      <c r="E42" s="1415"/>
      <c r="F42" s="1416">
        <v>1</v>
      </c>
      <c r="G42" s="1422">
        <v>0.229932</v>
      </c>
      <c r="H42" s="1418">
        <v>3.1</v>
      </c>
      <c r="I42" s="1418">
        <v>0.71278920000000001</v>
      </c>
      <c r="J42" s="1419"/>
      <c r="K42" s="1419"/>
    </row>
    <row r="43" spans="1:11" s="1431" customFormat="1" ht="11.25" x14ac:dyDescent="0.25">
      <c r="A43" s="1423"/>
      <c r="B43" s="1424" t="s">
        <v>3321</v>
      </c>
      <c r="C43" s="1423" t="s">
        <v>21</v>
      </c>
      <c r="D43" s="1425"/>
      <c r="E43" s="1426"/>
      <c r="F43" s="1427"/>
      <c r="G43" s="1428"/>
      <c r="H43" s="1429" t="s">
        <v>21</v>
      </c>
      <c r="I43" s="1429" t="s">
        <v>21</v>
      </c>
      <c r="J43" s="1430"/>
      <c r="K43" s="1430"/>
    </row>
    <row r="44" spans="1:11" s="1420" customFormat="1" ht="11.25" x14ac:dyDescent="0.25">
      <c r="A44" s="1412" t="s">
        <v>3333</v>
      </c>
      <c r="B44" s="1413" t="s">
        <v>3334</v>
      </c>
      <c r="C44" s="1412" t="s">
        <v>55</v>
      </c>
      <c r="D44" s="1421"/>
      <c r="E44" s="1415">
        <v>0.14460168000000001</v>
      </c>
      <c r="F44" s="1416"/>
      <c r="G44" s="1422">
        <v>1.3014151200000001E-2</v>
      </c>
      <c r="H44" s="1418">
        <v>4295.6099999999997</v>
      </c>
      <c r="I44" s="1418">
        <v>55.903718036232</v>
      </c>
      <c r="J44" s="1419"/>
      <c r="K44" s="1419"/>
    </row>
    <row r="45" spans="1:11" s="1420" customFormat="1" ht="22.5" x14ac:dyDescent="0.25">
      <c r="A45" s="1412">
        <v>95879</v>
      </c>
      <c r="B45" s="1413" t="s">
        <v>789</v>
      </c>
      <c r="C45" s="1412" t="s">
        <v>42</v>
      </c>
      <c r="D45" s="1421"/>
      <c r="E45" s="1415">
        <v>1.113713964</v>
      </c>
      <c r="F45" s="1416">
        <v>30</v>
      </c>
      <c r="G45" s="1422">
        <v>0.10023425676</v>
      </c>
      <c r="H45" s="1418">
        <v>1.04</v>
      </c>
      <c r="I45" s="1418">
        <v>0.10424362703040001</v>
      </c>
      <c r="J45" s="1419"/>
      <c r="K45" s="1419"/>
    </row>
    <row r="46" spans="1:11" s="1420" customFormat="1" ht="33.75" x14ac:dyDescent="0.25">
      <c r="A46" s="1412">
        <v>93599</v>
      </c>
      <c r="B46" s="1413" t="s">
        <v>788</v>
      </c>
      <c r="C46" s="1412" t="s">
        <v>42</v>
      </c>
      <c r="D46" s="1421"/>
      <c r="E46" s="1415">
        <v>1.113713964</v>
      </c>
      <c r="F46" s="1416">
        <v>27</v>
      </c>
      <c r="G46" s="1422">
        <v>0.10023425676</v>
      </c>
      <c r="H46" s="1418">
        <v>0.41</v>
      </c>
      <c r="I46" s="1418">
        <v>4.1096045271599997E-2</v>
      </c>
      <c r="J46" s="1419"/>
      <c r="K46" s="1419"/>
    </row>
    <row r="47" spans="1:11" s="1431" customFormat="1" ht="11.25" x14ac:dyDescent="0.25">
      <c r="A47" s="1423"/>
      <c r="B47" s="1424" t="s">
        <v>1823</v>
      </c>
      <c r="C47" s="1423" t="s">
        <v>21</v>
      </c>
      <c r="D47" s="1425"/>
      <c r="E47" s="1426"/>
      <c r="F47" s="1427"/>
      <c r="G47" s="1428"/>
      <c r="H47" s="1429" t="s">
        <v>21</v>
      </c>
      <c r="I47" s="1429" t="s">
        <v>21</v>
      </c>
      <c r="J47" s="1430"/>
      <c r="K47" s="1430"/>
    </row>
    <row r="48" spans="1:11" s="1420" customFormat="1" ht="22.5" x14ac:dyDescent="0.25">
      <c r="A48" s="1412" t="s">
        <v>978</v>
      </c>
      <c r="B48" s="1413" t="s">
        <v>981</v>
      </c>
      <c r="C48" s="1412" t="s">
        <v>51</v>
      </c>
      <c r="D48" s="1421"/>
      <c r="E48" s="1415"/>
      <c r="F48" s="1416"/>
      <c r="G48" s="1422">
        <v>1</v>
      </c>
      <c r="H48" s="1418">
        <v>0.75842500000000002</v>
      </c>
      <c r="I48" s="1418">
        <v>0.75842500000000002</v>
      </c>
      <c r="J48" s="1419"/>
      <c r="K48" s="1419"/>
    </row>
    <row r="49" spans="1:11" s="1420" customFormat="1" ht="22.5" x14ac:dyDescent="0.25">
      <c r="A49" s="1412" t="s">
        <v>167</v>
      </c>
      <c r="B49" s="1413" t="s">
        <v>973</v>
      </c>
      <c r="C49" s="1412" t="s">
        <v>55</v>
      </c>
      <c r="D49" s="1421"/>
      <c r="E49" s="1432">
        <v>5.9999999999999995E-4</v>
      </c>
      <c r="F49" s="1416"/>
      <c r="G49" s="1433">
        <v>5.9999999999999995E-4</v>
      </c>
      <c r="H49" s="1418">
        <v>2918.58</v>
      </c>
      <c r="I49" s="1418">
        <v>1.7511479999999997</v>
      </c>
      <c r="J49" s="1419"/>
      <c r="K49" s="1419"/>
    </row>
    <row r="50" spans="1:11" s="1420" customFormat="1" ht="33.75" x14ac:dyDescent="0.25">
      <c r="A50" s="1412">
        <v>100969</v>
      </c>
      <c r="B50" s="1413" t="s">
        <v>798</v>
      </c>
      <c r="C50" s="1412" t="s">
        <v>42</v>
      </c>
      <c r="D50" s="1421"/>
      <c r="E50" s="1415"/>
      <c r="F50" s="1416">
        <v>1</v>
      </c>
      <c r="G50" s="1433">
        <v>5.9999999999999995E-4</v>
      </c>
      <c r="H50" s="1418">
        <v>1.7</v>
      </c>
      <c r="I50" s="1418">
        <v>1.0199999999999999E-3</v>
      </c>
      <c r="J50" s="1419"/>
      <c r="K50" s="1419"/>
    </row>
    <row r="51" spans="1:11" s="1431" customFormat="1" ht="11.25" x14ac:dyDescent="0.25">
      <c r="A51" s="1423"/>
      <c r="B51" s="1424" t="s">
        <v>1685</v>
      </c>
      <c r="C51" s="1423" t="s">
        <v>21</v>
      </c>
      <c r="D51" s="1425"/>
      <c r="E51" s="1426"/>
      <c r="F51" s="1427"/>
      <c r="G51" s="1428"/>
      <c r="H51" s="1429" t="s">
        <v>21</v>
      </c>
      <c r="I51" s="1429" t="s">
        <v>21</v>
      </c>
      <c r="J51" s="1430"/>
      <c r="K51" s="1430"/>
    </row>
    <row r="52" spans="1:11" s="1420" customFormat="1" ht="11.25" x14ac:dyDescent="0.25">
      <c r="A52" s="1412" t="s">
        <v>949</v>
      </c>
      <c r="B52" s="1413" t="s">
        <v>3346</v>
      </c>
      <c r="C52" s="1412" t="s">
        <v>51</v>
      </c>
      <c r="D52" s="1421"/>
      <c r="E52" s="1415"/>
      <c r="F52" s="1416"/>
      <c r="G52" s="1422">
        <v>1</v>
      </c>
      <c r="H52" s="1418">
        <v>0.95611000000000002</v>
      </c>
      <c r="I52" s="1418">
        <v>0.95611000000000002</v>
      </c>
      <c r="J52" s="1419"/>
      <c r="K52" s="1419"/>
    </row>
    <row r="53" spans="1:11" s="1420" customFormat="1" ht="22.5" x14ac:dyDescent="0.25">
      <c r="A53" s="1412" t="s">
        <v>3325</v>
      </c>
      <c r="B53" s="1413" t="s">
        <v>3326</v>
      </c>
      <c r="C53" s="1412" t="s">
        <v>55</v>
      </c>
      <c r="D53" s="1421"/>
      <c r="E53" s="1432">
        <v>1.1999999999999999E-3</v>
      </c>
      <c r="F53" s="1416"/>
      <c r="G53" s="1433">
        <v>1.1999999999999999E-3</v>
      </c>
      <c r="H53" s="1418">
        <v>2973.15</v>
      </c>
      <c r="I53" s="1418">
        <v>3.56778</v>
      </c>
      <c r="J53" s="1419"/>
      <c r="K53" s="1419"/>
    </row>
    <row r="54" spans="1:11" s="1420" customFormat="1" ht="33.75" x14ac:dyDescent="0.25">
      <c r="A54" s="1412">
        <v>100969</v>
      </c>
      <c r="B54" s="1413" t="s">
        <v>798</v>
      </c>
      <c r="C54" s="1412" t="s">
        <v>42</v>
      </c>
      <c r="D54" s="1421"/>
      <c r="E54" s="1415"/>
      <c r="F54" s="1416">
        <v>1</v>
      </c>
      <c r="G54" s="1433">
        <v>1.1999999999999999E-3</v>
      </c>
      <c r="H54" s="1418">
        <v>1.7</v>
      </c>
      <c r="I54" s="1418">
        <v>2.0399999999999997E-3</v>
      </c>
      <c r="J54" s="1419"/>
      <c r="K54" s="1419"/>
    </row>
    <row r="55" spans="1:11" s="1431" customFormat="1" ht="11.25" x14ac:dyDescent="0.25">
      <c r="A55" s="1423"/>
      <c r="B55" s="1424" t="s">
        <v>963</v>
      </c>
      <c r="C55" s="1423" t="s">
        <v>21</v>
      </c>
      <c r="D55" s="1425"/>
      <c r="E55" s="1426"/>
      <c r="F55" s="1427"/>
      <c r="G55" s="1428"/>
      <c r="H55" s="1429" t="s">
        <v>21</v>
      </c>
      <c r="I55" s="1429" t="s">
        <v>21</v>
      </c>
      <c r="J55" s="1430"/>
      <c r="K55" s="1430"/>
    </row>
    <row r="56" spans="1:11" s="1420" customFormat="1" ht="33.75" x14ac:dyDescent="0.25">
      <c r="A56" s="1412">
        <v>96396</v>
      </c>
      <c r="B56" s="1413" t="s">
        <v>576</v>
      </c>
      <c r="C56" s="1412" t="s">
        <v>44</v>
      </c>
      <c r="D56" s="1421">
        <v>0.17</v>
      </c>
      <c r="E56" s="1415">
        <v>2.4200549999999996</v>
      </c>
      <c r="F56" s="1416"/>
      <c r="G56" s="1422">
        <v>0.17</v>
      </c>
      <c r="H56" s="1418">
        <v>207.59</v>
      </c>
      <c r="I56" s="1418">
        <v>35.290300000000002</v>
      </c>
      <c r="J56" s="1419"/>
      <c r="K56" s="1419"/>
    </row>
    <row r="57" spans="1:11" s="1420" customFormat="1" ht="22.5" x14ac:dyDescent="0.25">
      <c r="A57" s="1412">
        <v>95879</v>
      </c>
      <c r="B57" s="1413" t="s">
        <v>789</v>
      </c>
      <c r="C57" s="1412" t="s">
        <v>42</v>
      </c>
      <c r="D57" s="1421"/>
      <c r="E57" s="1415"/>
      <c r="F57" s="1416">
        <v>30</v>
      </c>
      <c r="G57" s="1422">
        <v>12.342280499999999</v>
      </c>
      <c r="H57" s="1418">
        <v>1.04</v>
      </c>
      <c r="I57" s="1418">
        <v>12.83597172</v>
      </c>
      <c r="J57" s="1419"/>
      <c r="K57" s="1419"/>
    </row>
    <row r="58" spans="1:11" s="1420" customFormat="1" ht="33.75" x14ac:dyDescent="0.25">
      <c r="A58" s="1412">
        <v>93599</v>
      </c>
      <c r="B58" s="1413" t="s">
        <v>788</v>
      </c>
      <c r="C58" s="1412" t="s">
        <v>42</v>
      </c>
      <c r="D58" s="1421"/>
      <c r="E58" s="1415"/>
      <c r="F58" s="1416">
        <v>27</v>
      </c>
      <c r="G58" s="1422">
        <v>11.108052449999999</v>
      </c>
      <c r="H58" s="1418">
        <v>0.41</v>
      </c>
      <c r="I58" s="1418">
        <v>4.5543015044999988</v>
      </c>
      <c r="J58" s="1419"/>
      <c r="K58" s="1419"/>
    </row>
    <row r="59" spans="1:11" s="1420" customFormat="1" ht="22.5" x14ac:dyDescent="0.25">
      <c r="A59" s="1412">
        <v>100943</v>
      </c>
      <c r="B59" s="1413" t="s">
        <v>786</v>
      </c>
      <c r="C59" s="1412" t="s">
        <v>42</v>
      </c>
      <c r="D59" s="1421"/>
      <c r="E59" s="1415"/>
      <c r="F59" s="1416">
        <v>1</v>
      </c>
      <c r="G59" s="1422">
        <v>0.41140934999999995</v>
      </c>
      <c r="H59" s="1418">
        <v>3.1</v>
      </c>
      <c r="I59" s="1418">
        <v>1.2753689849999998</v>
      </c>
      <c r="J59" s="1419"/>
      <c r="K59" s="1419"/>
    </row>
    <row r="60" spans="1:11" s="1431" customFormat="1" ht="11.25" x14ac:dyDescent="0.25">
      <c r="A60" s="1423"/>
      <c r="B60" s="1424" t="s">
        <v>1679</v>
      </c>
      <c r="C60" s="1423" t="s">
        <v>21</v>
      </c>
      <c r="D60" s="1425"/>
      <c r="E60" s="1426"/>
      <c r="F60" s="1427"/>
      <c r="G60" s="1428"/>
      <c r="H60" s="1429" t="s">
        <v>21</v>
      </c>
      <c r="I60" s="1429" t="s">
        <v>21</v>
      </c>
      <c r="J60" s="1430"/>
      <c r="K60" s="1430"/>
    </row>
    <row r="61" spans="1:11" s="1420" customFormat="1" ht="33.75" x14ac:dyDescent="0.25">
      <c r="A61" s="1412">
        <v>96388</v>
      </c>
      <c r="B61" s="1413" t="s">
        <v>580</v>
      </c>
      <c r="C61" s="1412" t="s">
        <v>44</v>
      </c>
      <c r="D61" s="1421">
        <v>0.2</v>
      </c>
      <c r="E61" s="1415"/>
      <c r="F61" s="1416"/>
      <c r="G61" s="1422">
        <v>0.2</v>
      </c>
      <c r="H61" s="1418">
        <v>7.79</v>
      </c>
      <c r="I61" s="1418">
        <v>1.5580000000000001</v>
      </c>
      <c r="J61" s="1419"/>
      <c r="K61" s="1419"/>
    </row>
    <row r="62" spans="1:11" s="1420" customFormat="1" ht="45" x14ac:dyDescent="0.25">
      <c r="A62" s="1412">
        <v>100995</v>
      </c>
      <c r="B62" s="1413" t="s">
        <v>773</v>
      </c>
      <c r="C62" s="1412" t="s">
        <v>55</v>
      </c>
      <c r="D62" s="1421"/>
      <c r="E62" s="1415">
        <v>1.3653840557275541</v>
      </c>
      <c r="F62" s="1416"/>
      <c r="G62" s="1422">
        <v>0.2730768111455108</v>
      </c>
      <c r="H62" s="1418">
        <v>3.11</v>
      </c>
      <c r="I62" s="1418">
        <v>0.84926888266253853</v>
      </c>
      <c r="J62" s="1419"/>
      <c r="K62" s="1419"/>
    </row>
    <row r="63" spans="1:11" s="1420" customFormat="1" ht="22.5" x14ac:dyDescent="0.25">
      <c r="A63" s="1412">
        <v>100943</v>
      </c>
      <c r="B63" s="1413" t="s">
        <v>786</v>
      </c>
      <c r="C63" s="1412" t="s">
        <v>42</v>
      </c>
      <c r="D63" s="1421"/>
      <c r="E63" s="1415"/>
      <c r="F63" s="1416">
        <v>1</v>
      </c>
      <c r="G63" s="1422">
        <v>0.2730768111455108</v>
      </c>
      <c r="H63" s="1418">
        <v>3.1</v>
      </c>
      <c r="I63" s="1418">
        <v>0.84653811455108352</v>
      </c>
      <c r="J63" s="1419"/>
      <c r="K63" s="1419"/>
    </row>
    <row r="64" spans="1:11" s="1431" customFormat="1" ht="11.25" x14ac:dyDescent="0.25">
      <c r="A64" s="1423"/>
      <c r="B64" s="1424" t="s">
        <v>1813</v>
      </c>
      <c r="C64" s="1423" t="s">
        <v>21</v>
      </c>
      <c r="D64" s="1425"/>
      <c r="E64" s="1426"/>
      <c r="F64" s="1427"/>
      <c r="G64" s="1428"/>
      <c r="H64" s="1429" t="s">
        <v>21</v>
      </c>
      <c r="I64" s="1429" t="s">
        <v>21</v>
      </c>
      <c r="J64" s="1430"/>
      <c r="K64" s="1430"/>
    </row>
    <row r="65" spans="1:11" s="1420" customFormat="1" ht="22.5" x14ac:dyDescent="0.25">
      <c r="A65" s="1412">
        <v>100577</v>
      </c>
      <c r="B65" s="1413" t="s">
        <v>635</v>
      </c>
      <c r="C65" s="1412" t="s">
        <v>51</v>
      </c>
      <c r="D65" s="1421"/>
      <c r="E65" s="1415"/>
      <c r="F65" s="1416"/>
      <c r="G65" s="1422">
        <v>1</v>
      </c>
      <c r="H65" s="1418">
        <v>0.77</v>
      </c>
      <c r="I65" s="1418">
        <v>0.77</v>
      </c>
      <c r="J65" s="1419"/>
      <c r="K65" s="1419"/>
    </row>
    <row r="66" spans="1:11" s="1348" customFormat="1" x14ac:dyDescent="0.25">
      <c r="A66" s="1353"/>
      <c r="B66" s="1348" t="s">
        <v>21</v>
      </c>
      <c r="C66" s="1353" t="s">
        <v>21</v>
      </c>
      <c r="D66" s="1354"/>
      <c r="E66" s="1355"/>
      <c r="F66" s="1356"/>
      <c r="G66" s="1357"/>
      <c r="H66" s="1358" t="s">
        <v>21</v>
      </c>
      <c r="I66" s="1358" t="s">
        <v>21</v>
      </c>
      <c r="J66" s="1380"/>
      <c r="K66" s="1380"/>
    </row>
    <row r="67" spans="1:11" s="1326" customFormat="1" ht="15.75" x14ac:dyDescent="0.25">
      <c r="A67" s="1366"/>
      <c r="B67" s="1366" t="s">
        <v>3320</v>
      </c>
      <c r="C67" s="1366" t="s">
        <v>21</v>
      </c>
      <c r="D67" s="1367"/>
      <c r="E67" s="1368"/>
      <c r="F67" s="1369"/>
      <c r="G67" s="1370"/>
      <c r="H67" s="1371"/>
      <c r="I67" s="1372">
        <v>222.71923003386595</v>
      </c>
      <c r="J67" s="1384">
        <v>222.71923003386595</v>
      </c>
      <c r="K67" s="1378">
        <v>3</v>
      </c>
    </row>
    <row r="68" spans="1:11" s="1431" customFormat="1" ht="11.25" x14ac:dyDescent="0.25">
      <c r="A68" s="1452"/>
      <c r="B68" s="1453" t="s">
        <v>3316</v>
      </c>
      <c r="C68" s="1452" t="s">
        <v>21</v>
      </c>
      <c r="D68" s="1454"/>
      <c r="E68" s="1455"/>
      <c r="F68" s="1456"/>
      <c r="G68" s="1457"/>
      <c r="H68" s="1458" t="s">
        <v>21</v>
      </c>
      <c r="I68" s="1458" t="s">
        <v>21</v>
      </c>
      <c r="J68" s="1430"/>
      <c r="K68" s="1430"/>
    </row>
    <row r="69" spans="1:11" s="1420" customFormat="1" ht="22.5" x14ac:dyDescent="0.25">
      <c r="A69" s="1459" t="s">
        <v>977</v>
      </c>
      <c r="B69" s="1460" t="s">
        <v>3339</v>
      </c>
      <c r="C69" s="1459" t="s">
        <v>44</v>
      </c>
      <c r="D69" s="1461">
        <v>0.09</v>
      </c>
      <c r="E69" s="1462">
        <v>2.5548000000000002</v>
      </c>
      <c r="F69" s="1463"/>
      <c r="G69" s="1464">
        <v>0.09</v>
      </c>
      <c r="H69" s="1465">
        <v>439.87080806479992</v>
      </c>
      <c r="I69" s="1465">
        <v>39.588372725831988</v>
      </c>
      <c r="J69" s="1419"/>
      <c r="K69" s="1419"/>
    </row>
    <row r="70" spans="1:11" s="1420" customFormat="1" ht="22.5" x14ac:dyDescent="0.25">
      <c r="A70" s="1459">
        <v>101003</v>
      </c>
      <c r="B70" s="1460" t="s">
        <v>768</v>
      </c>
      <c r="C70" s="1459" t="s">
        <v>55</v>
      </c>
      <c r="D70" s="1466"/>
      <c r="E70" s="1462"/>
      <c r="F70" s="1463"/>
      <c r="G70" s="1467">
        <v>0.229932</v>
      </c>
      <c r="H70" s="1465">
        <v>4.91</v>
      </c>
      <c r="I70" s="1465">
        <v>1.1289661200000001</v>
      </c>
      <c r="J70" s="1419"/>
      <c r="K70" s="1419"/>
    </row>
    <row r="71" spans="1:11" s="1420" customFormat="1" ht="22.5" x14ac:dyDescent="0.25">
      <c r="A71" s="1459">
        <v>100943</v>
      </c>
      <c r="B71" s="1460" t="s">
        <v>786</v>
      </c>
      <c r="C71" s="1459" t="s">
        <v>42</v>
      </c>
      <c r="D71" s="1466"/>
      <c r="E71" s="1462"/>
      <c r="F71" s="1463">
        <v>1</v>
      </c>
      <c r="G71" s="1467">
        <v>0.229932</v>
      </c>
      <c r="H71" s="1465">
        <v>3.1</v>
      </c>
      <c r="I71" s="1465">
        <v>0.71278920000000001</v>
      </c>
      <c r="J71" s="1419"/>
      <c r="K71" s="1419"/>
    </row>
    <row r="72" spans="1:11" s="1431" customFormat="1" ht="11.25" x14ac:dyDescent="0.25">
      <c r="A72" s="1452"/>
      <c r="B72" s="1453" t="s">
        <v>3321</v>
      </c>
      <c r="C72" s="1452" t="s">
        <v>21</v>
      </c>
      <c r="D72" s="1454"/>
      <c r="E72" s="1455"/>
      <c r="F72" s="1456"/>
      <c r="G72" s="1457"/>
      <c r="H72" s="1458" t="s">
        <v>21</v>
      </c>
      <c r="I72" s="1458" t="s">
        <v>21</v>
      </c>
      <c r="J72" s="1430"/>
      <c r="K72" s="1430"/>
    </row>
    <row r="73" spans="1:11" s="1420" customFormat="1" ht="11.25" x14ac:dyDescent="0.25">
      <c r="A73" s="1459" t="s">
        <v>3333</v>
      </c>
      <c r="B73" s="1460" t="s">
        <v>3334</v>
      </c>
      <c r="C73" s="1459" t="s">
        <v>55</v>
      </c>
      <c r="D73" s="1466"/>
      <c r="E73" s="1462">
        <v>0.14460168000000001</v>
      </c>
      <c r="F73" s="1463"/>
      <c r="G73" s="1467">
        <v>1.3014151200000001E-2</v>
      </c>
      <c r="H73" s="1465">
        <v>4295.6099999999997</v>
      </c>
      <c r="I73" s="1465">
        <v>55.903718036232</v>
      </c>
      <c r="J73" s="1419"/>
      <c r="K73" s="1419"/>
    </row>
    <row r="74" spans="1:11" s="1420" customFormat="1" ht="22.5" x14ac:dyDescent="0.25">
      <c r="A74" s="1459">
        <v>95879</v>
      </c>
      <c r="B74" s="1460" t="s">
        <v>789</v>
      </c>
      <c r="C74" s="1459" t="s">
        <v>42</v>
      </c>
      <c r="D74" s="1466"/>
      <c r="E74" s="1462">
        <v>1.113713964</v>
      </c>
      <c r="F74" s="1463">
        <v>30</v>
      </c>
      <c r="G74" s="1467">
        <v>0.10023425676</v>
      </c>
      <c r="H74" s="1465">
        <v>1.04</v>
      </c>
      <c r="I74" s="1465">
        <v>0.10424362703040001</v>
      </c>
      <c r="J74" s="1419"/>
      <c r="K74" s="1419"/>
    </row>
    <row r="75" spans="1:11" s="1420" customFormat="1" ht="33.75" x14ac:dyDescent="0.25">
      <c r="A75" s="1459">
        <v>93599</v>
      </c>
      <c r="B75" s="1460" t="s">
        <v>788</v>
      </c>
      <c r="C75" s="1459" t="s">
        <v>42</v>
      </c>
      <c r="D75" s="1466"/>
      <c r="E75" s="1462">
        <v>1.113713964</v>
      </c>
      <c r="F75" s="1463">
        <v>27</v>
      </c>
      <c r="G75" s="1467">
        <v>0.10023425676</v>
      </c>
      <c r="H75" s="1465">
        <v>0.41</v>
      </c>
      <c r="I75" s="1465">
        <v>4.1096045271599997E-2</v>
      </c>
      <c r="J75" s="1419"/>
      <c r="K75" s="1419"/>
    </row>
    <row r="76" spans="1:11" s="1431" customFormat="1" ht="11.25" x14ac:dyDescent="0.25">
      <c r="A76" s="1452"/>
      <c r="B76" s="1453" t="s">
        <v>1823</v>
      </c>
      <c r="C76" s="1452" t="s">
        <v>21</v>
      </c>
      <c r="D76" s="1454"/>
      <c r="E76" s="1455"/>
      <c r="F76" s="1456"/>
      <c r="G76" s="1457"/>
      <c r="H76" s="1458" t="s">
        <v>21</v>
      </c>
      <c r="I76" s="1458" t="s">
        <v>21</v>
      </c>
      <c r="J76" s="1430"/>
      <c r="K76" s="1430"/>
    </row>
    <row r="77" spans="1:11" s="1420" customFormat="1" ht="22.5" x14ac:dyDescent="0.25">
      <c r="A77" s="1459" t="s">
        <v>978</v>
      </c>
      <c r="B77" s="1460" t="s">
        <v>981</v>
      </c>
      <c r="C77" s="1459" t="s">
        <v>51</v>
      </c>
      <c r="D77" s="1466"/>
      <c r="E77" s="1462"/>
      <c r="F77" s="1463"/>
      <c r="G77" s="1467">
        <v>1</v>
      </c>
      <c r="H77" s="1465">
        <v>0.75842500000000002</v>
      </c>
      <c r="I77" s="1465">
        <v>0.75842500000000002</v>
      </c>
      <c r="J77" s="1419"/>
      <c r="K77" s="1419"/>
    </row>
    <row r="78" spans="1:11" s="1420" customFormat="1" ht="22.5" x14ac:dyDescent="0.25">
      <c r="A78" s="1459" t="s">
        <v>167</v>
      </c>
      <c r="B78" s="1460" t="s">
        <v>973</v>
      </c>
      <c r="C78" s="1459" t="s">
        <v>55</v>
      </c>
      <c r="D78" s="1466"/>
      <c r="E78" s="1468">
        <v>5.9999999999999995E-4</v>
      </c>
      <c r="F78" s="1463"/>
      <c r="G78" s="1469">
        <v>5.9999999999999995E-4</v>
      </c>
      <c r="H78" s="1465">
        <v>2918.58</v>
      </c>
      <c r="I78" s="1465">
        <v>1.7511479999999997</v>
      </c>
      <c r="J78" s="1419"/>
      <c r="K78" s="1419"/>
    </row>
    <row r="79" spans="1:11" s="1420" customFormat="1" ht="33.75" x14ac:dyDescent="0.25">
      <c r="A79" s="1459">
        <v>100969</v>
      </c>
      <c r="B79" s="1460" t="s">
        <v>798</v>
      </c>
      <c r="C79" s="1459" t="s">
        <v>42</v>
      </c>
      <c r="D79" s="1466"/>
      <c r="E79" s="1462"/>
      <c r="F79" s="1463">
        <v>1</v>
      </c>
      <c r="G79" s="1469">
        <v>5.9999999999999995E-4</v>
      </c>
      <c r="H79" s="1465">
        <v>1.7</v>
      </c>
      <c r="I79" s="1465">
        <v>1.0199999999999999E-3</v>
      </c>
      <c r="J79" s="1419"/>
      <c r="K79" s="1419"/>
    </row>
    <row r="80" spans="1:11" s="1431" customFormat="1" ht="11.25" x14ac:dyDescent="0.25">
      <c r="A80" s="1452"/>
      <c r="B80" s="1453" t="s">
        <v>1685</v>
      </c>
      <c r="C80" s="1452" t="s">
        <v>21</v>
      </c>
      <c r="D80" s="1454"/>
      <c r="E80" s="1455"/>
      <c r="F80" s="1456"/>
      <c r="G80" s="1457"/>
      <c r="H80" s="1458" t="s">
        <v>21</v>
      </c>
      <c r="I80" s="1458" t="s">
        <v>21</v>
      </c>
      <c r="J80" s="1430"/>
      <c r="K80" s="1430"/>
    </row>
    <row r="81" spans="1:11" s="1420" customFormat="1" ht="11.25" x14ac:dyDescent="0.25">
      <c r="A81" s="1459" t="s">
        <v>949</v>
      </c>
      <c r="B81" s="1460" t="s">
        <v>3346</v>
      </c>
      <c r="C81" s="1459" t="s">
        <v>51</v>
      </c>
      <c r="D81" s="1466"/>
      <c r="E81" s="1462"/>
      <c r="F81" s="1463"/>
      <c r="G81" s="1467">
        <v>1</v>
      </c>
      <c r="H81" s="1465">
        <v>0.95611000000000002</v>
      </c>
      <c r="I81" s="1465">
        <v>0.95611000000000002</v>
      </c>
      <c r="J81" s="1419"/>
      <c r="K81" s="1419"/>
    </row>
    <row r="82" spans="1:11" s="1420" customFormat="1" ht="22.5" x14ac:dyDescent="0.25">
      <c r="A82" s="1459" t="s">
        <v>3325</v>
      </c>
      <c r="B82" s="1460" t="s">
        <v>3326</v>
      </c>
      <c r="C82" s="1459" t="s">
        <v>55</v>
      </c>
      <c r="D82" s="1466"/>
      <c r="E82" s="1468">
        <v>1.1999999999999999E-3</v>
      </c>
      <c r="F82" s="1463"/>
      <c r="G82" s="1469">
        <v>1.1999999999999999E-3</v>
      </c>
      <c r="H82" s="1465">
        <v>2973.15</v>
      </c>
      <c r="I82" s="1465">
        <v>3.56778</v>
      </c>
      <c r="J82" s="1419"/>
      <c r="K82" s="1419"/>
    </row>
    <row r="83" spans="1:11" s="1420" customFormat="1" ht="33.75" x14ac:dyDescent="0.25">
      <c r="A83" s="1459">
        <v>100969</v>
      </c>
      <c r="B83" s="1460" t="s">
        <v>798</v>
      </c>
      <c r="C83" s="1459" t="s">
        <v>42</v>
      </c>
      <c r="D83" s="1466"/>
      <c r="E83" s="1462"/>
      <c r="F83" s="1463">
        <v>1</v>
      </c>
      <c r="G83" s="1469">
        <v>1.1999999999999999E-3</v>
      </c>
      <c r="H83" s="1465">
        <v>1.7</v>
      </c>
      <c r="I83" s="1465">
        <v>2.0399999999999997E-3</v>
      </c>
      <c r="J83" s="1419"/>
      <c r="K83" s="1419"/>
    </row>
    <row r="84" spans="1:11" s="1431" customFormat="1" ht="11.25" x14ac:dyDescent="0.25">
      <c r="A84" s="1452"/>
      <c r="B84" s="1453" t="s">
        <v>963</v>
      </c>
      <c r="C84" s="1452" t="s">
        <v>21</v>
      </c>
      <c r="D84" s="1454"/>
      <c r="E84" s="1455"/>
      <c r="F84" s="1456"/>
      <c r="G84" s="1457"/>
      <c r="H84" s="1458" t="s">
        <v>21</v>
      </c>
      <c r="I84" s="1458" t="s">
        <v>21</v>
      </c>
      <c r="J84" s="1430"/>
      <c r="K84" s="1430"/>
    </row>
    <row r="85" spans="1:11" s="1420" customFormat="1" ht="33.75" x14ac:dyDescent="0.25">
      <c r="A85" s="1459">
        <v>96396</v>
      </c>
      <c r="B85" s="1460" t="s">
        <v>576</v>
      </c>
      <c r="C85" s="1459" t="s">
        <v>44</v>
      </c>
      <c r="D85" s="1466">
        <v>0.17</v>
      </c>
      <c r="E85" s="1462">
        <v>2.4200549999999996</v>
      </c>
      <c r="F85" s="1463"/>
      <c r="G85" s="1467">
        <v>0.17</v>
      </c>
      <c r="H85" s="1465">
        <v>207.59</v>
      </c>
      <c r="I85" s="1465">
        <v>35.290300000000002</v>
      </c>
      <c r="J85" s="1419"/>
      <c r="K85" s="1419"/>
    </row>
    <row r="86" spans="1:11" s="1420" customFormat="1" ht="22.5" x14ac:dyDescent="0.25">
      <c r="A86" s="1459">
        <v>95879</v>
      </c>
      <c r="B86" s="1460" t="s">
        <v>789</v>
      </c>
      <c r="C86" s="1459" t="s">
        <v>42</v>
      </c>
      <c r="D86" s="1466"/>
      <c r="E86" s="1462"/>
      <c r="F86" s="1463">
        <v>30</v>
      </c>
      <c r="G86" s="1467">
        <v>12.342280499999999</v>
      </c>
      <c r="H86" s="1465">
        <v>1.04</v>
      </c>
      <c r="I86" s="1465">
        <v>12.83597172</v>
      </c>
      <c r="J86" s="1419"/>
      <c r="K86" s="1419"/>
    </row>
    <row r="87" spans="1:11" s="1420" customFormat="1" ht="33.75" x14ac:dyDescent="0.25">
      <c r="A87" s="1459">
        <v>93599</v>
      </c>
      <c r="B87" s="1460" t="s">
        <v>788</v>
      </c>
      <c r="C87" s="1459" t="s">
        <v>42</v>
      </c>
      <c r="D87" s="1466"/>
      <c r="E87" s="1462"/>
      <c r="F87" s="1463">
        <v>27</v>
      </c>
      <c r="G87" s="1467">
        <v>11.108052449999999</v>
      </c>
      <c r="H87" s="1465">
        <v>0.41</v>
      </c>
      <c r="I87" s="1465">
        <v>4.5543015044999988</v>
      </c>
      <c r="J87" s="1419"/>
      <c r="K87" s="1419"/>
    </row>
    <row r="88" spans="1:11" s="1420" customFormat="1" ht="22.5" x14ac:dyDescent="0.25">
      <c r="A88" s="1459">
        <v>100943</v>
      </c>
      <c r="B88" s="1460" t="s">
        <v>786</v>
      </c>
      <c r="C88" s="1459" t="s">
        <v>42</v>
      </c>
      <c r="D88" s="1466"/>
      <c r="E88" s="1462"/>
      <c r="F88" s="1463">
        <v>1</v>
      </c>
      <c r="G88" s="1467">
        <v>0.41140934999999995</v>
      </c>
      <c r="H88" s="1465">
        <v>3.1</v>
      </c>
      <c r="I88" s="1465">
        <v>1.2753689849999998</v>
      </c>
      <c r="J88" s="1419"/>
      <c r="K88" s="1419"/>
    </row>
    <row r="89" spans="1:11" s="1431" customFormat="1" ht="11.25" x14ac:dyDescent="0.25">
      <c r="A89" s="1452"/>
      <c r="B89" s="1453" t="s">
        <v>1679</v>
      </c>
      <c r="C89" s="1452" t="s">
        <v>21</v>
      </c>
      <c r="D89" s="1454"/>
      <c r="E89" s="1455"/>
      <c r="F89" s="1456"/>
      <c r="G89" s="1457"/>
      <c r="H89" s="1458" t="s">
        <v>21</v>
      </c>
      <c r="I89" s="1458" t="s">
        <v>21</v>
      </c>
      <c r="J89" s="1430"/>
      <c r="K89" s="1430"/>
    </row>
    <row r="90" spans="1:11" s="1420" customFormat="1" ht="33.75" x14ac:dyDescent="0.25">
      <c r="A90" s="1459">
        <v>96396</v>
      </c>
      <c r="B90" s="1460" t="s">
        <v>576</v>
      </c>
      <c r="C90" s="1459" t="s">
        <v>44</v>
      </c>
      <c r="D90" s="1466">
        <v>0.2</v>
      </c>
      <c r="E90" s="1462">
        <v>2.4200549999999996</v>
      </c>
      <c r="F90" s="1463"/>
      <c r="G90" s="1467">
        <v>0.2</v>
      </c>
      <c r="H90" s="1465">
        <v>207.59</v>
      </c>
      <c r="I90" s="1465">
        <v>41.518000000000001</v>
      </c>
      <c r="J90" s="1419"/>
      <c r="K90" s="1419"/>
    </row>
    <row r="91" spans="1:11" s="1420" customFormat="1" ht="22.5" x14ac:dyDescent="0.25">
      <c r="A91" s="1459">
        <v>95879</v>
      </c>
      <c r="B91" s="1460" t="s">
        <v>789</v>
      </c>
      <c r="C91" s="1459" t="s">
        <v>42</v>
      </c>
      <c r="D91" s="1466"/>
      <c r="E91" s="1462"/>
      <c r="F91" s="1463">
        <v>30</v>
      </c>
      <c r="G91" s="1467">
        <v>14.52033</v>
      </c>
      <c r="H91" s="1465">
        <v>1.04</v>
      </c>
      <c r="I91" s="1465">
        <v>15.101143199999999</v>
      </c>
      <c r="J91" s="1419"/>
      <c r="K91" s="1419"/>
    </row>
    <row r="92" spans="1:11" s="1420" customFormat="1" ht="33.75" x14ac:dyDescent="0.25">
      <c r="A92" s="1459">
        <v>93599</v>
      </c>
      <c r="B92" s="1460" t="s">
        <v>788</v>
      </c>
      <c r="C92" s="1459" t="s">
        <v>42</v>
      </c>
      <c r="D92" s="1466"/>
      <c r="E92" s="1462"/>
      <c r="F92" s="1463">
        <v>27</v>
      </c>
      <c r="G92" s="1467">
        <v>13.068296999999999</v>
      </c>
      <c r="H92" s="1465">
        <v>0.41</v>
      </c>
      <c r="I92" s="1465">
        <v>5.3580017699999996</v>
      </c>
      <c r="J92" s="1419"/>
      <c r="K92" s="1419"/>
    </row>
    <row r="93" spans="1:11" s="1420" customFormat="1" ht="22.5" x14ac:dyDescent="0.25">
      <c r="A93" s="1459">
        <v>100943</v>
      </c>
      <c r="B93" s="1460" t="s">
        <v>786</v>
      </c>
      <c r="C93" s="1459" t="s">
        <v>42</v>
      </c>
      <c r="D93" s="1466"/>
      <c r="E93" s="1462"/>
      <c r="F93" s="1463">
        <v>1</v>
      </c>
      <c r="G93" s="1467">
        <v>0.48401099999999997</v>
      </c>
      <c r="H93" s="1465">
        <v>3.1</v>
      </c>
      <c r="I93" s="1465">
        <v>1.5004340999999999</v>
      </c>
      <c r="J93" s="1419"/>
      <c r="K93" s="1419"/>
    </row>
    <row r="94" spans="1:11" s="1431" customFormat="1" ht="11.25" x14ac:dyDescent="0.25">
      <c r="A94" s="1452"/>
      <c r="B94" s="1453" t="s">
        <v>1813</v>
      </c>
      <c r="C94" s="1452" t="s">
        <v>21</v>
      </c>
      <c r="D94" s="1454"/>
      <c r="E94" s="1455"/>
      <c r="F94" s="1456"/>
      <c r="G94" s="1457"/>
      <c r="H94" s="1458" t="s">
        <v>21</v>
      </c>
      <c r="I94" s="1458" t="s">
        <v>21</v>
      </c>
      <c r="J94" s="1430"/>
      <c r="K94" s="1430"/>
    </row>
    <row r="95" spans="1:11" s="1420" customFormat="1" ht="22.5" x14ac:dyDescent="0.25">
      <c r="A95" s="1459">
        <v>100577</v>
      </c>
      <c r="B95" s="1460" t="s">
        <v>635</v>
      </c>
      <c r="C95" s="1459" t="s">
        <v>51</v>
      </c>
      <c r="D95" s="1466"/>
      <c r="E95" s="1462"/>
      <c r="F95" s="1463"/>
      <c r="G95" s="1467">
        <v>1</v>
      </c>
      <c r="H95" s="1465">
        <v>0.77</v>
      </c>
      <c r="I95" s="1465">
        <v>0.77</v>
      </c>
      <c r="J95" s="1419"/>
      <c r="K95" s="1419"/>
    </row>
    <row r="96" spans="1:11" x14ac:dyDescent="0.25">
      <c r="B96" s="1206" t="s">
        <v>21</v>
      </c>
      <c r="C96" s="1223" t="s">
        <v>21</v>
      </c>
    </row>
    <row r="97" spans="2:3" x14ac:dyDescent="0.25">
      <c r="B97" s="1206" t="s">
        <v>21</v>
      </c>
      <c r="C97" s="1223" t="s">
        <v>21</v>
      </c>
    </row>
  </sheetData>
  <printOptions horizontalCentered="1"/>
  <pageMargins left="0.78740157480314965" right="0.59055118110236227" top="0.78740157480314965" bottom="0.78740157480314965" header="0.59055118110236227" footer="0.59055118110236227"/>
  <pageSetup paperSize="9" scale="53" fitToHeight="0" orientation="portrait" r:id="rId1"/>
  <rowBreaks count="1" manualBreakCount="1">
    <brk id="66" max="8"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D0681-5B26-45FC-ACB3-6CA574B3E3C8}">
  <sheetPr>
    <tabColor theme="1"/>
    <pageSetUpPr fitToPage="1"/>
  </sheetPr>
  <dimension ref="A2:K56"/>
  <sheetViews>
    <sheetView workbookViewId="0">
      <selection sqref="A1:XFD1048576"/>
    </sheetView>
  </sheetViews>
  <sheetFormatPr defaultColWidth="9.140625" defaultRowHeight="12" x14ac:dyDescent="0.25"/>
  <cols>
    <col min="1" max="1" width="10.7109375" style="1223" customWidth="1"/>
    <col min="2" max="2" width="50.7109375" style="1206" customWidth="1"/>
    <col min="3" max="3" width="8.7109375" style="1223" customWidth="1"/>
    <col min="4" max="4" width="15.7109375" style="1238" customWidth="1"/>
    <col min="5" max="5" width="15.7109375" style="1235" customWidth="1"/>
    <col min="6" max="6" width="15.7109375" style="1236" customWidth="1"/>
    <col min="7" max="7" width="15.7109375" style="1237" customWidth="1"/>
    <col min="8" max="9" width="15.7109375" style="1207" customWidth="1"/>
    <col min="10" max="10" width="16.42578125" style="1373" bestFit="1" customWidth="1"/>
    <col min="11" max="11" width="9.140625" style="1373"/>
    <col min="12" max="16384" width="9.140625" style="1206"/>
  </cols>
  <sheetData>
    <row r="2" spans="1:11" x14ac:dyDescent="0.25">
      <c r="A2" s="1205" t="s">
        <v>3313</v>
      </c>
      <c r="C2" s="1206"/>
      <c r="H2" s="1406" t="s">
        <v>3344</v>
      </c>
      <c r="I2" s="1407">
        <v>44405</v>
      </c>
    </row>
    <row r="3" spans="1:11" x14ac:dyDescent="0.25">
      <c r="A3" s="1234" t="s">
        <v>153</v>
      </c>
      <c r="B3" s="1205" t="s">
        <v>3501</v>
      </c>
      <c r="C3" s="1206"/>
      <c r="H3" s="1406" t="s">
        <v>3345</v>
      </c>
      <c r="I3" s="1406" t="s">
        <v>3500</v>
      </c>
    </row>
    <row r="4" spans="1:11" x14ac:dyDescent="0.25">
      <c r="A4" s="1234" t="s">
        <v>154</v>
      </c>
      <c r="B4" s="1205" t="s">
        <v>1527</v>
      </c>
      <c r="C4" s="1206"/>
    </row>
    <row r="5" spans="1:11" x14ac:dyDescent="0.25">
      <c r="A5" s="1234" t="s">
        <v>155</v>
      </c>
      <c r="B5" s="1205" t="s">
        <v>1528</v>
      </c>
      <c r="C5" s="1206"/>
    </row>
    <row r="6" spans="1:11" ht="18.75" x14ac:dyDescent="0.25">
      <c r="A6" s="94" t="s">
        <v>1804</v>
      </c>
      <c r="B6" s="94"/>
      <c r="C6" s="94"/>
      <c r="D6" s="1409"/>
      <c r="E6" s="1410"/>
      <c r="F6" s="1411"/>
      <c r="G6" s="95"/>
      <c r="H6" s="95"/>
      <c r="I6" s="95"/>
    </row>
    <row r="7" spans="1:11" x14ac:dyDescent="0.25">
      <c r="A7" s="1359" t="s">
        <v>0</v>
      </c>
      <c r="B7" s="1360" t="s">
        <v>144</v>
      </c>
      <c r="C7" s="1360" t="s">
        <v>1</v>
      </c>
      <c r="D7" s="1361" t="s">
        <v>3317</v>
      </c>
      <c r="E7" s="1362" t="s">
        <v>2447</v>
      </c>
      <c r="F7" s="1363" t="s">
        <v>288</v>
      </c>
      <c r="G7" s="1364" t="s">
        <v>449</v>
      </c>
      <c r="H7" s="1364" t="s">
        <v>3315</v>
      </c>
      <c r="I7" s="1365" t="s">
        <v>84</v>
      </c>
    </row>
    <row r="8" spans="1:11" s="1240" customFormat="1" ht="18.75" x14ac:dyDescent="0.25">
      <c r="A8" s="1392"/>
      <c r="B8" s="1392" t="s">
        <v>3319</v>
      </c>
      <c r="C8" s="1392" t="s">
        <v>21</v>
      </c>
      <c r="D8" s="1393"/>
      <c r="E8" s="1394"/>
      <c r="F8" s="1395"/>
      <c r="G8" s="1396"/>
      <c r="H8" s="1397" t="s">
        <v>3342</v>
      </c>
      <c r="I8" s="1398">
        <v>3</v>
      </c>
      <c r="J8" s="1374">
        <v>48.898664482932837</v>
      </c>
      <c r="K8" s="1374"/>
    </row>
    <row r="9" spans="1:11" s="1239" customFormat="1" x14ac:dyDescent="0.25">
      <c r="A9" s="1249"/>
      <c r="B9" s="1239" t="s">
        <v>21</v>
      </c>
      <c r="C9" s="1249" t="s">
        <v>21</v>
      </c>
      <c r="D9" s="1250"/>
      <c r="E9" s="1251"/>
      <c r="F9" s="1252"/>
      <c r="G9" s="1253"/>
      <c r="H9" s="1254" t="s">
        <v>21</v>
      </c>
      <c r="I9" s="1254" t="s">
        <v>21</v>
      </c>
      <c r="J9" s="1375"/>
      <c r="K9" s="1375"/>
    </row>
    <row r="10" spans="1:11" s="1241" customFormat="1" ht="15.75" x14ac:dyDescent="0.25">
      <c r="A10" s="1381"/>
      <c r="B10" s="1255" t="s">
        <v>3314</v>
      </c>
      <c r="C10" s="1255"/>
      <c r="D10" s="1256"/>
      <c r="E10" s="1257"/>
      <c r="F10" s="1258"/>
      <c r="G10" s="1259"/>
      <c r="H10" s="1260"/>
      <c r="I10" s="1261">
        <v>79.87380699721362</v>
      </c>
      <c r="J10" s="1383">
        <v>79.87380699721362</v>
      </c>
      <c r="K10" s="1376">
        <v>1</v>
      </c>
    </row>
    <row r="11" spans="1:11" s="1248" customFormat="1" x14ac:dyDescent="0.25">
      <c r="A11" s="1269"/>
      <c r="B11" s="1270" t="s">
        <v>3316</v>
      </c>
      <c r="C11" s="1269" t="s">
        <v>21</v>
      </c>
      <c r="D11" s="1271"/>
      <c r="E11" s="1272"/>
      <c r="F11" s="1273"/>
      <c r="G11" s="1274"/>
      <c r="H11" s="1275" t="s">
        <v>21</v>
      </c>
      <c r="I11" s="1275" t="s">
        <v>21</v>
      </c>
      <c r="J11" s="1377"/>
      <c r="K11" s="1377"/>
    </row>
    <row r="12" spans="1:11" s="1239" customFormat="1" ht="24" x14ac:dyDescent="0.25">
      <c r="A12" s="1276">
        <v>92405</v>
      </c>
      <c r="B12" s="1277" t="s">
        <v>574</v>
      </c>
      <c r="C12" s="1276" t="s">
        <v>51</v>
      </c>
      <c r="D12" s="1278">
        <v>0.08</v>
      </c>
      <c r="E12" s="1279"/>
      <c r="F12" s="1280"/>
      <c r="G12" s="1281">
        <v>1</v>
      </c>
      <c r="H12" s="1282">
        <v>75.849999999999994</v>
      </c>
      <c r="I12" s="1282">
        <v>75.849999999999994</v>
      </c>
      <c r="J12" s="1375"/>
      <c r="K12" s="1375"/>
    </row>
    <row r="13" spans="1:11" s="1248" customFormat="1" x14ac:dyDescent="0.25">
      <c r="A13" s="1269"/>
      <c r="B13" s="1270" t="s">
        <v>963</v>
      </c>
      <c r="C13" s="1269" t="s">
        <v>21</v>
      </c>
      <c r="D13" s="1271"/>
      <c r="E13" s="1272"/>
      <c r="F13" s="1273"/>
      <c r="G13" s="1274"/>
      <c r="H13" s="1275" t="s">
        <v>21</v>
      </c>
      <c r="I13" s="1275" t="s">
        <v>21</v>
      </c>
      <c r="J13" s="1377"/>
      <c r="K13" s="1377"/>
    </row>
    <row r="14" spans="1:11" s="1239" customFormat="1" ht="48" x14ac:dyDescent="0.25">
      <c r="A14" s="1276">
        <v>96388</v>
      </c>
      <c r="B14" s="1277" t="s">
        <v>580</v>
      </c>
      <c r="C14" s="1276" t="s">
        <v>44</v>
      </c>
      <c r="D14" s="1278">
        <v>0.2</v>
      </c>
      <c r="E14" s="1279"/>
      <c r="F14" s="1280"/>
      <c r="G14" s="1281">
        <v>0.2</v>
      </c>
      <c r="H14" s="1282">
        <v>7.79</v>
      </c>
      <c r="I14" s="1282">
        <v>1.5580000000000001</v>
      </c>
      <c r="J14" s="1375"/>
      <c r="K14" s="1375"/>
    </row>
    <row r="15" spans="1:11" s="1239" customFormat="1" ht="48" x14ac:dyDescent="0.25">
      <c r="A15" s="1276">
        <v>100995</v>
      </c>
      <c r="B15" s="1277" t="s">
        <v>773</v>
      </c>
      <c r="C15" s="1276" t="s">
        <v>55</v>
      </c>
      <c r="D15" s="1278"/>
      <c r="E15" s="1279">
        <v>1.3653840557275541</v>
      </c>
      <c r="F15" s="1280"/>
      <c r="G15" s="1281">
        <v>0.2730768111455108</v>
      </c>
      <c r="H15" s="1282">
        <v>3.11</v>
      </c>
      <c r="I15" s="1282">
        <v>0.84926888266253853</v>
      </c>
      <c r="J15" s="1375"/>
      <c r="K15" s="1375"/>
    </row>
    <row r="16" spans="1:11" s="1239" customFormat="1" ht="24" x14ac:dyDescent="0.25">
      <c r="A16" s="1276">
        <v>100943</v>
      </c>
      <c r="B16" s="1277" t="s">
        <v>786</v>
      </c>
      <c r="C16" s="1276" t="s">
        <v>42</v>
      </c>
      <c r="D16" s="1278"/>
      <c r="E16" s="1279"/>
      <c r="F16" s="1280">
        <v>1</v>
      </c>
      <c r="G16" s="1281">
        <v>0.2730768111455108</v>
      </c>
      <c r="H16" s="1282">
        <v>3.1</v>
      </c>
      <c r="I16" s="1282">
        <v>0.84653811455108352</v>
      </c>
      <c r="J16" s="1375"/>
      <c r="K16" s="1375"/>
    </row>
    <row r="17" spans="1:11" s="1248" customFormat="1" x14ac:dyDescent="0.25">
      <c r="A17" s="1269"/>
      <c r="B17" s="1270" t="s">
        <v>1813</v>
      </c>
      <c r="C17" s="1269" t="s">
        <v>21</v>
      </c>
      <c r="D17" s="1271"/>
      <c r="E17" s="1272"/>
      <c r="F17" s="1273"/>
      <c r="G17" s="1274"/>
      <c r="H17" s="1275" t="s">
        <v>21</v>
      </c>
      <c r="I17" s="1275" t="s">
        <v>21</v>
      </c>
      <c r="J17" s="1377"/>
      <c r="K17" s="1377"/>
    </row>
    <row r="18" spans="1:11" s="1239" customFormat="1" ht="24" x14ac:dyDescent="0.25">
      <c r="A18" s="1276">
        <v>100577</v>
      </c>
      <c r="B18" s="1277" t="s">
        <v>635</v>
      </c>
      <c r="C18" s="1276" t="s">
        <v>51</v>
      </c>
      <c r="D18" s="1278"/>
      <c r="E18" s="1279"/>
      <c r="F18" s="1280"/>
      <c r="G18" s="1281">
        <v>1</v>
      </c>
      <c r="H18" s="1282">
        <v>0.77</v>
      </c>
      <c r="I18" s="1282">
        <v>0.77</v>
      </c>
      <c r="J18" s="1375"/>
      <c r="K18" s="1375"/>
    </row>
    <row r="19" spans="1:11" s="1239" customFormat="1" x14ac:dyDescent="0.25">
      <c r="A19" s="1262"/>
      <c r="B19" s="1263" t="s">
        <v>21</v>
      </c>
      <c r="C19" s="1262" t="s">
        <v>21</v>
      </c>
      <c r="D19" s="1264"/>
      <c r="E19" s="1265"/>
      <c r="F19" s="1266"/>
      <c r="G19" s="1267"/>
      <c r="H19" s="1268" t="s">
        <v>21</v>
      </c>
      <c r="I19" s="1268" t="s">
        <v>21</v>
      </c>
      <c r="J19" s="1375"/>
      <c r="K19" s="1375"/>
    </row>
    <row r="20" spans="1:11" s="1241" customFormat="1" ht="15.75" x14ac:dyDescent="0.25">
      <c r="A20" s="1382"/>
      <c r="B20" s="1241" t="s">
        <v>3318</v>
      </c>
      <c r="D20" s="1242"/>
      <c r="E20" s="1243"/>
      <c r="F20" s="1244"/>
      <c r="G20" s="1245"/>
      <c r="H20" s="1246"/>
      <c r="I20" s="1247">
        <v>140.09757906999999</v>
      </c>
      <c r="J20" s="1383">
        <v>140.09757906999999</v>
      </c>
      <c r="K20" s="1376">
        <v>2</v>
      </c>
    </row>
    <row r="21" spans="1:11" s="1248" customFormat="1" x14ac:dyDescent="0.25">
      <c r="A21" s="1283"/>
      <c r="B21" s="1284" t="s">
        <v>3316</v>
      </c>
      <c r="C21" s="1283" t="s">
        <v>21</v>
      </c>
      <c r="D21" s="1285"/>
      <c r="E21" s="1286"/>
      <c r="F21" s="1287"/>
      <c r="G21" s="1288"/>
      <c r="H21" s="1289" t="s">
        <v>21</v>
      </c>
      <c r="I21" s="1289" t="s">
        <v>21</v>
      </c>
      <c r="J21" s="1377"/>
      <c r="K21" s="1377"/>
    </row>
    <row r="22" spans="1:11" s="1239" customFormat="1" ht="24" x14ac:dyDescent="0.25">
      <c r="A22" s="1290">
        <v>92405</v>
      </c>
      <c r="B22" s="1291" t="s">
        <v>574</v>
      </c>
      <c r="C22" s="1290" t="s">
        <v>51</v>
      </c>
      <c r="D22" s="1292">
        <v>0.08</v>
      </c>
      <c r="E22" s="1293"/>
      <c r="F22" s="1294"/>
      <c r="G22" s="1295">
        <v>1</v>
      </c>
      <c r="H22" s="1296">
        <v>75.849999999999994</v>
      </c>
      <c r="I22" s="1296">
        <v>75.849999999999994</v>
      </c>
      <c r="J22" s="1375"/>
      <c r="K22" s="1375"/>
    </row>
    <row r="23" spans="1:11" s="1248" customFormat="1" x14ac:dyDescent="0.25">
      <c r="A23" s="1283"/>
      <c r="B23" s="1284" t="s">
        <v>963</v>
      </c>
      <c r="C23" s="1283" t="s">
        <v>21</v>
      </c>
      <c r="D23" s="1285"/>
      <c r="E23" s="1286"/>
      <c r="F23" s="1287"/>
      <c r="G23" s="1288"/>
      <c r="H23" s="1289" t="s">
        <v>21</v>
      </c>
      <c r="I23" s="1289" t="s">
        <v>21</v>
      </c>
      <c r="J23" s="1377"/>
      <c r="K23" s="1377"/>
    </row>
    <row r="24" spans="1:11" s="1239" customFormat="1" ht="36" x14ac:dyDescent="0.25">
      <c r="A24" s="1290">
        <v>96396</v>
      </c>
      <c r="B24" s="1291" t="s">
        <v>576</v>
      </c>
      <c r="C24" s="1290" t="s">
        <v>44</v>
      </c>
      <c r="D24" s="1292">
        <v>0.2</v>
      </c>
      <c r="E24" s="1293">
        <v>2.4200549999999996</v>
      </c>
      <c r="F24" s="1294"/>
      <c r="G24" s="1295">
        <v>0.2</v>
      </c>
      <c r="H24" s="1296">
        <v>207.59</v>
      </c>
      <c r="I24" s="1296">
        <v>41.518000000000001</v>
      </c>
      <c r="J24" s="1375"/>
      <c r="K24" s="1375"/>
    </row>
    <row r="25" spans="1:11" s="1239" customFormat="1" ht="36" x14ac:dyDescent="0.25">
      <c r="A25" s="1290">
        <v>95879</v>
      </c>
      <c r="B25" s="1291" t="s">
        <v>789</v>
      </c>
      <c r="C25" s="1290" t="s">
        <v>42</v>
      </c>
      <c r="D25" s="1292"/>
      <c r="E25" s="1293"/>
      <c r="F25" s="1294">
        <v>30</v>
      </c>
      <c r="G25" s="1295">
        <v>14.52033</v>
      </c>
      <c r="H25" s="1296">
        <v>1.04</v>
      </c>
      <c r="I25" s="1296">
        <v>15.101143199999999</v>
      </c>
      <c r="J25" s="1375"/>
      <c r="K25" s="1375"/>
    </row>
    <row r="26" spans="1:11" s="1239" customFormat="1" ht="36" x14ac:dyDescent="0.25">
      <c r="A26" s="1290">
        <v>93599</v>
      </c>
      <c r="B26" s="1291" t="s">
        <v>788</v>
      </c>
      <c r="C26" s="1290" t="s">
        <v>42</v>
      </c>
      <c r="D26" s="1292"/>
      <c r="E26" s="1293"/>
      <c r="F26" s="1294">
        <v>27</v>
      </c>
      <c r="G26" s="1295">
        <v>13.068296999999999</v>
      </c>
      <c r="H26" s="1296">
        <v>0.41</v>
      </c>
      <c r="I26" s="1296">
        <v>5.3580017699999996</v>
      </c>
      <c r="J26" s="1375"/>
      <c r="K26" s="1375"/>
    </row>
    <row r="27" spans="1:11" s="1239" customFormat="1" ht="24" x14ac:dyDescent="0.25">
      <c r="A27" s="1290">
        <v>100943</v>
      </c>
      <c r="B27" s="1291" t="s">
        <v>786</v>
      </c>
      <c r="C27" s="1290" t="s">
        <v>42</v>
      </c>
      <c r="D27" s="1292"/>
      <c r="E27" s="1293"/>
      <c r="F27" s="1294">
        <v>1</v>
      </c>
      <c r="G27" s="1295">
        <v>0.48401099999999997</v>
      </c>
      <c r="H27" s="1296">
        <v>3.1</v>
      </c>
      <c r="I27" s="1296">
        <v>1.5004340999999999</v>
      </c>
      <c r="J27" s="1375"/>
      <c r="K27" s="1375"/>
    </row>
    <row r="28" spans="1:11" s="1248" customFormat="1" x14ac:dyDescent="0.25">
      <c r="A28" s="1283"/>
      <c r="B28" s="1284" t="s">
        <v>1813</v>
      </c>
      <c r="C28" s="1283" t="s">
        <v>21</v>
      </c>
      <c r="D28" s="1285"/>
      <c r="E28" s="1286"/>
      <c r="F28" s="1287"/>
      <c r="G28" s="1288"/>
      <c r="H28" s="1289" t="s">
        <v>21</v>
      </c>
      <c r="I28" s="1289" t="s">
        <v>21</v>
      </c>
      <c r="J28" s="1377"/>
      <c r="K28" s="1377"/>
    </row>
    <row r="29" spans="1:11" s="1239" customFormat="1" ht="24" x14ac:dyDescent="0.25">
      <c r="A29" s="1290">
        <v>100577</v>
      </c>
      <c r="B29" s="1291" t="s">
        <v>635</v>
      </c>
      <c r="C29" s="1290" t="s">
        <v>51</v>
      </c>
      <c r="D29" s="1292"/>
      <c r="E29" s="1293"/>
      <c r="F29" s="1294"/>
      <c r="G29" s="1295">
        <v>1</v>
      </c>
      <c r="H29" s="1296">
        <v>0.77</v>
      </c>
      <c r="I29" s="1296">
        <v>0.77</v>
      </c>
      <c r="J29" s="1375"/>
      <c r="K29" s="1375"/>
    </row>
    <row r="30" spans="1:11" s="1239" customFormat="1" x14ac:dyDescent="0.25">
      <c r="A30" s="1249"/>
      <c r="B30" s="1239" t="s">
        <v>21</v>
      </c>
      <c r="C30" s="1249" t="s">
        <v>21</v>
      </c>
      <c r="D30" s="1250"/>
      <c r="E30" s="1251"/>
      <c r="F30" s="1252"/>
      <c r="G30" s="1253"/>
      <c r="H30" s="1254" t="s">
        <v>21</v>
      </c>
      <c r="I30" s="1254" t="s">
        <v>21</v>
      </c>
      <c r="J30" s="1375"/>
      <c r="K30" s="1375"/>
    </row>
    <row r="31" spans="1:11" s="1241" customFormat="1" ht="15.75" x14ac:dyDescent="0.25">
      <c r="A31" s="1381"/>
      <c r="B31" s="1255" t="s">
        <v>3320</v>
      </c>
      <c r="C31" s="1255"/>
      <c r="D31" s="1256"/>
      <c r="E31" s="1257"/>
      <c r="F31" s="1258"/>
      <c r="G31" s="1259"/>
      <c r="H31" s="1260"/>
      <c r="I31" s="1261">
        <v>48.898664482932837</v>
      </c>
      <c r="J31" s="1383">
        <v>48.898664482932837</v>
      </c>
      <c r="K31" s="1376">
        <v>3</v>
      </c>
    </row>
    <row r="32" spans="1:11" s="1248" customFormat="1" x14ac:dyDescent="0.25">
      <c r="A32" s="1269"/>
      <c r="B32" s="1270" t="s">
        <v>3316</v>
      </c>
      <c r="C32" s="1269" t="s">
        <v>21</v>
      </c>
      <c r="D32" s="1271"/>
      <c r="E32" s="1272"/>
      <c r="F32" s="1273"/>
      <c r="G32" s="1274"/>
      <c r="H32" s="1275" t="s">
        <v>21</v>
      </c>
      <c r="I32" s="1275" t="s">
        <v>21</v>
      </c>
      <c r="J32" s="1377"/>
      <c r="K32" s="1377"/>
    </row>
    <row r="33" spans="1:11" s="1239" customFormat="1" ht="36" x14ac:dyDescent="0.25">
      <c r="A33" s="1276" t="s">
        <v>977</v>
      </c>
      <c r="B33" s="1277" t="s">
        <v>3339</v>
      </c>
      <c r="C33" s="1276" t="s">
        <v>44</v>
      </c>
      <c r="D33" s="1297">
        <v>3.5000000000000003E-2</v>
      </c>
      <c r="E33" s="1279">
        <v>2.5548000000000002</v>
      </c>
      <c r="F33" s="1280"/>
      <c r="G33" s="1298">
        <v>3.5000000000000003E-2</v>
      </c>
      <c r="H33" s="1282">
        <v>439.87080806479992</v>
      </c>
      <c r="I33" s="1282">
        <v>15.395478282267998</v>
      </c>
      <c r="J33" s="1375"/>
      <c r="K33" s="1375"/>
    </row>
    <row r="34" spans="1:11" s="1239" customFormat="1" ht="24" x14ac:dyDescent="0.25">
      <c r="A34" s="1276">
        <v>101003</v>
      </c>
      <c r="B34" s="1277" t="s">
        <v>768</v>
      </c>
      <c r="C34" s="1276" t="s">
        <v>55</v>
      </c>
      <c r="D34" s="1278"/>
      <c r="E34" s="1279"/>
      <c r="F34" s="1280"/>
      <c r="G34" s="1281">
        <v>8.9418000000000011E-2</v>
      </c>
      <c r="H34" s="1282">
        <v>4.91</v>
      </c>
      <c r="I34" s="1282">
        <v>0.43904238000000007</v>
      </c>
      <c r="J34" s="1375"/>
      <c r="K34" s="1375"/>
    </row>
    <row r="35" spans="1:11" s="1239" customFormat="1" ht="24" x14ac:dyDescent="0.25">
      <c r="A35" s="1276">
        <v>100943</v>
      </c>
      <c r="B35" s="1277" t="s">
        <v>786</v>
      </c>
      <c r="C35" s="1276" t="s">
        <v>42</v>
      </c>
      <c r="D35" s="1278"/>
      <c r="E35" s="1279"/>
      <c r="F35" s="1280">
        <v>1</v>
      </c>
      <c r="G35" s="1281">
        <v>8.9418000000000011E-2</v>
      </c>
      <c r="H35" s="1282">
        <v>3.1</v>
      </c>
      <c r="I35" s="1282">
        <v>0.27719580000000005</v>
      </c>
      <c r="J35" s="1375"/>
      <c r="K35" s="1375"/>
    </row>
    <row r="36" spans="1:11" s="1248" customFormat="1" ht="24" x14ac:dyDescent="0.25">
      <c r="A36" s="1269"/>
      <c r="B36" s="1270" t="s">
        <v>3321</v>
      </c>
      <c r="C36" s="1269" t="s">
        <v>21</v>
      </c>
      <c r="D36" s="1271"/>
      <c r="E36" s="1272"/>
      <c r="F36" s="1273"/>
      <c r="G36" s="1274"/>
      <c r="H36" s="1275" t="s">
        <v>21</v>
      </c>
      <c r="I36" s="1275" t="s">
        <v>21</v>
      </c>
      <c r="J36" s="1377"/>
      <c r="K36" s="1377"/>
    </row>
    <row r="37" spans="1:11" s="1239" customFormat="1" x14ac:dyDescent="0.25">
      <c r="A37" s="1276" t="s">
        <v>3333</v>
      </c>
      <c r="B37" s="1277" t="s">
        <v>3334</v>
      </c>
      <c r="C37" s="1276" t="s">
        <v>55</v>
      </c>
      <c r="D37" s="1278"/>
      <c r="E37" s="1279">
        <v>0.14460168000000001</v>
      </c>
      <c r="F37" s="1280"/>
      <c r="G37" s="1281">
        <v>5.0610588000000005E-3</v>
      </c>
      <c r="H37" s="1282">
        <v>4295.6099999999997</v>
      </c>
      <c r="I37" s="1282">
        <v>21.740334791868001</v>
      </c>
      <c r="J37" s="1375"/>
      <c r="K37" s="1375"/>
    </row>
    <row r="38" spans="1:11" s="1239" customFormat="1" ht="36" x14ac:dyDescent="0.25">
      <c r="A38" s="1276">
        <v>95879</v>
      </c>
      <c r="B38" s="1277" t="s">
        <v>789</v>
      </c>
      <c r="C38" s="1276" t="s">
        <v>42</v>
      </c>
      <c r="D38" s="1278"/>
      <c r="E38" s="1279">
        <v>1.113713964</v>
      </c>
      <c r="F38" s="1280">
        <v>30</v>
      </c>
      <c r="G38" s="1281">
        <v>3.8979988740000006E-2</v>
      </c>
      <c r="H38" s="1282">
        <v>1.04</v>
      </c>
      <c r="I38" s="1282">
        <v>4.0539188289600007E-2</v>
      </c>
      <c r="J38" s="1375"/>
      <c r="K38" s="1375"/>
    </row>
    <row r="39" spans="1:11" s="1239" customFormat="1" ht="36" x14ac:dyDescent="0.25">
      <c r="A39" s="1276">
        <v>93599</v>
      </c>
      <c r="B39" s="1277" t="s">
        <v>788</v>
      </c>
      <c r="C39" s="1276" t="s">
        <v>42</v>
      </c>
      <c r="D39" s="1278"/>
      <c r="E39" s="1279">
        <v>1.113713964</v>
      </c>
      <c r="F39" s="1280">
        <v>27</v>
      </c>
      <c r="G39" s="1281">
        <v>3.8979988740000006E-2</v>
      </c>
      <c r="H39" s="1282">
        <v>0.41</v>
      </c>
      <c r="I39" s="1282">
        <v>1.5981795383400003E-2</v>
      </c>
      <c r="J39" s="1375"/>
      <c r="K39" s="1375"/>
    </row>
    <row r="40" spans="1:11" s="1248" customFormat="1" x14ac:dyDescent="0.25">
      <c r="A40" s="1269"/>
      <c r="B40" s="1270" t="s">
        <v>1685</v>
      </c>
      <c r="C40" s="1269" t="s">
        <v>21</v>
      </c>
      <c r="D40" s="1271"/>
      <c r="E40" s="1272"/>
      <c r="F40" s="1273"/>
      <c r="G40" s="1274"/>
      <c r="H40" s="1275" t="s">
        <v>21</v>
      </c>
      <c r="I40" s="1275" t="s">
        <v>21</v>
      </c>
      <c r="J40" s="1377"/>
      <c r="K40" s="1377"/>
    </row>
    <row r="41" spans="1:11" s="1239" customFormat="1" ht="24" x14ac:dyDescent="0.25">
      <c r="A41" s="1276" t="s">
        <v>949</v>
      </c>
      <c r="B41" s="1277" t="s">
        <v>3346</v>
      </c>
      <c r="C41" s="1276" t="s">
        <v>51</v>
      </c>
      <c r="D41" s="1278"/>
      <c r="E41" s="1279"/>
      <c r="F41" s="1280"/>
      <c r="G41" s="1281">
        <v>1</v>
      </c>
      <c r="H41" s="1282">
        <v>0.95611000000000002</v>
      </c>
      <c r="I41" s="1282">
        <v>0.95611000000000002</v>
      </c>
      <c r="J41" s="1375"/>
      <c r="K41" s="1375"/>
    </row>
    <row r="42" spans="1:11" s="1239" customFormat="1" ht="36" x14ac:dyDescent="0.25">
      <c r="A42" s="1276" t="s">
        <v>3325</v>
      </c>
      <c r="B42" s="1277" t="s">
        <v>3326</v>
      </c>
      <c r="C42" s="1276" t="s">
        <v>55</v>
      </c>
      <c r="D42" s="1278"/>
      <c r="E42" s="1299">
        <v>1.1999999999999999E-3</v>
      </c>
      <c r="F42" s="1280"/>
      <c r="G42" s="1300">
        <v>1.1999999999999999E-3</v>
      </c>
      <c r="H42" s="1282">
        <v>2973.15</v>
      </c>
      <c r="I42" s="1282">
        <v>3.56778</v>
      </c>
      <c r="J42" s="1375"/>
      <c r="K42" s="1375"/>
    </row>
    <row r="43" spans="1:11" s="1239" customFormat="1" ht="36" x14ac:dyDescent="0.25">
      <c r="A43" s="1276">
        <v>100969</v>
      </c>
      <c r="B43" s="1277" t="s">
        <v>798</v>
      </c>
      <c r="C43" s="1276" t="s">
        <v>42</v>
      </c>
      <c r="D43" s="1278"/>
      <c r="E43" s="1279"/>
      <c r="F43" s="1280">
        <v>1</v>
      </c>
      <c r="G43" s="1300">
        <v>1.1999999999999999E-3</v>
      </c>
      <c r="H43" s="1282">
        <v>1.7</v>
      </c>
      <c r="I43" s="1282">
        <v>2.0399999999999997E-3</v>
      </c>
      <c r="J43" s="1375"/>
      <c r="K43" s="1375"/>
    </row>
    <row r="44" spans="1:11" s="1248" customFormat="1" x14ac:dyDescent="0.25">
      <c r="A44" s="1269"/>
      <c r="B44" s="1270" t="s">
        <v>963</v>
      </c>
      <c r="C44" s="1269" t="s">
        <v>21</v>
      </c>
      <c r="D44" s="1271"/>
      <c r="E44" s="1272"/>
      <c r="F44" s="1273"/>
      <c r="G44" s="1274"/>
      <c r="H44" s="1275" t="s">
        <v>21</v>
      </c>
      <c r="I44" s="1275" t="s">
        <v>21</v>
      </c>
      <c r="J44" s="1377"/>
      <c r="K44" s="1377"/>
    </row>
    <row r="45" spans="1:11" s="1239" customFormat="1" ht="48" x14ac:dyDescent="0.25">
      <c r="A45" s="1276">
        <v>96388</v>
      </c>
      <c r="B45" s="1277" t="s">
        <v>580</v>
      </c>
      <c r="C45" s="1276" t="s">
        <v>44</v>
      </c>
      <c r="D45" s="1278">
        <v>0.15</v>
      </c>
      <c r="E45" s="1279"/>
      <c r="F45" s="1280"/>
      <c r="G45" s="1281">
        <v>0.15</v>
      </c>
      <c r="H45" s="1282">
        <v>7.79</v>
      </c>
      <c r="I45" s="1282">
        <v>1.1684999999999999</v>
      </c>
      <c r="J45" s="1375"/>
      <c r="K45" s="1375"/>
    </row>
    <row r="46" spans="1:11" s="1239" customFormat="1" ht="48" x14ac:dyDescent="0.25">
      <c r="A46" s="1276">
        <v>100995</v>
      </c>
      <c r="B46" s="1277" t="s">
        <v>773</v>
      </c>
      <c r="C46" s="1276" t="s">
        <v>55</v>
      </c>
      <c r="D46" s="1278"/>
      <c r="E46" s="1279">
        <v>1.3653840557275541</v>
      </c>
      <c r="F46" s="1280"/>
      <c r="G46" s="1281">
        <v>0.20480760835913311</v>
      </c>
      <c r="H46" s="1282">
        <v>3.11</v>
      </c>
      <c r="I46" s="1282">
        <v>0.63695166199690401</v>
      </c>
      <c r="J46" s="1375"/>
      <c r="K46" s="1375"/>
    </row>
    <row r="47" spans="1:11" s="1239" customFormat="1" ht="24" x14ac:dyDescent="0.25">
      <c r="A47" s="1276">
        <v>100943</v>
      </c>
      <c r="B47" s="1277" t="s">
        <v>786</v>
      </c>
      <c r="C47" s="1276" t="s">
        <v>42</v>
      </c>
      <c r="D47" s="1278"/>
      <c r="E47" s="1279"/>
      <c r="F47" s="1280">
        <v>1</v>
      </c>
      <c r="G47" s="1281">
        <v>0.20480760835913311</v>
      </c>
      <c r="H47" s="1282">
        <v>3.1</v>
      </c>
      <c r="I47" s="1282">
        <v>0.63490358591331264</v>
      </c>
      <c r="J47" s="1375"/>
      <c r="K47" s="1375"/>
    </row>
    <row r="48" spans="1:11" s="1248" customFormat="1" x14ac:dyDescent="0.25">
      <c r="A48" s="1269"/>
      <c r="B48" s="1270" t="s">
        <v>1679</v>
      </c>
      <c r="C48" s="1269" t="s">
        <v>21</v>
      </c>
      <c r="D48" s="1271"/>
      <c r="E48" s="1272"/>
      <c r="F48" s="1273"/>
      <c r="G48" s="1274"/>
      <c r="H48" s="1275" t="s">
        <v>21</v>
      </c>
      <c r="I48" s="1275" t="s">
        <v>21</v>
      </c>
      <c r="J48" s="1377"/>
      <c r="K48" s="1377"/>
    </row>
    <row r="49" spans="1:11" s="1239" customFormat="1" ht="48" x14ac:dyDescent="0.25">
      <c r="A49" s="1276">
        <v>96388</v>
      </c>
      <c r="B49" s="1277" t="s">
        <v>580</v>
      </c>
      <c r="C49" s="1276" t="s">
        <v>44</v>
      </c>
      <c r="D49" s="1278">
        <v>0.2</v>
      </c>
      <c r="E49" s="1279"/>
      <c r="F49" s="1280"/>
      <c r="G49" s="1281">
        <v>0.2</v>
      </c>
      <c r="H49" s="1282">
        <v>7.79</v>
      </c>
      <c r="I49" s="1282">
        <v>1.5580000000000001</v>
      </c>
      <c r="J49" s="1375"/>
      <c r="K49" s="1375"/>
    </row>
    <row r="50" spans="1:11" s="1239" customFormat="1" ht="48" x14ac:dyDescent="0.25">
      <c r="A50" s="1276">
        <v>100995</v>
      </c>
      <c r="B50" s="1277" t="s">
        <v>773</v>
      </c>
      <c r="C50" s="1276" t="s">
        <v>55</v>
      </c>
      <c r="D50" s="1278"/>
      <c r="E50" s="1279">
        <v>1.3653840557275541</v>
      </c>
      <c r="F50" s="1280"/>
      <c r="G50" s="1281">
        <v>0.2730768111455108</v>
      </c>
      <c r="H50" s="1282">
        <v>3.11</v>
      </c>
      <c r="I50" s="1282">
        <v>0.84926888266253853</v>
      </c>
      <c r="J50" s="1375"/>
      <c r="K50" s="1375"/>
    </row>
    <row r="51" spans="1:11" s="1239" customFormat="1" ht="24" x14ac:dyDescent="0.25">
      <c r="A51" s="1276">
        <v>100943</v>
      </c>
      <c r="B51" s="1277" t="s">
        <v>786</v>
      </c>
      <c r="C51" s="1276" t="s">
        <v>42</v>
      </c>
      <c r="D51" s="1278"/>
      <c r="E51" s="1279"/>
      <c r="F51" s="1280">
        <v>1</v>
      </c>
      <c r="G51" s="1281">
        <v>0.2730768111455108</v>
      </c>
      <c r="H51" s="1282">
        <v>3.1</v>
      </c>
      <c r="I51" s="1282">
        <v>0.84653811455108352</v>
      </c>
      <c r="J51" s="1375"/>
      <c r="K51" s="1375"/>
    </row>
    <row r="52" spans="1:11" s="1248" customFormat="1" x14ac:dyDescent="0.25">
      <c r="A52" s="1269"/>
      <c r="B52" s="1270" t="s">
        <v>1813</v>
      </c>
      <c r="C52" s="1269" t="s">
        <v>21</v>
      </c>
      <c r="D52" s="1271"/>
      <c r="E52" s="1272"/>
      <c r="F52" s="1273"/>
      <c r="G52" s="1274"/>
      <c r="H52" s="1275" t="s">
        <v>21</v>
      </c>
      <c r="I52" s="1275" t="s">
        <v>21</v>
      </c>
      <c r="J52" s="1377"/>
      <c r="K52" s="1377"/>
    </row>
    <row r="53" spans="1:11" s="1239" customFormat="1" ht="24" x14ac:dyDescent="0.25">
      <c r="A53" s="1276">
        <v>100577</v>
      </c>
      <c r="B53" s="1277" t="s">
        <v>635</v>
      </c>
      <c r="C53" s="1276" t="s">
        <v>51</v>
      </c>
      <c r="D53" s="1278"/>
      <c r="E53" s="1279"/>
      <c r="F53" s="1280"/>
      <c r="G53" s="1281">
        <v>1</v>
      </c>
      <c r="H53" s="1282">
        <v>0.77</v>
      </c>
      <c r="I53" s="1282">
        <v>0.77</v>
      </c>
      <c r="J53" s="1375"/>
      <c r="K53" s="1375"/>
    </row>
    <row r="54" spans="1:11" s="1239" customFormat="1" x14ac:dyDescent="0.25">
      <c r="A54" s="1249"/>
      <c r="B54" s="1239" t="s">
        <v>21</v>
      </c>
      <c r="C54" s="1249" t="s">
        <v>21</v>
      </c>
      <c r="D54" s="1250"/>
      <c r="E54" s="1251"/>
      <c r="F54" s="1252"/>
      <c r="G54" s="1253"/>
      <c r="H54" s="1254" t="s">
        <v>21</v>
      </c>
      <c r="I54" s="1254" t="s">
        <v>21</v>
      </c>
      <c r="J54" s="1375"/>
      <c r="K54" s="1375"/>
    </row>
    <row r="55" spans="1:11" x14ac:dyDescent="0.25">
      <c r="B55" s="1206" t="s">
        <v>21</v>
      </c>
      <c r="C55" s="1223" t="s">
        <v>21</v>
      </c>
    </row>
    <row r="56" spans="1:11" x14ac:dyDescent="0.25">
      <c r="B56" s="1206" t="s">
        <v>21</v>
      </c>
      <c r="C56" s="1223" t="s">
        <v>21</v>
      </c>
    </row>
  </sheetData>
  <printOptions horizontalCentered="1"/>
  <pageMargins left="0.78740157480314965" right="0.59055118110236227" top="0.78740157480314965" bottom="0.78740157480314965" header="0.59055118110236227" footer="0.59055118110236227"/>
  <pageSetup paperSize="9" scale="53" fitToHeight="0"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277BD-F06E-4054-81E3-15C6E1AB2656}">
  <sheetPr>
    <tabColor theme="1"/>
    <pageSetUpPr fitToPage="1"/>
  </sheetPr>
  <dimension ref="A2:K85"/>
  <sheetViews>
    <sheetView tabSelected="1" workbookViewId="0">
      <selection activeCell="N18" sqref="N18"/>
    </sheetView>
  </sheetViews>
  <sheetFormatPr defaultColWidth="9.140625" defaultRowHeight="12" x14ac:dyDescent="0.25"/>
  <cols>
    <col min="1" max="1" width="10.7109375" style="1223" customWidth="1"/>
    <col min="2" max="2" width="50.7109375" style="1206" customWidth="1"/>
    <col min="3" max="3" width="8.7109375" style="1223" customWidth="1"/>
    <col min="4" max="4" width="15.7109375" style="1238" customWidth="1"/>
    <col min="5" max="5" width="15.7109375" style="1235" customWidth="1"/>
    <col min="6" max="6" width="15.7109375" style="1236" customWidth="1"/>
    <col min="7" max="7" width="15.7109375" style="1237" customWidth="1"/>
    <col min="8" max="9" width="15.7109375" style="1207" customWidth="1"/>
    <col min="10" max="10" width="16.42578125" style="1373" bestFit="1" customWidth="1"/>
    <col min="11" max="11" width="9.140625" style="1373"/>
    <col min="12" max="16384" width="9.140625" style="1206"/>
  </cols>
  <sheetData>
    <row r="2" spans="1:11" x14ac:dyDescent="0.25">
      <c r="A2" s="1205" t="s">
        <v>3313</v>
      </c>
      <c r="C2" s="1206"/>
      <c r="H2" s="1406" t="s">
        <v>3344</v>
      </c>
      <c r="I2" s="1407">
        <v>44405</v>
      </c>
    </row>
    <row r="3" spans="1:11" x14ac:dyDescent="0.25">
      <c r="A3" s="1234" t="s">
        <v>153</v>
      </c>
      <c r="B3" s="1205" t="s">
        <v>3501</v>
      </c>
      <c r="C3" s="1206"/>
      <c r="H3" s="1406" t="s">
        <v>3345</v>
      </c>
      <c r="I3" s="1406" t="s">
        <v>3500</v>
      </c>
    </row>
    <row r="4" spans="1:11" x14ac:dyDescent="0.25">
      <c r="A4" s="1234" t="s">
        <v>154</v>
      </c>
      <c r="B4" s="1205" t="s">
        <v>1527</v>
      </c>
      <c r="C4" s="1206"/>
    </row>
    <row r="5" spans="1:11" x14ac:dyDescent="0.25">
      <c r="A5" s="1234" t="s">
        <v>155</v>
      </c>
      <c r="B5" s="1205" t="s">
        <v>1528</v>
      </c>
      <c r="C5" s="1206"/>
    </row>
    <row r="6" spans="1:11" ht="18.75" x14ac:dyDescent="0.25">
      <c r="A6" s="94" t="s">
        <v>1804</v>
      </c>
      <c r="B6" s="94"/>
      <c r="C6" s="94"/>
      <c r="D6" s="1409"/>
      <c r="E6" s="1410"/>
      <c r="F6" s="1411"/>
      <c r="G6" s="95"/>
      <c r="H6" s="95"/>
      <c r="I6" s="95"/>
    </row>
    <row r="7" spans="1:11" x14ac:dyDescent="0.25">
      <c r="A7" s="1359" t="s">
        <v>0</v>
      </c>
      <c r="B7" s="1360" t="s">
        <v>144</v>
      </c>
      <c r="C7" s="1360" t="s">
        <v>1</v>
      </c>
      <c r="D7" s="1361" t="s">
        <v>3317</v>
      </c>
      <c r="E7" s="1362" t="s">
        <v>2447</v>
      </c>
      <c r="F7" s="1363" t="s">
        <v>288</v>
      </c>
      <c r="G7" s="1364" t="s">
        <v>449</v>
      </c>
      <c r="H7" s="1364" t="s">
        <v>3315</v>
      </c>
      <c r="I7" s="1365" t="s">
        <v>84</v>
      </c>
    </row>
    <row r="8" spans="1:11" s="1240" customFormat="1" ht="18.75" x14ac:dyDescent="0.25">
      <c r="A8" s="1385"/>
      <c r="B8" s="1385" t="s">
        <v>3332</v>
      </c>
      <c r="C8" s="1385" t="s">
        <v>21</v>
      </c>
      <c r="D8" s="1386"/>
      <c r="E8" s="1387"/>
      <c r="F8" s="1388"/>
      <c r="G8" s="1389"/>
      <c r="H8" s="1390" t="s">
        <v>3342</v>
      </c>
      <c r="I8" s="1391">
        <v>1</v>
      </c>
      <c r="J8" s="1374">
        <v>77.356157510984247</v>
      </c>
      <c r="K8" s="1374"/>
    </row>
    <row r="9" spans="1:11" s="1239" customFormat="1" x14ac:dyDescent="0.25">
      <c r="A9" s="1249"/>
      <c r="B9" s="1239" t="s">
        <v>21</v>
      </c>
      <c r="C9" s="1249" t="s">
        <v>21</v>
      </c>
      <c r="D9" s="1250"/>
      <c r="E9" s="1251"/>
      <c r="F9" s="1252"/>
      <c r="G9" s="1253"/>
      <c r="H9" s="1254" t="s">
        <v>21</v>
      </c>
      <c r="I9" s="1254" t="s">
        <v>21</v>
      </c>
      <c r="J9" s="1375"/>
      <c r="K9" s="1375"/>
    </row>
    <row r="10" spans="1:11" s="1326" customFormat="1" ht="15.75" x14ac:dyDescent="0.25">
      <c r="B10" s="1326" t="s">
        <v>3314</v>
      </c>
      <c r="C10" s="1326" t="s">
        <v>21</v>
      </c>
      <c r="D10" s="1327"/>
      <c r="E10" s="1328"/>
      <c r="F10" s="1329"/>
      <c r="G10" s="1330"/>
      <c r="H10" s="1331"/>
      <c r="I10" s="1332">
        <v>77.356157510984247</v>
      </c>
      <c r="J10" s="1384">
        <v>77.356157510984247</v>
      </c>
      <c r="K10" s="1378">
        <v>1</v>
      </c>
    </row>
    <row r="11" spans="1:11" s="1340" customFormat="1" x14ac:dyDescent="0.25">
      <c r="A11" s="1333"/>
      <c r="B11" s="1334" t="s">
        <v>3316</v>
      </c>
      <c r="C11" s="1333" t="s">
        <v>21</v>
      </c>
      <c r="D11" s="1335"/>
      <c r="E11" s="1336"/>
      <c r="F11" s="1337"/>
      <c r="G11" s="1338"/>
      <c r="H11" s="1339" t="s">
        <v>21</v>
      </c>
      <c r="I11" s="1339" t="s">
        <v>21</v>
      </c>
      <c r="J11" s="1379"/>
      <c r="K11" s="1379"/>
    </row>
    <row r="12" spans="1:11" s="1348" customFormat="1" ht="36" x14ac:dyDescent="0.25">
      <c r="A12" s="1341" t="s">
        <v>977</v>
      </c>
      <c r="B12" s="1342" t="s">
        <v>3339</v>
      </c>
      <c r="C12" s="1341" t="s">
        <v>44</v>
      </c>
      <c r="D12" s="1343">
        <v>5.5E-2</v>
      </c>
      <c r="E12" s="1344">
        <v>2.5548000000000002</v>
      </c>
      <c r="F12" s="1345"/>
      <c r="G12" s="1346">
        <v>5.5E-2</v>
      </c>
      <c r="H12" s="1347">
        <v>439.87080806479992</v>
      </c>
      <c r="I12" s="1347">
        <v>24.192894443563997</v>
      </c>
      <c r="J12" s="1380"/>
      <c r="K12" s="1380"/>
    </row>
    <row r="13" spans="1:11" s="1348" customFormat="1" ht="24" x14ac:dyDescent="0.25">
      <c r="A13" s="1341">
        <v>101003</v>
      </c>
      <c r="B13" s="1342" t="s">
        <v>768</v>
      </c>
      <c r="C13" s="1341" t="s">
        <v>55</v>
      </c>
      <c r="D13" s="1349"/>
      <c r="E13" s="1344"/>
      <c r="F13" s="1345"/>
      <c r="G13" s="1350">
        <v>0.140514</v>
      </c>
      <c r="H13" s="1347">
        <v>4.91</v>
      </c>
      <c r="I13" s="1347">
        <v>0.68992374000000001</v>
      </c>
      <c r="J13" s="1380"/>
      <c r="K13" s="1380"/>
    </row>
    <row r="14" spans="1:11" s="1348" customFormat="1" ht="24" x14ac:dyDescent="0.25">
      <c r="A14" s="1341">
        <v>100943</v>
      </c>
      <c r="B14" s="1342" t="s">
        <v>786</v>
      </c>
      <c r="C14" s="1341" t="s">
        <v>42</v>
      </c>
      <c r="D14" s="1349"/>
      <c r="E14" s="1344"/>
      <c r="F14" s="1345">
        <v>1</v>
      </c>
      <c r="G14" s="1350">
        <v>0.140514</v>
      </c>
      <c r="H14" s="1347">
        <v>3.1</v>
      </c>
      <c r="I14" s="1347">
        <v>0.43559340000000002</v>
      </c>
      <c r="J14" s="1380"/>
      <c r="K14" s="1380"/>
    </row>
    <row r="15" spans="1:11" s="1340" customFormat="1" ht="24" x14ac:dyDescent="0.25">
      <c r="A15" s="1333"/>
      <c r="B15" s="1334" t="s">
        <v>3321</v>
      </c>
      <c r="C15" s="1333" t="s">
        <v>21</v>
      </c>
      <c r="D15" s="1335"/>
      <c r="E15" s="1336"/>
      <c r="F15" s="1337"/>
      <c r="G15" s="1338"/>
      <c r="H15" s="1339" t="s">
        <v>21</v>
      </c>
      <c r="I15" s="1339" t="s">
        <v>21</v>
      </c>
      <c r="J15" s="1379"/>
      <c r="K15" s="1379"/>
    </row>
    <row r="16" spans="1:11" s="1348" customFormat="1" x14ac:dyDescent="0.25">
      <c r="A16" s="1341" t="s">
        <v>3333</v>
      </c>
      <c r="B16" s="1342" t="s">
        <v>3334</v>
      </c>
      <c r="C16" s="1341" t="s">
        <v>55</v>
      </c>
      <c r="D16" s="1349"/>
      <c r="E16" s="1344">
        <v>0.14460168000000001</v>
      </c>
      <c r="F16" s="1345"/>
      <c r="G16" s="1350">
        <v>7.9530924000000003E-3</v>
      </c>
      <c r="H16" s="1347">
        <v>4295.6099999999997</v>
      </c>
      <c r="I16" s="1347">
        <v>34.163383244363999</v>
      </c>
      <c r="J16" s="1380"/>
      <c r="K16" s="1380"/>
    </row>
    <row r="17" spans="1:11" s="1348" customFormat="1" ht="36" x14ac:dyDescent="0.25">
      <c r="A17" s="1341">
        <v>95879</v>
      </c>
      <c r="B17" s="1342" t="s">
        <v>789</v>
      </c>
      <c r="C17" s="1341" t="s">
        <v>42</v>
      </c>
      <c r="D17" s="1349"/>
      <c r="E17" s="1344">
        <v>1.113713964</v>
      </c>
      <c r="F17" s="1345">
        <v>30</v>
      </c>
      <c r="G17" s="1350">
        <v>6.1254268020000002E-2</v>
      </c>
      <c r="H17" s="1347">
        <v>1.04</v>
      </c>
      <c r="I17" s="1347">
        <v>6.3704438740800007E-2</v>
      </c>
      <c r="J17" s="1380"/>
      <c r="K17" s="1380"/>
    </row>
    <row r="18" spans="1:11" s="1348" customFormat="1" ht="36" x14ac:dyDescent="0.25">
      <c r="A18" s="1341">
        <v>93599</v>
      </c>
      <c r="B18" s="1342" t="s">
        <v>788</v>
      </c>
      <c r="C18" s="1341" t="s">
        <v>42</v>
      </c>
      <c r="D18" s="1349"/>
      <c r="E18" s="1344">
        <v>1.113713964</v>
      </c>
      <c r="F18" s="1345">
        <v>27</v>
      </c>
      <c r="G18" s="1350">
        <v>6.1254268020000002E-2</v>
      </c>
      <c r="H18" s="1347">
        <v>0.41</v>
      </c>
      <c r="I18" s="1347">
        <v>2.5114249888199998E-2</v>
      </c>
      <c r="J18" s="1380"/>
      <c r="K18" s="1380"/>
    </row>
    <row r="19" spans="1:11" s="1340" customFormat="1" x14ac:dyDescent="0.25">
      <c r="A19" s="1333"/>
      <c r="B19" s="1334" t="s">
        <v>1685</v>
      </c>
      <c r="C19" s="1333" t="s">
        <v>21</v>
      </c>
      <c r="D19" s="1335"/>
      <c r="E19" s="1336"/>
      <c r="F19" s="1337"/>
      <c r="G19" s="1338"/>
      <c r="H19" s="1339" t="s">
        <v>21</v>
      </c>
      <c r="I19" s="1339" t="s">
        <v>21</v>
      </c>
      <c r="J19" s="1379"/>
      <c r="K19" s="1379"/>
    </row>
    <row r="20" spans="1:11" s="1348" customFormat="1" ht="24" x14ac:dyDescent="0.25">
      <c r="A20" s="1341" t="s">
        <v>949</v>
      </c>
      <c r="B20" s="1342" t="s">
        <v>3346</v>
      </c>
      <c r="C20" s="1341" t="s">
        <v>51</v>
      </c>
      <c r="D20" s="1349"/>
      <c r="E20" s="1344"/>
      <c r="F20" s="1345"/>
      <c r="G20" s="1350">
        <v>1</v>
      </c>
      <c r="H20" s="1347">
        <v>0.95611000000000002</v>
      </c>
      <c r="I20" s="1347">
        <v>0.95611000000000002</v>
      </c>
      <c r="J20" s="1380"/>
      <c r="K20" s="1380"/>
    </row>
    <row r="21" spans="1:11" s="1348" customFormat="1" ht="36" x14ac:dyDescent="0.25">
      <c r="A21" s="1341" t="s">
        <v>3325</v>
      </c>
      <c r="B21" s="1342" t="s">
        <v>3326</v>
      </c>
      <c r="C21" s="1341" t="s">
        <v>55</v>
      </c>
      <c r="D21" s="1349"/>
      <c r="E21" s="1351">
        <v>1.1999999999999999E-3</v>
      </c>
      <c r="F21" s="1345"/>
      <c r="G21" s="1352">
        <v>1.1999999999999999E-3</v>
      </c>
      <c r="H21" s="1347">
        <v>2973.15</v>
      </c>
      <c r="I21" s="1347">
        <v>3.56778</v>
      </c>
      <c r="J21" s="1380"/>
      <c r="K21" s="1380"/>
    </row>
    <row r="22" spans="1:11" s="1348" customFormat="1" ht="36" x14ac:dyDescent="0.25">
      <c r="A22" s="1341">
        <v>100969</v>
      </c>
      <c r="B22" s="1342" t="s">
        <v>798</v>
      </c>
      <c r="C22" s="1341" t="s">
        <v>42</v>
      </c>
      <c r="D22" s="1349"/>
      <c r="E22" s="1344"/>
      <c r="F22" s="1345">
        <v>1</v>
      </c>
      <c r="G22" s="1352">
        <v>1.1999999999999999E-3</v>
      </c>
      <c r="H22" s="1347">
        <v>1.7</v>
      </c>
      <c r="I22" s="1347">
        <v>2.0399999999999997E-3</v>
      </c>
      <c r="J22" s="1380"/>
      <c r="K22" s="1380"/>
    </row>
    <row r="23" spans="1:11" s="1340" customFormat="1" x14ac:dyDescent="0.25">
      <c r="A23" s="1333"/>
      <c r="B23" s="1334" t="s">
        <v>963</v>
      </c>
      <c r="C23" s="1333" t="s">
        <v>21</v>
      </c>
      <c r="D23" s="1335"/>
      <c r="E23" s="1336"/>
      <c r="F23" s="1337"/>
      <c r="G23" s="1338"/>
      <c r="H23" s="1339" t="s">
        <v>21</v>
      </c>
      <c r="I23" s="1339" t="s">
        <v>21</v>
      </c>
      <c r="J23" s="1379"/>
      <c r="K23" s="1379"/>
    </row>
    <row r="24" spans="1:11" s="1348" customFormat="1" ht="48" x14ac:dyDescent="0.25">
      <c r="A24" s="1341">
        <v>96389</v>
      </c>
      <c r="B24" s="1342" t="s">
        <v>578</v>
      </c>
      <c r="C24" s="1341" t="s">
        <v>44</v>
      </c>
      <c r="D24" s="1349">
        <v>0.2</v>
      </c>
      <c r="E24" s="1344"/>
      <c r="F24" s="1345"/>
      <c r="G24" s="1350">
        <v>0.2</v>
      </c>
      <c r="H24" s="1347">
        <v>37.700000000000003</v>
      </c>
      <c r="I24" s="1347">
        <v>7.5400000000000009</v>
      </c>
      <c r="J24" s="1380"/>
      <c r="K24" s="1380"/>
    </row>
    <row r="25" spans="1:11" s="1348" customFormat="1" ht="48" x14ac:dyDescent="0.25">
      <c r="A25" s="1341">
        <v>100995</v>
      </c>
      <c r="B25" s="1342" t="s">
        <v>773</v>
      </c>
      <c r="C25" s="1341" t="s">
        <v>55</v>
      </c>
      <c r="D25" s="1349"/>
      <c r="E25" s="1344">
        <v>1.3653840557275541</v>
      </c>
      <c r="F25" s="1345"/>
      <c r="G25" s="1350">
        <v>0.2730768111455108</v>
      </c>
      <c r="H25" s="1347">
        <v>3.11</v>
      </c>
      <c r="I25" s="1347">
        <v>0.84926888266253853</v>
      </c>
      <c r="J25" s="1380"/>
      <c r="K25" s="1380"/>
    </row>
    <row r="26" spans="1:11" s="1348" customFormat="1" ht="24" x14ac:dyDescent="0.25">
      <c r="A26" s="1341">
        <v>100943</v>
      </c>
      <c r="B26" s="1342" t="s">
        <v>786</v>
      </c>
      <c r="C26" s="1341" t="s">
        <v>42</v>
      </c>
      <c r="D26" s="1349"/>
      <c r="E26" s="1344"/>
      <c r="F26" s="1345">
        <v>1</v>
      </c>
      <c r="G26" s="1350">
        <v>0.2730768111455108</v>
      </c>
      <c r="H26" s="1347">
        <v>3.1</v>
      </c>
      <c r="I26" s="1347">
        <v>0.84653811455108352</v>
      </c>
      <c r="J26" s="1380"/>
      <c r="K26" s="1380"/>
    </row>
    <row r="27" spans="1:11" s="1340" customFormat="1" x14ac:dyDescent="0.25">
      <c r="A27" s="1333"/>
      <c r="B27" s="1334" t="s">
        <v>1679</v>
      </c>
      <c r="C27" s="1333" t="s">
        <v>21</v>
      </c>
      <c r="D27" s="1335"/>
      <c r="E27" s="1336"/>
      <c r="F27" s="1337"/>
      <c r="G27" s="1338"/>
      <c r="H27" s="1339" t="s">
        <v>21</v>
      </c>
      <c r="I27" s="1339" t="s">
        <v>21</v>
      </c>
      <c r="J27" s="1379"/>
      <c r="K27" s="1379"/>
    </row>
    <row r="28" spans="1:11" s="1348" customFormat="1" ht="48" x14ac:dyDescent="0.25">
      <c r="A28" s="1341">
        <v>96388</v>
      </c>
      <c r="B28" s="1342" t="s">
        <v>580</v>
      </c>
      <c r="C28" s="1341" t="s">
        <v>44</v>
      </c>
      <c r="D28" s="1349">
        <v>0.2</v>
      </c>
      <c r="E28" s="1344"/>
      <c r="F28" s="1345"/>
      <c r="G28" s="1350">
        <v>0.2</v>
      </c>
      <c r="H28" s="1347">
        <v>7.79</v>
      </c>
      <c r="I28" s="1347">
        <v>1.5580000000000001</v>
      </c>
      <c r="J28" s="1380"/>
      <c r="K28" s="1380"/>
    </row>
    <row r="29" spans="1:11" s="1348" customFormat="1" ht="48" x14ac:dyDescent="0.25">
      <c r="A29" s="1341">
        <v>100995</v>
      </c>
      <c r="B29" s="1342" t="s">
        <v>773</v>
      </c>
      <c r="C29" s="1341" t="s">
        <v>55</v>
      </c>
      <c r="D29" s="1349"/>
      <c r="E29" s="1344">
        <v>1.3653840557275541</v>
      </c>
      <c r="F29" s="1345"/>
      <c r="G29" s="1350">
        <v>0.2730768111455108</v>
      </c>
      <c r="H29" s="1347">
        <v>3.11</v>
      </c>
      <c r="I29" s="1347">
        <v>0.84926888266253853</v>
      </c>
      <c r="J29" s="1380"/>
      <c r="K29" s="1380"/>
    </row>
    <row r="30" spans="1:11" s="1348" customFormat="1" ht="24" x14ac:dyDescent="0.25">
      <c r="A30" s="1341">
        <v>100943</v>
      </c>
      <c r="B30" s="1342" t="s">
        <v>786</v>
      </c>
      <c r="C30" s="1341" t="s">
        <v>42</v>
      </c>
      <c r="D30" s="1349"/>
      <c r="E30" s="1344"/>
      <c r="F30" s="1345">
        <v>1</v>
      </c>
      <c r="G30" s="1350">
        <v>0.2730768111455108</v>
      </c>
      <c r="H30" s="1347">
        <v>3.1</v>
      </c>
      <c r="I30" s="1347">
        <v>0.84653811455108352</v>
      </c>
      <c r="J30" s="1380"/>
      <c r="K30" s="1380"/>
    </row>
    <row r="31" spans="1:11" s="1340" customFormat="1" x14ac:dyDescent="0.25">
      <c r="A31" s="1333"/>
      <c r="B31" s="1334" t="s">
        <v>1813</v>
      </c>
      <c r="C31" s="1333" t="s">
        <v>21</v>
      </c>
      <c r="D31" s="1335"/>
      <c r="E31" s="1336"/>
      <c r="F31" s="1337"/>
      <c r="G31" s="1338"/>
      <c r="H31" s="1339" t="s">
        <v>21</v>
      </c>
      <c r="I31" s="1339" t="s">
        <v>21</v>
      </c>
      <c r="J31" s="1379"/>
      <c r="K31" s="1379"/>
    </row>
    <row r="32" spans="1:11" s="1348" customFormat="1" ht="24" x14ac:dyDescent="0.25">
      <c r="A32" s="1341">
        <v>100577</v>
      </c>
      <c r="B32" s="1342" t="s">
        <v>635</v>
      </c>
      <c r="C32" s="1341" t="s">
        <v>51</v>
      </c>
      <c r="D32" s="1349"/>
      <c r="E32" s="1344"/>
      <c r="F32" s="1345"/>
      <c r="G32" s="1350">
        <v>1</v>
      </c>
      <c r="H32" s="1347">
        <v>0.77</v>
      </c>
      <c r="I32" s="1347">
        <v>0.77</v>
      </c>
      <c r="J32" s="1380"/>
      <c r="K32" s="1380"/>
    </row>
    <row r="33" spans="1:11" s="1348" customFormat="1" x14ac:dyDescent="0.25">
      <c r="A33" s="1353"/>
      <c r="B33" s="1348" t="s">
        <v>21</v>
      </c>
      <c r="C33" s="1353" t="s">
        <v>21</v>
      </c>
      <c r="D33" s="1354"/>
      <c r="E33" s="1355"/>
      <c r="F33" s="1356"/>
      <c r="G33" s="1357"/>
      <c r="H33" s="1358" t="s">
        <v>21</v>
      </c>
      <c r="I33" s="1358" t="s">
        <v>21</v>
      </c>
      <c r="J33" s="1380"/>
      <c r="K33" s="1380"/>
    </row>
    <row r="34" spans="1:11" s="1326" customFormat="1" ht="15.75" x14ac:dyDescent="0.25">
      <c r="A34" s="1301"/>
      <c r="B34" s="1301" t="s">
        <v>3318</v>
      </c>
      <c r="C34" s="1301" t="s">
        <v>21</v>
      </c>
      <c r="D34" s="1302"/>
      <c r="E34" s="1303"/>
      <c r="F34" s="1304"/>
      <c r="G34" s="1305"/>
      <c r="H34" s="1306"/>
      <c r="I34" s="1307">
        <v>131.59792958377062</v>
      </c>
      <c r="J34" s="1384">
        <v>131.59792958377062</v>
      </c>
      <c r="K34" s="1378">
        <v>2</v>
      </c>
    </row>
    <row r="35" spans="1:11" s="1340" customFormat="1" x14ac:dyDescent="0.25">
      <c r="A35" s="1308"/>
      <c r="B35" s="1309" t="s">
        <v>3316</v>
      </c>
      <c r="C35" s="1308" t="s">
        <v>21</v>
      </c>
      <c r="D35" s="1310"/>
      <c r="E35" s="1311"/>
      <c r="F35" s="1312"/>
      <c r="G35" s="1313"/>
      <c r="H35" s="1314" t="s">
        <v>21</v>
      </c>
      <c r="I35" s="1314" t="s">
        <v>21</v>
      </c>
      <c r="J35" s="1379"/>
      <c r="K35" s="1379"/>
    </row>
    <row r="36" spans="1:11" s="1348" customFormat="1" ht="36" x14ac:dyDescent="0.25">
      <c r="A36" s="1315" t="s">
        <v>977</v>
      </c>
      <c r="B36" s="1316" t="s">
        <v>3339</v>
      </c>
      <c r="C36" s="1315" t="s">
        <v>44</v>
      </c>
      <c r="D36" s="1322">
        <v>5.5E-2</v>
      </c>
      <c r="E36" s="1318">
        <v>2.5548000000000002</v>
      </c>
      <c r="F36" s="1319"/>
      <c r="G36" s="1323">
        <v>5.5E-2</v>
      </c>
      <c r="H36" s="1321">
        <v>439.87080806479992</v>
      </c>
      <c r="I36" s="1321">
        <v>24.192894443563997</v>
      </c>
      <c r="J36" s="1380"/>
      <c r="K36" s="1380"/>
    </row>
    <row r="37" spans="1:11" s="1348" customFormat="1" ht="24" x14ac:dyDescent="0.25">
      <c r="A37" s="1315">
        <v>101003</v>
      </c>
      <c r="B37" s="1316" t="s">
        <v>768</v>
      </c>
      <c r="C37" s="1315" t="s">
        <v>55</v>
      </c>
      <c r="D37" s="1317"/>
      <c r="E37" s="1318"/>
      <c r="F37" s="1319"/>
      <c r="G37" s="1320">
        <v>0.140514</v>
      </c>
      <c r="H37" s="1321">
        <v>4.91</v>
      </c>
      <c r="I37" s="1321">
        <v>0.68992374000000001</v>
      </c>
      <c r="J37" s="1380"/>
      <c r="K37" s="1380"/>
    </row>
    <row r="38" spans="1:11" s="1348" customFormat="1" ht="24" x14ac:dyDescent="0.25">
      <c r="A38" s="1315">
        <v>100943</v>
      </c>
      <c r="B38" s="1316" t="s">
        <v>786</v>
      </c>
      <c r="C38" s="1315" t="s">
        <v>42</v>
      </c>
      <c r="D38" s="1317"/>
      <c r="E38" s="1318"/>
      <c r="F38" s="1319">
        <v>1</v>
      </c>
      <c r="G38" s="1320">
        <v>0.140514</v>
      </c>
      <c r="H38" s="1321">
        <v>3.1</v>
      </c>
      <c r="I38" s="1321">
        <v>0.43559340000000002</v>
      </c>
      <c r="J38" s="1380"/>
      <c r="K38" s="1380"/>
    </row>
    <row r="39" spans="1:11" s="1340" customFormat="1" ht="24" x14ac:dyDescent="0.25">
      <c r="A39" s="1308"/>
      <c r="B39" s="1309" t="s">
        <v>3321</v>
      </c>
      <c r="C39" s="1308" t="s">
        <v>21</v>
      </c>
      <c r="D39" s="1310"/>
      <c r="E39" s="1311"/>
      <c r="F39" s="1312"/>
      <c r="G39" s="1313"/>
      <c r="H39" s="1314" t="s">
        <v>21</v>
      </c>
      <c r="I39" s="1314" t="s">
        <v>21</v>
      </c>
      <c r="J39" s="1379"/>
      <c r="K39" s="1379"/>
    </row>
    <row r="40" spans="1:11" s="1348" customFormat="1" x14ac:dyDescent="0.25">
      <c r="A40" s="1315" t="s">
        <v>3333</v>
      </c>
      <c r="B40" s="1316" t="s">
        <v>3334</v>
      </c>
      <c r="C40" s="1315" t="s">
        <v>55</v>
      </c>
      <c r="D40" s="1317"/>
      <c r="E40" s="1318">
        <v>0.14460168000000001</v>
      </c>
      <c r="F40" s="1319"/>
      <c r="G40" s="1320">
        <v>7.9530924000000003E-3</v>
      </c>
      <c r="H40" s="1321">
        <v>4295.6099999999997</v>
      </c>
      <c r="I40" s="1321">
        <v>34.163383244363999</v>
      </c>
      <c r="J40" s="1380"/>
      <c r="K40" s="1380"/>
    </row>
    <row r="41" spans="1:11" s="1348" customFormat="1" ht="36" x14ac:dyDescent="0.25">
      <c r="A41" s="1315">
        <v>95879</v>
      </c>
      <c r="B41" s="1316" t="s">
        <v>789</v>
      </c>
      <c r="C41" s="1315" t="s">
        <v>42</v>
      </c>
      <c r="D41" s="1317"/>
      <c r="E41" s="1318">
        <v>1.113713964</v>
      </c>
      <c r="F41" s="1319">
        <v>30</v>
      </c>
      <c r="G41" s="1320">
        <v>6.1254268020000002E-2</v>
      </c>
      <c r="H41" s="1321">
        <v>1.04</v>
      </c>
      <c r="I41" s="1321">
        <v>6.3704438740800007E-2</v>
      </c>
      <c r="J41" s="1380"/>
      <c r="K41" s="1380"/>
    </row>
    <row r="42" spans="1:11" s="1348" customFormat="1" ht="36" x14ac:dyDescent="0.25">
      <c r="A42" s="1315">
        <v>93599</v>
      </c>
      <c r="B42" s="1316" t="s">
        <v>788</v>
      </c>
      <c r="C42" s="1315" t="s">
        <v>42</v>
      </c>
      <c r="D42" s="1317"/>
      <c r="E42" s="1318">
        <v>1.113713964</v>
      </c>
      <c r="F42" s="1319">
        <v>27</v>
      </c>
      <c r="G42" s="1320">
        <v>6.1254268020000002E-2</v>
      </c>
      <c r="H42" s="1321">
        <v>0.41</v>
      </c>
      <c r="I42" s="1321">
        <v>2.5114249888199998E-2</v>
      </c>
      <c r="J42" s="1380"/>
      <c r="K42" s="1380"/>
    </row>
    <row r="43" spans="1:11" s="1340" customFormat="1" x14ac:dyDescent="0.25">
      <c r="A43" s="1308"/>
      <c r="B43" s="1309" t="s">
        <v>1685</v>
      </c>
      <c r="C43" s="1308" t="s">
        <v>21</v>
      </c>
      <c r="D43" s="1310"/>
      <c r="E43" s="1311"/>
      <c r="F43" s="1312"/>
      <c r="G43" s="1313"/>
      <c r="H43" s="1314" t="s">
        <v>21</v>
      </c>
      <c r="I43" s="1314" t="s">
        <v>21</v>
      </c>
      <c r="J43" s="1379"/>
      <c r="K43" s="1379"/>
    </row>
    <row r="44" spans="1:11" s="1348" customFormat="1" ht="24" x14ac:dyDescent="0.25">
      <c r="A44" s="1315" t="s">
        <v>949</v>
      </c>
      <c r="B44" s="1316" t="s">
        <v>3346</v>
      </c>
      <c r="C44" s="1315" t="s">
        <v>51</v>
      </c>
      <c r="D44" s="1317"/>
      <c r="E44" s="1318"/>
      <c r="F44" s="1319"/>
      <c r="G44" s="1320">
        <v>1</v>
      </c>
      <c r="H44" s="1321">
        <v>0.95611000000000002</v>
      </c>
      <c r="I44" s="1321">
        <v>0.95611000000000002</v>
      </c>
      <c r="J44" s="1380"/>
      <c r="K44" s="1380"/>
    </row>
    <row r="45" spans="1:11" s="1348" customFormat="1" ht="36" x14ac:dyDescent="0.25">
      <c r="A45" s="1315" t="s">
        <v>3325</v>
      </c>
      <c r="B45" s="1316" t="s">
        <v>3326</v>
      </c>
      <c r="C45" s="1315" t="s">
        <v>55</v>
      </c>
      <c r="D45" s="1317"/>
      <c r="E45" s="1324">
        <v>1.1999999999999999E-3</v>
      </c>
      <c r="F45" s="1319"/>
      <c r="G45" s="1325">
        <v>1.1999999999999999E-3</v>
      </c>
      <c r="H45" s="1321">
        <v>2973.15</v>
      </c>
      <c r="I45" s="1321">
        <v>3.56778</v>
      </c>
      <c r="J45" s="1380"/>
      <c r="K45" s="1380"/>
    </row>
    <row r="46" spans="1:11" s="1348" customFormat="1" ht="36" x14ac:dyDescent="0.25">
      <c r="A46" s="1315">
        <v>100969</v>
      </c>
      <c r="B46" s="1316" t="s">
        <v>798</v>
      </c>
      <c r="C46" s="1315" t="s">
        <v>42</v>
      </c>
      <c r="D46" s="1317"/>
      <c r="E46" s="1318"/>
      <c r="F46" s="1319">
        <v>1</v>
      </c>
      <c r="G46" s="1325">
        <v>1.1999999999999999E-3</v>
      </c>
      <c r="H46" s="1321">
        <v>1.7</v>
      </c>
      <c r="I46" s="1321">
        <v>2.0399999999999997E-3</v>
      </c>
      <c r="J46" s="1380"/>
      <c r="K46" s="1380"/>
    </row>
    <row r="47" spans="1:11" s="1340" customFormat="1" x14ac:dyDescent="0.25">
      <c r="A47" s="1308"/>
      <c r="B47" s="1309" t="s">
        <v>963</v>
      </c>
      <c r="C47" s="1308" t="s">
        <v>21</v>
      </c>
      <c r="D47" s="1310"/>
      <c r="E47" s="1311"/>
      <c r="F47" s="1312"/>
      <c r="G47" s="1313"/>
      <c r="H47" s="1314" t="s">
        <v>21</v>
      </c>
      <c r="I47" s="1314" t="s">
        <v>21</v>
      </c>
      <c r="J47" s="1379"/>
      <c r="K47" s="1379"/>
    </row>
    <row r="48" spans="1:11" s="1348" customFormat="1" ht="36" x14ac:dyDescent="0.25">
      <c r="A48" s="1315">
        <v>96396</v>
      </c>
      <c r="B48" s="1316" t="s">
        <v>576</v>
      </c>
      <c r="C48" s="1315" t="s">
        <v>44</v>
      </c>
      <c r="D48" s="1317">
        <v>0.2</v>
      </c>
      <c r="E48" s="1318">
        <v>2.4200549999999996</v>
      </c>
      <c r="F48" s="1319"/>
      <c r="G48" s="1320">
        <v>0.2</v>
      </c>
      <c r="H48" s="1321">
        <v>207.59</v>
      </c>
      <c r="I48" s="1321">
        <v>41.518000000000001</v>
      </c>
      <c r="J48" s="1380"/>
      <c r="K48" s="1380"/>
    </row>
    <row r="49" spans="1:11" s="1348" customFormat="1" ht="36" x14ac:dyDescent="0.25">
      <c r="A49" s="1315">
        <v>95879</v>
      </c>
      <c r="B49" s="1316" t="s">
        <v>789</v>
      </c>
      <c r="C49" s="1315" t="s">
        <v>42</v>
      </c>
      <c r="D49" s="1317"/>
      <c r="E49" s="1318"/>
      <c r="F49" s="1319">
        <v>30</v>
      </c>
      <c r="G49" s="1320">
        <v>14.52033</v>
      </c>
      <c r="H49" s="1321">
        <v>1.04</v>
      </c>
      <c r="I49" s="1321">
        <v>15.101143199999999</v>
      </c>
      <c r="J49" s="1380"/>
      <c r="K49" s="1380"/>
    </row>
    <row r="50" spans="1:11" s="1348" customFormat="1" ht="36" x14ac:dyDescent="0.25">
      <c r="A50" s="1315">
        <v>93599</v>
      </c>
      <c r="B50" s="1316" t="s">
        <v>788</v>
      </c>
      <c r="C50" s="1315" t="s">
        <v>42</v>
      </c>
      <c r="D50" s="1317"/>
      <c r="E50" s="1318"/>
      <c r="F50" s="1319">
        <v>27</v>
      </c>
      <c r="G50" s="1320">
        <v>13.068296999999999</v>
      </c>
      <c r="H50" s="1321">
        <v>0.41</v>
      </c>
      <c r="I50" s="1321">
        <v>5.3580017699999996</v>
      </c>
      <c r="J50" s="1380"/>
      <c r="K50" s="1380"/>
    </row>
    <row r="51" spans="1:11" s="1348" customFormat="1" ht="24" x14ac:dyDescent="0.25">
      <c r="A51" s="1315">
        <v>100943</v>
      </c>
      <c r="B51" s="1316" t="s">
        <v>786</v>
      </c>
      <c r="C51" s="1315" t="s">
        <v>42</v>
      </c>
      <c r="D51" s="1317"/>
      <c r="E51" s="1318"/>
      <c r="F51" s="1319">
        <v>1</v>
      </c>
      <c r="G51" s="1320">
        <v>0.48401099999999997</v>
      </c>
      <c r="H51" s="1321">
        <v>3.1</v>
      </c>
      <c r="I51" s="1321">
        <v>1.5004340999999999</v>
      </c>
      <c r="J51" s="1380"/>
      <c r="K51" s="1380"/>
    </row>
    <row r="52" spans="1:11" s="1340" customFormat="1" x14ac:dyDescent="0.25">
      <c r="A52" s="1308"/>
      <c r="B52" s="1309" t="s">
        <v>1679</v>
      </c>
      <c r="C52" s="1308" t="s">
        <v>21</v>
      </c>
      <c r="D52" s="1310"/>
      <c r="E52" s="1311"/>
      <c r="F52" s="1312"/>
      <c r="G52" s="1313"/>
      <c r="H52" s="1314" t="s">
        <v>21</v>
      </c>
      <c r="I52" s="1314" t="s">
        <v>21</v>
      </c>
      <c r="J52" s="1379"/>
      <c r="K52" s="1379"/>
    </row>
    <row r="53" spans="1:11" s="1348" customFormat="1" ht="48" x14ac:dyDescent="0.25">
      <c r="A53" s="1315">
        <v>96388</v>
      </c>
      <c r="B53" s="1316" t="s">
        <v>580</v>
      </c>
      <c r="C53" s="1315" t="s">
        <v>44</v>
      </c>
      <c r="D53" s="1317">
        <v>0.2</v>
      </c>
      <c r="E53" s="1318"/>
      <c r="F53" s="1319"/>
      <c r="G53" s="1320">
        <v>0.2</v>
      </c>
      <c r="H53" s="1321">
        <v>7.79</v>
      </c>
      <c r="I53" s="1321">
        <v>1.5580000000000001</v>
      </c>
      <c r="J53" s="1380"/>
      <c r="K53" s="1380"/>
    </row>
    <row r="54" spans="1:11" s="1348" customFormat="1" ht="48" x14ac:dyDescent="0.25">
      <c r="A54" s="1315">
        <v>100995</v>
      </c>
      <c r="B54" s="1316" t="s">
        <v>773</v>
      </c>
      <c r="C54" s="1315" t="s">
        <v>55</v>
      </c>
      <c r="D54" s="1317"/>
      <c r="E54" s="1318">
        <v>1.3653840557275541</v>
      </c>
      <c r="F54" s="1319"/>
      <c r="G54" s="1320">
        <v>0.2730768111455108</v>
      </c>
      <c r="H54" s="1321">
        <v>3.11</v>
      </c>
      <c r="I54" s="1321">
        <v>0.84926888266253853</v>
      </c>
      <c r="J54" s="1380"/>
      <c r="K54" s="1380"/>
    </row>
    <row r="55" spans="1:11" s="1348" customFormat="1" ht="24" x14ac:dyDescent="0.25">
      <c r="A55" s="1315">
        <v>100943</v>
      </c>
      <c r="B55" s="1316" t="s">
        <v>786</v>
      </c>
      <c r="C55" s="1315" t="s">
        <v>42</v>
      </c>
      <c r="D55" s="1317"/>
      <c r="E55" s="1318"/>
      <c r="F55" s="1319">
        <v>1</v>
      </c>
      <c r="G55" s="1320">
        <v>0.2730768111455108</v>
      </c>
      <c r="H55" s="1321">
        <v>3.1</v>
      </c>
      <c r="I55" s="1321">
        <v>0.84653811455108352</v>
      </c>
      <c r="J55" s="1380"/>
      <c r="K55" s="1380"/>
    </row>
    <row r="56" spans="1:11" s="1340" customFormat="1" x14ac:dyDescent="0.25">
      <c r="A56" s="1308"/>
      <c r="B56" s="1309" t="s">
        <v>1813</v>
      </c>
      <c r="C56" s="1308" t="s">
        <v>21</v>
      </c>
      <c r="D56" s="1310"/>
      <c r="E56" s="1311"/>
      <c r="F56" s="1312"/>
      <c r="G56" s="1313"/>
      <c r="H56" s="1314" t="s">
        <v>21</v>
      </c>
      <c r="I56" s="1314" t="s">
        <v>21</v>
      </c>
      <c r="J56" s="1379"/>
      <c r="K56" s="1379"/>
    </row>
    <row r="57" spans="1:11" s="1348" customFormat="1" ht="24" x14ac:dyDescent="0.25">
      <c r="A57" s="1315">
        <v>100577</v>
      </c>
      <c r="B57" s="1316" t="s">
        <v>635</v>
      </c>
      <c r="C57" s="1315" t="s">
        <v>51</v>
      </c>
      <c r="D57" s="1317"/>
      <c r="E57" s="1318"/>
      <c r="F57" s="1319"/>
      <c r="G57" s="1320">
        <v>1</v>
      </c>
      <c r="H57" s="1321">
        <v>0.77</v>
      </c>
      <c r="I57" s="1321">
        <v>0.77</v>
      </c>
      <c r="J57" s="1380"/>
      <c r="K57" s="1380"/>
    </row>
    <row r="58" spans="1:11" s="1348" customFormat="1" x14ac:dyDescent="0.25">
      <c r="A58" s="1353"/>
      <c r="B58" s="1348" t="s">
        <v>21</v>
      </c>
      <c r="C58" s="1353" t="s">
        <v>21</v>
      </c>
      <c r="D58" s="1354"/>
      <c r="E58" s="1355"/>
      <c r="F58" s="1356"/>
      <c r="G58" s="1357"/>
      <c r="H58" s="1358" t="s">
        <v>21</v>
      </c>
      <c r="I58" s="1358" t="s">
        <v>21</v>
      </c>
      <c r="J58" s="1380"/>
      <c r="K58" s="1380"/>
    </row>
    <row r="59" spans="1:11" s="1326" customFormat="1" ht="15.75" x14ac:dyDescent="0.25">
      <c r="B59" s="1326" t="s">
        <v>3320</v>
      </c>
      <c r="C59" s="1326" t="s">
        <v>21</v>
      </c>
      <c r="D59" s="1327"/>
      <c r="E59" s="1328"/>
      <c r="F59" s="1329"/>
      <c r="G59" s="1330"/>
      <c r="H59" s="1331"/>
      <c r="I59" s="1332">
        <v>191.821701656557</v>
      </c>
      <c r="J59" s="1384">
        <v>191.821701656557</v>
      </c>
      <c r="K59" s="1378">
        <v>3</v>
      </c>
    </row>
    <row r="60" spans="1:11" s="1340" customFormat="1" x14ac:dyDescent="0.25">
      <c r="A60" s="1333"/>
      <c r="B60" s="1334" t="s">
        <v>3316</v>
      </c>
      <c r="C60" s="1333" t="s">
        <v>21</v>
      </c>
      <c r="D60" s="1335"/>
      <c r="E60" s="1336"/>
      <c r="F60" s="1337"/>
      <c r="G60" s="1338"/>
      <c r="H60" s="1339" t="s">
        <v>21</v>
      </c>
      <c r="I60" s="1339" t="s">
        <v>21</v>
      </c>
      <c r="J60" s="1379"/>
      <c r="K60" s="1379"/>
    </row>
    <row r="61" spans="1:11" s="1348" customFormat="1" ht="36" x14ac:dyDescent="0.25">
      <c r="A61" s="1341" t="s">
        <v>977</v>
      </c>
      <c r="B61" s="1342" t="s">
        <v>3339</v>
      </c>
      <c r="C61" s="1341" t="s">
        <v>44</v>
      </c>
      <c r="D61" s="1343">
        <v>5.5E-2</v>
      </c>
      <c r="E61" s="1344">
        <v>2.5548000000000002</v>
      </c>
      <c r="F61" s="1345"/>
      <c r="G61" s="1346">
        <v>5.5E-2</v>
      </c>
      <c r="H61" s="1347">
        <v>439.87080806479992</v>
      </c>
      <c r="I61" s="1347">
        <v>24.192894443563997</v>
      </c>
      <c r="J61" s="1380"/>
      <c r="K61" s="1380"/>
    </row>
    <row r="62" spans="1:11" s="1348" customFormat="1" ht="24" x14ac:dyDescent="0.25">
      <c r="A62" s="1341">
        <v>101003</v>
      </c>
      <c r="B62" s="1342" t="s">
        <v>768</v>
      </c>
      <c r="C62" s="1341" t="s">
        <v>55</v>
      </c>
      <c r="D62" s="1349"/>
      <c r="E62" s="1344"/>
      <c r="F62" s="1345"/>
      <c r="G62" s="1350">
        <v>0.140514</v>
      </c>
      <c r="H62" s="1347">
        <v>4.91</v>
      </c>
      <c r="I62" s="1347">
        <v>0.68992374000000001</v>
      </c>
      <c r="J62" s="1380"/>
      <c r="K62" s="1380"/>
    </row>
    <row r="63" spans="1:11" s="1348" customFormat="1" ht="24" x14ac:dyDescent="0.25">
      <c r="A63" s="1341">
        <v>100943</v>
      </c>
      <c r="B63" s="1342" t="s">
        <v>786</v>
      </c>
      <c r="C63" s="1341" t="s">
        <v>42</v>
      </c>
      <c r="D63" s="1349"/>
      <c r="E63" s="1344"/>
      <c r="F63" s="1345">
        <v>1</v>
      </c>
      <c r="G63" s="1350">
        <v>0.140514</v>
      </c>
      <c r="H63" s="1347">
        <v>3.1</v>
      </c>
      <c r="I63" s="1347">
        <v>0.43559340000000002</v>
      </c>
      <c r="J63" s="1380"/>
      <c r="K63" s="1380"/>
    </row>
    <row r="64" spans="1:11" s="1340" customFormat="1" ht="24" x14ac:dyDescent="0.25">
      <c r="A64" s="1333"/>
      <c r="B64" s="1334" t="s">
        <v>3321</v>
      </c>
      <c r="C64" s="1333" t="s">
        <v>21</v>
      </c>
      <c r="D64" s="1335"/>
      <c r="E64" s="1336"/>
      <c r="F64" s="1337"/>
      <c r="G64" s="1338"/>
      <c r="H64" s="1339" t="s">
        <v>21</v>
      </c>
      <c r="I64" s="1339" t="s">
        <v>21</v>
      </c>
      <c r="J64" s="1379"/>
      <c r="K64" s="1379"/>
    </row>
    <row r="65" spans="1:11" s="1348" customFormat="1" x14ac:dyDescent="0.25">
      <c r="A65" s="1341" t="s">
        <v>3333</v>
      </c>
      <c r="B65" s="1342" t="s">
        <v>3334</v>
      </c>
      <c r="C65" s="1341" t="s">
        <v>55</v>
      </c>
      <c r="D65" s="1349"/>
      <c r="E65" s="1344">
        <v>0.14460168000000001</v>
      </c>
      <c r="F65" s="1345"/>
      <c r="G65" s="1350">
        <v>7.9530924000000003E-3</v>
      </c>
      <c r="H65" s="1347">
        <v>4295.6099999999997</v>
      </c>
      <c r="I65" s="1347">
        <v>34.163383244363999</v>
      </c>
      <c r="J65" s="1380"/>
      <c r="K65" s="1380"/>
    </row>
    <row r="66" spans="1:11" s="1348" customFormat="1" ht="36" x14ac:dyDescent="0.25">
      <c r="A66" s="1341">
        <v>95879</v>
      </c>
      <c r="B66" s="1342" t="s">
        <v>789</v>
      </c>
      <c r="C66" s="1341" t="s">
        <v>42</v>
      </c>
      <c r="D66" s="1349"/>
      <c r="E66" s="1344">
        <v>1.113713964</v>
      </c>
      <c r="F66" s="1345">
        <v>30</v>
      </c>
      <c r="G66" s="1350">
        <v>6.1254268020000002E-2</v>
      </c>
      <c r="H66" s="1347">
        <v>1.04</v>
      </c>
      <c r="I66" s="1347">
        <v>6.3704438740800007E-2</v>
      </c>
      <c r="J66" s="1380"/>
      <c r="K66" s="1380"/>
    </row>
    <row r="67" spans="1:11" s="1348" customFormat="1" ht="36" x14ac:dyDescent="0.25">
      <c r="A67" s="1341">
        <v>93599</v>
      </c>
      <c r="B67" s="1342" t="s">
        <v>788</v>
      </c>
      <c r="C67" s="1341" t="s">
        <v>42</v>
      </c>
      <c r="D67" s="1349"/>
      <c r="E67" s="1344">
        <v>1.113713964</v>
      </c>
      <c r="F67" s="1345">
        <v>27</v>
      </c>
      <c r="G67" s="1350">
        <v>6.1254268020000002E-2</v>
      </c>
      <c r="H67" s="1347">
        <v>0.41</v>
      </c>
      <c r="I67" s="1347">
        <v>2.5114249888199998E-2</v>
      </c>
      <c r="J67" s="1380"/>
      <c r="K67" s="1380"/>
    </row>
    <row r="68" spans="1:11" s="1340" customFormat="1" x14ac:dyDescent="0.25">
      <c r="A68" s="1333"/>
      <c r="B68" s="1334" t="s">
        <v>1685</v>
      </c>
      <c r="C68" s="1333" t="s">
        <v>21</v>
      </c>
      <c r="D68" s="1335"/>
      <c r="E68" s="1336"/>
      <c r="F68" s="1337"/>
      <c r="G68" s="1338"/>
      <c r="H68" s="1339" t="s">
        <v>21</v>
      </c>
      <c r="I68" s="1339" t="s">
        <v>21</v>
      </c>
      <c r="J68" s="1379"/>
      <c r="K68" s="1379"/>
    </row>
    <row r="69" spans="1:11" s="1348" customFormat="1" ht="24" x14ac:dyDescent="0.25">
      <c r="A69" s="1341" t="s">
        <v>949</v>
      </c>
      <c r="B69" s="1342" t="s">
        <v>3346</v>
      </c>
      <c r="C69" s="1341" t="s">
        <v>51</v>
      </c>
      <c r="D69" s="1349"/>
      <c r="E69" s="1344"/>
      <c r="F69" s="1345"/>
      <c r="G69" s="1350">
        <v>1</v>
      </c>
      <c r="H69" s="1347">
        <v>0.95611000000000002</v>
      </c>
      <c r="I69" s="1347">
        <v>0.95611000000000002</v>
      </c>
      <c r="J69" s="1380"/>
      <c r="K69" s="1380"/>
    </row>
    <row r="70" spans="1:11" s="1348" customFormat="1" ht="36" x14ac:dyDescent="0.25">
      <c r="A70" s="1341" t="s">
        <v>3325</v>
      </c>
      <c r="B70" s="1342" t="s">
        <v>3326</v>
      </c>
      <c r="C70" s="1341" t="s">
        <v>55</v>
      </c>
      <c r="D70" s="1349"/>
      <c r="E70" s="1351">
        <v>1.1999999999999999E-3</v>
      </c>
      <c r="F70" s="1345"/>
      <c r="G70" s="1352">
        <v>1.1999999999999999E-3</v>
      </c>
      <c r="H70" s="1347">
        <v>2973.15</v>
      </c>
      <c r="I70" s="1347">
        <v>3.56778</v>
      </c>
      <c r="J70" s="1380"/>
      <c r="K70" s="1380"/>
    </row>
    <row r="71" spans="1:11" s="1348" customFormat="1" ht="36" x14ac:dyDescent="0.25">
      <c r="A71" s="1341">
        <v>100969</v>
      </c>
      <c r="B71" s="1342" t="s">
        <v>798</v>
      </c>
      <c r="C71" s="1341" t="s">
        <v>42</v>
      </c>
      <c r="D71" s="1349"/>
      <c r="E71" s="1344"/>
      <c r="F71" s="1345">
        <v>1</v>
      </c>
      <c r="G71" s="1352">
        <v>1.1999999999999999E-3</v>
      </c>
      <c r="H71" s="1347">
        <v>1.7</v>
      </c>
      <c r="I71" s="1347">
        <v>2.0399999999999997E-3</v>
      </c>
      <c r="J71" s="1380"/>
      <c r="K71" s="1380"/>
    </row>
    <row r="72" spans="1:11" s="1340" customFormat="1" x14ac:dyDescent="0.25">
      <c r="A72" s="1333"/>
      <c r="B72" s="1334" t="s">
        <v>963</v>
      </c>
      <c r="C72" s="1333" t="s">
        <v>21</v>
      </c>
      <c r="D72" s="1335"/>
      <c r="E72" s="1336"/>
      <c r="F72" s="1337"/>
      <c r="G72" s="1338"/>
      <c r="H72" s="1339" t="s">
        <v>21</v>
      </c>
      <c r="I72" s="1339" t="s">
        <v>21</v>
      </c>
      <c r="J72" s="1379"/>
      <c r="K72" s="1379"/>
    </row>
    <row r="73" spans="1:11" s="1348" customFormat="1" ht="36" x14ac:dyDescent="0.25">
      <c r="A73" s="1341">
        <v>96396</v>
      </c>
      <c r="B73" s="1342" t="s">
        <v>576</v>
      </c>
      <c r="C73" s="1341" t="s">
        <v>44</v>
      </c>
      <c r="D73" s="1349">
        <v>0.2</v>
      </c>
      <c r="E73" s="1344">
        <v>2.4200549999999996</v>
      </c>
      <c r="F73" s="1345"/>
      <c r="G73" s="1350">
        <v>0.2</v>
      </c>
      <c r="H73" s="1347">
        <v>207.59</v>
      </c>
      <c r="I73" s="1347">
        <v>41.518000000000001</v>
      </c>
      <c r="J73" s="1380"/>
      <c r="K73" s="1380"/>
    </row>
    <row r="74" spans="1:11" s="1348" customFormat="1" ht="36" x14ac:dyDescent="0.25">
      <c r="A74" s="1341">
        <v>95879</v>
      </c>
      <c r="B74" s="1342" t="s">
        <v>789</v>
      </c>
      <c r="C74" s="1341" t="s">
        <v>42</v>
      </c>
      <c r="D74" s="1349"/>
      <c r="E74" s="1344"/>
      <c r="F74" s="1345">
        <v>30</v>
      </c>
      <c r="G74" s="1350">
        <v>14.52033</v>
      </c>
      <c r="H74" s="1347">
        <v>1.04</v>
      </c>
      <c r="I74" s="1347">
        <v>15.101143199999999</v>
      </c>
      <c r="J74" s="1380"/>
      <c r="K74" s="1380"/>
    </row>
    <row r="75" spans="1:11" s="1348" customFormat="1" ht="36" x14ac:dyDescent="0.25">
      <c r="A75" s="1341">
        <v>93599</v>
      </c>
      <c r="B75" s="1342" t="s">
        <v>788</v>
      </c>
      <c r="C75" s="1341" t="s">
        <v>42</v>
      </c>
      <c r="D75" s="1349"/>
      <c r="E75" s="1344"/>
      <c r="F75" s="1345">
        <v>27</v>
      </c>
      <c r="G75" s="1350">
        <v>13.068296999999999</v>
      </c>
      <c r="H75" s="1347">
        <v>0.41</v>
      </c>
      <c r="I75" s="1347">
        <v>5.3580017699999996</v>
      </c>
      <c r="J75" s="1380"/>
      <c r="K75" s="1380"/>
    </row>
    <row r="76" spans="1:11" s="1348" customFormat="1" ht="24" x14ac:dyDescent="0.25">
      <c r="A76" s="1341">
        <v>100943</v>
      </c>
      <c r="B76" s="1342" t="s">
        <v>786</v>
      </c>
      <c r="C76" s="1341" t="s">
        <v>42</v>
      </c>
      <c r="D76" s="1349"/>
      <c r="E76" s="1344"/>
      <c r="F76" s="1345">
        <v>1</v>
      </c>
      <c r="G76" s="1350">
        <v>0.48401099999999997</v>
      </c>
      <c r="H76" s="1347">
        <v>3.1</v>
      </c>
      <c r="I76" s="1347">
        <v>1.5004340999999999</v>
      </c>
      <c r="J76" s="1380"/>
      <c r="K76" s="1380"/>
    </row>
    <row r="77" spans="1:11" s="1340" customFormat="1" x14ac:dyDescent="0.25">
      <c r="A77" s="1333"/>
      <c r="B77" s="1334" t="s">
        <v>1679</v>
      </c>
      <c r="C77" s="1333" t="s">
        <v>21</v>
      </c>
      <c r="D77" s="1335"/>
      <c r="E77" s="1336"/>
      <c r="F77" s="1337"/>
      <c r="G77" s="1338"/>
      <c r="H77" s="1339" t="s">
        <v>21</v>
      </c>
      <c r="I77" s="1339" t="s">
        <v>21</v>
      </c>
      <c r="J77" s="1379"/>
      <c r="K77" s="1379"/>
    </row>
    <row r="78" spans="1:11" s="1348" customFormat="1" ht="36" x14ac:dyDescent="0.25">
      <c r="A78" s="1341">
        <v>96396</v>
      </c>
      <c r="B78" s="1342" t="s">
        <v>576</v>
      </c>
      <c r="C78" s="1341" t="s">
        <v>44</v>
      </c>
      <c r="D78" s="1349">
        <v>0.2</v>
      </c>
      <c r="E78" s="1344">
        <v>2.4200549999999996</v>
      </c>
      <c r="F78" s="1345"/>
      <c r="G78" s="1350">
        <v>0.2</v>
      </c>
      <c r="H78" s="1347">
        <v>207.59</v>
      </c>
      <c r="I78" s="1347">
        <v>41.518000000000001</v>
      </c>
      <c r="J78" s="1380"/>
      <c r="K78" s="1380"/>
    </row>
    <row r="79" spans="1:11" s="1348" customFormat="1" ht="36" x14ac:dyDescent="0.25">
      <c r="A79" s="1341">
        <v>95879</v>
      </c>
      <c r="B79" s="1342" t="s">
        <v>789</v>
      </c>
      <c r="C79" s="1341" t="s">
        <v>42</v>
      </c>
      <c r="D79" s="1349"/>
      <c r="E79" s="1344"/>
      <c r="F79" s="1345">
        <v>30</v>
      </c>
      <c r="G79" s="1350">
        <v>14.52033</v>
      </c>
      <c r="H79" s="1347">
        <v>1.04</v>
      </c>
      <c r="I79" s="1347">
        <v>15.101143199999999</v>
      </c>
      <c r="J79" s="1380"/>
      <c r="K79" s="1380"/>
    </row>
    <row r="80" spans="1:11" s="1348" customFormat="1" ht="36" x14ac:dyDescent="0.25">
      <c r="A80" s="1341">
        <v>93599</v>
      </c>
      <c r="B80" s="1342" t="s">
        <v>788</v>
      </c>
      <c r="C80" s="1341" t="s">
        <v>42</v>
      </c>
      <c r="D80" s="1349"/>
      <c r="E80" s="1344"/>
      <c r="F80" s="1345">
        <v>27</v>
      </c>
      <c r="G80" s="1350">
        <v>13.068296999999999</v>
      </c>
      <c r="H80" s="1347">
        <v>0.41</v>
      </c>
      <c r="I80" s="1347">
        <v>5.3580017699999996</v>
      </c>
      <c r="J80" s="1380"/>
      <c r="K80" s="1380"/>
    </row>
    <row r="81" spans="1:11" s="1348" customFormat="1" ht="24" x14ac:dyDescent="0.25">
      <c r="A81" s="1341">
        <v>100943</v>
      </c>
      <c r="B81" s="1342" t="s">
        <v>786</v>
      </c>
      <c r="C81" s="1341" t="s">
        <v>42</v>
      </c>
      <c r="D81" s="1349"/>
      <c r="E81" s="1344"/>
      <c r="F81" s="1345">
        <v>1</v>
      </c>
      <c r="G81" s="1350">
        <v>0.48401099999999997</v>
      </c>
      <c r="H81" s="1347">
        <v>3.1</v>
      </c>
      <c r="I81" s="1347">
        <v>1.5004340999999999</v>
      </c>
      <c r="J81" s="1380"/>
      <c r="K81" s="1380"/>
    </row>
    <row r="82" spans="1:11" s="1340" customFormat="1" x14ac:dyDescent="0.25">
      <c r="A82" s="1333"/>
      <c r="B82" s="1334" t="s">
        <v>1813</v>
      </c>
      <c r="C82" s="1333" t="s">
        <v>21</v>
      </c>
      <c r="D82" s="1335"/>
      <c r="E82" s="1336"/>
      <c r="F82" s="1337"/>
      <c r="G82" s="1338"/>
      <c r="H82" s="1339" t="s">
        <v>21</v>
      </c>
      <c r="I82" s="1339" t="s">
        <v>21</v>
      </c>
      <c r="J82" s="1379"/>
      <c r="K82" s="1379"/>
    </row>
    <row r="83" spans="1:11" s="1348" customFormat="1" ht="24" x14ac:dyDescent="0.25">
      <c r="A83" s="1341">
        <v>100577</v>
      </c>
      <c r="B83" s="1342" t="s">
        <v>635</v>
      </c>
      <c r="C83" s="1341" t="s">
        <v>51</v>
      </c>
      <c r="D83" s="1349"/>
      <c r="E83" s="1344"/>
      <c r="F83" s="1345"/>
      <c r="G83" s="1350">
        <v>1</v>
      </c>
      <c r="H83" s="1347">
        <v>0.77</v>
      </c>
      <c r="I83" s="1347">
        <v>0.77</v>
      </c>
      <c r="J83" s="1380"/>
      <c r="K83" s="1380"/>
    </row>
    <row r="84" spans="1:11" x14ac:dyDescent="0.25">
      <c r="B84" s="1206" t="s">
        <v>21</v>
      </c>
      <c r="C84" s="1223" t="s">
        <v>21</v>
      </c>
    </row>
    <row r="85" spans="1:11" x14ac:dyDescent="0.25">
      <c r="B85" s="1206" t="s">
        <v>21</v>
      </c>
      <c r="C85" s="1223" t="s">
        <v>21</v>
      </c>
    </row>
  </sheetData>
  <printOptions horizontalCentered="1"/>
  <pageMargins left="0.78740157480314965" right="0.59055118110236227" top="0.78740157480314965" bottom="0.78740157480314965" header="0.59055118110236227" footer="0.59055118110236227"/>
  <pageSetup paperSize="9" scale="53" fitToHeight="0" orientation="portrait" r:id="rId1"/>
  <rowBreaks count="1" manualBreakCount="1">
    <brk id="5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53</vt:i4>
      </vt:variant>
      <vt:variant>
        <vt:lpstr>Intervalos Nomeados</vt:lpstr>
      </vt:variant>
      <vt:variant>
        <vt:i4>91</vt:i4>
      </vt:variant>
    </vt:vector>
  </HeadingPairs>
  <TitlesOfParts>
    <vt:vector size="144" baseType="lpstr">
      <vt:lpstr>TRECHO(S) A IMPRIMIR</vt:lpstr>
      <vt:lpstr>RESUMO COMPARATIVO</vt:lpstr>
      <vt:lpstr>PSP-RESUMO</vt:lpstr>
      <vt:lpstr>01-CO</vt:lpstr>
      <vt:lpstr>02-AL</vt:lpstr>
      <vt:lpstr>03-SP</vt:lpstr>
      <vt:lpstr>04-DR</vt:lpstr>
      <vt:lpstr>05-TR</vt:lpstr>
      <vt:lpstr>06-PAV</vt:lpstr>
      <vt:lpstr>07-OAEeOAC</vt:lpstr>
      <vt:lpstr>08-SIN</vt:lpstr>
      <vt:lpstr>09-URB</vt:lpstr>
      <vt:lpstr>CFF-18M</vt:lpstr>
      <vt:lpstr>ABC-S</vt:lpstr>
      <vt:lpstr>CA-PROJETO</vt:lpstr>
      <vt:lpstr>MCP</vt:lpstr>
      <vt:lpstr>BDI obras SD</vt:lpstr>
      <vt:lpstr>BDI obras CD</vt:lpstr>
      <vt:lpstr>BDI-Difer SD</vt:lpstr>
      <vt:lpstr>BDI-Difer CD</vt:lpstr>
      <vt:lpstr>ES</vt:lpstr>
      <vt:lpstr>MLQ-CONS AFeEE</vt:lpstr>
      <vt:lpstr>01-MLQ-CO-HII-TR3</vt:lpstr>
      <vt:lpstr>04-MLQ-CR-LAGOAS</vt:lpstr>
      <vt:lpstr>04-MLQ-DR-TR1</vt:lpstr>
      <vt:lpstr>04-MLQ-DR-TR1-LD</vt:lpstr>
      <vt:lpstr>04-MLQ-DR-TR3</vt:lpstr>
      <vt:lpstr>04-MLQ-DR-TR3-LD</vt:lpstr>
      <vt:lpstr>04-MLQ-DR-TR1-DEM_DISP</vt:lpstr>
      <vt:lpstr>04-MLQ-DR-TR1 e TR3-BLQ</vt:lpstr>
      <vt:lpstr>04-MLQ-DR-TIPOL E DIMENS</vt:lpstr>
      <vt:lpstr>06-MLQ-TR1-TRePAV</vt:lpstr>
      <vt:lpstr>06-MLQ-TR3-TRePAV</vt:lpstr>
      <vt:lpstr>06-MLQ-TR1eTR3-SEPAR INTERTR</vt:lpstr>
      <vt:lpstr>07-OAE-MLQ</vt:lpstr>
      <vt:lpstr>08-MLQ-TR1-SIN_HOR</vt:lpstr>
      <vt:lpstr>08-MLQ-TR1-SIN_VER</vt:lpstr>
      <vt:lpstr>08-MLQ-TR1-SIN_HOR (ESCOLA)</vt:lpstr>
      <vt:lpstr>08-MLQ-TR1-SIN_VER (ESCOLA)</vt:lpstr>
      <vt:lpstr>08-MLQ-TR3-SIN_HOR</vt:lpstr>
      <vt:lpstr>08-MLQ-TR3-SIN_VER</vt:lpstr>
      <vt:lpstr>MLQ-LAB-TR1</vt:lpstr>
      <vt:lpstr>MLQ-LAB-TR3</vt:lpstr>
      <vt:lpstr>MLQ-DMT-TR1</vt:lpstr>
      <vt:lpstr>MLQ-DMT-TR3</vt:lpstr>
      <vt:lpstr>MLQ-PESP</vt:lpstr>
      <vt:lpstr>MLQ-ENS GEOT-TR1</vt:lpstr>
      <vt:lpstr>MLQ-ENS GEOT-TR3</vt:lpstr>
      <vt:lpstr>TR1-ESTUDO TRÁFEGO LEVE</vt:lpstr>
      <vt:lpstr>TR1-ESTUDO TRÁFEGO MÉDIO</vt:lpstr>
      <vt:lpstr>TR1-ESTUDO TRÁFEGO MEIO PESADO</vt:lpstr>
      <vt:lpstr>TR3-ESTUDO TRÁFEGO LEVE</vt:lpstr>
      <vt:lpstr>TR3-ESTUDO TRÁFEGO MÉDIO</vt:lpstr>
      <vt:lpstr>'01-CO'!Area_de_impressao</vt:lpstr>
      <vt:lpstr>'01-MLQ-CO-HII-TR3'!Area_de_impressao</vt:lpstr>
      <vt:lpstr>'02-AL'!Area_de_impressao</vt:lpstr>
      <vt:lpstr>'03-SP'!Area_de_impressao</vt:lpstr>
      <vt:lpstr>'04-DR'!Area_de_impressao</vt:lpstr>
      <vt:lpstr>'04-MLQ-CR-LAGOAS'!Area_de_impressao</vt:lpstr>
      <vt:lpstr>'04-MLQ-DR-TIPOL E DIMENS'!Area_de_impressao</vt:lpstr>
      <vt:lpstr>'04-MLQ-DR-TR1'!Area_de_impressao</vt:lpstr>
      <vt:lpstr>'04-MLQ-DR-TR1 e TR3-BLQ'!Area_de_impressao</vt:lpstr>
      <vt:lpstr>'04-MLQ-DR-TR1-LD'!Area_de_impressao</vt:lpstr>
      <vt:lpstr>'04-MLQ-DR-TR3'!Area_de_impressao</vt:lpstr>
      <vt:lpstr>'04-MLQ-DR-TR3-LD'!Area_de_impressao</vt:lpstr>
      <vt:lpstr>'05-TR'!Area_de_impressao</vt:lpstr>
      <vt:lpstr>'06-MLQ-TR1-TRePAV'!Area_de_impressao</vt:lpstr>
      <vt:lpstr>'06-MLQ-TR3-TRePAV'!Area_de_impressao</vt:lpstr>
      <vt:lpstr>'06-PAV'!Area_de_impressao</vt:lpstr>
      <vt:lpstr>'07-OAEeOAC'!Area_de_impressao</vt:lpstr>
      <vt:lpstr>'07-OAE-MLQ'!Area_de_impressao</vt:lpstr>
      <vt:lpstr>'08-MLQ-TR1-SIN_HOR'!Area_de_impressao</vt:lpstr>
      <vt:lpstr>'08-MLQ-TR1-SIN_HOR (ESCOLA)'!Area_de_impressao</vt:lpstr>
      <vt:lpstr>'08-MLQ-TR3-SIN_HOR'!Area_de_impressao</vt:lpstr>
      <vt:lpstr>'08-SIN'!Area_de_impressao</vt:lpstr>
      <vt:lpstr>'09-URB'!Area_de_impressao</vt:lpstr>
      <vt:lpstr>'ABC-S'!Area_de_impressao</vt:lpstr>
      <vt:lpstr>'BDI obras CD'!Area_de_impressao</vt:lpstr>
      <vt:lpstr>'BDI obras SD'!Area_de_impressao</vt:lpstr>
      <vt:lpstr>'BDI-Difer CD'!Area_de_impressao</vt:lpstr>
      <vt:lpstr>'BDI-Difer SD'!Area_de_impressao</vt:lpstr>
      <vt:lpstr>'CA-PROJETO'!Area_de_impressao</vt:lpstr>
      <vt:lpstr>'CFF-18M'!Area_de_impressao</vt:lpstr>
      <vt:lpstr>ES!Area_de_impressao</vt:lpstr>
      <vt:lpstr>MCP!Area_de_impressao</vt:lpstr>
      <vt:lpstr>'MLQ-CONS AFeEE'!Area_de_impressao</vt:lpstr>
      <vt:lpstr>'MLQ-DMT-TR1'!Area_de_impressao</vt:lpstr>
      <vt:lpstr>'MLQ-DMT-TR3'!Area_de_impressao</vt:lpstr>
      <vt:lpstr>'MLQ-ENS GEOT-TR1'!Area_de_impressao</vt:lpstr>
      <vt:lpstr>'MLQ-ENS GEOT-TR3'!Area_de_impressao</vt:lpstr>
      <vt:lpstr>'MLQ-LAB-TR1'!Area_de_impressao</vt:lpstr>
      <vt:lpstr>'MLQ-LAB-TR3'!Area_de_impressao</vt:lpstr>
      <vt:lpstr>'MLQ-PESP'!Area_de_impressao</vt:lpstr>
      <vt:lpstr>'PSP-RESUMO'!Area_de_impressao</vt:lpstr>
      <vt:lpstr>'TR1-ESTUDO TRÁFEGO LEVE'!Area_de_impressao</vt:lpstr>
      <vt:lpstr>'TR1-ESTUDO TRÁFEGO MÉDIO'!Area_de_impressao</vt:lpstr>
      <vt:lpstr>'TR1-ESTUDO TRÁFEGO MEIO PESADO'!Area_de_impressao</vt:lpstr>
      <vt:lpstr>'TR3-ESTUDO TRÁFEGO LEVE'!Area_de_impressao</vt:lpstr>
      <vt:lpstr>'TR3-ESTUDO TRÁFEGO MÉDIO'!Area_de_impressao</vt:lpstr>
      <vt:lpstr>BDI_SD_O_AC</vt:lpstr>
      <vt:lpstr>BDI_SD_O_COF</vt:lpstr>
      <vt:lpstr>BDI_SD_O_CPRB</vt:lpstr>
      <vt:lpstr>BDI_SD_O_DF</vt:lpstr>
      <vt:lpstr>BDI_SD_O_ISS</vt:lpstr>
      <vt:lpstr>BDI_SD_O_L</vt:lpstr>
      <vt:lpstr>BDI_SD_O_PIS</vt:lpstr>
      <vt:lpstr>BDI_SD_O_R</vt:lpstr>
      <vt:lpstr>BDI_SD_O_SG</vt:lpstr>
      <vt:lpstr>'01-CO'!Titulos_de_impressao</vt:lpstr>
      <vt:lpstr>'01-MLQ-CO-HII-TR3'!Titulos_de_impressao</vt:lpstr>
      <vt:lpstr>'02-AL'!Titulos_de_impressao</vt:lpstr>
      <vt:lpstr>'03-SP'!Titulos_de_impressao</vt:lpstr>
      <vt:lpstr>'04-DR'!Titulos_de_impressao</vt:lpstr>
      <vt:lpstr>'04-MLQ-CR-LAGOAS'!Titulos_de_impressao</vt:lpstr>
      <vt:lpstr>'04-MLQ-DR-TIPOL E DIMENS'!Titulos_de_impressao</vt:lpstr>
      <vt:lpstr>'04-MLQ-DR-TR1'!Titulos_de_impressao</vt:lpstr>
      <vt:lpstr>'04-MLQ-DR-TR1-LD'!Titulos_de_impressao</vt:lpstr>
      <vt:lpstr>'04-MLQ-DR-TR3'!Titulos_de_impressao</vt:lpstr>
      <vt:lpstr>'04-MLQ-DR-TR3-LD'!Titulos_de_impressao</vt:lpstr>
      <vt:lpstr>'05-TR'!Titulos_de_impressao</vt:lpstr>
      <vt:lpstr>'06-MLQ-TR1-TRePAV'!Titulos_de_impressao</vt:lpstr>
      <vt:lpstr>'06-MLQ-TR3-TRePAV'!Titulos_de_impressao</vt:lpstr>
      <vt:lpstr>'06-PAV'!Titulos_de_impressao</vt:lpstr>
      <vt:lpstr>'07-OAEeOAC'!Titulos_de_impressao</vt:lpstr>
      <vt:lpstr>'08-SIN'!Titulos_de_impressao</vt:lpstr>
      <vt:lpstr>'09-URB'!Titulos_de_impressao</vt:lpstr>
      <vt:lpstr>'ABC-S'!Titulos_de_impressao</vt:lpstr>
      <vt:lpstr>'CA-PROJETO'!Titulos_de_impressao</vt:lpstr>
      <vt:lpstr>'CFF-18M'!Titulos_de_impressao</vt:lpstr>
      <vt:lpstr>MCP!Titulos_de_impressao</vt:lpstr>
      <vt:lpstr>'MLQ-CONS AFeEE'!Titulos_de_impressao</vt:lpstr>
      <vt:lpstr>'MLQ-DMT-TR1'!Titulos_de_impressao</vt:lpstr>
      <vt:lpstr>'MLQ-DMT-TR3'!Titulos_de_impressao</vt:lpstr>
      <vt:lpstr>'MLQ-ENS GEOT-TR1'!Titulos_de_impressao</vt:lpstr>
      <vt:lpstr>'MLQ-ENS GEOT-TR3'!Titulos_de_impressao</vt:lpstr>
      <vt:lpstr>'MLQ-LAB-TR1'!Titulos_de_impressao</vt:lpstr>
      <vt:lpstr>'MLQ-LAB-TR3'!Titulos_de_impressao</vt:lpstr>
      <vt:lpstr>'MLQ-PESP'!Titulos_de_impressao</vt:lpstr>
      <vt:lpstr>'PSP-RESUMO'!Titulos_de_impressao</vt:lpstr>
      <vt:lpstr>'TR1-ESTUDO TRÁFEGO LEVE'!Titulos_de_impressao</vt:lpstr>
      <vt:lpstr>'TR1-ESTUDO TRÁFEGO MÉDIO'!Titulos_de_impressao</vt:lpstr>
      <vt:lpstr>'TR1-ESTUDO TRÁFEGO MEIO PESADO'!Titulos_de_impressao</vt:lpstr>
      <vt:lpstr>'TR3-ESTUDO TRÁFEGO LEVE'!Titulos_de_impressao</vt:lpstr>
      <vt:lpstr>'TR3-ESTUDO TRÁFEGO MÉDIO'!Titulos_de_impressao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2022-03-29T03:06:15Z</dcterms:modified>
</cp:coreProperties>
</file>